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0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37.xml" ContentType="application/vnd.ms-excel.controlproperties+xml"/>
  <Override PartName="/xl/ctrlProps/ctrlProps36.xml" ContentType="application/vnd.ms-excel.controlproperties+xml"/>
  <Override PartName="/xl/ctrlProps/ctrlProps35.xml" ContentType="application/vnd.ms-excel.controlproperties+xml"/>
  <Override PartName="/xl/ctrlProps/ctrlProps7.xml" ContentType="application/vnd.ms-excel.controlproperties+xml"/>
  <Override PartName="/xl/ctrlProps/ctrlProps20.xml" ContentType="application/vnd.ms-excel.controlproperties+xml"/>
  <Override PartName="/xl/ctrlProps/ctrlProps9.xml" ContentType="application/vnd.ms-excel.controlproperties+xml"/>
  <Override PartName="/xl/ctrlProps/ctrlProps10.xml" ContentType="application/vnd.ms-excel.controlproperties+xml"/>
  <Override PartName="/xl/ctrlProps/ctrlProps12.xml" ContentType="application/vnd.ms-excel.controlproperties+xml"/>
  <Override PartName="/xl/ctrlProps/ctrlProps5.xml" ContentType="application/vnd.ms-excel.controlproperties+xml"/>
  <Override PartName="/xl/ctrlProps/ctrlProps14.xml" ContentType="application/vnd.ms-excel.controlproperties+xml"/>
  <Override PartName="/xl/ctrlProps/ctrlProps38.xml" ContentType="application/vnd.ms-excel.controlproperties+xml"/>
  <Override PartName="/xl/ctrlProps/ctrlProps40.xml" ContentType="application/vnd.ms-excel.controlproperties+xml"/>
  <Override PartName="/xl/ctrlProps/ctrlProps6.xml" ContentType="application/vnd.ms-excel.controlproperties+xml"/>
  <Override PartName="/xl/ctrlProps/ctrlProps15.xml" ContentType="application/vnd.ms-excel.controlproperties+xml"/>
  <Override PartName="/xl/ctrlProps/ctrlProps39.xml" ContentType="application/vnd.ms-excel.controlproperties+xml"/>
  <Override PartName="/xl/ctrlProps/ctrlProps17.xml" ContentType="application/vnd.ms-excel.controlproperties+xml"/>
  <Override PartName="/xl/ctrlProps/ctrlProps13.xml" ContentType="application/vnd.ms-excel.controlproperties+xml"/>
  <Override PartName="/xl/ctrlProps/ctrlProps4.xml" ContentType="application/vnd.ms-excel.controlproperties+xml"/>
  <Override PartName="/xl/ctrlProps/ctrlProps2.xml" ContentType="application/vnd.ms-excel.controlproperties+xml"/>
  <Override PartName="/xl/ctrlProps/ctrlProps19.xml" ContentType="application/vnd.ms-excel.controlproperties+xml"/>
  <Override PartName="/xl/ctrlProps/ctrlProps8.xml" ContentType="application/vnd.ms-excel.controlproperties+xml"/>
  <Override PartName="/xl/ctrlProps/ctrlProps21.xml" ContentType="application/vnd.ms-excel.controlproperties+xml"/>
  <Override PartName="/xl/ctrlProps/ctrlProps23.xml" ContentType="application/vnd.ms-excel.controlproperties+xml"/>
  <Override PartName="/xl/ctrlProps/ctrlProps24.xml" ContentType="application/vnd.ms-excel.controlproperties+xml"/>
  <Override PartName="/xl/ctrlProps/ctrlProps26.xml" ContentType="application/vnd.ms-excel.controlproperties+xml"/>
  <Override PartName="/xl/ctrlProps/ctrlProps27.xml" ContentType="application/vnd.ms-excel.controlproperties+xml"/>
  <Override PartName="/xl/ctrlProps/ctrlProps29.xml" ContentType="application/vnd.ms-excel.controlproperties+xml"/>
  <Override PartName="/xl/ctrlProps/ctrlProps31.xml" ContentType="application/vnd.ms-excel.controlproperties+xml"/>
  <Override PartName="/xl/ctrlProps/ctrlProps30.xml" ContentType="application/vnd.ms-excel.controlproperties+xml"/>
  <Override PartName="/xl/ctrlProps/ctrlProps32.xml" ContentType="application/vnd.ms-excel.controlproperties+xml"/>
  <Override PartName="/xl/ctrlProps/ctrlProps33.xml" ContentType="application/vnd.ms-excel.controlproperties+xml"/>
  <Override PartName="/xl/ctrlProps/ctrlProps34.xml" ContentType="application/vnd.ms-excel.controlproperties+xml"/>
  <Override PartName="/xl/drawings/vmlDrawing7.vml" ContentType="application/vnd.openxmlformats-officedocument.vmlDrawing"/>
  <Override PartName="/xl/drawings/drawing22.xml" ContentType="application/vnd.openxmlformats-officedocument.drawing+xml"/>
  <Override PartName="/xl/drawings/vmlDrawing6.vml" ContentType="application/vnd.openxmlformats-officedocument.vmlDrawing"/>
  <Override PartName="/xl/drawings/drawing16.xml" ContentType="application/vnd.openxmlformats-officedocument.drawing+xml"/>
  <Override PartName="/xl/drawings/vmlDrawing9.vml" ContentType="application/vnd.openxmlformats-officedocument.vmlDrawing"/>
  <Override PartName="/xl/drawings/drawing28.xml" ContentType="application/vnd.openxmlformats-officedocument.drawing+xml"/>
  <Override PartName="/xl/drawings/drawing11.xml" ContentType="application/vnd.openxmlformats-officedocument.drawing+xml"/>
  <Override PartName="/xl/drawings/vmlDrawing1.vml" ContentType="application/vnd.openxmlformats-officedocument.vmlDrawing"/>
  <Override PartName="/xl/drawings/drawing25.xml" ContentType="application/vnd.openxmlformats-officedocument.drawing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18.xml" ContentType="application/vnd.openxmlformats-officedocument.drawing+xml"/>
  <Override PartName="/xl/drawings/vmlDrawing8.vml" ContentType="application/vnd.openxmlformats-officedocument.vmlDrawing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vmlDrawing4.vml" ContentType="application/vnd.openxmlformats-officedocument.vmlDrawing"/>
  <Override PartName="/xl/_rels/workbook.xml.rels" ContentType="application/vnd.openxmlformats-package.relationship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haringAgrmt" sheetId="2" state="visible" r:id="rId4"/>
    <sheet name="CCFMODEL" sheetId="3" state="visible" r:id="rId5"/>
    <sheet name="CALC" sheetId="4" state="visible" r:id="rId6"/>
    <sheet name="CURVES" sheetId="5" state="visible" r:id="rId7"/>
    <sheet name="O&amp;M" sheetId="6" state="visible" r:id="rId8"/>
    <sheet name="Sensitivities" sheetId="7" state="hidden" r:id="rId9"/>
    <sheet name="Iterbox" sheetId="8" state="hidden" r:id="rId10"/>
    <sheet name="InpBox" sheetId="9" state="hidden" r:id="rId11"/>
    <sheet name="GoToBox" sheetId="10" state="hidden" r:id="rId12"/>
    <sheet name="PrintBox" sheetId="11" state="hidden" r:id="rId13"/>
    <sheet name="Take Function" sheetId="12" state="hidden" r:id="rId14"/>
    <sheet name="Fetching Macros" sheetId="13" state="hidden" r:id="rId15"/>
    <sheet name="Pricing Macros" sheetId="14" state="hidden" r:id="rId16"/>
    <sheet name="Date Functions" sheetId="15" state="hidden" r:id="rId17"/>
  </sheets>
  <definedNames>
    <definedName function="false" hidden="false" localSheetId="3" name="_xlnm.Print_Area" vbProcedure="false">CALC!$C$12:$HP$61</definedName>
    <definedName function="false" hidden="false" localSheetId="3" name="_xlnm.Print_Titles" vbProcedure="false">CALC!$C:$C</definedName>
    <definedName function="false" hidden="false" localSheetId="2" name="_xlnm.Print_Area" vbProcedure="false">CCFMODEL!$A$397:$U$438</definedName>
    <definedName function="false" hidden="false" localSheetId="2" name="_xlnm.Print_Titles" vbProcedure="false">CCFMODEL!$4:$5</definedName>
    <definedName function="false" hidden="false" localSheetId="6" name="_xlnm.Print_Area" vbProcedure="false">Sensitivities!$A$1:$J$55</definedName>
    <definedName function="false" hidden="false" localSheetId="6" name="_xlnm.Print_Titles" vbProcedure="false">Sensitivities!$A:$A</definedName>
    <definedName function="false" hidden="false" localSheetId="1" name="_xlnm.Print_Area" vbProcedure="false">SharingAgrmt!$A$5:$W$52</definedName>
    <definedName function="false" hidden="false" localSheetId="1" name="_xlnm.Print_Titles" vbProcedure="false">SharingAgrmt!$2:$4</definedName>
    <definedName function="false" hidden="false" localSheetId="0" name="_xlnm.Print_Area" vbProcedure="false">Summary!$B$3:$O$120</definedName>
    <definedName function="false" hidden="false" name="AecoUpdate" vbProcedure="false">#REF!</definedName>
    <definedName function="false" hidden="false" name="AMORT" vbProcedure="false">CCFMODEL!$I$600</definedName>
    <definedName function="false" hidden="false" name="ASSET_SALES" vbProcedure="false">CCFMODEL!$A$648:$X$661</definedName>
    <definedName function="false" hidden="false" name="AvailDays" vbProcedure="false">CALC!$AX$17:$BA$292</definedName>
    <definedName function="false" hidden="false" name="BasisIndex" vbProcedure="false">#REF!</definedName>
    <definedName function="false" hidden="false" name="BasisNumber" vbProcedure="false">#REF!</definedName>
    <definedName function="false" hidden="false" name="BasisTable" vbProcedure="false">CURVES!$AQ$40:$AR$316</definedName>
    <definedName function="false" hidden="false" name="BegDate" vbProcedure="false">#REF!</definedName>
    <definedName function="false" hidden="false" name="BegMonth" vbProcedure="false">#REF!</definedName>
    <definedName function="false" hidden="false" name="BegYear" vbProcedure="false">#REF!</definedName>
    <definedName function="false" hidden="false" name="BigTable" vbProcedure="false">CURVES!$K$9:$AL$287</definedName>
    <definedName function="false" hidden="false" name="BrentUpdate" vbProcedure="false">#REF!</definedName>
    <definedName function="false" hidden="false" name="BS" vbProcedure="false">CCFMODEL!$A$397:$AC$440</definedName>
    <definedName function="false" hidden="false" name="CalcMode" vbProcedure="false">#REF!</definedName>
    <definedName function="false" hidden="false" name="CAP1" vbProcedure="false">CCFMODEL!$A$442:$X$462</definedName>
    <definedName function="false" hidden="false" name="CAP2" vbProcedure="false">CCFMODEL!$A$451:$X$463</definedName>
    <definedName function="false" hidden="false" name="CapPrice" vbProcedure="false">CCFMODEL!$G$843</definedName>
    <definedName function="false" hidden="false" name="CAP_TFF_FEES" vbProcedure="false">CCFMODEL!$A$442:$AC$511</definedName>
    <definedName function="false" hidden="false" name="CASH" vbProcedure="false">CCFMODEL!$I$392:$AF$394</definedName>
    <definedName function="false" hidden="false" name="CASH1" vbProcedure="false">CCFMODEL!$I$392:$I$394</definedName>
    <definedName function="false" hidden="false" name="CASH2" vbProcedure="false">CCFMODEL!$G$392:$G$394</definedName>
    <definedName function="false" hidden="false" name="CASHA" vbProcedure="false">CCFMODEL!$I$392</definedName>
    <definedName function="false" hidden="false" name="CASHB" vbProcedure="false">CCFMODEL!$I$393</definedName>
    <definedName function="false" hidden="false" name="CASHC" vbProcedure="false">CCFMODEL!$I$394</definedName>
    <definedName function="false" hidden="false" name="CashFlowDates" vbProcedure="false">CCFMODEL!$J$828:$AH$828</definedName>
    <definedName function="false" hidden="false" name="CBidOfferVolSpreadFlag" vbProcedure="false">#REF!</definedName>
    <definedName function="false" hidden="false" name="CBuySell" vbProcedure="false">#REF!</definedName>
    <definedName function="false" hidden="false" name="CCapVolCurve" vbProcedure="false">#REF!</definedName>
    <definedName function="false" hidden="false" name="CFloorVolCurve" vbProcedure="false">#REF!</definedName>
    <definedName function="false" hidden="false" name="CombineTakesFlag" vbProcedure="false">#REF!</definedName>
    <definedName function="false" hidden="false" name="CorrPeakOffPeak" vbProcedure="false">#REF!</definedName>
    <definedName function="false" hidden="false" name="CorrPeakOffPeakOver" vbProcedure="false">#REF!</definedName>
    <definedName function="false" hidden="false" name="CorrPeakOffPeakOverFlag" vbProcedure="false">#REF!</definedName>
    <definedName function="false" hidden="false" name="CorrPowerGas" vbProcedure="false">#REF!</definedName>
    <definedName function="false" hidden="false" name="CorrPowerGasOver" vbProcedure="false">#REF!</definedName>
    <definedName function="false" hidden="false" name="CorrPowerGasOverFlag" vbProcedure="false">#REF!</definedName>
    <definedName function="false" hidden="false" name="CPriceCurve" vbProcedure="false">#REF!</definedName>
    <definedName function="false" hidden="false" name="CSpec" vbProcedure="false">#REF!</definedName>
    <definedName function="false" hidden="false" name="CurveDate" vbProcedure="false">#REF!</definedName>
    <definedName function="false" hidden="false" name="CustomHoFlag" vbProcedure="false">#REF!</definedName>
    <definedName function="false" hidden="false" name="CustomHoPeriod" vbProcedure="false">#REF!</definedName>
    <definedName function="false" hidden="false" name="CustomMFFlag" vbProcedure="false">#REF!</definedName>
    <definedName function="false" hidden="false" name="CustomMFPeriod" vbProcedure="false">#REF!</definedName>
    <definedName function="false" hidden="false" name="CustomSaFlag" vbProcedure="false">#REF!</definedName>
    <definedName function="false" hidden="false" name="CustomSaPeriod" vbProcedure="false">#REF!</definedName>
    <definedName function="false" hidden="false" name="CustomSuFlag" vbProcedure="false">#REF!</definedName>
    <definedName function="false" hidden="false" name="CustomSuPeriod" vbProcedure="false">#REF!</definedName>
    <definedName function="false" hidden="false" name="CVolSmile" vbProcedure="false">#REF!</definedName>
    <definedName function="false" hidden="false" name="CVolType" vbProcedure="false">#REF!</definedName>
    <definedName function="false" hidden="false" name="DailyScalarsTable" vbProcedure="false">#REF!</definedName>
    <definedName function="false" hidden="false" name="DateToday" vbProcedure="false">#REF!</definedName>
    <definedName function="false" hidden="false" name="DEBTSCHED_THRU_TAXAS" vbProcedure="false">CCFMODEL!$A$597:$AC$670</definedName>
    <definedName function="false" hidden="false" name="Debt_Sched" vbProcedure="false">CCFMODEL!$A$597:$X$619</definedName>
    <definedName function="false" hidden="false" name="Debt_Term" vbProcedure="false">#REF!</definedName>
    <definedName function="false" hidden="false" name="DEFREV" vbProcedure="false">CCFMODEL!$I$445:$AF$446</definedName>
    <definedName function="false" hidden="false" name="DEFREV1" vbProcedure="false">CCFMODEL!$I$445:$I$446</definedName>
    <definedName function="false" hidden="false" name="DEFREV2" vbProcedure="false">CCFMODEL!$G$445:$G$446</definedName>
    <definedName function="false" hidden="false" name="DEFREVA" vbProcedure="false">CCFMODEL!$I$445</definedName>
    <definedName function="false" hidden="false" name="DEFREVB" vbProcedure="false">CCFMODEL!$I$446</definedName>
    <definedName function="false" hidden="false" name="DiffOptVolume" vbProcedure="false">#REF!</definedName>
    <definedName function="false" hidden="false" name="DiffOptVolumeFlag" vbProcedure="false">#REF!</definedName>
    <definedName function="false" hidden="false" name="DiffOptVolumeHourlyOver" vbProcedure="false">#REF!</definedName>
    <definedName function="false" hidden="false" name="DiffOptVolumeMonthlyOver" vbProcedure="false">#REF!</definedName>
    <definedName function="false" hidden="false" name="DILUTION" vbProcedure="false">CCFMODEL!$A$768:$S$781</definedName>
    <definedName function="false" hidden="false" name="DiscountedCashFlows" vbProcedure="false">CCFMODEL!$J$840:$AH$840</definedName>
    <definedName function="false" hidden="false" name="driftswitch" vbProcedure="false">#REF!</definedName>
    <definedName function="false" hidden="false" name="EmbeddedOrigination" vbProcedure="false">#REF!</definedName>
    <definedName function="false" hidden="false" name="EndDate" vbProcedure="false">#REF!</definedName>
    <definedName function="false" hidden="false" name="FASB" vbProcedure="false">CCFMODEL!$A$793:$AC$824</definedName>
    <definedName function="false" hidden="false" name="FINFEE1A" vbProcedure="false">CCFMODEL!$I$334</definedName>
    <definedName function="false" hidden="false" name="FINFEE2A" vbProcedure="false">CCFMODEL!$J$334</definedName>
    <definedName function="false" hidden="false" name="FirmHol" vbProcedure="false">#REF!</definedName>
    <definedName function="false" hidden="false" name="FirmSat" vbProcedure="false">#REF!</definedName>
    <definedName function="false" hidden="false" name="FirmSun" vbProcedure="false">#REF!</definedName>
    <definedName function="false" hidden="false" name="FirmWeek" vbProcedure="false">#REF!</definedName>
    <definedName function="false" hidden="false" name="FundsFlow" vbProcedure="false">CCFMODEL!$A$478:$X$498</definedName>
    <definedName function="false" hidden="false" name="GasFirstMonth" vbProcedure="false">CURVES!$AW$6</definedName>
    <definedName function="false" hidden="false" name="GasPriceCurve" vbProcedure="false">#REF!</definedName>
    <definedName function="false" hidden="false" name="GasSwitch" vbProcedure="false">#REF!</definedName>
    <definedName function="false" hidden="false" name="GasTable" vbProcedure="false">CURVES!$AW$6:$BQ$283</definedName>
    <definedName function="false" hidden="false" name="GasTransportPercent" vbProcedure="false">#REF!</definedName>
    <definedName function="false" hidden="false" name="GasUpdate" vbProcedure="false">#REF!</definedName>
    <definedName function="false" hidden="false" name="GasVolAsPercentOfNYMEX" vbProcedure="false">#REF!</definedName>
    <definedName function="false" hidden="false" name="GasVolCurve" vbProcedure="false">#REF!</definedName>
    <definedName function="false" hidden="false" name="GasVolOver" vbProcedure="false">#REF!</definedName>
    <definedName function="false" hidden="false" name="GasVolSpread" vbProcedure="false">#REF!</definedName>
    <definedName function="false" hidden="false" name="HeatRatePeak" vbProcedure="false">#REF!</definedName>
    <definedName function="false" hidden="false" name="HeatRatePreUpgrade" vbProcedure="false">#REF!</definedName>
    <definedName function="false" hidden="false" name="Holidays" vbProcedure="false">CALC!$F$17:$F$292</definedName>
    <definedName function="false" hidden="false" name="INCTAX" vbProcedure="false">CCFMODEL!$A$673:$AC$715</definedName>
    <definedName function="false" hidden="false" name="INPUT" vbProcedure="false">CCFMODEL!$A$464:$S$672</definedName>
    <definedName function="false" hidden="false" name="INT" vbProcedure="false">CCFMODEL!$A$620:$S$634</definedName>
    <definedName function="false" hidden="false" name="INTEXP" vbProcedure="false">CCFMODEL!$K$336:$AF$336</definedName>
    <definedName function="false" hidden="false" name="INTEXP1" vbProcedure="false">CCFMODEL!$I$336</definedName>
    <definedName function="false" hidden="false" name="INTEXP1A" vbProcedure="false">CCFMODEL!$I$335</definedName>
    <definedName function="false" hidden="false" name="INTEXP2" vbProcedure="false">CCFMODEL!$J$336</definedName>
    <definedName function="false" hidden="false" name="INTEXP2A" vbProcedure="false">CCFMODEL!$J$335</definedName>
    <definedName function="false" hidden="false" name="INTINC" vbProcedure="false">CCFMODEL!$J$331:$AF$331</definedName>
    <definedName function="false" hidden="false" name="INTINC1" vbProcedure="false">CCFMODEL!$I$331</definedName>
    <definedName function="false" hidden="false" name="INTINC1A" vbProcedure="false">CCFMODEL!$I$330</definedName>
    <definedName function="false" hidden="false" name="INTINC2" vbProcedure="false">CCFMODEL!$J$331</definedName>
    <definedName function="false" hidden="false" name="INTINC2A" vbProcedure="false">CCFMODEL!$J$330</definedName>
    <definedName function="false" hidden="false" name="IRFirstMonth" vbProcedure="false">#REF!</definedName>
    <definedName function="false" hidden="false" name="IRTable" vbProcedure="false">#REF!</definedName>
    <definedName function="false" hidden="false" name="IS" vbProcedure="false">CCFMODEL!$A$314:$AC$353</definedName>
    <definedName function="false" hidden="false" name="iterprec" vbProcedure="false">CCFMODEL!$B$2</definedName>
    <definedName function="false" hidden="false" name="iterx" vbProcedure="false">CCFMODEL!$A$2</definedName>
    <definedName function="false" hidden="false" name="K" vbProcedure="false">CCFMODEL!$I$444:$AF$449</definedName>
    <definedName function="false" hidden="false" name="KA" vbProcedure="false">CCFMODEL!$I$444:$I$449</definedName>
    <definedName function="false" hidden="false" name="KB" vbProcedure="false">CCFMODEL!$F$444:$F$449</definedName>
    <definedName function="false" hidden="false" name="LastDateOfMonthlyVol" vbProcedure="false">CURVES!$U$2</definedName>
    <definedName function="false" hidden="false" name="LiquidityDiscount" vbProcedure="false">#REF!</definedName>
    <definedName function="false" hidden="false" name="MaxMWTable" vbProcedure="false">#REF!</definedName>
    <definedName function="false" hidden="false" name="MonthKnockOutTable" vbProcedure="false">#REF!</definedName>
    <definedName function="false" hidden="false" name="MostExpFlag" vbProcedure="false">#REF!</definedName>
    <definedName function="false" hidden="false" name="OBuySell" vbProcedure="false">#REF!</definedName>
    <definedName function="false" hidden="false" name="OCallPut" vbProcedure="false">#REF!</definedName>
    <definedName function="false" hidden="false" name="OffPeakPeriod" vbProcedure="false">#REF!</definedName>
    <definedName function="false" hidden="false" name="OilSwitch" vbProcedure="false">#REF!</definedName>
    <definedName function="false" hidden="false" name="OilUpdate" vbProcedure="false">#REF!</definedName>
    <definedName function="false" hidden="false" name="OImpVol" vbProcedure="false">#REF!</definedName>
    <definedName function="false" hidden="false" name="OmicronIndex" vbProcedure="false">#REF!</definedName>
    <definedName function="false" hidden="false" name="OmicronNumber" vbProcedure="false">#REF!</definedName>
    <definedName function="false" hidden="false" name="OPCO" vbProcedure="false">CCFMODEL!$A$4:$AC$292</definedName>
    <definedName function="false" hidden="false" name="OPENBS" vbProcedure="false">CCFMODEL!$A$513:$S$554</definedName>
    <definedName function="false" hidden="false" name="OPENBS_WC" vbProcedure="false">CCFMODEL!$A$513:$AC$596</definedName>
    <definedName function="false" hidden="false" name="OPriceCurve" vbProcedure="false">#REF!</definedName>
    <definedName function="false" hidden="false" name="OptExpDateShift" vbProcedure="false">#REF!</definedName>
    <definedName function="false" hidden="false" name="OptHol" vbProcedure="false">#REF!</definedName>
    <definedName function="false" hidden="false" name="OptSat" vbProcedure="false">#REF!</definedName>
    <definedName function="false" hidden="false" name="OptSun" vbProcedure="false">#REF!</definedName>
    <definedName function="false" hidden="false" name="OptWeek" vbProcedure="false">#REF!</definedName>
    <definedName function="false" hidden="false" name="OrderedPrices" vbProcedure="false">#REF!</definedName>
    <definedName function="false" hidden="false" name="OrderedPricesSat" vbProcedure="false">#REF!</definedName>
    <definedName function="false" hidden="false" name="OrderedPricesSun" vbProcedure="false">#REF!</definedName>
    <definedName function="false" hidden="false" name="OrderedScalars" vbProcedure="false">#REF!</definedName>
    <definedName function="false" hidden="false" name="OTake" vbProcedure="false">#REF!</definedName>
    <definedName function="false" hidden="false" name="Other_Inc" vbProcedure="false">CCFMODEL!$A$637:$S$645</definedName>
    <definedName function="false" hidden="false" name="OVolCurve" vbProcedure="false">#REF!</definedName>
    <definedName function="false" hidden="false" name="OVolOverDailyOffPeak" vbProcedure="false">#REF!</definedName>
    <definedName function="false" hidden="false" name="OVolOverDailyPeak" vbProcedure="false">#REF!</definedName>
    <definedName function="false" hidden="false" name="OVolOverMonthlyOffPeak" vbProcedure="false">#REF!</definedName>
    <definedName function="false" hidden="false" name="OVolOverMonthlyPeak" vbProcedure="false">#REF!</definedName>
    <definedName function="false" hidden="false" name="OVolSmile" vbProcedure="false">#REF!</definedName>
    <definedName function="false" hidden="false" name="OVolType" vbProcedure="false">#REF!</definedName>
    <definedName function="false" hidden="false" name="PaloScalars" vbProcedure="false">#REF!</definedName>
    <definedName function="false" hidden="false" name="PeakEnd" vbProcedure="false">#REF!</definedName>
    <definedName function="false" hidden="false" name="PeakPeriod" vbProcedure="false">#REF!</definedName>
    <definedName function="false" hidden="false" name="PeakStart" vbProcedure="false">#REF!</definedName>
    <definedName function="false" hidden="false" name="PlannedOutages" vbProcedure="false">CALC!$BC$17:$BC$292</definedName>
    <definedName function="false" hidden="false" name="Plantstart" vbProcedure="false">#REF!</definedName>
    <definedName function="false" hidden="false" name="PositionBasis" vbProcedure="false">#REF!</definedName>
    <definedName function="false" hidden="false" name="PositionRegion" vbProcedure="false">CURVES!$B$3</definedName>
    <definedName function="false" hidden="false" name="PriceEsc" vbProcedure="false">#REF!</definedName>
    <definedName function="false" hidden="false" name="PriceEscType" vbProcedure="false">#REF!</definedName>
    <definedName function="false" hidden="false" name="PriceTable" vbProcedure="false">CURVES!$B$40:$I$316</definedName>
    <definedName function="false" hidden="false" name="PV_RACCapPrice" vbProcedure="false">CCFMODEL!$G$841</definedName>
    <definedName function="false" hidden="false" name="RankOffPeak" vbProcedure="false">#REF!</definedName>
    <definedName function="false" hidden="false" name="RankPeak" vbProcedure="false">#REF!</definedName>
    <definedName function="false" hidden="false" name="REFERENCE_DATE" vbProcedure="false">#REF!</definedName>
    <definedName function="false" hidden="false" name="RegionIndex" vbProcedure="false">#REF!</definedName>
    <definedName function="false" hidden="false" name="RegionNumber" vbProcedure="false">#REF!</definedName>
    <definedName function="false" hidden="false" name="REPAY" vbProcedure="false">CCFMODEL!$A$597:$S$619</definedName>
    <definedName function="false" hidden="false" name="SBuySell" vbProcedure="false">#REF!</definedName>
    <definedName function="false" hidden="false" name="ScalarsOrderedOffPeak" vbProcedure="false">#REF!</definedName>
    <definedName function="false" hidden="false" name="ScalarsOrderedPeak" vbProcedure="false">#REF!</definedName>
    <definedName function="false" hidden="false" name="shiftswitch2" vbProcedure="false">#REF!</definedName>
    <definedName function="false" hidden="false" name="SOBuySell" vbProcedure="false">#REF!</definedName>
    <definedName function="false" hidden="false" name="SOCallPut" vbProcedure="false">#REF!</definedName>
    <definedName function="false" hidden="false" name="SOPriceCurve" vbProcedure="false">#REF!</definedName>
    <definedName function="false" hidden="false" name="SpreadOptionGasMargin" vbProcedure="false">#REF!</definedName>
    <definedName function="false" hidden="false" name="SpreadOptionPowerMargin" vbProcedure="false">#REF!+#REF!</definedName>
    <definedName function="false" hidden="false" name="SpreadOptionPowerMargin_2" vbProcedure="false">#REF!+#REF!</definedName>
    <definedName function="false" hidden="false" name="STake" vbProcedure="false">#REF!</definedName>
    <definedName function="false" hidden="false" name="S_U" vbProcedure="false">CCFMODEL!$A$358:$AC$395</definedName>
    <definedName function="false" hidden="false" name="TakeType" vbProcedure="false">#REF!</definedName>
    <definedName function="false" hidden="false" name="TAX" vbProcedure="false">CCFMODEL!$A$664:$S$668</definedName>
    <definedName function="false" hidden="false" name="TDATE" vbProcedure="false">CCFMODEL!$C$467</definedName>
    <definedName function="false" hidden="false" name="TRANSACTION_FEES" vbProcedure="false">CCFMODEL!$A$501:$T$510</definedName>
    <definedName function="false" hidden="false" name="val" vbProcedure="false">CCFMODEL!$A$718:$AC$768</definedName>
    <definedName function="false" hidden="false" name="ValDate" vbProcedure="false">CCFMODEL!$G$842</definedName>
    <definedName function="false" hidden="false" name="VolSmileBook" vbProcedure="false">#REF!</definedName>
    <definedName function="false" hidden="false" name="VolSmileModel" vbProcedure="false">#REF!</definedName>
    <definedName function="false" hidden="false" name="VolTableMonthlyOffPeak" vbProcedure="false">CURVES!$O$36:$R$54</definedName>
    <definedName function="false" hidden="false" name="VolTableMonthlyPeak" vbProcedure="false">CURVES!$O$10:$R$28</definedName>
    <definedName function="false" hidden="false" name="VolTableYearlyOffPeak" vbProcedure="false">CURVES!$Y$36:$AB$59</definedName>
    <definedName function="false" hidden="false" name="VolTableYearlyPeak" vbProcedure="false">CURVES!$Y$10:$AB$33</definedName>
    <definedName function="false" hidden="false" name="Volume" vbProcedure="false">#REF!</definedName>
    <definedName function="false" hidden="false" name="VolumeEsc" vbProcedure="false">#REF!</definedName>
    <definedName function="false" hidden="false" name="VolumeEscType" vbProcedure="false">#REF!</definedName>
    <definedName function="false" hidden="false" name="VolumeHourlyOver" vbProcedure="false">#REF!</definedName>
    <definedName function="false" hidden="false" name="VolumeMonthlyOver" vbProcedure="false">#REF!</definedName>
    <definedName function="false" hidden="false" name="VolumeMonthlyOverFlag" vbProcedure="false">#REF!</definedName>
    <definedName function="false" hidden="false" name="waitime" vbProcedure="false">CCFMODEL!$A$3</definedName>
    <definedName function="false" hidden="false" name="WC" vbProcedure="false">CCFMODEL!$A$558:$S$596</definedName>
    <definedName function="false" hidden="false" name="WeekDef" vbProcedure="false">#REF!</definedName>
    <definedName function="false" hidden="false" name="ZA0" vbProcedure="false">"Crystal Ball Data : Ver. 4.0"</definedName>
    <definedName function="false" hidden="false" name="ZA0A" vbProcedure="false">479+842</definedName>
    <definedName function="false" hidden="false" name="ZA0C" vbProcedure="false">0+0</definedName>
    <definedName function="false" hidden="false" name="ZA0F" vbProcedure="false">2+109</definedName>
    <definedName function="false" hidden="false" name="ZA0T" vbProcedure="false">43347870+0</definedName>
    <definedName function="false" hidden="false" name="_Order1" vbProcedure="false">255</definedName>
    <definedName function="false" hidden="false" name="_Order2" vbProcedure="false">0</definedName>
    <definedName function="false" hidden="false" localSheetId="0" name="ZA0" vbProcedure="false">"Crystal Ball Data : Ver. 4.0.3"</definedName>
    <definedName function="false" hidden="false" localSheetId="0" name="ZA0A" vbProcedure="false">480+843</definedName>
    <definedName function="false" hidden="false" localSheetId="0" name="ZA0T" vbProcedure="false">1146558113+0</definedName>
    <definedName function="false" hidden="false" localSheetId="0" name="ZA843" vbProcedure="false">Summary!$Z$56+"dZ56"+16929+0.5+1</definedName>
    <definedName function="false" hidden="false" localSheetId="2" name="curr2" vbProcedure="false">CCFMODEL!$D$135</definedName>
    <definedName function="false" hidden="false" localSheetId="2" name="output" vbProcedure="false">CCFMODEL!$E$296:$Y$306</definedName>
    <definedName function="false" hidden="false" localSheetId="2" name="stub" vbProcedure="false">CCFMODEL!$C$472</definedName>
    <definedName function="false" hidden="false" localSheetId="2" name="TIT" vbProcedure="false">CCFMODEL!$F$5</definedName>
    <definedName function="false" hidden="false" localSheetId="2" name="ZA0" vbProcedure="false">"Crystal Ball Data : Ver. 4.0.3"</definedName>
    <definedName function="false" hidden="false" localSheetId="2" name="ZA0A" vbProcedure="false">479+842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28+138</definedName>
    <definedName function="false" hidden="false" localSheetId="2" name="ZA0T" vbProcedure="false">53451203+0</definedName>
    <definedName function="false" hidden="false" localSheetId="2" name="ZF112" vbProcedure="false">CCFMODEL!$J$834+"2000"+""+1+1+441+0+0+0+0+4+3+"-"+"+"+2.6+50+2</definedName>
    <definedName function="false" hidden="false" localSheetId="2" name="ZF113" vbProcedure="false">CCFMODEL!$K$834+"2001"+""+1+1+441+0+0+0+0+4+3+"-"+"+"+2.6+50+2</definedName>
    <definedName function="false" hidden="false" localSheetId="2" name="ZF114" vbProcedure="false">CCFMODEL!$L$834+"2002"+""+1+1+441+0+0+0+0+4+3+"-"+"+"+2.6+50+2</definedName>
    <definedName function="false" hidden="false" localSheetId="2" name="ZF115" vbProcedure="false">CCFMODEL!$M$834+"2003"+""+1+1+441+0+0+0+0+4+3+"-"+"+"+2.6+50+2</definedName>
    <definedName function="false" hidden="false" localSheetId="2" name="ZF116" vbProcedure="false">CCFMODEL!$N$834+"2004"+""+1+1+441+0+0+0+0+4+3+"-"+"+"+2.6+50+2</definedName>
    <definedName function="false" hidden="false" localSheetId="2" name="ZF117" vbProcedure="false">CCFMODEL!$O$834+"2005"+""+1+1+441+0+0+0+0+4+3+"-"+"+"+2.6+50+2</definedName>
    <definedName function="false" hidden="false" localSheetId="2" name="ZF118" vbProcedure="false">CCFMODEL!$P$834+"2006"+""+1+1+441+0+0+0+0+4+3+"-"+"+"+2.6+50+2</definedName>
    <definedName function="false" hidden="false" localSheetId="2" name="ZF119" vbProcedure="false">CCFMODEL!$Q$834+"2007"+""+1+1+441+0+0+0+0+4+3+"-"+"+"+2.6+50+2</definedName>
    <definedName function="false" hidden="false" localSheetId="2" name="ZF120" vbProcedure="false">CCFMODEL!$R$834+"2008"+""+1+1+441+0+0+0+0+4+3+"-"+"+"+2.6+50+2</definedName>
    <definedName function="false" hidden="false" localSheetId="2" name="ZF121" vbProcedure="false">CCFMODEL!$S$834+"2009"+""+1+1+441+0+0+0+0+4+3+"-"+"+"+2.6+50+2</definedName>
    <definedName function="false" hidden="false" localSheetId="2" name="ZF122" vbProcedure="false">CCFMODEL!$T$834+"2010"+""+1+1+441+0+0+0+0+4+3+"-"+"+"+2.6+50+2</definedName>
    <definedName function="false" hidden="false" localSheetId="2" name="ZF123" vbProcedure="false">CCFMODEL!$U$834+"2011"+""+1+1+441+0+0+0+0+4+3+"-"+"+"+2.6+50+2</definedName>
    <definedName function="false" hidden="false" localSheetId="2" name="ZF124" vbProcedure="false">CCFMODEL!$V$834+"2012"+""+1+1+441+0+0+0+0+4+3+"-"+"+"+2.6+50+2</definedName>
    <definedName function="false" hidden="false" localSheetId="2" name="ZF125" vbProcedure="false">CCFMODEL!$W$834+"2013"+""+1+1+441+0+0+0+0+4+3+"-"+"+"+2.6+50+2</definedName>
    <definedName function="false" hidden="false" localSheetId="2" name="ZF126" vbProcedure="false">CCFMODEL!$X$834+"2014"+""+1+1+441+0+0+0+0+4+3+"-"+"+"+2.6+50+2</definedName>
    <definedName function="false" hidden="false" localSheetId="2" name="ZF127" vbProcedure="false">CCFMODEL!$Y$834+"2015"+""+1+1+441+0+0+0+0+4+3+"-"+"+"+2.6+50+2</definedName>
    <definedName function="false" hidden="false" localSheetId="2" name="ZF128" vbProcedure="false">CCFMODEL!$Z$834+"2016"+""+1+1+441+0+0+0+0+4+3+"-"+"+"+2.6+50+2</definedName>
    <definedName function="false" hidden="false" localSheetId="2" name="ZF129" vbProcedure="false">CCFMODEL!$AA$834+"2017"+""+1+1+441+0+0+0+0+4+3+"-"+"+"+2.6+50+2</definedName>
    <definedName function="false" hidden="false" localSheetId="2" name="ZF130" vbProcedure="false">CCFMODEL!$AB$834+"2018"+""+1+1+441+0+0+0+0+4+3+"-"+"+"+2.6+50+2</definedName>
    <definedName function="false" hidden="false" localSheetId="2" name="ZF131" vbProcedure="false">CCFMODEL!$AC$834+"2019"+""+1+1+441+0+0+0+0+4+3+"-"+"+"+2.6+50+2</definedName>
    <definedName function="false" hidden="false" localSheetId="2" name="ZF132" vbProcedure="false">CCFMODEL!$AD$834+"2020"+""+1+1+441+0+0+0+0+4+3+"-"+"+"+2.6+50+2</definedName>
    <definedName function="false" hidden="false" localSheetId="2" name="ZF133" vbProcedure="false">CCFMODEL!$AE$834+"2021"+""+1+1+441+0+0+0+0+4+3+"-"+"+"+2.6+50+2</definedName>
    <definedName function="false" hidden="false" localSheetId="2" name="ZF134" vbProcedure="false">CCFMODEL!$AF$834+"2022"+""+1+1+441+0+0+0+0+4+3+"-"+"+"+2.6+50+2</definedName>
    <definedName function="false" hidden="false" localSheetId="2" name="ZF136" vbProcedure="false">CCFMODEL!$G$841+"PV"+""+33+33+441+0+0+0+0+4+3+"-"+"+"+2.6+50+2</definedName>
    <definedName function="false" hidden="false" localSheetId="2" name="ZF137" vbProcedure="false">CCFMODEL!$AG$834+"AG834"+""+16417+33+441+0+0+0+0+4+3+"-"+"+"+2.6+50+2</definedName>
    <definedName function="false" hidden="false" localSheetId="2" name="ZF138" vbProcedure="false">CCFMODEL!$AH$834+"AH834"+""+16417+33+441+0+0+0+0+4+3+"-"+"+"+2.6+50+2</definedName>
    <definedName function="false" hidden="false" localSheetId="3" name="ZA0" vbProcedure="false">"Crystal Ball Data : Ver. 4.0.3"</definedName>
    <definedName function="false" hidden="false" localSheetId="3" name="ZA0F" vbProcedure="false">3+110</definedName>
    <definedName function="false" hidden="false" localSheetId="3" name="ZA0T" vbProcedure="false">44745718+0</definedName>
    <definedName function="false" hidden="false" localSheetId="3" name="ZF110" vbProcedure="false">CALC!$HW$41+"MrktRev"+""+33+33+440+0+0+0+0+4+3+"-"+"+"+2.6+50+2</definedName>
    <definedName function="false" hidden="false" localSheetId="6" name="HeatRateOffPeak" vbProcedure="false">HeatRatePeak*#REF!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Y13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Division by scalar is a result of dividing the take function by outage: corrects the resultant scalar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77</xdr:col>
                <xdr:colOff>8</xdr:colOff>
                <xdr:row>11</xdr:row>
                <xdr:rowOff>8</xdr:rowOff>
              </xdr:from>
              <xdr:to>
                <xdr:col>79</xdr:col>
                <xdr:colOff>20</xdr:colOff>
                <xdr:row>17</xdr:row>
                <xdr:rowOff>7</xdr:rowOff>
              </xdr:to>
            </anchor>
          </commentPr>
        </mc:Choice>
        <mc:Fallback/>
      </mc:AlternateContent>
    </comment>
    <comment ref="DS14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For floating gas, option value is calculated using the spread option; for fixed gas only the call option on power is priced.   For the later scenario, the strike is the cost of fixed priced gas + O&amp;M.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122</xdr:col>
                <xdr:colOff>44</xdr:colOff>
                <xdr:row>12</xdr:row>
                <xdr:rowOff>8</xdr:rowOff>
              </xdr:from>
              <xdr:to>
                <xdr:col>125</xdr:col>
                <xdr:colOff>13</xdr:colOff>
                <xdr:row>18</xdr:row>
                <xdr:rowOff>5</xdr:rowOff>
              </xdr:to>
            </anchor>
          </commentPr>
        </mc:Choice>
        <mc:Fallback/>
      </mc:AlternateContent>
    </comment>
    <comment ref="DZ14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Material only if Supplemental Hourly Dispatch uses a different HR.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129</xdr:col>
                <xdr:colOff>34</xdr:colOff>
                <xdr:row>12</xdr:row>
                <xdr:rowOff>8</xdr:rowOff>
              </xdr:from>
              <xdr:to>
                <xdr:col>131</xdr:col>
                <xdr:colOff>38</xdr:colOff>
                <xdr:row>16</xdr:row>
                <xdr:rowOff>12</xdr:rowOff>
              </xdr:to>
            </anchor>
          </commentPr>
        </mc:Choice>
        <mc:Fallback/>
      </mc:AlternateContent>
    </comment>
    <comment ref="EV14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LV Option value is priced as Monthly Option, but supplemental dispatch is based on hourly intrinsic value because plant HAS to run (even if at a loss) to maintain QF contract.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151</xdr:col>
                <xdr:colOff>68</xdr:colOff>
                <xdr:row>12</xdr:row>
                <xdr:rowOff>8</xdr:rowOff>
              </xdr:from>
              <xdr:to>
                <xdr:col>153</xdr:col>
                <xdr:colOff>21</xdr:colOff>
                <xdr:row>19</xdr:row>
                <xdr:rowOff>8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C36" authorId="0">
      <text>
        <r>
          <rPr>
            <b val="true"/>
            <sz val="8"/>
            <color rgb="FF000000"/>
            <rFont val="Tahoma"/>
            <family val="0"/>
          </rPr>
          <t xml:space="preserve">Julie Lim:
</t>
        </r>
        <r>
          <rPr>
            <sz val="8"/>
            <color rgb="FF000000"/>
            <rFont val="Tahoma"/>
            <family val="0"/>
          </rPr>
          <t xml:space="preserve">Transportation demand charges are paid on maximum volume throughout 20 yrs.  They are fixed and non-refundable even if the capacity is not used.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43</xdr:colOff>
                <xdr:row>27</xdr:row>
                <xdr:rowOff>0</xdr:rowOff>
              </xdr:from>
              <xdr:to>
                <xdr:col>3</xdr:col>
                <xdr:colOff>43</xdr:colOff>
                <xdr:row>33</xdr:row>
                <xdr:rowOff>13</xdr:rowOff>
              </xdr:to>
            </anchor>
          </commentPr>
        </mc:Choice>
        <mc:Fallback/>
      </mc:AlternateContent>
    </comment>
    <comment ref="G38" authorId="0">
      <text>
        <r>
          <rPr>
            <b val="true"/>
            <sz val="8"/>
            <color rgb="FF000000"/>
            <rFont val="Tahoma"/>
            <family val="0"/>
          </rPr>
          <t xml:space="preserve">s_mcrouch:
</t>
        </r>
        <r>
          <rPr>
            <sz val="8"/>
            <color rgb="FF000000"/>
            <rFont val="Tahoma"/>
            <family val="0"/>
          </rPr>
          <t xml:space="preserve">Demand Fee accounts for fixed payments through April 30, 2011 (term of Duke agreeemnt). After which price of gas reflects delivered cost.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36</xdr:row>
                <xdr:rowOff>7</xdr:rowOff>
              </xdr:from>
              <xdr:to>
                <xdr:col>9</xdr:col>
                <xdr:colOff>23</xdr:colOff>
                <xdr:row>42</xdr:row>
                <xdr:rowOff>8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<sst xmlns="http://schemas.openxmlformats.org/spreadsheetml/2006/main" count="2390" uniqueCount="1148">
  <si>
    <t xml:space="preserve"> </t>
  </si>
  <si>
    <t xml:space="preserve">Project Name</t>
  </si>
  <si>
    <t xml:space="preserve">LVCOGEN LLP</t>
  </si>
  <si>
    <t xml:space="preserve">Project Scenario</t>
  </si>
  <si>
    <t xml:space="preserve">Base Case</t>
  </si>
  <si>
    <t xml:space="preserve">PLANT SUMMARY:</t>
  </si>
  <si>
    <t xml:space="preserve">CAPITAL COST:</t>
  </si>
  <si>
    <t xml:space="preserve">PROJECT REVENUES:</t>
  </si>
  <si>
    <t xml:space="preserve">Output:</t>
  </si>
  <si>
    <t xml:space="preserve">$/kW</t>
  </si>
  <si>
    <t xml:space="preserve">($'000s)</t>
  </si>
  <si>
    <t xml:space="preserve">Anchor Tenant:</t>
  </si>
  <si>
    <t xml:space="preserve">Based on 1999 Prices</t>
  </si>
  <si>
    <t xml:space="preserve">Nameplate Capacity (MW)</t>
  </si>
  <si>
    <t xml:space="preserve">EPC Turnkey: </t>
  </si>
  <si>
    <t xml:space="preserve">Summer</t>
  </si>
  <si>
    <t xml:space="preserve">Winter</t>
  </si>
  <si>
    <t xml:space="preserve">Net Output (MW)</t>
  </si>
  <si>
    <t xml:space="preserve">Energy Price ($/MWh)</t>
  </si>
  <si>
    <t xml:space="preserve">Site Prep / Balance of Construction:</t>
  </si>
  <si>
    <t xml:space="preserve">Peak</t>
  </si>
  <si>
    <t xml:space="preserve">Expected Fuel Use Rates (HHV):</t>
  </si>
  <si>
    <t xml:space="preserve">   Spare Parts/Shop Tools</t>
  </si>
  <si>
    <t xml:space="preserve">Off-Peak</t>
  </si>
  <si>
    <t xml:space="preserve">Pre-Upgrade Heat Rate (Btu/kWh)</t>
  </si>
  <si>
    <t xml:space="preserve">   Switchyard / Interconnect / Trans. Line Upgrade</t>
  </si>
  <si>
    <t xml:space="preserve">Capacity Charge ($/MWh)</t>
  </si>
  <si>
    <t xml:space="preserve">Baseload Heat Rate (Btu/kWh)</t>
  </si>
  <si>
    <t xml:space="preserve">   Black Start Capability</t>
  </si>
  <si>
    <t xml:space="preserve">Annual Degradation</t>
  </si>
  <si>
    <t xml:space="preserve">   Fuel Gas Line</t>
  </si>
  <si>
    <t xml:space="preserve">NPC Contract Amount (MW)</t>
  </si>
  <si>
    <t xml:space="preserve">   Zero Discharge</t>
  </si>
  <si>
    <t xml:space="preserve">NPC Energy Only Sales (MW)</t>
  </si>
  <si>
    <t xml:space="preserve">Operating Parameters:</t>
  </si>
  <si>
    <t xml:space="preserve">   Fuel Gas Compressor</t>
  </si>
  <si>
    <t xml:space="preserve">Include Winter Afternoon @ Avoided Cost</t>
  </si>
  <si>
    <t xml:space="preserve">No</t>
  </si>
  <si>
    <t xml:space="preserve">Dispatchability </t>
  </si>
  <si>
    <t xml:space="preserve">   SCR</t>
  </si>
  <si>
    <t xml:space="preserve">Include All Off-Peak Hours at Avoided Cost</t>
  </si>
  <si>
    <t xml:space="preserve">Planned Outages</t>
  </si>
  <si>
    <t xml:space="preserve">   Foundation</t>
  </si>
  <si>
    <t xml:space="preserve">Exclude 45MW From Market Sales</t>
  </si>
  <si>
    <t xml:space="preserve">Forced Outages</t>
  </si>
  <si>
    <t xml:space="preserve">   Inlet Air Cooling</t>
  </si>
  <si>
    <t xml:space="preserve">Net Plant Availability Factor</t>
  </si>
  <si>
    <t xml:space="preserve">   Intake and Water Discharge Structure</t>
  </si>
  <si>
    <t xml:space="preserve">Merchant Sales:</t>
  </si>
  <si>
    <t xml:space="preserve">Timing:</t>
  </si>
  <si>
    <t xml:space="preserve">   Duct Burner</t>
  </si>
  <si>
    <t xml:space="preserve">Include Merchant Sales</t>
  </si>
  <si>
    <t xml:space="preserve">yes</t>
  </si>
  <si>
    <t xml:space="preserve">Funding Date</t>
  </si>
  <si>
    <t xml:space="preserve">   230 kV Line</t>
  </si>
  <si>
    <t xml:space="preserve">Merchant Volumes (MW)</t>
  </si>
  <si>
    <t xml:space="preserve">Commercial Operation Date </t>
  </si>
  <si>
    <t xml:space="preserve">   Passthrough Interconnect</t>
  </si>
  <si>
    <t xml:space="preserve">Wheeling ($/MWh) Prior to Deregulation</t>
  </si>
  <si>
    <t xml:space="preserve">Scheduled Upgrade</t>
  </si>
  <si>
    <t xml:space="preserve">Total: </t>
  </si>
  <si>
    <t xml:space="preserve">Wheeling ($/MWh) POST Deregulation</t>
  </si>
  <si>
    <t xml:space="preserve">Effective Availability for upgrade month</t>
  </si>
  <si>
    <t xml:space="preserve">Wheeling Losses</t>
  </si>
  <si>
    <t xml:space="preserve">Date Supplemental Energy Sales Begin</t>
  </si>
  <si>
    <t xml:space="preserve">Soft Costs:</t>
  </si>
  <si>
    <t xml:space="preserve">Adder for losses into California</t>
  </si>
  <si>
    <t xml:space="preserve">Date of NEV Deregulation</t>
  </si>
  <si>
    <t xml:space="preserve">Asset Purchase Price</t>
  </si>
  <si>
    <t xml:space="preserve">Adder for Interruptible Power</t>
  </si>
  <si>
    <t xml:space="preserve">Commercial Ending Date </t>
  </si>
  <si>
    <t xml:space="preserve">Plant Improvements</t>
  </si>
  <si>
    <t xml:space="preserve">Power Curve Date</t>
  </si>
  <si>
    <t xml:space="preserve">Generator Rewind</t>
  </si>
  <si>
    <t xml:space="preserve">Region</t>
  </si>
  <si>
    <t xml:space="preserve">CORPORATE ASSUMPTIONS:</t>
  </si>
  <si>
    <t xml:space="preserve">Additional Turbine</t>
  </si>
  <si>
    <t xml:space="preserve">Price Curve</t>
  </si>
  <si>
    <t xml:space="preserve">Taxes:</t>
  </si>
  <si>
    <t xml:space="preserve">HRSG Modifications</t>
  </si>
  <si>
    <t xml:space="preserve">Include Supplemental Time Value (on Merchant Sales)</t>
  </si>
  <si>
    <t xml:space="preserve">no</t>
  </si>
  <si>
    <t xml:space="preserve">Federal Income Tax Rate</t>
  </si>
  <si>
    <t xml:space="preserve">Working Capital Adjustment</t>
  </si>
  <si>
    <t xml:space="preserve">Intrinsic</t>
  </si>
  <si>
    <t xml:space="preserve">State Income Tax Rate</t>
  </si>
  <si>
    <t xml:space="preserve">Environmental Offsets</t>
  </si>
  <si>
    <t xml:space="preserve">Time Value</t>
  </si>
  <si>
    <t xml:space="preserve">Effective Tax Rate</t>
  </si>
  <si>
    <t xml:space="preserve">Equity Fees</t>
  </si>
  <si>
    <t xml:space="preserve">Total Option </t>
  </si>
  <si>
    <t xml:space="preserve">Equity Legal Fees</t>
  </si>
  <si>
    <t xml:space="preserve">  Option Price ($/Mwh)</t>
  </si>
  <si>
    <t xml:space="preserve">Depreciation:</t>
  </si>
  <si>
    <t xml:space="preserve">Enron Legal Fees</t>
  </si>
  <si>
    <t xml:space="preserve">  Option Price ($/kW-Mo)</t>
  </si>
  <si>
    <t xml:space="preserve">Book</t>
  </si>
  <si>
    <t xml:space="preserve">Tax</t>
  </si>
  <si>
    <t xml:space="preserve">Nevada Council</t>
  </si>
  <si>
    <t xml:space="preserve">Acquisition Basis</t>
  </si>
  <si>
    <t xml:space="preserve">Lenders' Legal Fee</t>
  </si>
  <si>
    <t xml:space="preserve">Other Revenues:</t>
  </si>
  <si>
    <t xml:space="preserve">Term (Years)</t>
  </si>
  <si>
    <t xml:space="preserve">Title Policy</t>
  </si>
  <si>
    <t xml:space="preserve">Method  (SL/DB)</t>
  </si>
  <si>
    <t xml:space="preserve">SL</t>
  </si>
  <si>
    <t xml:space="preserve">DB</t>
  </si>
  <si>
    <t xml:space="preserve">Contingency Fee</t>
  </si>
  <si>
    <t xml:space="preserve">Esc. (%)</t>
  </si>
  <si>
    <t xml:space="preserve">  If DB, state rate</t>
  </si>
  <si>
    <t xml:space="preserve">Other Fees  (%)</t>
  </si>
  <si>
    <t xml:space="preserve">Option 2 - Enron Sells Thermal Energy to Greenhouse</t>
  </si>
  <si>
    <t xml:space="preserve">Start Depreciation </t>
  </si>
  <si>
    <t xml:space="preserve">Startup and Acceptance</t>
  </si>
  <si>
    <t xml:space="preserve">Water Entitlements</t>
  </si>
  <si>
    <t xml:space="preserve">   (ii)  Sale of Thermal Energy</t>
  </si>
  <si>
    <t xml:space="preserve">Partial Overhaul 1 Basis</t>
  </si>
  <si>
    <t xml:space="preserve">Sales and Property Tax</t>
  </si>
  <si>
    <t xml:space="preserve">Gas Volumes (mmbtu)</t>
  </si>
  <si>
    <t xml:space="preserve">Insurance and Perf. Bond</t>
  </si>
  <si>
    <t xml:space="preserve">Contingency @</t>
  </si>
  <si>
    <t xml:space="preserve">   Total Project Cost</t>
  </si>
  <si>
    <t xml:space="preserve">Complete Overhaul 1 Basis</t>
  </si>
  <si>
    <t xml:space="preserve">ADDITIONAL PROJECT REVENUES:</t>
  </si>
  <si>
    <t xml:space="preserve">SHARING AGREEMENT:</t>
  </si>
  <si>
    <t xml:space="preserve">Sources of Revenues:</t>
  </si>
  <si>
    <t xml:space="preserve">Annual Lease Revenues (LV Cogen II)</t>
  </si>
  <si>
    <t xml:space="preserve">Gas Transport ($/MMBtu)</t>
  </si>
  <si>
    <t xml:space="preserve">Annual O&amp;M Revenues (LV Cogen)</t>
  </si>
  <si>
    <t xml:space="preserve">Heat Rate (MMBtu?Mwh</t>
  </si>
  <si>
    <t xml:space="preserve">Date Lease Revenues Begin:</t>
  </si>
  <si>
    <t xml:space="preserve">Partial Overhaul 2 Basis</t>
  </si>
  <si>
    <t xml:space="preserve">O&amp;M Charges ($/MWh)</t>
  </si>
  <si>
    <t xml:space="preserve">O&amp;MLease Revenues Begin:</t>
  </si>
  <si>
    <t xml:space="preserve">Market Service Fee for Sierra ($/Mwh)</t>
  </si>
  <si>
    <t xml:space="preserve">EPMI Based Market Service Fee ($/MWh)</t>
  </si>
  <si>
    <t xml:space="preserve">EPMI Profit Sharing (%)</t>
  </si>
  <si>
    <t xml:space="preserve">Gas Daily Premium ($/MMBtu)</t>
  </si>
  <si>
    <t xml:space="preserve">End of Sharing with NPC</t>
  </si>
  <si>
    <t xml:space="preserve">Complete Overhaul 2 Basis</t>
  </si>
  <si>
    <t xml:space="preserve">PROJECT EXPENSES:</t>
  </si>
  <si>
    <t xml:space="preserve">Fixed Expenses:</t>
  </si>
  <si>
    <t xml:space="preserve">   Labour</t>
  </si>
  <si>
    <t xml:space="preserve">   Repairs &amp; Maintenance</t>
  </si>
  <si>
    <t xml:space="preserve">   Chemicals</t>
  </si>
  <si>
    <t xml:space="preserve">   Consulting</t>
  </si>
  <si>
    <t xml:space="preserve">   Other</t>
  </si>
  <si>
    <t xml:space="preserve">Escalation:</t>
  </si>
  <si>
    <t xml:space="preserve">   Gas Transport Dem Chg</t>
  </si>
  <si>
    <t xml:space="preserve">Use Fixed US CPI? (3%)</t>
  </si>
  <si>
    <t xml:space="preserve">   Inc. O&amp;M Adjustment</t>
  </si>
  <si>
    <t xml:space="preserve">If no, fix rate of inflation to</t>
  </si>
  <si>
    <t xml:space="preserve">Total:</t>
  </si>
  <si>
    <t xml:space="preserve">Variable Expenses:</t>
  </si>
  <si>
    <t xml:space="preserve">Interest Income:</t>
  </si>
  <si>
    <t xml:space="preserve">Gas Curve Henwood=1</t>
  </si>
  <si>
    <t xml:space="preserve">Interest on Cash Balance</t>
  </si>
  <si>
    <t xml:space="preserve">Maximum Take (mmbtu/day)</t>
  </si>
  <si>
    <t xml:space="preserve">If yes, Interest Rate </t>
  </si>
  <si>
    <t xml:space="preserve">Sell-Back Volumes Spread from Purchase</t>
  </si>
  <si>
    <t xml:space="preserve">Purchase Volumes Mid Basis thru 2010</t>
  </si>
  <si>
    <t xml:space="preserve">Curve</t>
  </si>
  <si>
    <t xml:space="preserve">FINANCING:</t>
  </si>
  <si>
    <t xml:space="preserve">Res. Fee Mid Basis (Rockies) thru</t>
  </si>
  <si>
    <t xml:space="preserve">Interest During Construction:</t>
  </si>
  <si>
    <t xml:space="preserve">UP Fuels Reservation Fee</t>
  </si>
  <si>
    <t xml:space="preserve">   Interest Rate on Construction Loan</t>
  </si>
  <si>
    <t xml:space="preserve">Swing Penalty</t>
  </si>
  <si>
    <t xml:space="preserve">   Term (Mths)</t>
  </si>
  <si>
    <t xml:space="preserve">Fixed Price thru </t>
  </si>
  <si>
    <t xml:space="preserve">   Drawdown Schedule (SL/Custom)</t>
  </si>
  <si>
    <t xml:space="preserve">NYMEX  Delivered Basis thru</t>
  </si>
  <si>
    <t xml:space="preserve">   Drawdown Fee (BPS)</t>
  </si>
  <si>
    <t xml:space="preserve">   Total IDC</t>
  </si>
  <si>
    <t xml:space="preserve">Duke contract End</t>
  </si>
  <si>
    <t xml:space="preserve">Total Capital Cost</t>
  </si>
  <si>
    <t xml:space="preserve">Reservation Premium after UP Fuel Term</t>
  </si>
  <si>
    <t xml:space="preserve">Transport Charges</t>
  </si>
  <si>
    <t xml:space="preserve">Kern P/Lfixed thru 9/30/01 ($/mmbtu-mo)</t>
  </si>
  <si>
    <t xml:space="preserve">Long Term Financing:</t>
  </si>
  <si>
    <t xml:space="preserve">Kern P/L 10/1/01</t>
  </si>
  <si>
    <t xml:space="preserve">   Equity (% of Asset)</t>
  </si>
  <si>
    <t xml:space="preserve">Variable ($/mmbtu)</t>
  </si>
  <si>
    <t xml:space="preserve">Closing Cost Fees</t>
  </si>
  <si>
    <t xml:space="preserve">Variable ($%)</t>
  </si>
  <si>
    <t xml:space="preserve">Total Equity Amount</t>
  </si>
  <si>
    <t xml:space="preserve">SWGas P/L</t>
  </si>
  <si>
    <t xml:space="preserve">Fixed ($/mmbtu-mo)</t>
  </si>
  <si>
    <t xml:space="preserve">SWGas P/L Reduc. effective Jan 2012</t>
  </si>
  <si>
    <t xml:space="preserve">   Debt (% of Asset)</t>
  </si>
  <si>
    <t xml:space="preserve">   Debt Fees</t>
  </si>
  <si>
    <t xml:space="preserve">Other Variable Cost ($/MWh) (Market Volumes Only)</t>
  </si>
  <si>
    <t xml:space="preserve">   Working Capital</t>
  </si>
  <si>
    <t xml:space="preserve">   Debt Service/O&amp;M Reserve</t>
  </si>
  <si>
    <t xml:space="preserve">General &amp; Administrative Expenses:</t>
  </si>
  <si>
    <t xml:space="preserve">   Total Debt Amount:</t>
  </si>
  <si>
    <t xml:space="preserve">   G&amp;A</t>
  </si>
  <si>
    <t xml:space="preserve">   6/30/00 Payoff w/penalties</t>
  </si>
  <si>
    <t xml:space="preserve">Sr. Secured Debt Terms:</t>
  </si>
  <si>
    <t xml:space="preserve">   One Yr. LIBOR Rate (15 yr. Swap)</t>
  </si>
  <si>
    <t xml:space="preserve">RETURNS:</t>
  </si>
  <si>
    <t xml:space="preserve">Interest rate SWAP (1= "Yes")</t>
  </si>
  <si>
    <t xml:space="preserve">Debt Service Coverage Ratio (Pre-Tax):</t>
  </si>
  <si>
    <t xml:space="preserve">Southwest Gas LOC Amount</t>
  </si>
  <si>
    <t xml:space="preserve">Minimum</t>
  </si>
  <si>
    <t xml:space="preserve">Duke LOC Amount</t>
  </si>
  <si>
    <t xml:space="preserve">Maximum</t>
  </si>
  <si>
    <t xml:space="preserve">Funding Spread over Base Spread</t>
  </si>
  <si>
    <t xml:space="preserve">Average</t>
  </si>
  <si>
    <t xml:space="preserve">Spread (BPS)</t>
  </si>
  <si>
    <t xml:space="preserve">Rate (%)</t>
  </si>
  <si>
    <t xml:space="preserve">Weighted Average Loan Life (Yrs.)</t>
  </si>
  <si>
    <t xml:space="preserve">Yrs. 1-3</t>
  </si>
  <si>
    <t xml:space="preserve">Yrs. 4-6</t>
  </si>
  <si>
    <t xml:space="preserve">Current Value of Assets ($ per kW)</t>
  </si>
  <si>
    <t xml:space="preserve">Yrs. 7-9</t>
  </si>
  <si>
    <t xml:space="preserve">Yrs. 10-13</t>
  </si>
  <si>
    <t xml:space="preserve">Buy-Out Date (MM/DD/YY)</t>
  </si>
  <si>
    <t xml:space="preserve">Yrs. 14-17</t>
  </si>
  <si>
    <t xml:space="preserve">Effective Date of Buy-Out</t>
  </si>
  <si>
    <t xml:space="preserve">   Debt Term (Yrs.) </t>
  </si>
  <si>
    <t xml:space="preserve">Equity Returns:</t>
  </si>
  <si>
    <t xml:space="preserve">   Capitalized Fees</t>
  </si>
  <si>
    <t xml:space="preserve">Equity Investment</t>
  </si>
  <si>
    <t xml:space="preserve"> - amortized over</t>
  </si>
  <si>
    <t xml:space="preserve">(Pre-Tax)</t>
  </si>
  <si>
    <t xml:space="preserve">Debt Service Reserve Scenario</t>
  </si>
  <si>
    <t xml:space="preserve">NPV @ </t>
  </si>
  <si>
    <t xml:space="preserve">(nominal)</t>
  </si>
  <si>
    <t xml:space="preserve">Reserve Account=1, LOC=2</t>
  </si>
  <si>
    <t xml:space="preserve">Amount subject to LOC, if 2 above</t>
  </si>
  <si>
    <t xml:space="preserve">Debt Service Reserve % </t>
  </si>
  <si>
    <t xml:space="preserve">LOC Fee % of reserve if 2 above</t>
  </si>
  <si>
    <t xml:space="preserve">Check</t>
  </si>
  <si>
    <t xml:space="preserve">Discount Rate</t>
  </si>
  <si>
    <t xml:space="preserve">NPV</t>
  </si>
  <si>
    <t xml:space="preserve">REVENUE INPUTS</t>
  </si>
  <si>
    <t xml:space="preserve">VARIABLE CHARGES</t>
  </si>
  <si>
    <t xml:space="preserve">NEV SHARING CALCULATIONS</t>
  </si>
  <si>
    <t xml:space="preserve">EPMI SHARING CALCULATIONS</t>
  </si>
  <si>
    <t xml:space="preserve">Market</t>
  </si>
  <si>
    <t xml:space="preserve">Shared Market</t>
  </si>
  <si>
    <t xml:space="preserve">Merchant Gas</t>
  </si>
  <si>
    <t xml:space="preserve">Gas</t>
  </si>
  <si>
    <t xml:space="preserve">Gas </t>
  </si>
  <si>
    <t xml:space="preserve">Heat</t>
  </si>
  <si>
    <t xml:space="preserve">Marginal</t>
  </si>
  <si>
    <t xml:space="preserve">Transmission</t>
  </si>
  <si>
    <t xml:space="preserve">Market Service </t>
  </si>
  <si>
    <t xml:space="preserve">Price</t>
  </si>
  <si>
    <t xml:space="preserve">Amount Available</t>
  </si>
  <si>
    <t xml:space="preserve">Revenues less</t>
  </si>
  <si>
    <t xml:space="preserve">Total Paymet</t>
  </si>
  <si>
    <t xml:space="preserve">EPMI Mkt</t>
  </si>
  <si>
    <t xml:space="preserve">Gen Cost for </t>
  </si>
  <si>
    <t xml:space="preserve">Rev. Less</t>
  </si>
  <si>
    <t xml:space="preserve">EPMI</t>
  </si>
  <si>
    <t xml:space="preserve">Total EPMI</t>
  </si>
  <si>
    <t xml:space="preserve">Merchant </t>
  </si>
  <si>
    <t xml:space="preserve">Month</t>
  </si>
  <si>
    <t xml:space="preserve">Year</t>
  </si>
  <si>
    <t xml:space="preserve">Sales Volume</t>
  </si>
  <si>
    <t xml:space="preserve">Volume</t>
  </si>
  <si>
    <t xml:space="preserve">Transport</t>
  </si>
  <si>
    <t xml:space="preserve">Commodity</t>
  </si>
  <si>
    <t xml:space="preserve">Premium</t>
  </si>
  <si>
    <t xml:space="preserve">Rate</t>
  </si>
  <si>
    <t xml:space="preserve">Generation Cost($/MWh)</t>
  </si>
  <si>
    <t xml:space="preserve">O&amp;M</t>
  </si>
  <si>
    <t xml:space="preserve">Charges</t>
  </si>
  <si>
    <t xml:space="preserve">Providor Charges</t>
  </si>
  <si>
    <t xml:space="preserve">Spread ($/MWh)</t>
  </si>
  <si>
    <t xml:space="preserve">to Share ($/MWh)</t>
  </si>
  <si>
    <t xml:space="preserve">Cost to Gen</t>
  </si>
  <si>
    <t xml:space="preserve">to Sierra</t>
  </si>
  <si>
    <t xml:space="preserve">Fee ($/MWh)</t>
  </si>
  <si>
    <t xml:space="preserve">EPMI Calc ($/MWh)</t>
  </si>
  <si>
    <t xml:space="preserve">EPMI Gen Cost</t>
  </si>
  <si>
    <t xml:space="preserve">Sharing (%)</t>
  </si>
  <si>
    <t xml:space="preserve">Sharing</t>
  </si>
  <si>
    <t xml:space="preserve">Revenue</t>
  </si>
  <si>
    <t xml:space="preserve">Annual Summary:</t>
  </si>
  <si>
    <t xml:space="preserve">NEV Sharing</t>
  </si>
  <si>
    <t xml:space="preserve">EPMI Sharing</t>
  </si>
  <si>
    <t xml:space="preserve">Total Merchant Sharing Expense</t>
  </si>
  <si>
    <t xml:space="preserve">Proof</t>
  </si>
  <si>
    <t xml:space="preserve">)</t>
  </si>
  <si>
    <t xml:space="preserve">Scheduled Capital Expenditures</t>
  </si>
  <si>
    <t xml:space="preserve">Total Asset</t>
  </si>
  <si>
    <t xml:space="preserve">Depreciable Assets</t>
  </si>
  <si>
    <t xml:space="preserve">Book Value</t>
  </si>
  <si>
    <t xml:space="preserve">Summary!D50</t>
  </si>
  <si>
    <t xml:space="preserve">Summary!D56</t>
  </si>
  <si>
    <t xml:space="preserve">Summary!D62</t>
  </si>
  <si>
    <t xml:space="preserve">Fixed Assets</t>
  </si>
  <si>
    <t xml:space="preserve">Purchase Price</t>
  </si>
  <si>
    <t xml:space="preserve">Partial Overhaul 1</t>
  </si>
  <si>
    <t xml:space="preserve">Not all formulas in row same</t>
  </si>
  <si>
    <t xml:space="preserve">Complete Overhaul 1</t>
  </si>
  <si>
    <t xml:space="preserve">Partial Overhaul 2</t>
  </si>
  <si>
    <t xml:space="preserve">Complete Overhaul 2</t>
  </si>
  <si>
    <t xml:space="preserve">Asset 6</t>
  </si>
  <si>
    <t xml:space="preserve">Asset 7</t>
  </si>
  <si>
    <t xml:space="preserve">Asset 8</t>
  </si>
  <si>
    <t xml:space="preserve">Asset 9</t>
  </si>
  <si>
    <t xml:space="preserve">Asset 10</t>
  </si>
  <si>
    <t xml:space="preserve">   Total Fixed Assets</t>
  </si>
  <si>
    <t xml:space="preserve">Capitalized Construction Interest/Intangibles</t>
  </si>
  <si>
    <t xml:space="preserve">Funding 1</t>
  </si>
  <si>
    <t xml:space="preserve">Rate:</t>
  </si>
  <si>
    <t xml:space="preserve">Funding 2</t>
  </si>
  <si>
    <t xml:space="preserve">Subtotal  </t>
  </si>
  <si>
    <t xml:space="preserve">Non-Depreciable Assets (Land)</t>
  </si>
  <si>
    <t xml:space="preserve">Total Capital Expenditures</t>
  </si>
  <si>
    <t xml:space="preserve">Oil &amp; Gas Prices</t>
  </si>
  <si>
    <t xml:space="preserve">Depreciation &amp; Amortization Parameters</t>
  </si>
  <si>
    <t xml:space="preserve">Oil &amp; Gas Reserve Information</t>
  </si>
  <si>
    <t xml:space="preserve">Hedging Profits/(Losses)</t>
  </si>
  <si>
    <t xml:space="preserve">Book Capitalization and Depreciation</t>
  </si>
  <si>
    <t xml:space="preserve">Tax Depreciation</t>
  </si>
  <si>
    <t xml:space="preserve">Oil &amp; Gas Reserve Totals</t>
  </si>
  <si>
    <t xml:space="preserve">Start</t>
  </si>
  <si>
    <t xml:space="preserve">Simulated</t>
  </si>
  <si>
    <t xml:space="preserve">Residual/</t>
  </si>
  <si>
    <t xml:space="preserve">Depreciation</t>
  </si>
  <si>
    <t xml:space="preserve">Method</t>
  </si>
  <si>
    <t xml:space="preserve">DB Decline</t>
  </si>
  <si>
    <t xml:space="preserve">Desc.</t>
  </si>
  <si>
    <t xml:space="preserve">Cost</t>
  </si>
  <si>
    <t xml:space="preserve">Salvage</t>
  </si>
  <si>
    <t xml:space="preserve">(mm/dd/yy)</t>
  </si>
  <si>
    <t xml:space="preserve">Life (yrs)</t>
  </si>
  <si>
    <t xml:space="preserve">(SL/DB)</t>
  </si>
  <si>
    <t xml:space="preserve">Value</t>
  </si>
  <si>
    <t xml:space="preserve">Life (yrs.)</t>
  </si>
  <si>
    <t xml:space="preserve">Contract Buy-Out</t>
  </si>
  <si>
    <t xml:space="preserve">Subtotal </t>
  </si>
  <si>
    <t xml:space="preserve">diff. vs. book:</t>
  </si>
  <si>
    <t xml:space="preserve">Scheduled Depreciation Expense - Book</t>
  </si>
  <si>
    <t xml:space="preserve">Total Depreciation Expense</t>
  </si>
  <si>
    <t xml:space="preserve">Total Amortization of Capitalized Interest</t>
  </si>
  <si>
    <t xml:space="preserve">Total Book Depreciation/Amortization Expense</t>
  </si>
  <si>
    <t xml:space="preserve">chk:</t>
  </si>
  <si>
    <t xml:space="preserve">Scheduled Depreciation Expense - Tax</t>
  </si>
  <si>
    <t xml:space="preserve">20 yrs MACRS (1/2 yr.)</t>
  </si>
  <si>
    <t xml:space="preserve">Total Tax Depreciation/Amortization Expense</t>
  </si>
  <si>
    <t xml:space="preserve">Fixed Asset Summary</t>
  </si>
  <si>
    <t xml:space="preserve">Capitalized Costs</t>
  </si>
  <si>
    <t xml:space="preserve">Land</t>
  </si>
  <si>
    <t xml:space="preserve">Depreciation and  Amortization Expense - Book</t>
  </si>
  <si>
    <t xml:space="preserve">Depreciation Expense - Pre-Transaction Assets</t>
  </si>
  <si>
    <t xml:space="preserve">Add:  Book Depreciation Expense - Transaction Assets</t>
  </si>
  <si>
    <t xml:space="preserve">    Total Depreciation Expense - Book</t>
  </si>
  <si>
    <t xml:space="preserve">Amortization of Capitalized Costs - Book</t>
  </si>
  <si>
    <t xml:space="preserve">Depreciation and  Amortization Expense - Tax</t>
  </si>
  <si>
    <t xml:space="preserve">    Net Depreciation Expense - Tax</t>
  </si>
  <si>
    <t xml:space="preserve">Amortization of Capitalized Costs - Tax</t>
  </si>
  <si>
    <t xml:space="preserve">MACROECONOMIC DATA</t>
  </si>
  <si>
    <t xml:space="preserve">Escalation Factors - Dollars</t>
  </si>
  <si>
    <t xml:space="preserve">(1)</t>
  </si>
  <si>
    <t xml:space="preserve">Input Scenario</t>
  </si>
  <si>
    <t xml:space="preserve">Inflation Rate </t>
  </si>
  <si>
    <t xml:space="preserve">Cumulative index equivalent</t>
  </si>
  <si>
    <t xml:space="preserve">Cumulative 80% index equivalent</t>
  </si>
  <si>
    <t xml:space="preserve">Other Currency Information</t>
  </si>
  <si>
    <t xml:space="preserve">Second currency name:</t>
  </si>
  <si>
    <t xml:space="preserve">Reis</t>
  </si>
  <si>
    <t xml:space="preserve">Distribution</t>
  </si>
  <si>
    <t xml:space="preserve">Normal</t>
  </si>
  <si>
    <t xml:space="preserve">NPC CONTRACTED REVENUES</t>
  </si>
  <si>
    <t xml:space="preserve">Output Pricing</t>
  </si>
  <si>
    <t xml:space="preserve">Escalation Scenario (1 Flat, 2 esc)</t>
  </si>
  <si>
    <t xml:space="preserve">Beginning Price</t>
  </si>
  <si>
    <t xml:space="preserve">Input Price</t>
  </si>
  <si>
    <t xml:space="preserve">Adustments</t>
  </si>
  <si>
    <t xml:space="preserve">    Total Price</t>
  </si>
  <si>
    <t xml:space="preserve">    Price in USD</t>
  </si>
  <si>
    <t xml:space="preserve">Output Sales</t>
  </si>
  <si>
    <t xml:space="preserve">Sales</t>
  </si>
  <si>
    <t xml:space="preserve">Total Output 1 Revenue</t>
  </si>
  <si>
    <t xml:space="preserve">MERCHANT MARKET SALES</t>
  </si>
  <si>
    <t xml:space="preserve">Option Value</t>
  </si>
  <si>
    <t xml:space="preserve">Total Output 2 Revenue</t>
  </si>
  <si>
    <t xml:space="preserve">GREENHOUSE REVENUES</t>
  </si>
  <si>
    <t xml:space="preserve">Fixed Price</t>
  </si>
  <si>
    <t xml:space="preserve">Variable Price</t>
  </si>
  <si>
    <t xml:space="preserve">Thermal Volumes (mmbtu)</t>
  </si>
  <si>
    <t xml:space="preserve">Thermal Sales</t>
  </si>
  <si>
    <t xml:space="preserve">Produce Sales</t>
  </si>
  <si>
    <t xml:space="preserve">Site Lease</t>
  </si>
  <si>
    <t xml:space="preserve">Tomato Profit Sharing</t>
  </si>
  <si>
    <t xml:space="preserve">Total Output 3 Revenue</t>
  </si>
  <si>
    <t xml:space="preserve">Fuel Contract Transfer Payment</t>
  </si>
  <si>
    <t xml:space="preserve">Additional Revenues:</t>
  </si>
  <si>
    <t xml:space="preserve">Lease Revenues (LV Cogen II)</t>
  </si>
  <si>
    <t xml:space="preserve">O&amp;M Revenues (LV Cogen)</t>
  </si>
  <si>
    <t xml:space="preserve">Monetization Revenues</t>
  </si>
  <si>
    <t xml:space="preserve">    Total Sales Revenue</t>
  </si>
  <si>
    <t xml:space="preserve">Cost of Sales</t>
  </si>
  <si>
    <t xml:space="preserve">Gas Costs</t>
  </si>
  <si>
    <t xml:space="preserve">Costs vary with</t>
  </si>
  <si>
    <t xml:space="preserve">MMBTU</t>
  </si>
  <si>
    <t xml:space="preserve">Totals in USD</t>
  </si>
  <si>
    <t xml:space="preserve">Gas Transport</t>
  </si>
  <si>
    <t xml:space="preserve">MWH</t>
  </si>
  <si>
    <t xml:space="preserve">Purchased Power</t>
  </si>
  <si>
    <t xml:space="preserve">Market Sales Wheeling Charge</t>
  </si>
  <si>
    <t xml:space="preserve">Market Sales Sharing Expenses</t>
  </si>
  <si>
    <t xml:space="preserve">Total Variable Production Costs</t>
  </si>
  <si>
    <t xml:space="preserve">Fixed Cost</t>
  </si>
  <si>
    <t xml:space="preserve">(If Enron runs plant to sell to Market increase fixed O&amp;M to $2,000)</t>
  </si>
  <si>
    <t xml:space="preserve">Greenhouse Operating Costs</t>
  </si>
  <si>
    <t xml:space="preserve">Amount</t>
  </si>
  <si>
    <t xml:space="preserve">Total Fixed Production Costs</t>
  </si>
  <si>
    <t xml:space="preserve">Total Costs of Sales</t>
  </si>
  <si>
    <t xml:space="preserve">General &amp; Admin</t>
  </si>
  <si>
    <t xml:space="preserve">Variable Cost</t>
  </si>
  <si>
    <t xml:space="preserve">Total Variable Operating Expenses</t>
  </si>
  <si>
    <t xml:space="preserve">Total Fixed Operating Expenses</t>
  </si>
  <si>
    <t xml:space="preserve">Total Operating Expenses</t>
  </si>
  <si>
    <t xml:space="preserve">SUMMARY INFORMATION</t>
  </si>
  <si>
    <t xml:space="preserve">Revenues</t>
  </si>
  <si>
    <t xml:space="preserve">    Total</t>
  </si>
  <si>
    <t xml:space="preserve">Cost of Revenues</t>
  </si>
  <si>
    <t xml:space="preserve">Other Costs of Sales</t>
  </si>
  <si>
    <t xml:space="preserve">    Total Cost of Revenues</t>
  </si>
  <si>
    <t xml:space="preserve">Gross Margin</t>
  </si>
  <si>
    <t xml:space="preserve">EBDIT</t>
  </si>
  <si>
    <t xml:space="preserve">Data to Financing Section</t>
  </si>
  <si>
    <t xml:space="preserve">Revenues (excluding deferred PP revenue)</t>
  </si>
  <si>
    <t xml:space="preserve">Cash Expenses</t>
  </si>
  <si>
    <t xml:space="preserve">Capital Expenditures - Total</t>
  </si>
  <si>
    <t xml:space="preserve">Capital Expenditures - Land</t>
  </si>
  <si>
    <t xml:space="preserve">Depreciation Expense - Book</t>
  </si>
  <si>
    <t xml:space="preserve">Depreciation Expense - Tax</t>
  </si>
  <si>
    <t xml:space="preserve">Amortization of Intangibles - Book</t>
  </si>
  <si>
    <t xml:space="preserve">Amortization of Intangibles - Tax</t>
  </si>
  <si>
    <t xml:space="preserve">Data from Financing Section</t>
  </si>
  <si>
    <t xml:space="preserve">Fraction of year</t>
  </si>
  <si>
    <t xml:space="preserve">Units</t>
  </si>
  <si>
    <t xml:space="preserve">West Coast Power LLP</t>
  </si>
  <si>
    <t xml:space="preserve">SCENARIO:    </t>
  </si>
  <si>
    <t xml:space="preserve">($ in</t>
  </si>
  <si>
    <t xml:space="preserve">Thousands</t>
  </si>
  <si>
    <t xml:space="preserve">INCOME STATEMENT:</t>
  </si>
  <si>
    <t xml:space="preserve">Total Cost of Revenues</t>
  </si>
  <si>
    <t xml:space="preserve">Gross Profits</t>
  </si>
  <si>
    <t xml:space="preserve">KEY FINANCIAL DATA</t>
  </si>
  <si>
    <t xml:space="preserve">General &amp; Administrative</t>
  </si>
  <si>
    <t xml:space="preserve">Depreciation and Depletion</t>
  </si>
  <si>
    <t xml:space="preserve">DDA</t>
  </si>
  <si>
    <t xml:space="preserve">    Subtotal - Depreciation, Depletion, Amortization</t>
  </si>
  <si>
    <t xml:space="preserve">EBIT</t>
  </si>
  <si>
    <t xml:space="preserve">Net Income</t>
  </si>
  <si>
    <t xml:space="preserve">Other Income:</t>
  </si>
  <si>
    <t xml:space="preserve">Interest Income</t>
  </si>
  <si>
    <t xml:space="preserve">Operating Cash Flow</t>
  </si>
  <si>
    <t xml:space="preserve">Cash Flow Available to Equity Holders</t>
  </si>
  <si>
    <t xml:space="preserve">Total Other Income</t>
  </si>
  <si>
    <t xml:space="preserve">Long Term Debt</t>
  </si>
  <si>
    <t xml:space="preserve">Interest Expense:</t>
  </si>
  <si>
    <t xml:space="preserve">Pre-tax DSC Ratio</t>
  </si>
  <si>
    <t xml:space="preserve">Deficit Revolver</t>
  </si>
  <si>
    <t xml:space="preserve">Total Interest Expense</t>
  </si>
  <si>
    <t xml:space="preserve">Income b/f Taxes and Gains</t>
  </si>
  <si>
    <t xml:space="preserve">Gain on Sale of Assets</t>
  </si>
  <si>
    <t xml:space="preserve">Gross Receipts Tax</t>
  </si>
  <si>
    <t xml:space="preserve">Income b/f Income Taxes</t>
  </si>
  <si>
    <t xml:space="preserve">Income Taxes</t>
  </si>
  <si>
    <t xml:space="preserve">Legal Reserve Requirement</t>
  </si>
  <si>
    <t xml:space="preserve">Net Income Available to Common</t>
  </si>
  <si>
    <t xml:space="preserve">Common Dividends</t>
  </si>
  <si>
    <t xml:space="preserve">SOURCES AND USES:</t>
  </si>
  <si>
    <t xml:space="preserve">SOURCES:</t>
  </si>
  <si>
    <t xml:space="preserve">Depreciation &amp; Amortization</t>
  </si>
  <si>
    <t xml:space="preserve">Deferred Income Taxes</t>
  </si>
  <si>
    <t xml:space="preserve">Non-Cash Interest and Dividends</t>
  </si>
  <si>
    <t xml:space="preserve">Net Proceeds from Sale of Assets</t>
  </si>
  <si>
    <t xml:space="preserve">Total Sources</t>
  </si>
  <si>
    <t xml:space="preserve">USES:</t>
  </si>
  <si>
    <t xml:space="preserve">Asset Purchase</t>
  </si>
  <si>
    <t xml:space="preserve">Change in Adjusted W/C</t>
  </si>
  <si>
    <t xml:space="preserve">Decrease in</t>
  </si>
  <si>
    <t xml:space="preserve">Dividends/Treasury Stock Acquisition/Preferred Stock Redemption</t>
  </si>
  <si>
    <t xml:space="preserve">Total Uses</t>
  </si>
  <si>
    <t xml:space="preserve">EXCESS/(DEFICIT)</t>
  </si>
  <si>
    <t xml:space="preserve">FINANCED BY:</t>
  </si>
  <si>
    <t xml:space="preserve">Total Scheduled Financing</t>
  </si>
  <si>
    <t xml:space="preserve">Increase/(Decrease) in Deficit Revolver</t>
  </si>
  <si>
    <t xml:space="preserve">Decrease/(Increase) in Excess Cash</t>
  </si>
  <si>
    <t xml:space="preserve">Total Financing</t>
  </si>
  <si>
    <t xml:space="preserve">AVAILABLE CASH:</t>
  </si>
  <si>
    <t xml:space="preserve">Beginning Cash</t>
  </si>
  <si>
    <t xml:space="preserve">Operating Increase/(Decrease)</t>
  </si>
  <si>
    <t xml:space="preserve">Excess Increase/(Decrease)</t>
  </si>
  <si>
    <t xml:space="preserve">Ending Cash</t>
  </si>
  <si>
    <t xml:space="preserve">BALANCE SHEET:</t>
  </si>
  <si>
    <t xml:space="preserve">Total Intangibles</t>
  </si>
  <si>
    <t xml:space="preserve">Short Term Debt</t>
  </si>
  <si>
    <t xml:space="preserve">CAPITALIZATION:</t>
  </si>
  <si>
    <t xml:space="preserve">Deficit Revolver:</t>
  </si>
  <si>
    <t xml:space="preserve">Beginning Balance</t>
  </si>
  <si>
    <t xml:space="preserve">(Addition)</t>
  </si>
  <si>
    <t xml:space="preserve">Repayment</t>
  </si>
  <si>
    <t xml:space="preserve">Ending Balance</t>
  </si>
  <si>
    <t xml:space="preserve">    Interest Rate</t>
  </si>
  <si>
    <t xml:space="preserve">Excess Cash Flow Recapture</t>
  </si>
  <si>
    <t xml:space="preserve">TRANSACTION ASSUMPTIONS:</t>
  </si>
  <si>
    <t xml:space="preserve">Transaction Date:</t>
  </si>
  <si>
    <t xml:space="preserve">Transaction Date Adjustment:</t>
  </si>
  <si>
    <t xml:space="preserve">Fraction:</t>
  </si>
  <si>
    <t xml:space="preserve">Pre Transaction Revenues</t>
  </si>
  <si>
    <t xml:space="preserve">Months:</t>
  </si>
  <si>
    <t xml:space="preserve">and Expenses, and</t>
  </si>
  <si>
    <t xml:space="preserve">Post Transaction Revenues</t>
  </si>
  <si>
    <t xml:space="preserve">and Expenses in fiscal</t>
  </si>
  <si>
    <t xml:space="preserve">Fiscal Year End:</t>
  </si>
  <si>
    <t xml:space="preserve">Transaction Funds Flow</t>
  </si>
  <si>
    <t xml:space="preserve">Subsequent Fundings</t>
  </si>
  <si>
    <t xml:space="preserve">Transaction</t>
  </si>
  <si>
    <t xml:space="preserve">Sources:</t>
  </si>
  <si>
    <t xml:space="preserve">Totals</t>
  </si>
  <si>
    <t xml:space="preserve">Date</t>
  </si>
  <si>
    <t xml:space="preserve">Purchase Term Loan</t>
  </si>
  <si>
    <t xml:space="preserve">Other Term Loan</t>
  </si>
  <si>
    <t xml:space="preserve">Common Stock</t>
  </si>
  <si>
    <t xml:space="preserve">Cash on Hand</t>
  </si>
  <si>
    <t xml:space="preserve">Sources</t>
  </si>
  <si>
    <t xml:space="preserve">Uses:</t>
  </si>
  <si>
    <t xml:space="preserve">Capital Exp.:</t>
  </si>
  <si>
    <t xml:space="preserve">PP&amp;E</t>
  </si>
  <si>
    <t xml:space="preserve">Dividend/Distribution</t>
  </si>
  <si>
    <t xml:space="preserve">Treasury Stock Acquisition</t>
  </si>
  <si>
    <t xml:space="preserve">Transaction Fees</t>
  </si>
  <si>
    <t xml:space="preserve">Excess Cash/Other Funding</t>
  </si>
  <si>
    <t xml:space="preserve">Uses</t>
  </si>
  <si>
    <t xml:space="preserve">Proof:</t>
  </si>
  <si>
    <t xml:space="preserve">TRANSACTION FEES:</t>
  </si>
  <si>
    <t xml:space="preserve">Tax Life</t>
  </si>
  <si>
    <t xml:space="preserve">Accounting</t>
  </si>
  <si>
    <t xml:space="preserve">%</t>
  </si>
  <si>
    <t xml:space="preserve">$</t>
  </si>
  <si>
    <t xml:space="preserve">(Yrs)</t>
  </si>
  <si>
    <t xml:space="preserve">Treatment</t>
  </si>
  <si>
    <t xml:space="preserve">Transaction Advisory Fee</t>
  </si>
  <si>
    <t xml:space="preserve">NA</t>
  </si>
  <si>
    <t xml:space="preserve">Expensed:</t>
  </si>
  <si>
    <t xml:space="preserve">Other Fees and Expenses</t>
  </si>
  <si>
    <t xml:space="preserve">Capitalized:</t>
  </si>
  <si>
    <t xml:space="preserve">Upfront Placement Fees:</t>
  </si>
  <si>
    <t xml:space="preserve">15 yrs MACRS (1/2 yr.)</t>
  </si>
  <si>
    <t xml:space="preserve">SL Amortization</t>
  </si>
  <si>
    <t xml:space="preserve">*(As % of Commitment)</t>
  </si>
  <si>
    <t xml:space="preserve">Total</t>
  </si>
  <si>
    <t xml:space="preserve">HISTORICAL AND OPENING BALANCE SHEETS:</t>
  </si>
  <si>
    <t xml:space="preserve">Latest United Financials</t>
  </si>
  <si>
    <t xml:space="preserve">ASSETS:</t>
  </si>
  <si>
    <t xml:space="preserve">Add</t>
  </si>
  <si>
    <t xml:space="preserve">Subtract</t>
  </si>
  <si>
    <t xml:space="preserve">Operating Cash</t>
  </si>
  <si>
    <t xml:space="preserve">Cash and Marketable Securities</t>
  </si>
  <si>
    <t xml:space="preserve">Accounts Receivable</t>
  </si>
  <si>
    <t xml:space="preserve">Inventories</t>
  </si>
  <si>
    <t xml:space="preserve">Other Current Assets</t>
  </si>
  <si>
    <t xml:space="preserve">Total Current Assets</t>
  </si>
  <si>
    <t xml:space="preserve">Intangibles</t>
  </si>
  <si>
    <t xml:space="preserve">e502</t>
  </si>
  <si>
    <t xml:space="preserve">Gross PP&amp;E</t>
  </si>
  <si>
    <t xml:space="preserve">Accumulated Depreciation</t>
  </si>
  <si>
    <t xml:space="preserve">Net PP&amp;E</t>
  </si>
  <si>
    <t xml:space="preserve">Loan - Intercompany (Sunco)</t>
  </si>
  <si>
    <t xml:space="preserve">Debt Service/O&amp;M Reserve</t>
  </si>
  <si>
    <t xml:space="preserve">Total Assets</t>
  </si>
  <si>
    <t xml:space="preserve">LIABILITIES &amp; EQUITY:</t>
  </si>
  <si>
    <t xml:space="preserve">Accounts Payable</t>
  </si>
  <si>
    <t xml:space="preserve">Long-term</t>
  </si>
  <si>
    <t xml:space="preserve">Accrued Expenses</t>
  </si>
  <si>
    <t xml:space="preserve">Capitalization</t>
  </si>
  <si>
    <t xml:space="preserve">Other Payables</t>
  </si>
  <si>
    <t xml:space="preserve">Current Maturities</t>
  </si>
  <si>
    <t xml:space="preserve">Total Current Liabilities</t>
  </si>
  <si>
    <t xml:space="preserve">Loan - Intercompany (United)</t>
  </si>
  <si>
    <t xml:space="preserve">Other Liabilities</t>
  </si>
  <si>
    <t xml:space="preserve">Total Long-term Liabilities</t>
  </si>
  <si>
    <t xml:space="preserve">Total Liabilities</t>
  </si>
  <si>
    <t xml:space="preserve">Paid in Capital</t>
  </si>
  <si>
    <t xml:space="preserve">Treasury Stock</t>
  </si>
  <si>
    <t xml:space="preserve">Retained Earnings</t>
  </si>
  <si>
    <t xml:space="preserve">Preferred and Common Dividends</t>
  </si>
  <si>
    <t xml:space="preserve">Total Stockholders' Equity</t>
  </si>
  <si>
    <t xml:space="preserve">Total Liabilities &amp; Equity</t>
  </si>
  <si>
    <t xml:space="preserve">ADJUSTED WORKING CAPITAL INPUT:</t>
  </si>
  <si>
    <t xml:space="preserve">ADJ. WORKING CAPITAL ANALYSIS</t>
  </si>
  <si>
    <t xml:space="preserve">Operating Cash Balance</t>
  </si>
  <si>
    <t xml:space="preserve">Adjusted W/C Balance: </t>
  </si>
  <si>
    <t xml:space="preserve">Increase/(Decrease) in O&amp;M Reserve Acccount</t>
  </si>
  <si>
    <t xml:space="preserve">Total Scheduled Debt Service</t>
  </si>
  <si>
    <t xml:space="preserve">O&amp;M Reserve Account</t>
  </si>
  <si>
    <t xml:space="preserve">Total Required Reserve</t>
  </si>
  <si>
    <t xml:space="preserve">Starting Reserve</t>
  </si>
  <si>
    <t xml:space="preserve">Reserve Additions (Subtractions) for DS account</t>
  </si>
  <si>
    <t xml:space="preserve">Reserve Additions (Subtractions) for O&amp;M Account</t>
  </si>
  <si>
    <t xml:space="preserve">Ending Reserve</t>
  </si>
  <si>
    <t xml:space="preserve">TEMP:====&gt;</t>
  </si>
  <si>
    <t xml:space="preserve">Increase/(Decrease) in Reserve Accounts</t>
  </si>
  <si>
    <t xml:space="preserve">Summary!$E$44*0.25</t>
  </si>
  <si>
    <t xml:space="preserve">Summary!$E$50*0.125</t>
  </si>
  <si>
    <t xml:space="preserve">Summary!$E$50*0.625</t>
  </si>
  <si>
    <t xml:space="preserve">Summary!$E$56*0.25</t>
  </si>
  <si>
    <t xml:space="preserve">Summary!$E$62*0.125</t>
  </si>
  <si>
    <t xml:space="preserve">Summary!$E$62*0.625</t>
  </si>
  <si>
    <t xml:space="preserve">SCHEDULED DEBT AND STOCK</t>
  </si>
  <si>
    <t xml:space="preserve">Bank Amortization Schedule</t>
  </si>
  <si>
    <t xml:space="preserve">    REPAYMENT AND ADDITIONS:</t>
  </si>
  <si>
    <t xml:space="preserve">Standard Amortization</t>
  </si>
  <si>
    <t xml:space="preserve">Adjusted Amortization</t>
  </si>
  <si>
    <t xml:space="preserve">Standard Repayment</t>
  </si>
  <si>
    <t xml:space="preserve">Monetization Debt Paydown</t>
  </si>
  <si>
    <t xml:space="preserve">(Scheduled Additions)</t>
  </si>
  <si>
    <t xml:space="preserve">Interest Deferral: (YES or NO)</t>
  </si>
  <si>
    <t xml:space="preserve">NO</t>
  </si>
  <si>
    <t xml:space="preserve">Interest Deferral Tax Deductible: (YES or NO)</t>
  </si>
  <si>
    <t xml:space="preserve">YES</t>
  </si>
  <si>
    <t xml:space="preserve">MIN</t>
  </si>
  <si>
    <t xml:space="preserve">Interest Rate Deferred</t>
  </si>
  <si>
    <t xml:space="preserve">AVE</t>
  </si>
  <si>
    <t xml:space="preserve">Amount Deferred (Accrued Semi-annually)</t>
  </si>
  <si>
    <t xml:space="preserve">IRR</t>
  </si>
  <si>
    <t xml:space="preserve">Excess Cash Flow Recapture:</t>
  </si>
  <si>
    <t xml:space="preserve">Coverages</t>
  </si>
  <si>
    <t xml:space="preserve">Amount Deferred (Accrued Semi-annually)-Avg Balance</t>
  </si>
  <si>
    <t xml:space="preserve">Treasury Stock Purchases</t>
  </si>
  <si>
    <t xml:space="preserve">(Issues)</t>
  </si>
  <si>
    <t xml:space="preserve">INTEREST RATES, COUPON RATES AND</t>
  </si>
  <si>
    <t xml:space="preserve">DIVIDEND YIELDS:</t>
  </si>
  <si>
    <t xml:space="preserve">Hist Common Div'ds</t>
  </si>
  <si>
    <t xml:space="preserve">Dividend Payout Ratio</t>
  </si>
  <si>
    <t xml:space="preserve">Interest Earned on Cash Balances?</t>
  </si>
  <si>
    <t xml:space="preserve">Hist Int Income/Int on Cash Balances</t>
  </si>
  <si>
    <t xml:space="preserve">HISTORICAL AND PROFORMA NON-OPERATING ASSUMPTIONS:</t>
  </si>
  <si>
    <t xml:space="preserve">FYE:</t>
  </si>
  <si>
    <t xml:space="preserve">Amortization:</t>
  </si>
  <si>
    <t xml:space="preserve">Amortization   -  Transaction Fees</t>
  </si>
  <si>
    <r>
      <rPr>
        <sz val="8"/>
        <rFont val="Arial"/>
        <family val="0"/>
      </rPr>
      <t xml:space="preserve">Amortization   -  Intangibles </t>
    </r>
    <r>
      <rPr>
        <i val="true"/>
        <sz val="8"/>
        <rFont val="Arial"/>
        <family val="0"/>
      </rPr>
      <t xml:space="preserve">(from operating sheet)</t>
    </r>
  </si>
  <si>
    <t xml:space="preserve">    Total Amortization Expense</t>
  </si>
  <si>
    <t xml:space="preserve">Other Income (excluding interest income)</t>
  </si>
  <si>
    <t xml:space="preserve">ASSET SALES</t>
  </si>
  <si>
    <t xml:space="preserve">Gross Sale Price</t>
  </si>
  <si>
    <t xml:space="preserve">Gross Book Value of Assets Sold</t>
  </si>
  <si>
    <t xml:space="preserve">Accumulated Depreciation - Book</t>
  </si>
  <si>
    <t xml:space="preserve">Net Book Value of Assets Sold</t>
  </si>
  <si>
    <t xml:space="preserve">Pretax Gain/(Loss) - Book</t>
  </si>
  <si>
    <t xml:space="preserve">Change in Book Depreciation  Expense Associated with Assets Sold</t>
  </si>
  <si>
    <t xml:space="preserve">Net Tax Value - Regular Tax*</t>
  </si>
  <si>
    <t xml:space="preserve">Pretax Gain/(Loss) - Tax</t>
  </si>
  <si>
    <t xml:space="preserve">Change in Tax Depreciation Expense Associated with Assets Sold</t>
  </si>
  <si>
    <t xml:space="preserve">*Default to Book Gain/(Loss)</t>
  </si>
  <si>
    <t xml:space="preserve">TAX ASSUMPTIONS:</t>
  </si>
  <si>
    <t xml:space="preserve">    $</t>
  </si>
  <si>
    <t xml:space="preserve">    %</t>
  </si>
  <si>
    <t xml:space="preserve">Historical Book Taxes</t>
  </si>
  <si>
    <t xml:space="preserve">Gross Receipt Tax</t>
  </si>
  <si>
    <t xml:space="preserve">INCOME TAX CALCULATION:</t>
  </si>
  <si>
    <t xml:space="preserve">REGULAR IRS TAXES:</t>
  </si>
  <si>
    <t xml:space="preserve">Income before Taxes</t>
  </si>
  <si>
    <t xml:space="preserve">Add Back:</t>
  </si>
  <si>
    <t xml:space="preserve">Book Depreciation</t>
  </si>
  <si>
    <t xml:space="preserve">Book Loss/(Gain) on Asset Sales</t>
  </si>
  <si>
    <t xml:space="preserve">Deduct: </t>
  </si>
  <si>
    <t xml:space="preserve">Tax Depreciation (Regular)</t>
  </si>
  <si>
    <t xml:space="preserve">Tax Loss/(Gain) on Asset Sales (Regular)</t>
  </si>
  <si>
    <t xml:space="preserve">Taxable Income before NOL</t>
  </si>
  <si>
    <t xml:space="preserve">Beginning NOL Balance</t>
  </si>
  <si>
    <t xml:space="preserve">Less: NOL Expired</t>
  </si>
  <si>
    <t xml:space="preserve">NOL Applicable</t>
  </si>
  <si>
    <t xml:space="preserve">NOL (Addition)</t>
  </si>
  <si>
    <t xml:space="preserve">NOL Used</t>
  </si>
  <si>
    <t xml:space="preserve">Ending NOL Balance</t>
  </si>
  <si>
    <t xml:space="preserve">Taxable Income After NOL</t>
  </si>
  <si>
    <t xml:space="preserve">State Taxes @</t>
  </si>
  <si>
    <t xml:space="preserve">Federal Taxes @</t>
  </si>
  <si>
    <t xml:space="preserve">Regular Taxes before AMT Tax Credit</t>
  </si>
  <si>
    <t xml:space="preserve">BOOK TAXES:</t>
  </si>
  <si>
    <t xml:space="preserve">Taxable Book Income before NOL </t>
  </si>
  <si>
    <t xml:space="preserve">Taxable Book Income After NOL</t>
  </si>
  <si>
    <t xml:space="preserve">Book Taxes</t>
  </si>
  <si>
    <t xml:space="preserve">Cash Taxes Paid (greater of AMT Taxes or Regular Taxes)</t>
  </si>
  <si>
    <t xml:space="preserve">DISCOUNTED CASHFLOW VALUATION ANALYSIS:</t>
  </si>
  <si>
    <t xml:space="preserve">OPERATING CASH FLOWS:</t>
  </si>
  <si>
    <t xml:space="preserve">Initial Equity Investment</t>
  </si>
  <si>
    <t xml:space="preserve">Plus:</t>
  </si>
  <si>
    <t xml:space="preserve">Amortization &amp; Depreciation</t>
  </si>
  <si>
    <t xml:space="preserve">Less:</t>
  </si>
  <si>
    <t xml:space="preserve">Increase/(Decrease) in Adjusted W/C (ex. OpCash)</t>
  </si>
  <si>
    <t xml:space="preserve">Operating Cash Flows</t>
  </si>
  <si>
    <t xml:space="preserve">Capital Expenditures</t>
  </si>
  <si>
    <t xml:space="preserve">Debt Principal Repayment</t>
  </si>
  <si>
    <t xml:space="preserve">Disbursements from Debt</t>
  </si>
  <si>
    <t xml:space="preserve">Proceeds from Asset Sales</t>
  </si>
  <si>
    <t xml:space="preserve">(Decrease)/Increase in Other Assets/Liabilities</t>
  </si>
  <si>
    <t xml:space="preserve">Net Cash Flow Available to All Equity Holders</t>
  </si>
  <si>
    <t xml:space="preserve">Valuation</t>
  </si>
  <si>
    <t xml:space="preserve">Annuity</t>
  </si>
  <si>
    <t xml:space="preserve">W/Terminal Value</t>
  </si>
  <si>
    <t xml:space="preserve">Debt Service Coverage</t>
  </si>
  <si>
    <t xml:space="preserve">EBIT + DD&amp;A</t>
  </si>
  <si>
    <t xml:space="preserve">Interest Expense</t>
  </si>
  <si>
    <t xml:space="preserve">Debt Repayment</t>
  </si>
  <si>
    <t xml:space="preserve">(Pre-Tax) Debt Cvg. Ratio</t>
  </si>
  <si>
    <t xml:space="preserve">Terminal Value in Year 2019:</t>
  </si>
  <si>
    <t xml:space="preserve">Running IRR</t>
  </si>
  <si>
    <t xml:space="preserve">Total Sale Price</t>
  </si>
  <si>
    <t xml:space="preserve">Book Value for Tax Purposes</t>
  </si>
  <si>
    <t xml:space="preserve">Average Loan Life</t>
  </si>
  <si>
    <t xml:space="preserve">Net After Tax Proceeds</t>
  </si>
  <si>
    <t xml:space="preserve">Working Capital Balance</t>
  </si>
  <si>
    <t xml:space="preserve">Additions</t>
  </si>
  <si>
    <t xml:space="preserve">Repayments</t>
  </si>
  <si>
    <t xml:space="preserve">Current and Long-Term Portions of Debt</t>
  </si>
  <si>
    <t xml:space="preserve">Life</t>
  </si>
  <si>
    <t xml:space="preserve">Weighted Average Life</t>
  </si>
  <si>
    <t xml:space="preserve">Discounted Operating Cash Flows</t>
  </si>
  <si>
    <t xml:space="preserve">Discounted Terminal Value</t>
  </si>
  <si>
    <t xml:space="preserve">Investments (Excess Cash)</t>
  </si>
  <si>
    <t xml:space="preserve">Firm Value Today</t>
  </si>
  <si>
    <t xml:space="preserve">Data from Operating Section</t>
  </si>
  <si>
    <t xml:space="preserve">Data to Operating Section</t>
  </si>
  <si>
    <t xml:space="preserve">Fraction of current year</t>
  </si>
  <si>
    <t xml:space="preserve">Unit</t>
  </si>
  <si>
    <t xml:space="preserve">FASB CASH FLOW ANALYSIS</t>
  </si>
  <si>
    <t xml:space="preserve">Cash Flow From Operating Activities:</t>
  </si>
  <si>
    <t xml:space="preserve">Losses/(Gains)</t>
  </si>
  <si>
    <t xml:space="preserve">Add/</t>
  </si>
  <si>
    <t xml:space="preserve">(Subtract)</t>
  </si>
  <si>
    <t xml:space="preserve">Change in:</t>
  </si>
  <si>
    <t xml:space="preserve">Cash Flow From Investing Activities:</t>
  </si>
  <si>
    <t xml:space="preserve">Fees</t>
  </si>
  <si>
    <t xml:space="preserve">Cash Flow From Financing Activities:</t>
  </si>
  <si>
    <t xml:space="preserve">Dividends Paid</t>
  </si>
  <si>
    <t xml:space="preserve">Scheduled Debt and Preferred Stock Reductions</t>
  </si>
  <si>
    <t xml:space="preserve">Proceeds of Debt &amp; Stock Issues</t>
  </si>
  <si>
    <t xml:space="preserve">Net Increase/(Decrease) in Cash and Cash Equivalents</t>
  </si>
  <si>
    <t xml:space="preserve">Unlevered Free Cash Flows</t>
  </si>
  <si>
    <t xml:space="preserve">Cash Flows </t>
  </si>
  <si>
    <t xml:space="preserve">Discount rate</t>
  </si>
  <si>
    <t xml:space="preserve">Discount Factor</t>
  </si>
  <si>
    <t xml:space="preserve">Cash Flows</t>
  </si>
  <si>
    <t xml:space="preserve">PV</t>
  </si>
  <si>
    <t xml:space="preserve">ValDate</t>
  </si>
  <si>
    <t xml:space="preserve">Capital Price</t>
  </si>
  <si>
    <t xml:space="preserve">Underwriting COF</t>
  </si>
  <si>
    <t xml:space="preserve">Be Careful with Copying Rows, Formulas in the Grey Cells Are "Special".</t>
  </si>
  <si>
    <t xml:space="preserve">First Month of Price Curve:</t>
  </si>
  <si>
    <t xml:space="preserve">Peak Premium ($)</t>
  </si>
  <si>
    <t xml:space="preserve">Capacity Payments on Peak Only</t>
  </si>
  <si>
    <t xml:space="preserve">Starting Date</t>
  </si>
  <si>
    <t xml:space="preserve">Q1 Curve Adder</t>
  </si>
  <si>
    <t xml:space="preserve">Off-Peak Premium ($)</t>
  </si>
  <si>
    <t xml:space="preserve">NPC has first right of refusal on the Off-Peak</t>
  </si>
  <si>
    <t xml:space="preserve">Q2 Curve Adder</t>
  </si>
  <si>
    <t xml:space="preserve">Total Blended Premium ($)</t>
  </si>
  <si>
    <t xml:space="preserve">Up-Fr. Cost ($/MWh)</t>
  </si>
  <si>
    <t xml:space="preserve">Nominal MWh</t>
  </si>
  <si>
    <t xml:space="preserve">Summer Months</t>
  </si>
  <si>
    <t xml:space="preserve">Winter Months</t>
  </si>
  <si>
    <t xml:space="preserve">Q3 Curve Adder</t>
  </si>
  <si>
    <t xml:space="preserve">=(IF($B17&lt;Summary!$E$27,SpreadOptionPowerMargin,SpreadOptionPowerMargin_2)+(SpreadOptionGasMargin*$CQ18/1000)+Summary!$O$94*(VLOOKUP(A18,GasTable,17)+Summary!$O$89))</t>
  </si>
  <si>
    <t xml:space="preserve">Intrinsic Value ($)</t>
  </si>
  <si>
    <t xml:space="preserve">Annuitized Cost ($/MWh)</t>
  </si>
  <si>
    <t xml:space="preserve">PV MWh</t>
  </si>
  <si>
    <t xml:space="preserve">May - Sept</t>
  </si>
  <si>
    <t xml:space="preserve">Oct - Apr</t>
  </si>
  <si>
    <t xml:space="preserve">Q4 Curve Adder</t>
  </si>
  <si>
    <t xml:space="preserve">Time Value ($)</t>
  </si>
  <si>
    <t xml:space="preserve">Annuitized Cost ($/kW-mo)</t>
  </si>
  <si>
    <t xml:space="preserve">Demand Charge Div.</t>
  </si>
  <si>
    <t xml:space="preserve">12 Peak Hours</t>
  </si>
  <si>
    <t xml:space="preserve">13 Peak Hours</t>
  </si>
  <si>
    <t xml:space="preserve">Transmission Losses</t>
  </si>
  <si>
    <t xml:space="preserve">HE 1100 to 2200</t>
  </si>
  <si>
    <t xml:space="preserve">HE 0600 to 1000 and 1700 to 2400</t>
  </si>
  <si>
    <t xml:space="preserve">FW19/(CQ19/1000)</t>
  </si>
  <si>
    <t xml:space="preserve">Calendar</t>
  </si>
  <si>
    <t xml:space="preserve">Discounting</t>
  </si>
  <si>
    <t xml:space="preserve">Volatilities</t>
  </si>
  <si>
    <t xml:space="preserve">Peak-</t>
  </si>
  <si>
    <t xml:space="preserve">Availability</t>
  </si>
  <si>
    <t xml:space="preserve">"Minimum Operation" Take</t>
  </si>
  <si>
    <t xml:space="preserve">"Supplemental Operation" Take</t>
  </si>
  <si>
    <t xml:space="preserve">Supplemental</t>
  </si>
  <si>
    <t xml:space="preserve">Spread Option Section</t>
  </si>
  <si>
    <t xml:space="preserve">Weekday</t>
  </si>
  <si>
    <t xml:space="preserve">Saturday</t>
  </si>
  <si>
    <t xml:space="preserve">Sunday</t>
  </si>
  <si>
    <t xml:space="preserve">Monthly</t>
  </si>
  <si>
    <t xml:space="preserve">15-Day</t>
  </si>
  <si>
    <t xml:space="preserve">Number Of Various Days</t>
  </si>
  <si>
    <t xml:space="preserve">MWHs</t>
  </si>
  <si>
    <t xml:space="preserve">Effective</t>
  </si>
  <si>
    <t xml:space="preserve">Operation</t>
  </si>
  <si>
    <t xml:space="preserve">Yrs</t>
  </si>
  <si>
    <t xml:space="preserve">                      "Minimum Operation" Market Price Curve</t>
  </si>
  <si>
    <t xml:space="preserve">               "Supplemental Operation" Market Price Curve (Mid)</t>
  </si>
  <si>
    <t xml:space="preserve">Gas Price ($/MWh)</t>
  </si>
  <si>
    <t xml:space="preserve">Power-</t>
  </si>
  <si>
    <t xml:space="preserve">Variable O$M ($/MWh)</t>
  </si>
  <si>
    <t xml:space="preserve">Power Vols</t>
  </si>
  <si>
    <t xml:space="preserve">Undiscounted Value</t>
  </si>
  <si>
    <t xml:space="preserve">Demand</t>
  </si>
  <si>
    <t xml:space="preserve">Contracted Power</t>
  </si>
  <si>
    <t xml:space="preserve">Power Produced from Plant to Fulfill Contract </t>
  </si>
  <si>
    <t xml:space="preserve">Total Fuel &amp; Variable Cost</t>
  </si>
  <si>
    <t xml:space="preserve">Excess Power Sold to Nevada</t>
  </si>
  <si>
    <t xml:space="preserve">Excess Power Produced from Plant Sold to Market</t>
  </si>
  <si>
    <t xml:space="preserve">Power Bought from Market to Fulfill Contract</t>
  </si>
  <si>
    <t xml:space="preserve">Delivery</t>
  </si>
  <si>
    <t xml:space="preserve">Possible</t>
  </si>
  <si>
    <t xml:space="preserve">Deal</t>
  </si>
  <si>
    <t xml:space="preserve">Interest</t>
  </si>
  <si>
    <t xml:space="preserve">Discount</t>
  </si>
  <si>
    <t xml:space="preserve">Peak Sat</t>
  </si>
  <si>
    <t xml:space="preserve">Peak Sun</t>
  </si>
  <si>
    <t xml:space="preserve">Power</t>
  </si>
  <si>
    <t xml:space="preserve">Between Deal Start And End</t>
  </si>
  <si>
    <t xml:space="preserve">Outages</t>
  </si>
  <si>
    <t xml:space="preserve">Taken</t>
  </si>
  <si>
    <t xml:space="preserve">Scalars</t>
  </si>
  <si>
    <t xml:space="preserve">to</t>
  </si>
  <si>
    <t xml:space="preserve">Peak </t>
  </si>
  <si>
    <t xml:space="preserve">Before Vol Smile Adjustment</t>
  </si>
  <si>
    <t xml:space="preserve">Min</t>
  </si>
  <si>
    <t xml:space="preserve">Sup</t>
  </si>
  <si>
    <t xml:space="preserve">Vol</t>
  </si>
  <si>
    <t xml:space="preserve">Blended</t>
  </si>
  <si>
    <t xml:space="preserve">Charge</t>
  </si>
  <si>
    <t xml:space="preserve">% of</t>
  </si>
  <si>
    <t xml:space="preserve">Contracted Net</t>
  </si>
  <si>
    <t xml:space="preserve">MWHs Contracted</t>
  </si>
  <si>
    <t xml:space="preserve">Energy</t>
  </si>
  <si>
    <t xml:space="preserve">Energy </t>
  </si>
  <si>
    <t xml:space="preserve">Peak Capacity</t>
  </si>
  <si>
    <t xml:space="preserve">Capacity</t>
  </si>
  <si>
    <t xml:space="preserve">"Minimum Operation" MWHs Sold</t>
  </si>
  <si>
    <t xml:space="preserve">"Supplemental Operation" MWHs Sold</t>
  </si>
  <si>
    <t xml:space="preserve">Gas Used</t>
  </si>
  <si>
    <t xml:space="preserve">Base Gas</t>
  </si>
  <si>
    <t xml:space="preserve">Managing Swing</t>
  </si>
  <si>
    <t xml:space="preserve">Market Wheeling Cost / Market O&amp;M</t>
  </si>
  <si>
    <t xml:space="preserve">"Supplemental Operation" MWHs Sold </t>
  </si>
  <si>
    <t xml:space="preserve">Volumes</t>
  </si>
  <si>
    <t xml:space="preserve">Market Sales</t>
  </si>
  <si>
    <t xml:space="preserve">MWHs Bought from Market</t>
  </si>
  <si>
    <t xml:space="preserve">Market Purchases</t>
  </si>
  <si>
    <t xml:space="preserve">                               Revenues</t>
  </si>
  <si>
    <t xml:space="preserve">                                                                     Expenses</t>
  </si>
  <si>
    <t xml:space="preserve">Net Revenue</t>
  </si>
  <si>
    <t xml:space="preserve">Holiday</t>
  </si>
  <si>
    <t xml:space="preserve">Starts</t>
  </si>
  <si>
    <t xml:space="preserve">Ends</t>
  </si>
  <si>
    <t xml:space="preserve">Factor</t>
  </si>
  <si>
    <t xml:space="preserve">of Funds</t>
  </si>
  <si>
    <t xml:space="preserve">Corr</t>
  </si>
  <si>
    <t xml:space="preserve">Week</t>
  </si>
  <si>
    <t xml:space="preserve">Sat</t>
  </si>
  <si>
    <t xml:space="preserve">Sun</t>
  </si>
  <si>
    <t xml:space="preserve">Hol</t>
  </si>
  <si>
    <t xml:space="preserve">Peak,Week</t>
  </si>
  <si>
    <t xml:space="preserve">Peak,Sat</t>
  </si>
  <si>
    <t xml:space="preserve">Peak,Sun</t>
  </si>
  <si>
    <t xml:space="preserve">Exp.</t>
  </si>
  <si>
    <t xml:space="preserve">Min Peak</t>
  </si>
  <si>
    <t xml:space="preserve">Sup Peak</t>
  </si>
  <si>
    <t xml:space="preserve">All Hours</t>
  </si>
  <si>
    <t xml:space="preserve">Peak-Sun</t>
  </si>
  <si>
    <t xml:space="preserve">Divisor</t>
  </si>
  <si>
    <t xml:space="preserve">Option </t>
  </si>
  <si>
    <t xml:space="preserve">Hourly Capacity</t>
  </si>
  <si>
    <t xml:space="preserve">Peak, Week</t>
  </si>
  <si>
    <t xml:space="preserve">Blended Unit</t>
  </si>
  <si>
    <t xml:space="preserve">Duke</t>
  </si>
  <si>
    <t xml:space="preserve">Addt'l Pur.</t>
  </si>
  <si>
    <t xml:space="preserve">Reserv.</t>
  </si>
  <si>
    <t xml:space="preserve">Cacacity</t>
  </si>
  <si>
    <t xml:space="preserve">Blended Price</t>
  </si>
  <si>
    <t xml:space="preserve">Plant Operating Costs</t>
  </si>
  <si>
    <t xml:space="preserve">Market Wheeling / O&amp;M</t>
  </si>
  <si>
    <t xml:space="preserve">Market Purchase</t>
  </si>
  <si>
    <t xml:space="preserve">Bid</t>
  </si>
  <si>
    <t xml:space="preserve">Mid</t>
  </si>
  <si>
    <t xml:space="preserve">Offer</t>
  </si>
  <si>
    <t xml:space="preserve">-Hol</t>
  </si>
  <si>
    <t xml:space="preserve">Peak Only</t>
  </si>
  <si>
    <t xml:space="preserve">Wkdy</t>
  </si>
  <si>
    <t xml:space="preserve">(MW)</t>
  </si>
  <si>
    <t xml:space="preserve">WSCC</t>
  </si>
  <si>
    <t xml:space="preserve">NPC</t>
  </si>
  <si>
    <t xml:space="preserve">($)</t>
  </si>
  <si>
    <t xml:space="preserve">(mmbtu)</t>
  </si>
  <si>
    <t xml:space="preserve">($/mmbtu)</t>
  </si>
  <si>
    <t xml:space="preserve">Penalty</t>
  </si>
  <si>
    <t xml:space="preserve">Fee</t>
  </si>
  <si>
    <t xml:space="preserve">(MWHs)</t>
  </si>
  <si>
    <t xml:space="preserve">($/MWH)</t>
  </si>
  <si>
    <t xml:space="preserve">Contract Volumes</t>
  </si>
  <si>
    <t xml:space="preserve">Contract Price</t>
  </si>
  <si>
    <t xml:space="preserve">Contract Sales</t>
  </si>
  <si>
    <t xml:space="preserve">Market Volumes</t>
  </si>
  <si>
    <t xml:space="preserve">Market Price</t>
  </si>
  <si>
    <t xml:space="preserve">Total Revenues</t>
  </si>
  <si>
    <t xml:space="preserve">Gas (mmbtu)</t>
  </si>
  <si>
    <t xml:space="preserve">Gas Price</t>
  </si>
  <si>
    <t xml:space="preserve">Gas Cost</t>
  </si>
  <si>
    <t xml:space="preserve">O&amp;M Vol</t>
  </si>
  <si>
    <t xml:space="preserve">O&amp;M Price</t>
  </si>
  <si>
    <t xml:space="preserve">O&amp;M Cost</t>
  </si>
  <si>
    <t xml:space="preserve">Wheel (MWh)</t>
  </si>
  <si>
    <t xml:space="preserve">Wheel Cost</t>
  </si>
  <si>
    <t xml:space="preserve">Market Cost</t>
  </si>
  <si>
    <t xml:space="preserve">Power Cost</t>
  </si>
  <si>
    <t xml:space="preserve">.</t>
  </si>
  <si>
    <t xml:space="preserve">Old</t>
  </si>
  <si>
    <t xml:space="preserve">2015Q3</t>
  </si>
  <si>
    <t xml:space="preserve">2015Q4</t>
  </si>
  <si>
    <t xml:space="preserve">2016Q1</t>
  </si>
  <si>
    <t xml:space="preserve">2016Q2</t>
  </si>
  <si>
    <t xml:space="preserve">2016Q3</t>
  </si>
  <si>
    <t xml:space="preserve">2016Q4</t>
  </si>
  <si>
    <t xml:space="preserve">2017Q1</t>
  </si>
  <si>
    <t xml:space="preserve">2017Q2</t>
  </si>
  <si>
    <t xml:space="preserve">2017Q3</t>
  </si>
  <si>
    <t xml:space="preserve">2017Q4</t>
  </si>
  <si>
    <t xml:space="preserve">2018Q1</t>
  </si>
  <si>
    <t xml:space="preserve">2018Q2</t>
  </si>
  <si>
    <t xml:space="preserve">2018Q3</t>
  </si>
  <si>
    <t xml:space="preserve">2018Q4</t>
  </si>
  <si>
    <t xml:space="preserve">2019Q1</t>
  </si>
  <si>
    <t xml:space="preserve">2019Q2</t>
  </si>
  <si>
    <t xml:space="preserve">2019Q3</t>
  </si>
  <si>
    <t xml:space="preserve">2019Q4</t>
  </si>
  <si>
    <t xml:space="preserve">2020Q1</t>
  </si>
  <si>
    <t xml:space="preserve">2020Q2</t>
  </si>
  <si>
    <t xml:space="preserve">2020Q3</t>
  </si>
  <si>
    <t xml:space="preserve">2020Q4</t>
  </si>
  <si>
    <t xml:space="preserve">2021Q1</t>
  </si>
  <si>
    <t xml:space="preserve">2021Q2</t>
  </si>
  <si>
    <t xml:space="preserve">2021Q3</t>
  </si>
  <si>
    <t xml:space="preserve">2021Q4</t>
  </si>
  <si>
    <t xml:space="preserve">Intrinsic Value Formula</t>
  </si>
  <si>
    <t xml:space="preserve">Option Value Formula</t>
  </si>
  <si>
    <t xml:space="preserve">Gas Curves</t>
  </si>
  <si>
    <t xml:space="preserve">Last Date Of Monthly Vol:</t>
  </si>
  <si>
    <t xml:space="preserve">REGION 11</t>
  </si>
  <si>
    <t xml:space="preserve">SP15</t>
  </si>
  <si>
    <t xml:space="preserve">Unused</t>
  </si>
  <si>
    <t xml:space="preserve">Nymex Price</t>
  </si>
  <si>
    <t xml:space="preserve">UP Fuels</t>
  </si>
  <si>
    <t xml:space="preserve">Final</t>
  </si>
  <si>
    <t xml:space="preserve">Addt'l</t>
  </si>
  <si>
    <t xml:space="preserve">Actual Mid</t>
  </si>
  <si>
    <t xml:space="preserve">Monthly Volatilities</t>
  </si>
  <si>
    <t xml:space="preserve">Intra-Month Volatilties</t>
  </si>
  <si>
    <t xml:space="preserve">Volatility</t>
  </si>
  <si>
    <t xml:space="preserve">Spreads</t>
  </si>
  <si>
    <t xml:space="preserve">Change in</t>
  </si>
  <si>
    <t xml:space="preserve">Basis</t>
  </si>
  <si>
    <t xml:space="preserve">Fixed</t>
  </si>
  <si>
    <t xml:space="preserve">SoCal</t>
  </si>
  <si>
    <t xml:space="preserve">Purchase</t>
  </si>
  <si>
    <t xml:space="preserve">NYMEX</t>
  </si>
  <si>
    <t xml:space="preserve">Excluding</t>
  </si>
  <si>
    <t xml:space="preserve">Year-on-</t>
  </si>
  <si>
    <t xml:space="preserve">Henwood</t>
  </si>
  <si>
    <t xml:space="preserve">Rockies</t>
  </si>
  <si>
    <t xml:space="preserve">PEAK</t>
  </si>
  <si>
    <t xml:space="preserve">OffPeak</t>
  </si>
  <si>
    <t xml:space="preserve">Group</t>
  </si>
  <si>
    <t xml:space="preserve">Prudent</t>
  </si>
  <si>
    <t xml:space="preserve">Tenths of 1c</t>
  </si>
  <si>
    <t xml:space="preserve">Mid Basis</t>
  </si>
  <si>
    <t xml:space="preserve">MID</t>
  </si>
  <si>
    <t xml:space="preserve">Year Esc.</t>
  </si>
  <si>
    <t xml:space="preserve">Opal</t>
  </si>
  <si>
    <t xml:space="preserve">Code</t>
  </si>
  <si>
    <t xml:space="preserve">Gas Swap Price</t>
  </si>
  <si>
    <t xml:space="preserve">Inflated</t>
  </si>
  <si>
    <t xml:space="preserve">10 year gas</t>
  </si>
  <si>
    <t xml:space="preserve">O&amp;M EXPENSES ($'000s)</t>
  </si>
  <si>
    <t xml:space="preserve">FIXED EXPENSES</t>
  </si>
  <si>
    <t xml:space="preserve">Labor</t>
  </si>
  <si>
    <t xml:space="preserve">Salaries and Wages</t>
  </si>
  <si>
    <t xml:space="preserve">Performance Incentive</t>
  </si>
  <si>
    <t xml:space="preserve">Training Expenses</t>
  </si>
  <si>
    <t xml:space="preserve">Annual Maintenance Contracts</t>
  </si>
  <si>
    <t xml:space="preserve">Subtotal:</t>
  </si>
  <si>
    <t xml:space="preserve">Repairs &amp; Maintenance</t>
  </si>
  <si>
    <t xml:space="preserve">Repairs/Maintenance</t>
  </si>
  <si>
    <t xml:space="preserve">Building Repairs</t>
  </si>
  <si>
    <t xml:space="preserve">Supplies</t>
  </si>
  <si>
    <t xml:space="preserve">Vehicle Expense</t>
  </si>
  <si>
    <t xml:space="preserve">GT - Scheduled Maintenance</t>
  </si>
  <si>
    <t xml:space="preserve">GT - Unscheduled Maintenance</t>
  </si>
  <si>
    <t xml:space="preserve">ST - Scheduled Maintenance</t>
  </si>
  <si>
    <t xml:space="preserve">ST - Unscheduled Maintenance</t>
  </si>
  <si>
    <t xml:space="preserve">Boiler Mainenance - HRSG - Scheduled</t>
  </si>
  <si>
    <t xml:space="preserve">Boiler Maintenance - HRSG - Unscheduled</t>
  </si>
  <si>
    <t xml:space="preserve">Equipment Rentals</t>
  </si>
  <si>
    <t xml:space="preserve">Small Tools</t>
  </si>
  <si>
    <t xml:space="preserve">Leased Engine</t>
  </si>
  <si>
    <t xml:space="preserve">Chemicals</t>
  </si>
  <si>
    <t xml:space="preserve">Ammonia</t>
  </si>
  <si>
    <t xml:space="preserve">Lubricants</t>
  </si>
  <si>
    <t xml:space="preserve">RO Unit Rental</t>
  </si>
  <si>
    <t xml:space="preserve">Demineralized Water Treatment</t>
  </si>
  <si>
    <t xml:space="preserve">Water Chemicals</t>
  </si>
  <si>
    <t xml:space="preserve">CEMS Gases</t>
  </si>
  <si>
    <t xml:space="preserve">Gas Demand Charges</t>
  </si>
  <si>
    <t xml:space="preserve">SW Gas Transport Fee</t>
  </si>
  <si>
    <t xml:space="preserve">Kern River Transport Fee</t>
  </si>
  <si>
    <t xml:space="preserve">Reserved for future use</t>
  </si>
  <si>
    <t xml:space="preserve">Consulting</t>
  </si>
  <si>
    <t xml:space="preserve">Consulting Fees</t>
  </si>
  <si>
    <t xml:space="preserve">Outside Labour</t>
  </si>
  <si>
    <t xml:space="preserve">Outside Testing</t>
  </si>
  <si>
    <t xml:space="preserve">Other</t>
  </si>
  <si>
    <t xml:space="preserve">Insurance</t>
  </si>
  <si>
    <t xml:space="preserve">Water/Sewer</t>
  </si>
  <si>
    <t xml:space="preserve">Freight</t>
  </si>
  <si>
    <t xml:space="preserve">Waste Removal</t>
  </si>
  <si>
    <t xml:space="preserve">Safety Equipment</t>
  </si>
  <si>
    <t xml:space="preserve">Emissions Testing/Expense</t>
  </si>
  <si>
    <t xml:space="preserve">Inc. O&amp;M Adjustment</t>
  </si>
  <si>
    <t xml:space="preserve">Total Fixed Expenses:</t>
  </si>
  <si>
    <t xml:space="preserve">VARIABLE O&amp;M EXPENSES</t>
  </si>
  <si>
    <t xml:space="preserve">Cost of Gas</t>
  </si>
  <si>
    <t xml:space="preserve">Var. Gas Transport - Kern &amp; SWGas</t>
  </si>
  <si>
    <t xml:space="preserve">Other Variable Costs</t>
  </si>
  <si>
    <t xml:space="preserve">Total Operating Expenses:</t>
  </si>
  <si>
    <t xml:space="preserve">GENERAL &amp; ADMINISTRATIVE</t>
  </si>
  <si>
    <t xml:space="preserve">Travel Expense</t>
  </si>
  <si>
    <t xml:space="preserve">Meals/Entertainment</t>
  </si>
  <si>
    <t xml:space="preserve">Taxes/Licences</t>
  </si>
  <si>
    <t xml:space="preserve">Telephone</t>
  </si>
  <si>
    <t xml:space="preserve">Donations</t>
  </si>
  <si>
    <t xml:space="preserve">Dues/Subscriptions</t>
  </si>
  <si>
    <t xml:space="preserve">Postage</t>
  </si>
  <si>
    <t xml:space="preserve">Banker Trust Fee</t>
  </si>
  <si>
    <t xml:space="preserve">Agent Bank Fee</t>
  </si>
  <si>
    <t xml:space="preserve">Debt Srvc Reserve Enron Undertaking Fees</t>
  </si>
  <si>
    <t xml:space="preserve">LOC Fee - Duke Fuels</t>
  </si>
  <si>
    <t xml:space="preserve">LOC Fee - Southwest Gas</t>
  </si>
  <si>
    <t xml:space="preserve">Real Estate Taxes</t>
  </si>
  <si>
    <t xml:space="preserve">Real Property Taxes</t>
  </si>
  <si>
    <t xml:space="preserve">Corporate Services</t>
  </si>
  <si>
    <t xml:space="preserve">Power Technical Support</t>
  </si>
  <si>
    <t xml:space="preserve">Tax Returns</t>
  </si>
  <si>
    <t xml:space="preserve">Audit</t>
  </si>
  <si>
    <t xml:space="preserve">Legal</t>
  </si>
  <si>
    <t xml:space="preserve">Human Resources</t>
  </si>
  <si>
    <t xml:space="preserve">Information Technology</t>
  </si>
  <si>
    <t xml:space="preserve">Insurance Support</t>
  </si>
  <si>
    <t xml:space="preserve">Corporate Secretary/Records</t>
  </si>
  <si>
    <t xml:space="preserve">Treasury</t>
  </si>
  <si>
    <t xml:space="preserve">Total G&amp;A Expenses:</t>
  </si>
  <si>
    <t xml:space="preserve">TOTAL O&amp;M EXPENSES</t>
  </si>
  <si>
    <t xml:space="preserve">LAS VEGAS COGEN SENSITIVITY ANALYSIS</t>
  </si>
  <si>
    <t xml:space="preserve">Offer Case</t>
  </si>
  <si>
    <t xml:space="preserve">No PA to PC</t>
  </si>
  <si>
    <t xml:space="preserve">PA to PC</t>
  </si>
  <si>
    <t xml:space="preserve">Base Case* </t>
  </si>
  <si>
    <t xml:space="preserve">Market Case</t>
  </si>
  <si>
    <t xml:space="preserve">1 x LM6000 SC</t>
  </si>
  <si>
    <t xml:space="preserve">LOI 4/21/99</t>
  </si>
  <si>
    <t xml:space="preserve">Upgrade</t>
  </si>
  <si>
    <t xml:space="preserve">w/ NYMEX</t>
  </si>
  <si>
    <t xml:space="preserve">w/ fixed gas</t>
  </si>
  <si>
    <r>
      <rPr>
        <u val="single"/>
        <sz val="12"/>
        <rFont val="Arial"/>
        <family val="2"/>
      </rPr>
      <t xml:space="preserve">United Equity Cash Flows </t>
    </r>
    <r>
      <rPr>
        <i val="true"/>
        <u val="single"/>
        <sz val="12"/>
        <rFont val="Arial"/>
        <family val="2"/>
      </rPr>
      <t xml:space="preserve">(in thousands of US$)</t>
    </r>
  </si>
  <si>
    <t xml:space="preserve">ASSUMPTIONS</t>
  </si>
  <si>
    <t xml:space="preserve">Plant Output</t>
  </si>
  <si>
    <t xml:space="preserve">57MW</t>
  </si>
  <si>
    <t xml:space="preserve">50MW</t>
  </si>
  <si>
    <t xml:space="preserve">104MW</t>
  </si>
  <si>
    <t xml:space="preserve">Investments</t>
  </si>
  <si>
    <t xml:space="preserve">NPC Contract Volume**</t>
  </si>
  <si>
    <t xml:space="preserve">45MW</t>
  </si>
  <si>
    <t xml:space="preserve">Enron Net Cash to United</t>
  </si>
  <si>
    <t xml:space="preserve">NPC Avoided Cost Volume</t>
  </si>
  <si>
    <t xml:space="preserve">5MW or 50MW</t>
  </si>
  <si>
    <t xml:space="preserve">0MW</t>
  </si>
  <si>
    <t xml:space="preserve">Nova Scotia penalty</t>
  </si>
  <si>
    <t xml:space="preserve">Market Volume</t>
  </si>
  <si>
    <t xml:space="preserve">7MW</t>
  </si>
  <si>
    <t xml:space="preserve">12MW or 57MW</t>
  </si>
  <si>
    <t xml:space="preserve">59MW or 104MW</t>
  </si>
  <si>
    <t xml:space="preserve">Avg. Heat Rate (btu/kwh)</t>
  </si>
  <si>
    <t xml:space="preserve">(57MW + 47MW)</t>
  </si>
  <si>
    <t xml:space="preserve">Market Optionality</t>
  </si>
  <si>
    <t xml:space="preserve">Yes</t>
  </si>
  <si>
    <t xml:space="preserve">Market Wheeling Cost</t>
  </si>
  <si>
    <t xml:space="preserve">$5.50/MWh</t>
  </si>
  <si>
    <t xml:space="preserve">$5.00/MWh</t>
  </si>
  <si>
    <t xml:space="preserve">Power Curve</t>
  </si>
  <si>
    <t xml:space="preserve">PV Mid</t>
  </si>
  <si>
    <t xml:space="preserve">CONTRACT MONETIZATION:</t>
  </si>
  <si>
    <t xml:space="preserve">PV of Contract Cash Flows</t>
  </si>
  <si>
    <t xml:space="preserve">Purchase Cost ($MM)</t>
  </si>
  <si>
    <t xml:space="preserve">PV of Replacement (Palo Verde Mid)</t>
  </si>
  <si>
    <t xml:space="preserve">United Net Gain (Loss)</t>
  </si>
  <si>
    <t xml:space="preserve">PV of Above Mkt CF</t>
  </si>
  <si>
    <t xml:space="preserve">Credit Reserve</t>
  </si>
  <si>
    <t xml:space="preserve">Incr. Capex ($MM)</t>
  </si>
  <si>
    <t xml:space="preserve">Value after Credit Reserve</t>
  </si>
  <si>
    <t xml:space="preserve">Yearly Fixed Opex ($MM)</t>
  </si>
  <si>
    <t xml:space="preserve">LOI Payments</t>
  </si>
  <si>
    <t xml:space="preserve">G&amp;A ($MM)</t>
  </si>
  <si>
    <t xml:space="preserve">Transaction Fee</t>
  </si>
  <si>
    <t xml:space="preserve">Funding Spread (BPS)</t>
  </si>
  <si>
    <t xml:space="preserve">17 year gas price</t>
  </si>
  <si>
    <t xml:space="preserve">NYMEX Offer</t>
  </si>
  <si>
    <t xml:space="preserve">$2.35/mmbtu</t>
  </si>
  <si>
    <t xml:space="preserve">MTM Earnings</t>
  </si>
  <si>
    <t xml:space="preserve">Curve Date</t>
  </si>
  <si>
    <t xml:space="preserve">Variable Gas Transport</t>
  </si>
  <si>
    <t xml:space="preserve">$0.06/mmbtu</t>
  </si>
  <si>
    <t xml:space="preserve">Inflation (%)</t>
  </si>
  <si>
    <t xml:space="preserve">Debt/Equity Ratio</t>
  </si>
  <si>
    <t xml:space="preserve">80/20</t>
  </si>
  <si>
    <t xml:space="preserve">Debt Amount</t>
  </si>
  <si>
    <t xml:space="preserve">Term (years)</t>
  </si>
  <si>
    <t xml:space="preserve">OUTPUTS - ECT Returns</t>
  </si>
  <si>
    <t xml:space="preserve">Equity Investment ($MM)</t>
  </si>
  <si>
    <t xml:space="preserve">NPV12 ($MM)</t>
  </si>
  <si>
    <t xml:space="preserve">Equity Returns</t>
  </si>
  <si>
    <t xml:space="preserve">Avg DSC Ratio (Pre-tax)</t>
  </si>
  <si>
    <t xml:space="preserve">1.20x</t>
  </si>
  <si>
    <t xml:space="preserve">1.29x</t>
  </si>
  <si>
    <t xml:space="preserve">1.36x</t>
  </si>
  <si>
    <t xml:space="preserve">1.40x</t>
  </si>
  <si>
    <t xml:space="preserve">1.53x</t>
  </si>
  <si>
    <t xml:space="preserve">1.42x</t>
  </si>
  <si>
    <t xml:space="preserve">1.47x</t>
  </si>
  <si>
    <t xml:space="preserve">1.57x</t>
  </si>
  <si>
    <t xml:space="preserve">Note 1*</t>
  </si>
  <si>
    <t xml:space="preserve">Base case includes greenhouse payments and assumes a PA to PC conversion that generates excess energy that is wheeled and sold at Mead.</t>
  </si>
  <si>
    <t xml:space="preserve">Market volumes are assumed to have daily optionality, computed using PV Mid.  Time value of the option is included as an additional source of revenue.</t>
  </si>
  <si>
    <t xml:space="preserve">Note 2**</t>
  </si>
  <si>
    <t xml:space="preserve">NPC Peak Summer hours: HE1100 to HE1200 (12 hours) </t>
  </si>
  <si>
    <t xml:space="preserve">NPC Peak Winter hours: HE0600 to HE1000 (5 hours) and HE1700 to HE2400 (8 hours)</t>
  </si>
  <si>
    <t xml:space="preserve">WSCC Peak hours: HE0700 to HE2200 (16 hours)</t>
  </si>
</sst>
</file>

<file path=xl/styles.xml><?xml version="1.0" encoding="utf-8"?>
<styleSheet xmlns="http://schemas.openxmlformats.org/spreadsheetml/2006/main">
  <numFmts count="82">
    <numFmt numFmtId="164" formatCode="General"/>
    <numFmt numFmtId="165" formatCode="[$-409]#,##0_);[RED]\(#,##0\)"/>
    <numFmt numFmtId="166" formatCode="_(* #,##0_);_(* \(#,##0\);_(* \-_);_(@_)"/>
    <numFmt numFmtId="167" formatCode="_-* #,##0_-;\-* #,##0_-;_-* \-_-;_-@_-"/>
    <numFmt numFmtId="168" formatCode="_ * #,##0_ ;_ * \-#,##0_ ;_ * \-_ ;_ @_ "/>
    <numFmt numFmtId="169" formatCode="[$-409]#,##0.00_);[RED]\(#,##0.00\)"/>
    <numFmt numFmtId="170" formatCode="_(* #,##0.00_);_(* \(#,##0.00\);_(* \-??_);_(@_)"/>
    <numFmt numFmtId="171" formatCode="_-* #,##0.00_-;\-* #,##0.00_-;_-* \-??_-;_-@_-"/>
    <numFmt numFmtId="172" formatCode="#,##0.00"/>
    <numFmt numFmtId="173" formatCode="_ * #,##0.00_ ;_ * \-#,##0.00_ ;_ * \-??_ ;_ @_ "/>
    <numFmt numFmtId="174" formatCode="\$#,##0_);[RED]&quot;($&quot;#,##0\)"/>
    <numFmt numFmtId="175" formatCode="_(\$* #,##0_);_(\$* \(#,##0\);_(\$* \-_);_(@_)"/>
    <numFmt numFmtId="176" formatCode="_-\$* #,##0_-;&quot;-$&quot;* #,##0_-;_-\$* \-_-;_-@_-"/>
    <numFmt numFmtId="177" formatCode="\$#,##0.00_);[RED]&quot;($&quot;#,##0.00\)"/>
    <numFmt numFmtId="178" formatCode="_(\$* #,##0.00_);_(\$* \(#,##0.00\);_(\$* \-??_);_(@_)"/>
    <numFmt numFmtId="179" formatCode="_-\$* #,##0.00_-;&quot;-$&quot;* #,##0.00_-;_-\$* \-??_-;_-@_-"/>
    <numFmt numFmtId="180" formatCode="_ &quot;CHF &quot;* #,##0.00_ ;_ &quot;CHF &quot;* \-#,##0.00_ ;_ &quot;CHF &quot;* \-??_ ;_ @_ "/>
    <numFmt numFmtId="181" formatCode="_-* #,##0\ _D_M_-;\-* #,##0\ _D_M_-;_-* &quot;- &quot;_D_M_-;_-@_-"/>
    <numFmt numFmtId="182" formatCode="_-* #,##0.00\ _D_M_-;\-* #,##0.00\ _D_M_-;_-* \-??\ _D_M_-;_-@_-"/>
    <numFmt numFmtId="183" formatCode="[$-409]#,##0_);\(#,##0\)"/>
    <numFmt numFmtId="184" formatCode="General_)"/>
    <numFmt numFmtId="185" formatCode="#,##0"/>
    <numFmt numFmtId="186" formatCode="0.000000_)"/>
    <numFmt numFmtId="187" formatCode="_(\$* #,##0.00_);_(\$* \(#,##0.00\);_(\$* \-????_);_(@_)"/>
    <numFmt numFmtId="188" formatCode="_-* #,##0&quot; DM&quot;_-;\-* #,##0&quot; DM&quot;_-;_-* &quot;- DM&quot;_-;_-@_-"/>
    <numFmt numFmtId="189" formatCode="0%"/>
    <numFmt numFmtId="190" formatCode="0.0%"/>
    <numFmt numFmtId="191" formatCode="[$-409]m/d/yyyy"/>
    <numFmt numFmtId="192" formatCode="0.0"/>
    <numFmt numFmtId="193" formatCode="\$#,##0_);&quot;($&quot;#,##0\)"/>
    <numFmt numFmtId="194" formatCode="_(* #,##0_);_(* \(#,##0\);_(* \-??_);_(@_)"/>
    <numFmt numFmtId="195" formatCode="\$#,##0.00"/>
    <numFmt numFmtId="196" formatCode="0.00%"/>
    <numFmt numFmtId="197" formatCode="0"/>
    <numFmt numFmtId="198" formatCode="_(\$* #,##0_);_(\$* \(#,##0\);_(\$* \-??_);_(@_)"/>
    <numFmt numFmtId="199" formatCode="_(* #,##0.0_);_(* \(#,##0.0\);_(* \-??_);_(@_)"/>
    <numFmt numFmtId="200" formatCode="\$#,##0.00_);&quot;($&quot;#,##0.00\)"/>
    <numFmt numFmtId="201" formatCode="0.000"/>
    <numFmt numFmtId="202" formatCode="0.00E+00"/>
    <numFmt numFmtId="203" formatCode="\$#,##0.000_);&quot;($&quot;#,##0.000\)"/>
    <numFmt numFmtId="204" formatCode="mm/dd/yy"/>
    <numFmt numFmtId="205" formatCode="\$#,##0.0000_);&quot;($&quot;#,##0.0000\)"/>
    <numFmt numFmtId="206" formatCode="#,##0.000_);\(#,##0.000\)"/>
    <numFmt numFmtId="207" formatCode="0.00"/>
    <numFmt numFmtId="208" formatCode="[$-409]d\-mmm\-yy"/>
    <numFmt numFmtId="209" formatCode="yyyy"/>
    <numFmt numFmtId="210" formatCode="[$-409]h:mm\ AM/PM"/>
    <numFmt numFmtId="211" formatCode="0;[RED]0"/>
    <numFmt numFmtId="212" formatCode="[$-409]0"/>
    <numFmt numFmtId="213" formatCode="[$-409]mmm\-yy"/>
    <numFmt numFmtId="214" formatCode="#,##0.000"/>
    <numFmt numFmtId="215" formatCode="0.00000%"/>
    <numFmt numFmtId="216" formatCode="0.0000%"/>
    <numFmt numFmtId="217" formatCode="0.00000"/>
    <numFmt numFmtId="218" formatCode="0_)"/>
    <numFmt numFmtId="219" formatCode="[$-409]#,##0"/>
    <numFmt numFmtId="220" formatCode="[$-409]#,##0.00"/>
    <numFmt numFmtId="221" formatCode="hh:mm\ AM/PM_)"/>
    <numFmt numFmtId="222" formatCode="mm/dd/yy_)"/>
    <numFmt numFmtId="223" formatCode="[$-409]0.00%"/>
    <numFmt numFmtId="224" formatCode="#,##0.0_);\(#,##0.0\)"/>
    <numFmt numFmtId="225" formatCode="[$-409]0%"/>
    <numFmt numFmtId="226" formatCode="[$-409]mm/dd/yy"/>
    <numFmt numFmtId="227" formatCode="0.000%"/>
    <numFmt numFmtId="228" formatCode=";;;"/>
    <numFmt numFmtId="229" formatCode="#,##0.00000_);\(#,##0.00000\)"/>
    <numFmt numFmtId="230" formatCode="[$-409]#,##0.00_);\(#,##0.00\)"/>
    <numFmt numFmtId="231" formatCode="mmm\-dd"/>
    <numFmt numFmtId="232" formatCode="#,##0.0_);[RED]\(#,##0.0\)"/>
    <numFmt numFmtId="233" formatCode="0.0000"/>
    <numFmt numFmtId="234" formatCode="_(* #,##0.000_);_(* \(#,##0.000\);_(* \-??_);_(@_)"/>
    <numFmt numFmtId="235" formatCode="\$#,##0.000_);[RED]&quot;($&quot;#,##0.000\)"/>
    <numFmt numFmtId="236" formatCode="[$-409]m/d/yyyy\ h:mm"/>
    <numFmt numFmtId="237" formatCode="@"/>
    <numFmt numFmtId="238" formatCode="_(* #,##0.000_);_(* \(#,##0.000\);_(* \-_);_(@_)"/>
    <numFmt numFmtId="239" formatCode="_(* #,##0.00_);_(* \(#,##0.00\);_(* \-_);_(@_)"/>
    <numFmt numFmtId="240" formatCode="#,##0.0000_);[RED]\(#,##0.0000\)"/>
    <numFmt numFmtId="241" formatCode="0_);[RED]\-0_)"/>
    <numFmt numFmtId="242" formatCode="mmm\-yy_)"/>
    <numFmt numFmtId="243" formatCode="dd\-mmm\-yy_)"/>
    <numFmt numFmtId="244" formatCode="#,##0.000_);[RED]\(#,##0.000\)"/>
    <numFmt numFmtId="245" formatCode="\$#,##0.0_);&quot;($&quot;#,##0.0\)"/>
  </numFmts>
  <fonts count="8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0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MS Sans Serif"/>
      <family val="2"/>
    </font>
    <font>
      <sz val="12"/>
      <color rgb="FF000000"/>
      <name val="Arial MT"/>
      <family val="0"/>
    </font>
    <font>
      <sz val="10"/>
      <name val="Courier New"/>
      <family val="0"/>
    </font>
    <font>
      <sz val="8"/>
      <name val=""/>
      <family val="0"/>
    </font>
    <font>
      <sz val="10"/>
      <name val="Arial"/>
      <family val="2"/>
    </font>
    <font>
      <sz val="11"/>
      <name val="Arial"/>
      <family val="0"/>
    </font>
    <font>
      <sz val="10"/>
      <name val="MS Sans Serif"/>
      <family val="0"/>
    </font>
    <font>
      <sz val="8"/>
      <name val="Arial"/>
      <family val="2"/>
    </font>
    <font>
      <sz val="10"/>
      <color rgb="FF000000"/>
      <name val="Arial"/>
      <family val="2"/>
    </font>
    <font>
      <sz val="8"/>
      <name val="Times New Roman"/>
      <family val="0"/>
    </font>
    <font>
      <sz val="12"/>
      <name val="Arial"/>
      <family val="0"/>
    </font>
    <font>
      <sz val="8"/>
      <color rgb="FF0000FF"/>
      <name val="Arial"/>
      <family val="2"/>
    </font>
    <font>
      <b val="true"/>
      <sz val="12"/>
      <color rgb="FF3333CC"/>
      <name val="Arial"/>
      <family val="2"/>
    </font>
    <font>
      <b val="true"/>
      <sz val="10"/>
      <name val="Arial"/>
      <family val="2"/>
    </font>
    <font>
      <b val="true"/>
      <i val="true"/>
      <sz val="10"/>
      <name val="Arial"/>
      <family val="2"/>
    </font>
    <font>
      <b val="true"/>
      <sz val="10"/>
      <color rgb="FF3333CC"/>
      <name val="Arial"/>
      <family val="2"/>
    </font>
    <font>
      <b val="true"/>
      <u val="single"/>
      <sz val="8"/>
      <name val="Arial"/>
      <family val="2"/>
    </font>
    <font>
      <i val="true"/>
      <u val="single"/>
      <sz val="8"/>
      <name val="Arial"/>
      <family val="2"/>
    </font>
    <font>
      <i val="true"/>
      <sz val="8"/>
      <name val="Arial"/>
      <family val="2"/>
    </font>
    <font>
      <b val="true"/>
      <sz val="8"/>
      <name val="Arial"/>
      <family val="2"/>
    </font>
    <font>
      <b val="true"/>
      <sz val="8"/>
      <color rgb="FF3333CC"/>
      <name val="Arial"/>
      <family val="2"/>
    </font>
    <font>
      <sz val="8"/>
      <color rgb="FF3333CC"/>
      <name val="Arial"/>
      <family val="2"/>
    </font>
    <font>
      <b val="true"/>
      <sz val="8"/>
      <color rgb="FF0000FF"/>
      <name val="Arial"/>
      <family val="2"/>
    </font>
    <font>
      <sz val="7"/>
      <name val="Arial"/>
      <family val="2"/>
    </font>
    <font>
      <sz val="6"/>
      <name val="Arial"/>
      <family val="2"/>
    </font>
    <font>
      <b val="true"/>
      <u val="single"/>
      <sz val="10"/>
      <name val="Arial"/>
      <family val="2"/>
    </font>
    <font>
      <i val="true"/>
      <sz val="6"/>
      <name val="Arial"/>
      <family val="2"/>
    </font>
    <font>
      <u val="single"/>
      <sz val="8"/>
      <name val="Arial"/>
      <family val="2"/>
    </font>
    <font>
      <b val="true"/>
      <u val="single"/>
      <sz val="8"/>
      <color rgb="FF3333CC"/>
      <name val="Arial"/>
      <family val="2"/>
    </font>
    <font>
      <sz val="8"/>
      <color rgb="FFFF0000"/>
      <name val="Arial"/>
      <family val="2"/>
    </font>
    <font>
      <b val="true"/>
      <sz val="10"/>
      <color rgb="FFFF0000"/>
      <name val="Arial"/>
      <family val="2"/>
    </font>
    <font>
      <b val="true"/>
      <sz val="8"/>
      <color rgb="FF0000FF"/>
      <name val="Arial"/>
      <family val="0"/>
    </font>
    <font>
      <b val="true"/>
      <i val="true"/>
      <u val="single"/>
      <sz val="8"/>
      <name val="Arial"/>
      <family val="2"/>
    </font>
    <font>
      <b val="true"/>
      <sz val="10"/>
      <color rgb="FF0000FF"/>
      <name val="Arial"/>
      <family val="2"/>
    </font>
    <font>
      <b val="true"/>
      <sz val="11"/>
      <name val="Arial"/>
      <family val="2"/>
    </font>
    <font>
      <b val="true"/>
      <sz val="12"/>
      <name val="Arial"/>
      <family val="2"/>
    </font>
    <font>
      <sz val="8"/>
      <color rgb="FFFFFFFF"/>
      <name val="Arial"/>
      <family val="0"/>
    </font>
    <font>
      <sz val="8"/>
      <color rgb="FFFFFFFF"/>
      <name val=""/>
      <family val="0"/>
    </font>
    <font>
      <sz val="7"/>
      <name val="Arial"/>
      <family val="0"/>
    </font>
    <font>
      <b val="true"/>
      <sz val="8"/>
      <name val="Arial"/>
      <family val="0"/>
    </font>
    <font>
      <i val="true"/>
      <sz val="8"/>
      <name val="Arial"/>
      <family val="0"/>
    </font>
    <font>
      <b val="true"/>
      <sz val="8"/>
      <color rgb="FFFFFFFF"/>
      <name val="Arial"/>
      <family val="2"/>
    </font>
    <font>
      <sz val="8"/>
      <color rgb="FFFFFFFF"/>
      <name val="Arial"/>
      <family val="2"/>
    </font>
    <font>
      <u val="single"/>
      <sz val="8"/>
      <color rgb="FF0000FF"/>
      <name val="Arial"/>
      <family val="2"/>
    </font>
    <font>
      <sz val="8"/>
      <color rgb="FF000000"/>
      <name val="Arial"/>
      <family val="2"/>
    </font>
    <font>
      <b val="true"/>
      <sz val="8"/>
      <color rgb="FFFF0000"/>
      <name val="Arial"/>
      <family val="2"/>
    </font>
    <font>
      <sz val="8"/>
      <color rgb="FF0000FF"/>
      <name val="Arial"/>
      <family val="0"/>
    </font>
    <font>
      <i val="true"/>
      <sz val="7.5"/>
      <color rgb="FF0000FF"/>
      <name val="Arial"/>
      <family val="2"/>
    </font>
    <font>
      <sz val="8"/>
      <color rgb="FF3333CC"/>
      <name val="Arial"/>
      <family val="0"/>
    </font>
    <font>
      <sz val="8"/>
      <color rgb="FF000000"/>
      <name val="Arial"/>
      <family val="0"/>
    </font>
    <font>
      <sz val="8"/>
      <color rgb="FFFF0000"/>
      <name val="Arial"/>
      <family val="0"/>
    </font>
    <font>
      <b val="true"/>
      <i val="true"/>
      <sz val="8"/>
      <name val="Arial"/>
      <family val="2"/>
    </font>
    <font>
      <i val="true"/>
      <sz val="8"/>
      <color rgb="FFFFFFFF"/>
      <name val="Arial"/>
      <family val="2"/>
    </font>
    <font>
      <b val="true"/>
      <i val="true"/>
      <sz val="8"/>
      <name val="Arial"/>
      <family val="0"/>
    </font>
    <font>
      <sz val="10"/>
      <color rgb="FF3333CC"/>
      <name val="Arial"/>
      <family val="2"/>
    </font>
    <font>
      <b val="true"/>
      <sz val="10"/>
      <name val="Arial"/>
      <family val="0"/>
    </font>
    <font>
      <sz val="10"/>
      <color rgb="FFFFFFFF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8"/>
      <color rgb="FF0000FF"/>
      <name val="Arial"/>
      <family val="0"/>
    </font>
    <font>
      <sz val="10"/>
      <color rgb="FF0000FF"/>
      <name val="Courier New"/>
      <family val="0"/>
    </font>
    <font>
      <b val="true"/>
      <sz val="10"/>
      <color rgb="FF000000"/>
      <name val="Courier New"/>
      <family val="0"/>
    </font>
    <font>
      <b val="true"/>
      <sz val="11"/>
      <color rgb="FFFF0000"/>
      <name val="Arial"/>
      <family val="2"/>
    </font>
    <font>
      <sz val="10"/>
      <color rgb="FF000000"/>
      <name val="Arial"/>
      <family val="0"/>
    </font>
    <font>
      <sz val="10"/>
      <color rgb="FF000000"/>
      <name val="Courier New"/>
      <family val="0"/>
    </font>
    <font>
      <sz val="10"/>
      <name val="Courier New"/>
      <family val="3"/>
    </font>
    <font>
      <b val="true"/>
      <sz val="10"/>
      <color rgb="FF000000"/>
      <name val="Arial"/>
      <family val="0"/>
    </font>
    <font>
      <b val="true"/>
      <u val="single"/>
      <sz val="9"/>
      <name val="Arial"/>
      <family val="2"/>
    </font>
    <font>
      <b val="true"/>
      <sz val="10"/>
      <color rgb="FF008080"/>
      <name val="Arial"/>
      <family val="2"/>
    </font>
    <font>
      <u val="single"/>
      <sz val="8"/>
      <color rgb="FF3333CC"/>
      <name val="Arial"/>
      <family val="2"/>
    </font>
    <font>
      <sz val="12"/>
      <name val="Arial"/>
      <family val="2"/>
    </font>
    <font>
      <b val="true"/>
      <u val="single"/>
      <sz val="14"/>
      <name val="Arial"/>
      <family val="2"/>
    </font>
    <font>
      <u val="single"/>
      <sz val="12"/>
      <name val="Arial"/>
      <family val="2"/>
    </font>
    <font>
      <i val="true"/>
      <u val="single"/>
      <sz val="12"/>
      <name val="Arial"/>
      <family val="2"/>
    </font>
    <font>
      <b val="true"/>
      <u val="single"/>
      <sz val="12"/>
      <name val="Arial"/>
      <family val="2"/>
    </font>
    <font>
      <i val="true"/>
      <sz val="12"/>
      <name val="Arial"/>
      <family val="2"/>
    </font>
    <font>
      <i val="true"/>
      <u val="single"/>
      <sz val="6"/>
      <name val="Arial"/>
      <family val="2"/>
    </font>
    <font>
      <b val="true"/>
      <u val="single"/>
      <sz val="12"/>
      <color rgb="FF3333CC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003300"/>
        <bgColor rgb="FF333300"/>
      </patternFill>
    </fill>
    <fill>
      <patternFill patternType="solid">
        <fgColor rgb="FFFFFF99"/>
        <bgColor rgb="FFFFFFBF"/>
      </patternFill>
    </fill>
    <fill>
      <patternFill patternType="solid">
        <fgColor rgb="FFC0C0C0"/>
        <bgColor rgb="FFA6CAF0"/>
      </patternFill>
    </fill>
    <fill>
      <patternFill patternType="solid">
        <fgColor rgb="FFFF00FF"/>
        <bgColor rgb="FFFF00FF"/>
      </patternFill>
    </fill>
    <fill>
      <patternFill patternType="solid">
        <fgColor rgb="FFE3E3E3"/>
        <bgColor rgb="FFCCFFCC"/>
      </patternFill>
    </fill>
    <fill>
      <patternFill patternType="solid">
        <fgColor rgb="FFA6CAF0"/>
        <bgColor rgb="FFA0E0E0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FFFBF"/>
        <bgColor rgb="FFFFFF99"/>
      </patternFill>
    </fill>
    <fill>
      <patternFill patternType="solid">
        <fgColor rgb="FFA0E0E0"/>
        <bgColor rgb="FFA6CAF0"/>
      </patternFill>
    </fill>
    <fill>
      <patternFill patternType="solid">
        <fgColor rgb="FFFF0000"/>
        <bgColor rgb="FF993300"/>
      </patternFill>
    </fill>
    <fill>
      <patternFill patternType="solid">
        <fgColor rgb="FFFF8080"/>
        <bgColor rgb="FFFF99CC"/>
      </patternFill>
    </fill>
  </fills>
  <borders count="9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ck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double"/>
      <right style="double"/>
      <top style="thin"/>
      <bottom style="double"/>
      <diagonal/>
    </border>
    <border diagonalUp="false" diagonalDown="false">
      <left/>
      <right style="double"/>
      <top style="thin"/>
      <bottom/>
      <diagonal/>
    </border>
    <border diagonalUp="false" diagonalDown="false">
      <left/>
      <right style="double"/>
      <top/>
      <bottom style="double"/>
      <diagonal/>
    </border>
    <border diagonalUp="false" diagonalDown="false">
      <left/>
      <right style="double"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 style="thin"/>
      <right style="double"/>
      <top style="double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 style="thin"/>
      <top style="double"/>
      <bottom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dotted"/>
      <right style="thin"/>
      <top style="thin"/>
      <bottom/>
      <diagonal/>
    </border>
    <border diagonalUp="false" diagonalDown="false">
      <left style="dotted"/>
      <right style="thin"/>
      <top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dotted"/>
      <right/>
      <top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thin"/>
      <diagonal/>
    </border>
  </borders>
  <cellStyleXfs count="26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8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2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2" borderId="0" applyFont="true" applyBorder="false" applyAlignment="false" applyProtection="false"/>
    <xf numFmtId="172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3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false" applyAlignment="false" applyProtection="false"/>
    <xf numFmtId="164" fontId="6" fillId="0" borderId="1" applyFont="true" applyBorder="true" applyAlignment="false" applyProtection="false"/>
    <xf numFmtId="183" fontId="7" fillId="0" borderId="0" applyFont="true" applyBorder="false" applyAlignment="false" applyProtection="false"/>
    <xf numFmtId="183" fontId="4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applyFont="true" applyBorder="false" applyAlignment="false" applyProtection="false"/>
    <xf numFmtId="183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applyFont="true" applyBorder="false" applyAlignment="false" applyProtection="false"/>
    <xf numFmtId="164" fontId="11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7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applyFont="true" applyBorder="true" applyAlignment="false" applyProtection="true">
      <protection locked="true" hidden="false"/>
    </xf>
    <xf numFmtId="18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83" fontId="4" fillId="0" borderId="0" applyFont="true" applyBorder="false" applyAlignment="false" applyProtection="false"/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0" applyFont="true" applyBorder="false" applyAlignment="false" applyProtection="false"/>
    <xf numFmtId="164" fontId="14" fillId="4" borderId="0" applyFont="true" applyBorder="false" applyAlignment="false" applyProtection="false"/>
    <xf numFmtId="183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4" borderId="0" applyFont="true" applyBorder="false" applyAlignment="false" applyProtection="false"/>
    <xf numFmtId="183" fontId="14" fillId="4" borderId="0" applyFont="true" applyBorder="false" applyAlignment="false" applyProtection="false"/>
    <xf numFmtId="164" fontId="4" fillId="5" borderId="0" applyFont="true" applyBorder="false" applyAlignment="false" applyProtection="false"/>
    <xf numFmtId="164" fontId="14" fillId="4" borderId="0" applyFont="true" applyBorder="false" applyAlignment="false" applyProtection="false"/>
    <xf numFmtId="164" fontId="4" fillId="5" borderId="0" applyFont="true" applyBorder="false" applyAlignment="false" applyProtection="false"/>
    <xf numFmtId="185" fontId="18" fillId="0" borderId="1" applyFont="true" applyBorder="true" applyAlignment="true" applyProtection="false">
      <alignment horizontal="general" vertical="bottom" textRotation="0" wrapText="false" indent="0" shrinkToFit="false"/>
    </xf>
    <xf numFmtId="185" fontId="18" fillId="6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</cellStyleXfs>
  <cellXfs count="150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4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2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7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95" fontId="27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7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29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27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7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5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29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29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4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7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9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14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3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4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26" fillId="4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7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4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27" fillId="4" borderId="6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6" fontId="27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9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7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4" fontId="27" fillId="4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4" borderId="5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3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7" fillId="4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26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20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4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26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6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9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4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1" fontId="29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2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3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200" fontId="2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20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7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7" fillId="4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3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27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27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4" fontId="27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7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35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6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6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7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3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7" fillId="4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29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6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4" borderId="5" xfId="0" applyFont="true" applyBorder="true" applyAlignment="true" applyProtection="false">
      <alignment horizontal="left" vertical="bottom" textRotation="0" wrapText="false" indent="7" shrinkToFit="false"/>
      <protection locked="true" hidden="false"/>
    </xf>
    <xf numFmtId="192" fontId="27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26" fillId="4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29" fillId="4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26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26" fillId="4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3" fontId="26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38" fillId="4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7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3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6" fontId="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41" fillId="7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4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8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8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40" fillId="8" borderId="12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9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9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8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0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7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2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8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8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0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3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43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5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9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8" fontId="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0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6" fontId="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9" fontId="4" fillId="11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11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1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10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7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23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3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2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3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9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1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4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0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6" fillId="0" borderId="0" xfId="18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18" fillId="0" borderId="24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189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25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5" xfId="189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5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4" fillId="0" borderId="25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26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2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2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0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28" xfId="2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7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1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13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18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1" fillId="0" borderId="27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3" fontId="1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14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7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1" fontId="18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0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7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2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6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9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1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1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9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51" fillId="9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1" fillId="0" borderId="32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6" fontId="4" fillId="9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6" fillId="0" borderId="25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2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1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6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5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2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1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3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2" fontId="33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5" fontId="33" fillId="1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17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1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2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189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24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6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189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189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89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24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14" fillId="0" borderId="0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24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18" fontId="4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14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4" fillId="0" borderId="24" xfId="25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1" fontId="18" fillId="0" borderId="24" xfId="25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4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1" fontId="4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6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2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3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8" fontId="4" fillId="0" borderId="3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01" fontId="4" fillId="0" borderId="3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7" fontId="4" fillId="0" borderId="3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52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0" fontId="4" fillId="0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14" fillId="0" borderId="24" xfId="25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4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8" fillId="0" borderId="3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6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6" fillId="0" borderId="0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8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8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3" fillId="0" borderId="0" xfId="5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8" fillId="0" borderId="0" xfId="5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46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8" fillId="0" borderId="24" xfId="5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9" fontId="18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8" fillId="0" borderId="24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18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14" fillId="0" borderId="0" xfId="18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4" fillId="0" borderId="32" xfId="189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24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9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1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8" fillId="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28" fillId="10" borderId="0" xfId="189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32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3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8" fillId="0" borderId="24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8" fillId="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8" fillId="10" borderId="0" xfId="189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32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7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3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29" fillId="1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32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2" xfId="22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2" fillId="0" borderId="0" xfId="2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32" xfId="22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16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0" fillId="0" borderId="0" xfId="16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1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22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4" fillId="0" borderId="0" xfId="16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" fillId="0" borderId="0" xfId="163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4" fillId="0" borderId="0" xfId="16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9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2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8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28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8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9" fontId="4" fillId="0" borderId="3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9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7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6" fillId="0" borderId="0" xfId="228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3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24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4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5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5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8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4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4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4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0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6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7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1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0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8" fillId="0" borderId="0" xfId="163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3" fontId="28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0" fontId="2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4" fillId="0" borderId="0" xfId="16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26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0" xfId="163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218" fontId="4" fillId="0" borderId="0" xfId="163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83" fontId="4" fillId="0" borderId="23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4" fillId="0" borderId="23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18" fontId="4" fillId="0" borderId="2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34" fillId="0" borderId="0" xfId="16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18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28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53" fillId="0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3" fontId="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4" fillId="0" borderId="32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3" fillId="0" borderId="26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53" fillId="0" borderId="37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4" fillId="0" borderId="1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3" fillId="0" borderId="27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18" fillId="0" borderId="3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3" fillId="0" borderId="29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3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0" xfId="5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47" fillId="0" borderId="0" xfId="163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" fillId="0" borderId="39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1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4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4" fillId="5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7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18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9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2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4" fillId="0" borderId="39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8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55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5" fontId="4" fillId="0" borderId="40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53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56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36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39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4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51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51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3" fontId="4" fillId="0" borderId="34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0" fillId="0" borderId="23" xfId="16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4" fillId="0" borderId="2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1" fontId="4" fillId="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4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4" fontId="18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4" fontId="53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4" fontId="18" fillId="0" borderId="0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53" fillId="0" borderId="0" xfId="116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6" fillId="0" borderId="3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9" fontId="4" fillId="0" borderId="4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42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3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2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14" fillId="4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53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4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29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31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8" fontId="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29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3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53" fillId="0" borderId="32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32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33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27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1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4" fillId="4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0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4" borderId="3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4" fillId="9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7" borderId="0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14" fillId="7" borderId="28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" fillId="7" borderId="1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7" borderId="11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26" fillId="7" borderId="1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7" borderId="1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4" fillId="0" borderId="4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0" borderId="4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5" borderId="4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4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13" borderId="43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4" fillId="0" borderId="0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23" fontId="28" fillId="9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29" fontId="14" fillId="4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2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29" fontId="14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4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8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18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18" fontId="53" fillId="0" borderId="0" xfId="163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30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3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23" fontId="18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57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3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9" fontId="4" fillId="0" borderId="39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0" borderId="39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1" fontId="4" fillId="5" borderId="44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5" borderId="44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" fillId="0" borderId="4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5" borderId="4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5" borderId="43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3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53" fillId="0" borderId="0" xfId="163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5" fontId="4" fillId="5" borderId="39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1" fontId="4" fillId="5" borderId="40" xfId="16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4" fillId="5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14" fillId="0" borderId="34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26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26" fillId="9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9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14" fillId="9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9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4" fillId="9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53" fillId="0" borderId="0" xfId="163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5" fontId="4" fillId="0" borderId="0" xfId="16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2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2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" fillId="0" borderId="25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25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53" fillId="0" borderId="25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3" fillId="0" borderId="25" xfId="16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2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7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45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14" fillId="0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32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3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27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8" fillId="0" borderId="29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8" fillId="0" borderId="3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2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7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0" xfId="16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3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6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3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13" borderId="0" xfId="163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13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13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34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4" fillId="0" borderId="35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10" fillId="0" borderId="25" xfId="16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4" fillId="0" borderId="47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9" fontId="4" fillId="0" borderId="48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4" fillId="0" borderId="45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8" fillId="0" borderId="27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8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" fillId="0" borderId="49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5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29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8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5" borderId="34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9" fillId="10" borderId="5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8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5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8" fillId="0" borderId="0" xfId="163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83" fontId="4" fillId="0" borderId="2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5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25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59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5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5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2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3" xfId="16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9" fontId="26" fillId="0" borderId="0" xfId="16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58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6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4" fillId="0" borderId="0" xfId="16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83" fontId="4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28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4" fillId="0" borderId="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23" fontId="28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5" fontId="4" fillId="0" borderId="0" xfId="16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9" fontId="4" fillId="0" borderId="0" xfId="16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2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8" fillId="0" borderId="0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9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3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5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7" fillId="0" borderId="54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4" fillId="0" borderId="0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5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33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28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26" fillId="0" borderId="5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6" fillId="0" borderId="28" xfId="16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26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26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34" fillId="0" borderId="0" xfId="163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4" fillId="0" borderId="0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4" fillId="0" borderId="28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28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207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0" borderId="56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9" fontId="4" fillId="0" borderId="3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228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47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25" fillId="0" borderId="5" xfId="163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26" fillId="0" borderId="32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3" fontId="26" fillId="0" borderId="0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7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6" fontId="26" fillId="0" borderId="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8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26" fillId="0" borderId="8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22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14" borderId="23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4" fillId="14" borderId="23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2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14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14" borderId="0" xfId="5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4" fillId="14" borderId="25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" fillId="14" borderId="25" xfId="16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52" fillId="14" borderId="0" xfId="16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6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5" fontId="4" fillId="14" borderId="0" xfId="16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14" borderId="0" xfId="163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4" fontId="4" fillId="14" borderId="0" xfId="16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20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60" fillId="0" borderId="0" xfId="163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4" fillId="0" borderId="3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60" fillId="0" borderId="0" xfId="163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57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0" borderId="51" xfId="16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7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26" fontId="4" fillId="10" borderId="1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8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4" fontId="4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33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34" fontId="4" fillId="2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1" fontId="4" fillId="0" borderId="0" xfId="228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0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6" fontId="6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6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20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40" fillId="0" borderId="5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2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62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62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7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20" fillId="13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7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0" fillId="0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62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8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0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2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false">
      <alignment horizontal="left" vertical="bottom" textRotation="0" wrapText="false" indent="11" shrinkToFit="false"/>
      <protection locked="true" hidden="false"/>
    </xf>
    <xf numFmtId="166" fontId="20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4" fontId="20" fillId="0" borderId="7" xfId="15" applyFont="true" applyBorder="true" applyAlignment="true" applyProtection="true">
      <alignment horizontal="left" vertical="bottom" textRotation="0" wrapText="false" indent="15" shrinkToFit="false"/>
      <protection locked="true" hidden="false"/>
    </xf>
    <xf numFmtId="166" fontId="2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1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5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85" fontId="0" fillId="0" borderId="50" xfId="0" applyFont="false" applyBorder="true" applyAlignment="true" applyProtection="false">
      <alignment horizontal="left" vertical="bottom" textRotation="0" wrapText="false" indent="7" shrinkToFit="false"/>
      <protection locked="true" hidden="false"/>
    </xf>
    <xf numFmtId="185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4" fontId="0" fillId="0" borderId="50" xfId="0" applyFont="false" applyBorder="true" applyAlignment="true" applyProtection="false">
      <alignment horizontal="left" vertical="bottom" textRotation="0" wrapText="false" indent="6" shrinkToFit="false"/>
      <protection locked="true" hidden="false"/>
    </xf>
    <xf numFmtId="164" fontId="0" fillId="0" borderId="49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7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0" xfId="0" applyFont="true" applyBorder="true" applyAlignment="true" applyProtection="false">
      <alignment horizontal="left" vertical="bottom" textRotation="0" wrapText="false" indent="8" shrinkToFit="false"/>
      <protection locked="true" hidden="false"/>
    </xf>
    <xf numFmtId="164" fontId="0" fillId="0" borderId="56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4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4" fontId="0" fillId="0" borderId="3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6" fontId="0" fillId="0" borderId="50" xfId="0" applyFont="true" applyBorder="true" applyAlignment="true" applyProtection="false">
      <alignment horizontal="left" vertical="bottom" textRotation="0" wrapText="false" indent="8" shrinkToFit="false"/>
      <protection locked="true" hidden="false"/>
    </xf>
    <xf numFmtId="166" fontId="0" fillId="0" borderId="5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5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49" xfId="0" applyFont="true" applyBorder="true" applyAlignment="true" applyProtection="false">
      <alignment horizontal="left" vertical="bottom" textRotation="0" wrapText="false" indent="6" shrinkToFit="false"/>
      <protection locked="true" hidden="false"/>
    </xf>
    <xf numFmtId="166" fontId="0" fillId="0" borderId="7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7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6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62" fillId="0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56" xfId="0" applyFont="true" applyBorder="true" applyAlignment="true" applyProtection="false">
      <alignment horizontal="left" vertical="bottom" textRotation="0" wrapText="false" indent="5" shrinkToFit="false"/>
      <protection locked="true" hidden="false"/>
    </xf>
    <xf numFmtId="164" fontId="0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3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3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2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50" xfId="0" applyFont="true" applyBorder="true" applyAlignment="true" applyProtection="false">
      <alignment horizontal="left" vertical="bottom" textRotation="0" wrapText="false" indent="15" shrinkToFit="false"/>
      <protection locked="true" hidden="false"/>
    </xf>
    <xf numFmtId="166" fontId="0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true" applyAlignment="true" applyProtection="false">
      <alignment horizontal="left" vertical="bottom" textRotation="0" wrapText="false" indent="10" shrinkToFit="false"/>
      <protection locked="true" hidden="false"/>
    </xf>
    <xf numFmtId="172" fontId="0" fillId="0" borderId="1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8" fontId="0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0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7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7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8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6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8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8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8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3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8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6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8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0" fillId="0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2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6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7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8" fontId="0" fillId="5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5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8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2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1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1" fillId="0" borderId="8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8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13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5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1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8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239" fontId="0" fillId="0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40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01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7" fontId="0" fillId="0" borderId="1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13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0" fontId="0" fillId="0" borderId="7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6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1" fontId="6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41" fontId="6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68" fillId="0" borderId="1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7" fillId="0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7" fillId="0" borderId="1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2" fontId="62" fillId="0" borderId="2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6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6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1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8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1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5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6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6" fontId="62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62" fillId="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8" fillId="0" borderId="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7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2" fillId="0" borderId="8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8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2" fillId="0" borderId="6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0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73" fillId="0" borderId="1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3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0" borderId="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2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5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0" fillId="4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4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20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5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3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4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4" fontId="1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0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0" fontId="4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3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0" fillId="9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9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0" fontId="3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30" fillId="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0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11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44" fontId="1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11" fillId="4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30" fillId="9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0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4" fillId="0" borderId="36" xfId="16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4" fontId="14" fillId="0" borderId="0" xfId="15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94" fontId="14" fillId="9" borderId="0" xfId="15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94" fontId="34" fillId="0" borderId="0" xfId="15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0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8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7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0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9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8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15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77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0" fontId="77" fillId="0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1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2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2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77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7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2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2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77" fillId="0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2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2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9" fontId="77" fillId="0" borderId="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5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5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5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5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83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23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3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5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0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0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5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5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5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7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4" shrinkToFit="false"/>
      <protection locked="true" hidden="false"/>
    </xf>
    <xf numFmtId="164" fontId="8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24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1 3 6 LIBOR" xfId="20"/>
    <cellStyle name="Comma [0]_12.4.98 Final Ver3 Updated 1.25.99-Weather Adjustment" xfId="21"/>
    <cellStyle name="Comma [0]_A" xfId="22"/>
    <cellStyle name="Comma [0]_Assumptions" xfId="23"/>
    <cellStyle name="Comma [0]_B" xfId="24"/>
    <cellStyle name="Comma [0]_Book3" xfId="25"/>
    <cellStyle name="Comma [0]_Cap X 11-12" xfId="26"/>
    <cellStyle name="Comma [0]_Cashflow" xfId="27"/>
    <cellStyle name="Comma [0]_CENTCF1G" xfId="28"/>
    <cellStyle name="Comma [0]_CFMODEL" xfId="29"/>
    <cellStyle name="Comma [0]_CFTEST49" xfId="30"/>
    <cellStyle name="Comma [0]_Curve_Backin5" xfId="31"/>
    <cellStyle name="Comma [0]_Delta-RAROC-11-9" xfId="32"/>
    <cellStyle name="Comma [0]_EVER1" xfId="33"/>
    <cellStyle name="Comma [0]_EXTEMP1" xfId="34"/>
    <cellStyle name="Comma [0]_H" xfId="35"/>
    <cellStyle name="Comma [0]_Int. Data Table" xfId="36"/>
    <cellStyle name="Comma [0]_OPCO4A" xfId="37"/>
    <cellStyle name="Comma [0]_priccurv" xfId="38"/>
    <cellStyle name="Comma [0]_PriceCurve" xfId="39"/>
    <cellStyle name="Comma [0]_PROFILE4" xfId="40"/>
    <cellStyle name="Comma [0]_SELECT" xfId="41"/>
    <cellStyle name="Comma [0]_sensitivities" xfId="42"/>
    <cellStyle name="Comma [0]_SUMMARY" xfId="43"/>
    <cellStyle name="Comma [0]_Template" xfId="44"/>
    <cellStyle name="Comma [0]_West501f-hcentrifugal15posco_revised2.xls Chart 1" xfId="45"/>
    <cellStyle name="Comma_1 3 6 LIBOR" xfId="46"/>
    <cellStyle name="Comma_12.4.98 Final Ver3 Updated 1.25.99-Weather Adjustment" xfId="47"/>
    <cellStyle name="Comma_A" xfId="48"/>
    <cellStyle name="Comma_Assumptions" xfId="49"/>
    <cellStyle name="Comma_B" xfId="50"/>
    <cellStyle name="Comma_Book3" xfId="51"/>
    <cellStyle name="Comma_Cap X 11-12" xfId="52"/>
    <cellStyle name="Comma_Cashflow" xfId="53"/>
    <cellStyle name="Comma_CENTCF1G" xfId="54"/>
    <cellStyle name="Comma_CFMODEL" xfId="55"/>
    <cellStyle name="Comma_CFtest3" xfId="56"/>
    <cellStyle name="Comma_CFTEST49" xfId="57"/>
    <cellStyle name="Comma_Curve_Backin5" xfId="58"/>
    <cellStyle name="Comma_Delta-RAROC-11-9" xfId="59"/>
    <cellStyle name="Comma_EP" xfId="60"/>
    <cellStyle name="Comma_EVER1" xfId="61"/>
    <cellStyle name="Comma_EXTEMP1" xfId="62"/>
    <cellStyle name="Comma_GASDATA1" xfId="63"/>
    <cellStyle name="Comma_H" xfId="64"/>
    <cellStyle name="Comma_Int. Data Table" xfId="65"/>
    <cellStyle name="Comma_Int. Data Table_lvcogenEnron11_30" xfId="66"/>
    <cellStyle name="Comma_MR" xfId="67"/>
    <cellStyle name="Comma_OFFDATA1" xfId="68"/>
    <cellStyle name="Comma_OPCO4A" xfId="69"/>
    <cellStyle name="Comma_PKDATA1" xfId="70"/>
    <cellStyle name="Comma_priccurv" xfId="71"/>
    <cellStyle name="Comma_PriceCurve" xfId="72"/>
    <cellStyle name="Comma_PROFILE4" xfId="73"/>
    <cellStyle name="Comma_SELECT" xfId="74"/>
    <cellStyle name="Comma_sensitivities" xfId="75"/>
    <cellStyle name="Comma_SUMMARY" xfId="76"/>
    <cellStyle name="Comma_Template" xfId="77"/>
    <cellStyle name="Comma_TESTDATA" xfId="78"/>
    <cellStyle name="Comma_West501f-hcentrifugal15posco_revised2.xls Chart 1" xfId="79"/>
    <cellStyle name="Currency [0]_1 3 6 LIBOR" xfId="80"/>
    <cellStyle name="Currency [0]_12.4.98 Final Ver3 Updated 1.25.99-Weather Adjustment" xfId="81"/>
    <cellStyle name="Currency [0]_A" xfId="82"/>
    <cellStyle name="Currency [0]_Assumptions" xfId="83"/>
    <cellStyle name="Currency [0]_B" xfId="84"/>
    <cellStyle name="Currency [0]_Book3" xfId="85"/>
    <cellStyle name="Currency [0]_Cap X 11-12" xfId="86"/>
    <cellStyle name="Currency [0]_Cashflow" xfId="87"/>
    <cellStyle name="Currency [0]_CENTCF1G" xfId="88"/>
    <cellStyle name="Currency [0]_CFMODEL" xfId="89"/>
    <cellStyle name="Currency [0]_CFTEST49" xfId="90"/>
    <cellStyle name="Currency [0]_Curve_Backin5" xfId="91"/>
    <cellStyle name="Currency [0]_Delta-RAROC-11-9" xfId="92"/>
    <cellStyle name="Currency [0]_EP" xfId="93"/>
    <cellStyle name="Currency [0]_EVER1" xfId="94"/>
    <cellStyle name="Currency [0]_EXTEMP1" xfId="95"/>
    <cellStyle name="Currency [0]_H" xfId="96"/>
    <cellStyle name="Currency [0]_Int. Data Table" xfId="97"/>
    <cellStyle name="Currency [0]_OPCO4A" xfId="98"/>
    <cellStyle name="Currency [0]_priccurv" xfId="99"/>
    <cellStyle name="Currency [0]_PriceCurve" xfId="100"/>
    <cellStyle name="Currency [0]_PROFILE4" xfId="101"/>
    <cellStyle name="Currency [0]_SELECT" xfId="102"/>
    <cellStyle name="Currency [0]_sensitivities" xfId="103"/>
    <cellStyle name="Currency [0]_SUMMARY" xfId="104"/>
    <cellStyle name="Currency [0]_Template" xfId="105"/>
    <cellStyle name="Currency [0]_West501f-hcentrifugal15posco_revised2.xls Chart 1" xfId="106"/>
    <cellStyle name="Currency_1 3 6 LIBOR" xfId="107"/>
    <cellStyle name="Currency_12.4.98 Final Ver3 Updated 1.25.99-Weather Adjustment" xfId="108"/>
    <cellStyle name="Currency_A" xfId="109"/>
    <cellStyle name="Currency_Assumptions" xfId="110"/>
    <cellStyle name="Currency_B" xfId="111"/>
    <cellStyle name="Currency_BIGOUT" xfId="112"/>
    <cellStyle name="Currency_Book3" xfId="113"/>
    <cellStyle name="Currency_Cap X 11-12" xfId="114"/>
    <cellStyle name="Currency_Cashflow" xfId="115"/>
    <cellStyle name="Currency_CENTCF1G" xfId="116"/>
    <cellStyle name="Currency_CFMODEL" xfId="117"/>
    <cellStyle name="Currency_CFtest3" xfId="118"/>
    <cellStyle name="Currency_CFTEST49" xfId="119"/>
    <cellStyle name="Currency_Curve_Backin5" xfId="120"/>
    <cellStyle name="Currency_Delta-RAROC-11-9" xfId="121"/>
    <cellStyle name="Currency_EP" xfId="122"/>
    <cellStyle name="Currency_EVER1" xfId="123"/>
    <cellStyle name="Currency_EXTEMP1" xfId="124"/>
    <cellStyle name="Currency_H" xfId="125"/>
    <cellStyle name="Currency_Int. Data Table" xfId="126"/>
    <cellStyle name="Currency_Int. Data Table_lvcogenEnron11_30" xfId="127"/>
    <cellStyle name="Currency_OIL&amp;GAS_97" xfId="128"/>
    <cellStyle name="Currency_OPCO4A" xfId="129"/>
    <cellStyle name="Currency_priccurv" xfId="130"/>
    <cellStyle name="Currency_PriceCurve" xfId="131"/>
    <cellStyle name="Currency_PROFILE4" xfId="132"/>
    <cellStyle name="Currency_SELECT" xfId="133"/>
    <cellStyle name="Currency_sensitivities" xfId="134"/>
    <cellStyle name="Currency_SUMMARY" xfId="135"/>
    <cellStyle name="Currency_Template" xfId="136"/>
    <cellStyle name="Currency_West501f-hcentrifugal15posco_revised2.xls Chart 1" xfId="137"/>
    <cellStyle name="Dezimal [0]_Compiling Utility Macros" xfId="138"/>
    <cellStyle name="Dezimal [0]_FixerSetupDlg" xfId="139"/>
    <cellStyle name="Dezimal [0]_TemplateInformation" xfId="140"/>
    <cellStyle name="Dezimal [0]_TemplateInformation_lvcogenEnron11_30" xfId="141"/>
    <cellStyle name="Dezimal_Compiling Utility Macros" xfId="142"/>
    <cellStyle name="Dezimal_FixerSetupDlg" xfId="143"/>
    <cellStyle name="Dezimal_TemplateInformation" xfId="144"/>
    <cellStyle name="Dezimal_TemplateInformation_lvcogenEnron11_30" xfId="145"/>
    <cellStyle name="general" xfId="146"/>
    <cellStyle name="HEADER" xfId="147"/>
    <cellStyle name="HIGHLIGHT" xfId="148"/>
    <cellStyle name="Normal_1 3 6 LIBOR" xfId="149"/>
    <cellStyle name="Normal_12.4.98 Final Ver3 Updated 1.25.99-Weather Adjustment" xfId="150"/>
    <cellStyle name="Normal_A" xfId="151"/>
    <cellStyle name="Normal_A_PriceCurve" xfId="152"/>
    <cellStyle name="Normal_A_West501f-hcentrifugal15posco_revised2.xls Chart 1" xfId="153"/>
    <cellStyle name="Normal_Assumptions" xfId="154"/>
    <cellStyle name="Normal_B" xfId="155"/>
    <cellStyle name="Normal_BIGOUT" xfId="156"/>
    <cellStyle name="Normal_Book3" xfId="157"/>
    <cellStyle name="Normal_Cap X 11-12" xfId="158"/>
    <cellStyle name="Normal_Cashflow" xfId="159"/>
    <cellStyle name="Normal_CENTCF1G" xfId="160"/>
    <cellStyle name="Normal_CFMACROS.XLM" xfId="161"/>
    <cellStyle name="Normal_CFMODEL" xfId="162"/>
    <cellStyle name="Normal_CFMODEL.XLS" xfId="163"/>
    <cellStyle name="Normal_CFTEST49" xfId="164"/>
    <cellStyle name="Normal_ChgLoan" xfId="165"/>
    <cellStyle name="Normal_Code" xfId="166"/>
    <cellStyle name="Normal_Codes2" xfId="167"/>
    <cellStyle name="Normal_Curve_Backin5" xfId="168"/>
    <cellStyle name="Normal_Curves" xfId="169"/>
    <cellStyle name="Normal_Delta-RAROC-11-9" xfId="170"/>
    <cellStyle name="Normal_EP" xfId="171"/>
    <cellStyle name="Normal_EVER1" xfId="172"/>
    <cellStyle name="Normal_EXTEMP1" xfId="173"/>
    <cellStyle name="Normal_GASDATA1" xfId="174"/>
    <cellStyle name="Normal_H" xfId="175"/>
    <cellStyle name="Normal_Igobox" xfId="176"/>
    <cellStyle name="Normal_Igobox_1" xfId="177"/>
    <cellStyle name="Normal_Igobox_2" xfId="178"/>
    <cellStyle name="Normal_Igobox_Imacros" xfId="179"/>
    <cellStyle name="Normal_Igobox_IPP" xfId="180"/>
    <cellStyle name="Normal_Igobox_Iprintbox" xfId="181"/>
    <cellStyle name="Normal_Imacros" xfId="182"/>
    <cellStyle name="Normal_Imacros_1" xfId="183"/>
    <cellStyle name="Normal_Imacros_2" xfId="184"/>
    <cellStyle name="Normal_INPUT" xfId="185"/>
    <cellStyle name="Normal_INT" xfId="186"/>
    <cellStyle name="Normal_Int. Data Table" xfId="187"/>
    <cellStyle name="Normal_Int. Data Table_1" xfId="188"/>
    <cellStyle name="Normal_IPP" xfId="189"/>
    <cellStyle name="Normal_IPP_1" xfId="190"/>
    <cellStyle name="Normal_IPP_1_Igobox" xfId="191"/>
    <cellStyle name="Normal_IPP_1_Imacros" xfId="192"/>
    <cellStyle name="Normal_IPP_1_Iprintbox" xfId="193"/>
    <cellStyle name="Normal_IPP_2" xfId="194"/>
    <cellStyle name="Normal_Iprintbox" xfId="195"/>
    <cellStyle name="Normal_Iprintbox_1" xfId="196"/>
    <cellStyle name="Normal_Iprintbox_2" xfId="197"/>
    <cellStyle name="Normal_Iterbox" xfId="198"/>
    <cellStyle name="Normal_Lock" xfId="199"/>
    <cellStyle name="Normal_MID CURVE" xfId="200"/>
    <cellStyle name="Normal_Module1 (2)" xfId="201"/>
    <cellStyle name="Normal_Module1 (2)_1" xfId="202"/>
    <cellStyle name="Normal_MONTHLY" xfId="203"/>
    <cellStyle name="Normal_OFFDATA1" xfId="204"/>
    <cellStyle name="Normal_OIL&amp;GAS_97" xfId="205"/>
    <cellStyle name="Normal_OPCALC" xfId="206"/>
    <cellStyle name="Normal_OPCALC_1" xfId="207"/>
    <cellStyle name="Normal_OPCO4A" xfId="208"/>
    <cellStyle name="Normal_PKDATA1" xfId="209"/>
    <cellStyle name="Normal_priccurv" xfId="210"/>
    <cellStyle name="Normal_priccurv_1" xfId="211"/>
    <cellStyle name="Normal_priccurv_2" xfId="212"/>
    <cellStyle name="Normal_PriceCurve" xfId="213"/>
    <cellStyle name="Normal_PriceSheet" xfId="214"/>
    <cellStyle name="Normal_PriceSheet_1" xfId="215"/>
    <cellStyle name="Normal_PrintBox (2)" xfId="216"/>
    <cellStyle name="Normal_Production Payment model" xfId="217"/>
    <cellStyle name="Normal_production tony" xfId="218"/>
    <cellStyle name="Normal_PROFILE4" xfId="219"/>
    <cellStyle name="Normal_SELECT" xfId="220"/>
    <cellStyle name="Normal_sensitivities" xfId="221"/>
    <cellStyle name="Normal_Sheet1" xfId="222"/>
    <cellStyle name="Normal_Sheet1_1 3 6 LIBOR" xfId="223"/>
    <cellStyle name="Normal_Specifics" xfId="224"/>
    <cellStyle name="Normal_Spread" xfId="225"/>
    <cellStyle name="Normal_Spread_1" xfId="226"/>
    <cellStyle name="Normal_SUMMARY" xfId="227"/>
    <cellStyle name="Normal_Template" xfId="228"/>
    <cellStyle name="Normal_Template_Delta-RAROC-11-9" xfId="229"/>
    <cellStyle name="Normal_TESTDATA" xfId="230"/>
    <cellStyle name="Normal_USInf (2)" xfId="231"/>
    <cellStyle name="Normal_VDlg" xfId="232"/>
    <cellStyle name="Normal_West501f-hcentrifugal15posco_revised2.xls Chart 1" xfId="233"/>
    <cellStyle name="Standard_Anpassen der Amortisation" xfId="234"/>
    <cellStyle name="Standard_ATW" xfId="235"/>
    <cellStyle name="Standard_Compiling Utility Macros" xfId="236"/>
    <cellStyle name="Standard_FixerSetupDlg" xfId="237"/>
    <cellStyle name="Standard_Sperren" xfId="238"/>
    <cellStyle name="Standard_Sperren_1" xfId="239"/>
    <cellStyle name="Standard_TemplateInformation" xfId="240"/>
    <cellStyle name="Standard_TemplateInformation_1" xfId="241"/>
    <cellStyle name="uk" xfId="242"/>
    <cellStyle name="Un" xfId="243"/>
    <cellStyle name="Unprot" xfId="244"/>
    <cellStyle name="Unprot$" xfId="245"/>
    <cellStyle name="Unprot_1 3 6 LIBOR" xfId="246"/>
    <cellStyle name="Unprot_data" xfId="247"/>
    <cellStyle name="Unprot_EXTEMP1" xfId="248"/>
    <cellStyle name="Unprot_MR" xfId="249"/>
    <cellStyle name="Unprot_USINF" xfId="250"/>
    <cellStyle name="Unprotect" xfId="251"/>
    <cellStyle name="Unprotect_12.4.98 Final Ver3 Updated 1.25.99-Weather Adjustment" xfId="252"/>
    <cellStyle name="Währung [0]_Compiling Utility Macros" xfId="253"/>
    <cellStyle name="Währung [0]_FixerSetupDlg" xfId="254"/>
    <cellStyle name="Währung [0]_TemplateInformation" xfId="255"/>
    <cellStyle name="Währung [0]_TemplateInformation_lvcogenEnron11_30" xfId="256"/>
    <cellStyle name="Währung_Compiling Utility Macros" xfId="257"/>
    <cellStyle name="Währung_FixerSetupDlg" xfId="258"/>
    <cellStyle name="Währung_TemplateInformation" xfId="25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BF"/>
      <rgbColor rgb="FFA0E0E0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26.xml><?xml version="1.0" encoding="utf-8"?>
<formControlPr xmlns="http://schemas.microsoft.com/office/spreadsheetml/2009/9/main" objectType="Button" lockText="1"/>
</file>

<file path=xl/ctrlProps/ctrlProps27.xml><?xml version="1.0" encoding="utf-8"?>
<formControlPr xmlns="http://schemas.microsoft.com/office/spreadsheetml/2009/9/main" objectType="Button" lockText="1"/>
</file>

<file path=xl/ctrlProps/ctrlProps29.xml><?xml version="1.0" encoding="utf-8"?>
<formControlPr xmlns="http://schemas.microsoft.com/office/spreadsheetml/2009/9/main" objectType="Button" lockText="1"/>
</file>

<file path=xl/ctrlProps/ctrlProps30.xml><?xml version="1.0" encoding="utf-8"?>
<formControlPr xmlns="http://schemas.microsoft.com/office/spreadsheetml/2009/9/main" objectType="Button" lockText="1"/>
</file>

<file path=xl/ctrlProps/ctrlProps31.xml><?xml version="1.0" encoding="utf-8"?>
<formControlPr xmlns="http://schemas.microsoft.com/office/spreadsheetml/2009/9/main" objectType="CheckBox" autoLine="false" print="true" lockText="1" noThreeD="1"/>
</file>

<file path=xl/ctrlProps/ctrlProps32.xml><?xml version="1.0" encoding="utf-8"?>
<formControlPr xmlns="http://schemas.microsoft.com/office/spreadsheetml/2009/9/main" objectType="CheckBox" autoLine="false" print="true" lockText="1" noThreeD="1"/>
</file>

<file path=xl/ctrlProps/ctrlProps33.xml><?xml version="1.0" encoding="utf-8"?>
<formControlPr xmlns="http://schemas.microsoft.com/office/spreadsheetml/2009/9/main" objectType="CheckBox" autoLine="false" print="true" lockText="1" noThreeD="1"/>
</file>

<file path=xl/ctrlProps/ctrlProps34.xml><?xml version="1.0" encoding="utf-8"?>
<formControlPr xmlns="http://schemas.microsoft.com/office/spreadsheetml/2009/9/main" objectType="CheckBox" autoLine="false" print="true" lockText="1" noThreeD="1"/>
</file>

<file path=xl/ctrlProps/ctrlProps35.xml><?xml version="1.0" encoding="utf-8"?>
<formControlPr xmlns="http://schemas.microsoft.com/office/spreadsheetml/2009/9/main" objectType="CheckBox" autoLine="false" print="true" lockText="1" noThreeD="1"/>
</file>

<file path=xl/ctrlProps/ctrlProps36.xml><?xml version="1.0" encoding="utf-8"?>
<formControlPr xmlns="http://schemas.microsoft.com/office/spreadsheetml/2009/9/main" objectType="CheckBox" autoLine="false" print="true" lockText="1" noThreeD="1"/>
</file>

<file path=xl/ctrlProps/ctrlProps37.xml><?xml version="1.0" encoding="utf-8"?>
<formControlPr xmlns="http://schemas.microsoft.com/office/spreadsheetml/2009/9/main" objectType="CheckBox" autoLine="false" print="true" lockText="1" noThreeD="1"/>
</file>

<file path=xl/ctrlProps/ctrlProps38.xml><?xml version="1.0" encoding="utf-8"?>
<formControlPr xmlns="http://schemas.microsoft.com/office/spreadsheetml/2009/9/main" objectType="CheckBox" autoLine="false" print="true" lockText="1" noThreeD="1"/>
</file>

<file path=xl/ctrlProps/ctrlProps39.xml><?xml version="1.0" encoding="utf-8"?>
<formControlPr xmlns="http://schemas.microsoft.com/office/spreadsheetml/2009/9/main" objectType="CheckBox" autoLine="false" print="true" lockText="1" noThreeD="1"/>
</file>

<file path=xl/ctrlProps/ctrlProps4.xml><?xml version="1.0" encoding="utf-8"?>
<formControlPr xmlns="http://schemas.microsoft.com/office/spreadsheetml/2009/9/main" objectType="Button" lockText="1"/>
</file>

<file path=xl/ctrlProps/ctrlProps40.xml><?xml version="1.0" encoding="utf-8"?>
<formControlPr xmlns="http://schemas.microsoft.com/office/spreadsheetml/2009/9/main" objectType="CheckBox" autoLine="false" print="true" lockText="1" noThreeD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259200</xdr:colOff>
          <xdr:row>120</xdr:row>
          <xdr:rowOff>0</xdr:rowOff>
        </xdr:from>
        <xdr:to>
          <xdr:col>2</xdr:col>
          <xdr:colOff>584640</xdr:colOff>
          <xdr:row>121</xdr:row>
          <xdr:rowOff>152280</xdr:rowOff>
        </xdr:to>
        <xdr:sp>
          <xdr:nvSpPr>
            <xdr:cNvPr id="1001" name="Button 34" descr="Optimiz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Optimize</a:t>
              </a:r>
            </a:p>
          </xdr:txBody>
        </xdr:sp>
        <xdr:clientData/>
      </xdr:twoCellAnchor>
    </mc:Choice>
  </mc:AlternateContent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224</xdr:col>
      <xdr:colOff>69840</xdr:colOff>
      <xdr:row>10</xdr:row>
      <xdr:rowOff>85680</xdr:rowOff>
    </xdr:from>
    <xdr:to>
      <xdr:col>225</xdr:col>
      <xdr:colOff>403200</xdr:colOff>
      <xdr:row>11</xdr:row>
      <xdr:rowOff>104760</xdr:rowOff>
    </xdr:to>
    <xdr:sp>
      <xdr:nvSpPr>
        <xdr:cNvPr id="1" name="Text 13363"/>
        <xdr:cNvSpPr/>
      </xdr:nvSpPr>
      <xdr:spPr>
        <a:xfrm>
          <a:off x="148037040" y="1752480"/>
          <a:ext cx="151056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Arial"/>
            </a:rPr>
            <a:t>To Template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1" name="Button 14617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2" name="Button 18565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3" name="Button 18575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164</xdr:col>
          <xdr:colOff>291600</xdr:colOff>
          <xdr:row>7</xdr:row>
          <xdr:rowOff>9720</xdr:rowOff>
        </xdr:from>
        <xdr:to>
          <xdr:col>165</xdr:col>
          <xdr:colOff>433440</xdr:colOff>
          <xdr:row>8</xdr:row>
          <xdr:rowOff>105120</xdr:rowOff>
        </xdr:to>
        <xdr:sp>
          <xdr:nvSpPr>
            <xdr:cNvPr id="1004" name="Button 18580" descr="Print O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Op</a:t>
              </a:r>
            </a:p>
          </xdr:txBody>
        </xdr:sp>
        <xdr:clientData/>
      </xdr:twoCellAnchor>
    </mc:Choice>
  </mc:AlternateContent>
  <xdr:twoCellAnchor editAs="oneCell">
    <xdr:from>
      <xdr:col>224</xdr:col>
      <xdr:colOff>69840</xdr:colOff>
      <xdr:row>10</xdr:row>
      <xdr:rowOff>85680</xdr:rowOff>
    </xdr:from>
    <xdr:to>
      <xdr:col>225</xdr:col>
      <xdr:colOff>403200</xdr:colOff>
      <xdr:row>11</xdr:row>
      <xdr:rowOff>104760</xdr:rowOff>
    </xdr:to>
    <xdr:sp>
      <xdr:nvSpPr>
        <xdr:cNvPr id="2" name="Text 18585"/>
        <xdr:cNvSpPr/>
      </xdr:nvSpPr>
      <xdr:spPr>
        <a:xfrm>
          <a:off x="148037040" y="1752480"/>
          <a:ext cx="1510560" cy="1904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Arial"/>
            </a:rPr>
            <a:t>To Template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  <xdr:twoCellAnchor editAs="oneCell">
    <xdr:from>
      <xdr:col>224</xdr:col>
      <xdr:colOff>69840</xdr:colOff>
      <xdr:row>76</xdr:row>
      <xdr:rowOff>85680</xdr:rowOff>
    </xdr:from>
    <xdr:to>
      <xdr:col>225</xdr:col>
      <xdr:colOff>403200</xdr:colOff>
      <xdr:row>77</xdr:row>
      <xdr:rowOff>104400</xdr:rowOff>
    </xdr:to>
    <xdr:sp>
      <xdr:nvSpPr>
        <xdr:cNvPr id="3" name="Text 18586"/>
        <xdr:cNvSpPr/>
      </xdr:nvSpPr>
      <xdr:spPr>
        <a:xfrm>
          <a:off x="148037040" y="13049280"/>
          <a:ext cx="15105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1000" strike="noStrike" u="none">
              <a:effectLst/>
              <a:uFillTx/>
              <a:latin typeface="Arial"/>
            </a:rPr>
            <a:t>To Template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291600</xdr:colOff>
          <xdr:row>0</xdr:row>
          <xdr:rowOff>276120</xdr:rowOff>
        </xdr:from>
        <xdr:to>
          <xdr:col>15</xdr:col>
          <xdr:colOff>231840</xdr:colOff>
          <xdr:row>1</xdr:row>
          <xdr:rowOff>266400</xdr:rowOff>
        </xdr:to>
        <xdr:sp>
          <xdr:nvSpPr>
            <xdr:cNvPr id="1001" name="Button 1" descr="&#10;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
</a:t>
              </a:r>
            </a:p>
          </xdr:txBody>
        </xdr:sp>
        <xdr:clientData/>
      </xdr:twoCellAnchor>
    </mc:Choice>
  </mc:AlternateContent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</xdr:row>
          <xdr:rowOff>0</xdr:rowOff>
        </xdr:from>
        <xdr:to>
          <xdr:col>69</xdr:col>
          <xdr:colOff>69840</xdr:colOff>
          <xdr:row>26</xdr:row>
          <xdr:rowOff>66960</xdr:rowOff>
        </xdr:to>
        <xdr:sp>
          <xdr:nvSpPr>
            <xdr:cNvPr id="0" name="Dialog Frame 1" descr="Calculation Parame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Calculation Parameters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15</xdr:row>
          <xdr:rowOff>0</xdr:rowOff>
        </xdr:from>
        <xdr:to>
          <xdr:col>66</xdr:col>
          <xdr:colOff>69840</xdr:colOff>
          <xdr:row>17</xdr:row>
          <xdr:rowOff>66600</xdr:rowOff>
        </xdr:to>
        <xdr:sp>
          <xdr:nvSpPr>
            <xdr:cNvPr id="1001" name="Button 2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20</xdr:row>
          <xdr:rowOff>0</xdr:rowOff>
        </xdr:from>
        <xdr:to>
          <xdr:col>66</xdr:col>
          <xdr:colOff>69840</xdr:colOff>
          <xdr:row>22</xdr:row>
          <xdr:rowOff>66600</xdr:rowOff>
        </xdr:to>
        <xdr:sp>
          <xdr:nvSpPr>
            <xdr:cNvPr id="1002" name="Button 3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</xdr:row>
          <xdr:rowOff>0</xdr:rowOff>
        </xdr:from>
        <xdr:to>
          <xdr:col>40</xdr:col>
          <xdr:colOff>69840</xdr:colOff>
          <xdr:row>9</xdr:row>
          <xdr:rowOff>28440</xdr:rowOff>
        </xdr:to>
        <xdr:sp>
          <xdr:nvSpPr>
            <xdr:cNvPr id="0" name="Label 5" descr="Set Optimization iterations    (default = 25)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 Optimization iterations    (default = 25)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</xdr:row>
          <xdr:rowOff>0</xdr:rowOff>
        </xdr:from>
        <xdr:to>
          <xdr:col>39</xdr:col>
          <xdr:colOff>69840</xdr:colOff>
          <xdr:row>16</xdr:row>
          <xdr:rowOff>28800</xdr:rowOff>
        </xdr:to>
        <xdr:sp>
          <xdr:nvSpPr>
            <xdr:cNvPr id="0" name="Label 6" descr="Set Optimization precision  (default = 1)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 Optimization precision  (default = 1)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0</xdr:colOff>
          <xdr:row>20</xdr:row>
          <xdr:rowOff>0</xdr:rowOff>
        </xdr:from>
        <xdr:to>
          <xdr:col>52</xdr:col>
          <xdr:colOff>360</xdr:colOff>
          <xdr:row>22</xdr:row>
          <xdr:rowOff>66600</xdr:rowOff>
        </xdr:to>
        <xdr:sp>
          <xdr:nvSpPr>
            <xdr:cNvPr id="1003" name="Button 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0</xdr:rowOff>
        </xdr:from>
        <xdr:to>
          <xdr:col>39</xdr:col>
          <xdr:colOff>69840</xdr:colOff>
          <xdr:row>23</xdr:row>
          <xdr:rowOff>28440</xdr:rowOff>
        </xdr:to>
        <xdr:sp>
          <xdr:nvSpPr>
            <xdr:cNvPr id="0" name="Label 9" descr="Reset Excel calculation parameter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Excel calculation parameters</a:t>
              </a:r>
            </a:p>
          </xdr:txBody>
        </xdr:sp>
        <xdr:clientData/>
      </xdr:twoCellAnchor>
    </mc:Choice>
  </mc:AlternateContent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0</xdr:rowOff>
        </xdr:from>
        <xdr:to>
          <xdr:col>82</xdr:col>
          <xdr:colOff>39960</xdr:colOff>
          <xdr:row>36</xdr:row>
          <xdr:rowOff>9360</xdr:rowOff>
        </xdr:to>
        <xdr:sp>
          <xdr:nvSpPr>
            <xdr:cNvPr id="0" name="InpBox" descr="CF Model Input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CF Model Inputs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0</xdr:colOff>
          <xdr:row>20</xdr:row>
          <xdr:rowOff>0</xdr:rowOff>
        </xdr:from>
        <xdr:to>
          <xdr:col>78</xdr:col>
          <xdr:colOff>69840</xdr:colOff>
          <xdr:row>22</xdr:row>
          <xdr:rowOff>66600</xdr:rowOff>
        </xdr:to>
        <xdr:sp>
          <xdr:nvSpPr>
            <xdr:cNvPr id="1001" name="Button 2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0</xdr:colOff>
          <xdr:row>24</xdr:row>
          <xdr:rowOff>0</xdr:rowOff>
        </xdr:from>
        <xdr:to>
          <xdr:col>78</xdr:col>
          <xdr:colOff>69840</xdr:colOff>
          <xdr:row>26</xdr:row>
          <xdr:rowOff>66960</xdr:rowOff>
        </xdr:to>
        <xdr:sp>
          <xdr:nvSpPr>
            <xdr:cNvPr id="1002" name="Button 3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429120</xdr:colOff>
          <xdr:row>4</xdr:row>
          <xdr:rowOff>76320</xdr:rowOff>
        </xdr:from>
        <xdr:to>
          <xdr:col>1</xdr:col>
          <xdr:colOff>851040</xdr:colOff>
          <xdr:row>5</xdr:row>
          <xdr:rowOff>142920</xdr:rowOff>
        </xdr:to>
        <xdr:sp>
          <xdr:nvSpPr>
            <xdr:cNvPr id="0" name="Option Button 40" descr="Transaction Date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Date: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429120</xdr:colOff>
          <xdr:row>7</xdr:row>
          <xdr:rowOff>19080</xdr:rowOff>
        </xdr:from>
        <xdr:to>
          <xdr:col>2</xdr:col>
          <xdr:colOff>204480</xdr:colOff>
          <xdr:row>8</xdr:row>
          <xdr:rowOff>66600</xdr:rowOff>
        </xdr:to>
        <xdr:sp>
          <xdr:nvSpPr>
            <xdr:cNvPr id="0" name="Option Button 4" descr="Transaction Funds Flow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Funds Flow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419040</xdr:colOff>
          <xdr:row>8</xdr:row>
          <xdr:rowOff>66600</xdr:rowOff>
        </xdr:from>
        <xdr:to>
          <xdr:col>2</xdr:col>
          <xdr:colOff>194400</xdr:colOff>
          <xdr:row>9</xdr:row>
          <xdr:rowOff>123840</xdr:rowOff>
        </xdr:to>
        <xdr:sp>
          <xdr:nvSpPr>
            <xdr:cNvPr id="0" name="Option Button 9" descr="Transaction Fe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Fees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389160</xdr:colOff>
          <xdr:row>10</xdr:row>
          <xdr:rowOff>133560</xdr:rowOff>
        </xdr:from>
        <xdr:to>
          <xdr:col>2</xdr:col>
          <xdr:colOff>234360</xdr:colOff>
          <xdr:row>12</xdr:row>
          <xdr:rowOff>57240</xdr:rowOff>
        </xdr:to>
        <xdr:sp>
          <xdr:nvSpPr>
            <xdr:cNvPr id="0" name="Option Button 6" descr="Opening Balance She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Opening Balance Sheet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389160</xdr:colOff>
          <xdr:row>12</xdr:row>
          <xdr:rowOff>47880</xdr:rowOff>
        </xdr:from>
        <xdr:to>
          <xdr:col>2</xdr:col>
          <xdr:colOff>453960</xdr:colOff>
          <xdr:row>13</xdr:row>
          <xdr:rowOff>114120</xdr:rowOff>
        </xdr:to>
        <xdr:sp>
          <xdr:nvSpPr>
            <xdr:cNvPr id="0" name="Option Button 7" descr="Working Capital/Other B/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Working Capital/Other B/S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3</xdr:row>
          <xdr:rowOff>57240</xdr:rowOff>
        </xdr:from>
        <xdr:to>
          <xdr:col>5</xdr:col>
          <xdr:colOff>56520</xdr:colOff>
          <xdr:row>4</xdr:row>
          <xdr:rowOff>114480</xdr:rowOff>
        </xdr:to>
        <xdr:sp>
          <xdr:nvSpPr>
            <xdr:cNvPr id="0" name="Option Button 14" descr="Repayment Schedu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Repayment Schedule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4</xdr:row>
          <xdr:rowOff>104760</xdr:rowOff>
        </xdr:from>
        <xdr:to>
          <xdr:col>4</xdr:col>
          <xdr:colOff>551160</xdr:colOff>
          <xdr:row>6</xdr:row>
          <xdr:rowOff>19440</xdr:rowOff>
        </xdr:to>
        <xdr:sp>
          <xdr:nvSpPr>
            <xdr:cNvPr id="0" name="Option Button 15" descr="Interest Rat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Interest Rates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7</xdr:row>
          <xdr:rowOff>47880</xdr:rowOff>
        </xdr:from>
        <xdr:to>
          <xdr:col>5</xdr:col>
          <xdr:colOff>56520</xdr:colOff>
          <xdr:row>8</xdr:row>
          <xdr:rowOff>95400</xdr:rowOff>
        </xdr:to>
        <xdr:sp>
          <xdr:nvSpPr>
            <xdr:cNvPr id="0" name="Option Button 17" descr="Other Income Data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Other Income Data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8</xdr:row>
          <xdr:rowOff>85680</xdr:rowOff>
        </xdr:from>
        <xdr:to>
          <xdr:col>4</xdr:col>
          <xdr:colOff>621000</xdr:colOff>
          <xdr:row>10</xdr:row>
          <xdr:rowOff>360</xdr:rowOff>
        </xdr:to>
        <xdr:sp>
          <xdr:nvSpPr>
            <xdr:cNvPr id="0" name="Option Button 30" descr="Asset Sa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Asset Sales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683280</xdr:colOff>
          <xdr:row>9</xdr:row>
          <xdr:rowOff>123840</xdr:rowOff>
        </xdr:from>
        <xdr:to>
          <xdr:col>4</xdr:col>
          <xdr:colOff>621000</xdr:colOff>
          <xdr:row>11</xdr:row>
          <xdr:rowOff>57240</xdr:rowOff>
        </xdr:to>
        <xdr:sp>
          <xdr:nvSpPr>
            <xdr:cNvPr id="0" name="Option Button 41" descr="Tax Item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Tax Items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306000</xdr:colOff>
          <xdr:row>3</xdr:row>
          <xdr:rowOff>66600</xdr:rowOff>
        </xdr:from>
        <xdr:to>
          <xdr:col>7</xdr:col>
          <xdr:colOff>133920</xdr:colOff>
          <xdr:row>4</xdr:row>
          <xdr:rowOff>123840</xdr:rowOff>
        </xdr:to>
        <xdr:sp>
          <xdr:nvSpPr>
            <xdr:cNvPr id="0" name="Option Button 32" descr="DCF Valuati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DCF Valuation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59760</xdr:colOff>
          <xdr:row>8</xdr:row>
          <xdr:rowOff>47520</xdr:rowOff>
        </xdr:from>
        <xdr:to>
          <xdr:col>26</xdr:col>
          <xdr:colOff>59760</xdr:colOff>
          <xdr:row>11</xdr:row>
          <xdr:rowOff>19080</xdr:rowOff>
        </xdr:to>
        <xdr:sp>
          <xdr:nvSpPr>
            <xdr:cNvPr id="0" name="Label 26" descr="Transaction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Transaction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39960</xdr:colOff>
          <xdr:row>23</xdr:row>
          <xdr:rowOff>9720</xdr:rowOff>
        </xdr:from>
        <xdr:to>
          <xdr:col>25</xdr:col>
          <xdr:colOff>39960</xdr:colOff>
          <xdr:row>25</xdr:row>
          <xdr:rowOff>47880</xdr:rowOff>
        </xdr:to>
        <xdr:sp>
          <xdr:nvSpPr>
            <xdr:cNvPr id="0" name="Label 27" descr="Balance Sheet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Balance Sheet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6</xdr:row>
          <xdr:rowOff>0</xdr:rowOff>
        </xdr:from>
        <xdr:to>
          <xdr:col>53</xdr:col>
          <xdr:colOff>360</xdr:colOff>
          <xdr:row>8</xdr:row>
          <xdr:rowOff>37800</xdr:rowOff>
        </xdr:to>
        <xdr:sp>
          <xdr:nvSpPr>
            <xdr:cNvPr id="0" name="Label 28" descr="Debt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Debt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15</xdr:row>
          <xdr:rowOff>0</xdr:rowOff>
        </xdr:from>
        <xdr:to>
          <xdr:col>53</xdr:col>
          <xdr:colOff>70200</xdr:colOff>
          <xdr:row>17</xdr:row>
          <xdr:rowOff>37800</xdr:rowOff>
        </xdr:to>
        <xdr:sp>
          <xdr:nvSpPr>
            <xdr:cNvPr id="0" name="Label 29" descr="Cash Flow Item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Cash Flow Items: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0</xdr:colOff>
          <xdr:row>6</xdr:row>
          <xdr:rowOff>0</xdr:rowOff>
        </xdr:from>
        <xdr:to>
          <xdr:col>79</xdr:col>
          <xdr:colOff>69840</xdr:colOff>
          <xdr:row>8</xdr:row>
          <xdr:rowOff>37800</xdr:rowOff>
        </xdr:to>
        <xdr:sp>
          <xdr:nvSpPr>
            <xdr:cNvPr id="0" name="Label 33" descr="Analyses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Analyses:</a:t>
              </a:r>
            </a:p>
          </xdr:txBody>
        </xdr:sp>
        <xdr:clientData/>
      </xdr:twoCellAnchor>
    </mc:Choice>
  </mc:AlternateContent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0</xdr:rowOff>
        </xdr:from>
        <xdr:to>
          <xdr:col>51</xdr:col>
          <xdr:colOff>360</xdr:colOff>
          <xdr:row>26</xdr:row>
          <xdr:rowOff>66960</xdr:rowOff>
        </xdr:to>
        <xdr:sp>
          <xdr:nvSpPr>
            <xdr:cNvPr id="0" name="Dialog Frame 1" descr="Go To...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Go To...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18</xdr:row>
          <xdr:rowOff>0</xdr:rowOff>
        </xdr:from>
        <xdr:to>
          <xdr:col>48</xdr:col>
          <xdr:colOff>360</xdr:colOff>
          <xdr:row>20</xdr:row>
          <xdr:rowOff>66600</xdr:rowOff>
        </xdr:to>
        <xdr:sp>
          <xdr:nvSpPr>
            <xdr:cNvPr id="1001" name="Button 2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22</xdr:row>
          <xdr:rowOff>0</xdr:rowOff>
        </xdr:from>
        <xdr:to>
          <xdr:col>48</xdr:col>
          <xdr:colOff>360</xdr:colOff>
          <xdr:row>24</xdr:row>
          <xdr:rowOff>66600</xdr:rowOff>
        </xdr:to>
        <xdr:sp>
          <xdr:nvSpPr>
            <xdr:cNvPr id="1002" name="Button 3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3</xdr:row>
          <xdr:rowOff>57240</xdr:rowOff>
        </xdr:from>
        <xdr:to>
          <xdr:col>2</xdr:col>
          <xdr:colOff>683280</xdr:colOff>
          <xdr:row>4</xdr:row>
          <xdr:rowOff>114480</xdr:rowOff>
        </xdr:to>
        <xdr:sp>
          <xdr:nvSpPr>
            <xdr:cNvPr id="0" name="Option Button 5" descr="Income Statem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Income Statement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4</xdr:row>
          <xdr:rowOff>104760</xdr:rowOff>
        </xdr:from>
        <xdr:to>
          <xdr:col>3</xdr:col>
          <xdr:colOff>17280</xdr:colOff>
          <xdr:row>6</xdr:row>
          <xdr:rowOff>19440</xdr:rowOff>
        </xdr:to>
        <xdr:sp>
          <xdr:nvSpPr>
            <xdr:cNvPr id="0" name="Option Button 7" descr="Sources and Us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Sources and Uses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6</xdr:row>
          <xdr:rowOff>9720</xdr:rowOff>
        </xdr:from>
        <xdr:to>
          <xdr:col>2</xdr:col>
          <xdr:colOff>822960</xdr:colOff>
          <xdr:row>7</xdr:row>
          <xdr:rowOff>57240</xdr:rowOff>
        </xdr:to>
        <xdr:sp>
          <xdr:nvSpPr>
            <xdr:cNvPr id="0" name="Option Button 8" descr="Cash Flow Statem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Cash Flow Statement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7</xdr:row>
          <xdr:rowOff>47880</xdr:rowOff>
        </xdr:from>
        <xdr:to>
          <xdr:col>2</xdr:col>
          <xdr:colOff>822960</xdr:colOff>
          <xdr:row>8</xdr:row>
          <xdr:rowOff>95400</xdr:rowOff>
        </xdr:to>
        <xdr:sp>
          <xdr:nvSpPr>
            <xdr:cNvPr id="0" name="Option Button 9" descr="Balance She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Balance Sheet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8</xdr:row>
          <xdr:rowOff>85680</xdr:rowOff>
        </xdr:from>
        <xdr:to>
          <xdr:col>2</xdr:col>
          <xdr:colOff>822960</xdr:colOff>
          <xdr:row>10</xdr:row>
          <xdr:rowOff>360</xdr:rowOff>
        </xdr:to>
        <xdr:sp>
          <xdr:nvSpPr>
            <xdr:cNvPr id="0" name="Option Button 10" descr="Capitalizati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Capitalization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222120</xdr:colOff>
          <xdr:row>9</xdr:row>
          <xdr:rowOff>133560</xdr:rowOff>
        </xdr:from>
        <xdr:to>
          <xdr:col>2</xdr:col>
          <xdr:colOff>753120</xdr:colOff>
          <xdr:row>11</xdr:row>
          <xdr:rowOff>57240</xdr:rowOff>
        </xdr:to>
        <xdr:sp>
          <xdr:nvSpPr>
            <xdr:cNvPr id="0" name="Option Button 11" descr="Income Tax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Income Taxes</a:t>
              </a:r>
            </a:p>
          </xdr:txBody>
        </xdr:sp>
        <xdr:clientData/>
      </xdr:twoCellAnchor>
    </mc:Choice>
  </mc:AlternateContent>
</xdr:wsDr>
</file>

<file path=xl/drawings/drawing28.xml><?xml version="1.0" encoding="UTF-8" standalone="yes"?>
<xdr:wsDr xmlns:xdr="http://schemas.openxmlformats.org/drawingml/2006/spreadsheetDrawing" xmlns:a="http://schemas.openxmlformats.org/drawingml/2006/main" xmlns:r="http://schemas.openxmlformats.org/officeDocument/2006/relationships"><mc:AlternateContent xmlns:mc="http://schemas.openxmlformats.org/markup-compatibility/2006"><mc:Choice xmlns:a14="http://schemas.microsoft.com/office/drawing/2010/main" Requires="a14"><xdr:twoCellAnchor editAs="oneCell"><xdr:from><xdr:col>3</xdr:col><xdr:colOff>59760</xdr:colOff><xdr:row>1</xdr:row><xdr:rowOff>28800</xdr:rowOff></xdr:from><xdr:to><xdr:col>67</xdr:col><xdr:colOff>69840</xdr:colOff><xdr:row>49</xdr:row><xdr:rowOff>66600</xdr:rowOff></xdr:to><xdr:sp><xdr:nvSpPr><xdr:cNvPr id="0" name="Dialog Frame 1" descr="CF Model Print Menu" hidden="0"/><xdr:cNvSpPr/></xdr:nvSpPr><xdr:spPr><a:xfrm><a:off x="0" y="0"/><a:ext cx="0" cy="0"/></a:xfrm><a:prstGeom prst="rect"><a:avLst/></a:prstGeom></xdr:spPr><xdr:txBody><a:bodyPr anchor="ctr"><a:noAutofit/></a:bodyPr><a:p><a:r><a:t>CF Model Print Menu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48</xdr:col><xdr:colOff>39960</xdr:colOff><xdr:row>29</xdr:row><xdr:rowOff>28800</xdr:rowOff></xdr:from><xdr:to><xdr:col>58</xdr:col><xdr:colOff>39960</xdr:colOff><xdr:row>32</xdr:row><xdr:rowOff>28440</xdr:rowOff></xdr:to><xdr:sp><xdr:nvSpPr><xdr:cNvPr id="1001" name="Button 2" descr="OK" hidden="0"/><xdr:cNvSpPr/></xdr:nvSpPr><xdr:spPr><a:xfrm><a:off x="0" y="0"/><a:ext cx="0" cy="0"/></a:xfrm><a:prstGeom prst="rect"><a:avLst/></a:prstGeom></xdr:spPr><xdr:txBody><a:bodyPr anchor="ctr"><a:noAutofit/></a:bodyPr><a:p><a:r><a:t>OK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48</xdr:col><xdr:colOff>39960</xdr:colOff><xdr:row>34</xdr:row><xdr:rowOff>9720</xdr:rowOff></xdr:from><xdr:to><xdr:col>58</xdr:col><xdr:colOff>39960</xdr:colOff><xdr:row>37</xdr:row><xdr:rowOff>9360</xdr:rowOff></xdr:to><xdr:sp><xdr:nvSpPr><xdr:cNvPr id="1002" name="Button 3" descr="Cancel" hidden="0"/><xdr:cNvSpPr/></xdr:nvSpPr><xdr:spPr><a:xfrm><a:off x="0" y="0"/><a:ext cx="0" cy="0"/></a:xfrm><a:prstGeom prst="rect"><a:avLst/></a:prstGeom></xdr:spPr><xdr:txBody><a:bodyPr anchor="ctr"><a:noAutofit/></a:bodyPr><a:p><a:r><a:t>Cancel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35</xdr:row><xdr:rowOff>0</xdr:rowOff></xdr:from><xdr:to><xdr:col>40</xdr:col><xdr:colOff>69840</xdr:colOff><xdr:row>38</xdr:row><xdr:rowOff>19080</xdr:rowOff></xdr:to><xdr:sp><xdr:nvSpPr><xdr:cNvPr id="1003" name="Check Box 6" descr="Debt Repayment/" hidden="0"/><xdr:cNvSpPr/></xdr:nvSpPr><xdr:spPr><a:xfrm><a:off x="0" y="0"/><a:ext cx="0" cy="0"/></a:xfrm><a:prstGeom prst="rect"><a:avLst/></a:prstGeom></xdr:spPr><xdr:txBody><a:bodyPr anchor="ctr"><a:noAutofit/></a:bodyPr><a:p><a:r><a:t>Debt Repayment/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6</xdr:col><xdr:colOff>0</xdr:colOff><xdr:row>5</xdr:row><xdr:rowOff>28800</xdr:rowOff></xdr:from><xdr:to><xdr:col>28</xdr:col><xdr:colOff>69840</xdr:colOff><xdr:row>8</xdr:row><xdr:rowOff>37800</xdr:rowOff></xdr:to><xdr:sp><xdr:nvSpPr><xdr:cNvPr id="1004" name="Check Box 11" descr="Financial Statements" hidden="0"/><xdr:cNvSpPr/></xdr:nvSpPr><xdr:spPr><a:xfrm><a:off x="0" y="0"/><a:ext cx="0" cy="0"/></a:xfrm><a:prstGeom prst="rect"><a:avLst/></a:prstGeom></xdr:spPr><xdr:txBody><a:bodyPr anchor="ctr"><a:noAutofit/></a:bodyPr><a:p><a:r><a:t>Financial Statements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10</xdr:row><xdr:rowOff>57240</xdr:rowOff></xdr:from><xdr:to><xdr:col>30</xdr:col><xdr:colOff>69840</xdr:colOff><xdr:row>13</xdr:row><xdr:rowOff>66600</xdr:rowOff></xdr:to><xdr:sp><xdr:nvSpPr><xdr:cNvPr id="1005" name="Check Box 13" descr="Income Statement" hidden="0"/><xdr:cNvSpPr/></xdr:nvSpPr><xdr:spPr><a:xfrm><a:off x="0" y="0"/><a:ext cx="0" cy="0"/></a:xfrm><a:prstGeom prst="rect"><a:avLst/></a:prstGeom></xdr:spPr><xdr:txBody><a:bodyPr anchor="ctr"><a:noAutofit/></a:bodyPr><a:p><a:r><a:t>Income Statement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22</xdr:row><xdr:rowOff>56880</xdr:rowOff></xdr:from><xdr:to><xdr:col>29</xdr:col><xdr:colOff>69840</xdr:colOff><xdr:row>25</xdr:row><xdr:rowOff>66600</xdr:rowOff></xdr:to><xdr:sp><xdr:nvSpPr><xdr:cNvPr id="1006" name="Check Box 15" descr="Balance Sheet" hidden="0"/><xdr:cNvSpPr/></xdr:nvSpPr><xdr:spPr><a:xfrm><a:off x="0" y="0"/><a:ext cx="0" cy="0"/></a:xfrm><a:prstGeom prst="rect"><a:avLst/></a:prstGeom></xdr:spPr><xdr:txBody><a:bodyPr anchor="ctr"><a:noAutofit/></a:bodyPr><a:p><a:r><a:t>Balance Sheet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19</xdr:row><xdr:rowOff>0</xdr:rowOff></xdr:from><xdr:to><xdr:col>29</xdr:col><xdr:colOff>69840</xdr:colOff><xdr:row>22</xdr:row><xdr:rowOff>9360</xdr:rowOff></xdr:to><xdr:sp><xdr:nvSpPr><xdr:cNvPr id="1007" name="Check Box 16" descr="Cash Flow Statement" hidden="0"/><xdr:cNvSpPr/></xdr:nvSpPr><xdr:spPr><a:xfrm><a:off x="0" y="0"/><a:ext cx="0" cy="0"/></a:xfrm><a:prstGeom prst="rect"><a:avLst/></a:prstGeom></xdr:spPr><xdr:txBody><a:bodyPr anchor="ctr"><a:noAutofit/></a:bodyPr><a:p><a:r><a:t>Cash Flow Statement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27</xdr:row><xdr:rowOff>0</xdr:rowOff></xdr:from><xdr:to><xdr:col>41</xdr:col><xdr:colOff>69840</xdr:colOff><xdr:row>30</xdr:row><xdr:rowOff>19080</xdr:rowOff></xdr:to><xdr:sp><xdr:nvSpPr><xdr:cNvPr id="1008" name="Check Box 18" descr="Opening Balance Sheet/Working Capital" hidden="0"/><xdr:cNvSpPr/></xdr:nvSpPr><xdr:spPr><a:xfrm><a:off x="0" y="0"/><a:ext cx="0" cy="0"/></a:xfrm><a:prstGeom prst="rect"><a:avLst/></a:prstGeom></xdr:spPr><xdr:txBody><a:bodyPr anchor="ctr"><a:noAutofit/></a:bodyPr><a:p><a:r><a:t>Opening Balance Sheet/Working Capital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31</xdr:row><xdr:rowOff>9720</xdr:rowOff></xdr:from><xdr:to><xdr:col>42</xdr:col><xdr:colOff>69840</xdr:colOff><xdr:row>34</xdr:row><xdr:rowOff>28800</xdr:rowOff></xdr:to><xdr:sp><xdr:nvSpPr><xdr:cNvPr id="1009" name="Check Box 19" descr="Capitalization/Transaction Funds Flow/Fees" hidden="0"/><xdr:cNvSpPr/></xdr:nvSpPr><xdr:spPr><a:xfrm><a:off x="0" y="0"/><a:ext cx="0" cy="0"/></a:xfrm><a:prstGeom prst="rect"><a:avLst/></a:prstGeom></xdr:spPr><xdr:txBody><a:bodyPr anchor="ctr"><a:noAutofit/></a:bodyPr><a:p><a:r><a:t>Capitalization/Transaction Funds Flow/Fees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44</xdr:row><xdr:rowOff>57240</xdr:rowOff></xdr:from><xdr:to><xdr:col>31</xdr:col><xdr:colOff>69840</xdr:colOff><xdr:row>47</xdr:row><xdr:rowOff>66600</xdr:rowOff></xdr:to><xdr:sp><xdr:nvSpPr><xdr:cNvPr id="1010" name="Check Box 20" descr="Income Taxes" hidden="0"/><xdr:cNvSpPr/></xdr:nvSpPr><xdr:spPr><a:xfrm><a:off x="0" y="0"/><a:ext cx="0" cy="0"/></a:xfrm><a:prstGeom prst="rect"><a:avLst/></a:prstGeom></xdr:spPr><xdr:txBody><a:bodyPr anchor="ctr"><a:noAutofit/></a:bodyPr><a:p><a:r><a:t>Income Taxes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39</xdr:col><xdr:colOff>0</xdr:colOff><xdr:row>9</xdr:row><xdr:rowOff>0</xdr:rowOff></xdr:from><xdr:to><xdr:col>56</xdr:col><xdr:colOff>69840</xdr:colOff><xdr:row>12</xdr:row><xdr:rowOff>9360</xdr:rowOff></xdr:to><xdr:sp><xdr:nvSpPr><xdr:cNvPr id="1011" name="Check Box 23" descr="DCF Analysis" hidden="0"/><xdr:cNvSpPr/></xdr:nvSpPr><xdr:spPr><a:xfrm><a:off x="0" y="0"/><a:ext cx="0" cy="0"/></a:xfrm><a:prstGeom prst="rect"><a:avLst/></a:prstGeom></xdr:spPr><xdr:txBody><a:bodyPr anchor="ctr"><a:noAutofit/></a:bodyPr><a:p><a:r><a:t>DCF Analysis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9</xdr:col><xdr:colOff>0</xdr:colOff><xdr:row>14</xdr:row><xdr:rowOff>38160</xdr:rowOff></xdr:from><xdr:to><xdr:col>27</xdr:col><xdr:colOff>69840</xdr:colOff><xdr:row>17</xdr:row><xdr:rowOff>47520</xdr:rowOff></xdr:to><xdr:sp><xdr:nvSpPr><xdr:cNvPr id="1012" name="Check Box 31" descr="Sources &amp; Uses" hidden="0"/><xdr:cNvSpPr/></xdr:nvSpPr><xdr:spPr><a:xfrm><a:off x="0" y="0"/><a:ext cx="0" cy="0"/></a:xfrm><a:prstGeom prst="rect"><a:avLst/></a:prstGeom></xdr:spPr><xdr:txBody><a:bodyPr anchor="ctr"><a:noAutofit/></a:bodyPr><a:p><a:r><a:t>Sources & Uses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44</xdr:col><xdr:colOff>39960</xdr:colOff><xdr:row>38</xdr:row><xdr:rowOff>38160</xdr:rowOff></xdr:from><xdr:to><xdr:col>63</xdr:col><xdr:colOff>39960</xdr:colOff><xdr:row>42</xdr:row><xdr:rowOff>66600</xdr:rowOff></xdr:to><xdr:sp><xdr:nvSpPr><xdr:cNvPr id="0" name="Label 33" descr="Print delay in seconds&#10;(default = 6)" hidden="0"/><xdr:cNvSpPr/></xdr:nvSpPr><xdr:spPr><a:xfrm><a:off x="0" y="0"/><a:ext cx="0" cy="0"/></a:xfrm><a:prstGeom prst="rect"><a:avLst/></a:prstGeom></xdr:spPr><xdr:txBody><a:bodyPr anchor="ctr"><a:noAutofit/></a:bodyPr><a:p><a:r><a:t>Print delay in seconds
(default = 6)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44</xdr:col><xdr:colOff>0</xdr:colOff><xdr:row>38</xdr:row><xdr:rowOff>38160</xdr:rowOff></xdr:from><xdr:to><xdr:col>63</xdr:col><xdr:colOff>59760</xdr:colOff><xdr:row>46</xdr:row><xdr:rowOff>66600</xdr:rowOff></xdr:to><xdr:sp><xdr:nvSpPr><xdr:cNvPr id="0" name="Group Box 35" descr="" hidden="0"/><xdr:cNvSpPr/></xdr:nvSpPr><xdr:spPr><a:xfrm><a:off x="0" y="0"/><a:ext cx="0" cy="0"/></a:xfrm><a:prstGeom prst="rect"><a:avLst/></a:prstGeom></xdr:spPr><xdr:txBody><a:bodyPr anchor="ctr"><a:noAutofit/></a:bodyPr><a:p><a:r><a:t>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12</xdr:col><xdr:colOff>0</xdr:colOff><xdr:row>38</xdr:row><xdr:rowOff>0</xdr:rowOff></xdr:from><xdr:to><xdr:col>35</xdr:col><xdr:colOff>69840</xdr:colOff><xdr:row>44</xdr:row><xdr:rowOff>66600</xdr:rowOff></xdr:to><xdr:sp><xdr:nvSpPr><xdr:cNvPr id="0" name="Label 37" descr="Interest Rates/Other Income/Asset Sales/Tax Assumptions" hidden="0"/><xdr:cNvSpPr/></xdr:nvSpPr><xdr:spPr><a:xfrm><a:off x="0" y="0"/><a:ext cx="0" cy="0"/></a:xfrm><a:prstGeom prst="rect"><a:avLst/></a:prstGeom></xdr:spPr><xdr:txBody><a:bodyPr anchor="ctr"><a:noAutofit/></a:bodyPr><a:p><a:r><a:t>Interest Rates/Other Income/Asset Sales/Tax Assumptions</a:t></a:r></a:p></xdr:txBody></xdr:sp><xdr:clientData/></xdr:twoCellAnchor></mc:Choice></mc:AlternateContent><mc:AlternateContent xmlns:mc="http://schemas.openxmlformats.org/markup-compatibility/2006"><mc:Choice xmlns:a14="http://schemas.microsoft.com/office/drawing/2010/main" Requires="a14"><xdr:twoCellAnchor editAs="oneCell"><xdr:from><xdr:col>38</xdr:col><xdr:colOff>0</xdr:colOff><xdr:row>6</xdr:row><xdr:rowOff>0</xdr:rowOff></xdr:from><xdr:to><xdr:col>55</xdr:col><xdr:colOff>69840</xdr:colOff><xdr:row>7</xdr:row><xdr:rowOff>66960</xdr:rowOff></xdr:to><xdr:sp><xdr:nvSpPr><xdr:cNvPr id="0" name="Label 38" descr="Analysis of Results" hidden="0"/><xdr:cNvSpPr/></xdr:nvSpPr><xdr:spPr><a:xfrm><a:off x="0" y="0"/><a:ext cx="0" cy="0"/></a:xfrm><a:prstGeom prst="rect"><a:avLst/></a:prstGeom></xdr:spPr><xdr:txBody><a:bodyPr anchor="ctr"><a:noAutofit/></a:bodyPr><a:p><a:r><a:t>Analysis of Results</a:t></a:r></a:p></xdr:txBody></xdr:sp><xdr:clientData/></xdr:twoCellAnchor></mc:Choice></mc:AlternateContent>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221400</xdr:colOff>
      <xdr:row>516</xdr:row>
      <xdr:rowOff>76680</xdr:rowOff>
    </xdr:from>
    <xdr:to>
      <xdr:col>16</xdr:col>
      <xdr:colOff>432720</xdr:colOff>
      <xdr:row>520</xdr:row>
      <xdr:rowOff>142920</xdr:rowOff>
    </xdr:to>
    <xdr:sp>
      <xdr:nvSpPr>
        <xdr:cNvPr id="0" name="Text 48"/>
        <xdr:cNvSpPr/>
      </xdr:nvSpPr>
      <xdr:spPr>
        <a:xfrm>
          <a:off x="12494520" y="75333600"/>
          <a:ext cx="1026360" cy="6379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pPr algn="ctr"/>
          <a:r>
            <a:rPr b="0" lang="en-US" sz="800" strike="noStrike" u="none">
              <a:effectLst/>
              <a:uFillTx/>
              <a:latin typeface="Arial"/>
            </a:rPr>
            <a:t>*Not to exceed total cash balances.</a:t>
          </a:r>
          <a:endParaRPr b="0" lang="en-US" sz="800" strike="noStrike" u="none">
            <a:effectLst/>
            <a:uFillTx/>
            <a:latin typeface="Times New Roman"/>
          </a:endParaRPr>
        </a:p>
        <a:p>
          <a:pPr algn="ctr"/>
          <a:r>
            <a:rPr b="0" lang="en-US" sz="800" strike="noStrike" u="none">
              <a:effectLst/>
              <a:uFillTx/>
              <a:latin typeface="Arial"/>
            </a:rPr>
            <a:t>Default value equal to $0.</a:t>
          </a:r>
          <a:endParaRPr b="0" lang="en-US" sz="800" strike="noStrike" u="none">
            <a:effectLst/>
            <a:uFillTx/>
            <a:latin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885600</xdr:colOff>
          <xdr:row>0</xdr:row>
          <xdr:rowOff>0</xdr:rowOff>
        </xdr:from>
        <xdr:to>
          <xdr:col>2</xdr:col>
          <xdr:colOff>886320</xdr:colOff>
          <xdr:row>2</xdr:row>
          <xdr:rowOff>9360</xdr:rowOff>
        </xdr:to>
        <xdr:sp>
          <xdr:nvSpPr>
            <xdr:cNvPr id="1001" name="Button 52" descr="Optimiz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Optimize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9360</xdr:rowOff>
        </xdr:from>
        <xdr:to>
          <xdr:col>1</xdr:col>
          <xdr:colOff>1080</xdr:colOff>
          <xdr:row>1</xdr:row>
          <xdr:rowOff>9720</xdr:rowOff>
        </xdr:to>
        <xdr:sp>
          <xdr:nvSpPr>
            <xdr:cNvPr id="1002" name="Button 610" descr="Input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Inputs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9360</xdr:rowOff>
        </xdr:from>
        <xdr:to>
          <xdr:col>2</xdr:col>
          <xdr:colOff>-49320</xdr:colOff>
          <xdr:row>1</xdr:row>
          <xdr:rowOff>9720</xdr:rowOff>
        </xdr:to>
        <xdr:sp>
          <xdr:nvSpPr>
            <xdr:cNvPr id="1003" name="Button 614" descr="Go To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Go To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9720</xdr:rowOff>
        </xdr:from>
        <xdr:to>
          <xdr:col>1</xdr:col>
          <xdr:colOff>1080</xdr:colOff>
          <xdr:row>2</xdr:row>
          <xdr:rowOff>18720</xdr:rowOff>
        </xdr:to>
        <xdr:sp>
          <xdr:nvSpPr>
            <xdr:cNvPr id="1004" name="Button 615" descr="S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9720</xdr:rowOff>
        </xdr:from>
        <xdr:to>
          <xdr:col>2</xdr:col>
          <xdr:colOff>-49320</xdr:colOff>
          <xdr:row>2</xdr:row>
          <xdr:rowOff>18720</xdr:rowOff>
        </xdr:to>
        <xdr:sp>
          <xdr:nvSpPr>
            <xdr:cNvPr id="1005" name="Button 933" descr="Pri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18720</xdr:rowOff>
        </xdr:from>
        <xdr:to>
          <xdr:col>1</xdr:col>
          <xdr:colOff>1080</xdr:colOff>
          <xdr:row>3</xdr:row>
          <xdr:rowOff>0</xdr:rowOff>
        </xdr:to>
        <xdr:sp>
          <xdr:nvSpPr>
            <xdr:cNvPr id="1006" name="Button 934" descr="Clear #REF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Clear #REF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9360</xdr:rowOff>
        </xdr:from>
        <xdr:to>
          <xdr:col>4</xdr:col>
          <xdr:colOff>302400</xdr:colOff>
          <xdr:row>1</xdr:row>
          <xdr:rowOff>19080</xdr:rowOff>
        </xdr:to>
        <xdr:sp>
          <xdr:nvSpPr>
            <xdr:cNvPr id="1007" name="Button 165" descr="Print Rev/Ex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Rev/Exp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vmlDrawing" Target="../drawings/vmlDrawing8.vml"/><Relationship Id="rId3" Type="http://schemas.openxmlformats.org/officeDocument/2006/relationships/ctrlProp" Target="../ctrlProps/ctrlProps26.xml"/><Relationship Id="rId4" Type="http://schemas.openxmlformats.org/officeDocument/2006/relationships/ctrlProp" Target="../ctrlProps/ctrlProps2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vmlDrawing" Target="../drawings/vmlDrawing9.vml"/><Relationship Id="rId3" Type="http://schemas.openxmlformats.org/officeDocument/2006/relationships/ctrlProp" Target="../ctrlProps/ctrlProps29.xml"/><Relationship Id="rId4" Type="http://schemas.openxmlformats.org/officeDocument/2006/relationships/ctrlProp" Target="../ctrlProps/ctrlProps30.xml"/><Relationship Id="rId5" Type="http://schemas.openxmlformats.org/officeDocument/2006/relationships/ctrlProp" Target="../ctrlProps/ctrlProps31.xml"/><Relationship Id="rId6" Type="http://schemas.openxmlformats.org/officeDocument/2006/relationships/ctrlProp" Target="../ctrlProps/ctrlProps32.xml"/><Relationship Id="rId7" Type="http://schemas.openxmlformats.org/officeDocument/2006/relationships/ctrlProp" Target="../ctrlProps/ctrlProps33.xml"/><Relationship Id="rId8" Type="http://schemas.openxmlformats.org/officeDocument/2006/relationships/ctrlProp" Target="../ctrlProps/ctrlProps34.xml"/><Relationship Id="rId9" Type="http://schemas.openxmlformats.org/officeDocument/2006/relationships/ctrlProp" Target="../ctrlProps/ctrlProps35.xml"/><Relationship Id="rId10" Type="http://schemas.openxmlformats.org/officeDocument/2006/relationships/ctrlProp" Target="../ctrlProps/ctrlProps36.xml"/><Relationship Id="rId11" Type="http://schemas.openxmlformats.org/officeDocument/2006/relationships/ctrlProp" Target="../ctrlProps/ctrlProps37.xml"/><Relationship Id="rId12" Type="http://schemas.openxmlformats.org/officeDocument/2006/relationships/ctrlProp" Target="../ctrlProps/ctrlProps38.xml"/><Relationship Id="rId13" Type="http://schemas.openxmlformats.org/officeDocument/2006/relationships/ctrlProp" Target="../ctrlProps/ctrlProps39.xml"/><Relationship Id="rId14" Type="http://schemas.openxmlformats.org/officeDocument/2006/relationships/ctrlProp" Target="../ctrlProps/ctrlProps40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<Relationship Id="rId6" Type="http://schemas.openxmlformats.org/officeDocument/2006/relationships/ctrlProp" Target="../ctrlProps/ctrlProps7.xml"/><Relationship Id="rId7" Type="http://schemas.openxmlformats.org/officeDocument/2006/relationships/ctrlProp" Target="../ctrlProps/ctrlProps8.xml"/><Relationship Id="rId8" Type="http://schemas.openxmlformats.org/officeDocument/2006/relationships/ctrlProp" Target="../ctrlProps/ctrlProps9.xml"/><Relationship Id="rId9" Type="http://schemas.openxmlformats.org/officeDocument/2006/relationships/ctrlProp" Target="../ctrlProps/ctrlProps10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3.vml"/><Relationship Id="rId4" Type="http://schemas.openxmlformats.org/officeDocument/2006/relationships/ctrlProp" Target="../ctrlProps/ctrlProps12.xml"/><Relationship Id="rId5" Type="http://schemas.openxmlformats.org/officeDocument/2006/relationships/ctrlProp" Target="../ctrlProps/ctrlProps13.xml"/><Relationship Id="rId6" Type="http://schemas.openxmlformats.org/officeDocument/2006/relationships/ctrlProp" Target="../ctrlProps/ctrlProps14.xml"/><Relationship Id="rId7" Type="http://schemas.openxmlformats.org/officeDocument/2006/relationships/ctrlProp" Target="../ctrlProps/ctrlProps15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17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19.xml"/><Relationship Id="rId4" Type="http://schemas.openxmlformats.org/officeDocument/2006/relationships/ctrlProp" Target="../ctrlProps/ctrlProps20.xml"/><Relationship Id="rId5" Type="http://schemas.openxmlformats.org/officeDocument/2006/relationships/ctrlProp" Target="../ctrlProps/ctrlProps21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vmlDrawing" Target="../drawings/vmlDrawing7.vml"/><Relationship Id="rId3" Type="http://schemas.openxmlformats.org/officeDocument/2006/relationships/ctrlProp" Target="../ctrlProps/ctrlProps23.xml"/><Relationship Id="rId4" Type="http://schemas.openxmlformats.org/officeDocument/2006/relationships/ctrlProp" Target="../ctrlProps/ctrlProps2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13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85"/>
    <col collapsed="false" customWidth="true" hidden="false" outlineLevel="0" max="3" min="3" style="0" width="12.85"/>
    <col collapsed="false" customWidth="true" hidden="false" outlineLevel="0" max="4" min="4" style="0" width="9.99"/>
    <col collapsed="false" customWidth="true" hidden="false" outlineLevel="0" max="5" min="5" style="0" width="11.56"/>
    <col collapsed="false" customWidth="true" hidden="false" outlineLevel="0" max="6" min="6" style="1" width="9.14"/>
    <col collapsed="false" customWidth="true" hidden="false" outlineLevel="0" max="9" min="9" style="0" width="16.56"/>
    <col collapsed="false" customWidth="true" hidden="false" outlineLevel="0" max="10" min="10" style="0" width="11.28"/>
    <col collapsed="false" customWidth="true" hidden="false" outlineLevel="0" max="11" min="11" style="1" width="9.14"/>
    <col collapsed="false" customWidth="true" hidden="false" outlineLevel="0" max="12" min="12" style="0" width="15.85"/>
    <col collapsed="false" customWidth="true" hidden="false" outlineLevel="0" max="13" min="13" style="0" width="9.7"/>
    <col collapsed="false" customWidth="true" hidden="false" outlineLevel="0" max="14" min="14" style="0" width="11.7"/>
    <col collapsed="false" customWidth="true" hidden="false" outlineLevel="0" max="15" min="15" style="0" width="11.42"/>
    <col collapsed="false" customWidth="true" hidden="false" outlineLevel="0" max="16" min="16" style="0" width="9.56"/>
  </cols>
  <sheetData>
    <row r="1" customFormat="false" ht="15.75" hidden="false" customHeight="false" outlineLevel="0" collapsed="false">
      <c r="B1" s="2" t="s">
        <v>0</v>
      </c>
      <c r="P1" s="3"/>
    </row>
    <row r="2" customFormat="false" ht="12.75" hidden="false" customHeight="false" outlineLevel="0" collapsed="false">
      <c r="L2" s="4" t="s">
        <v>0</v>
      </c>
      <c r="M2" s="5"/>
      <c r="N2" s="5"/>
      <c r="P2" s="6" t="s">
        <v>0</v>
      </c>
    </row>
    <row r="3" customFormat="false" ht="12.75" hidden="false" customHeight="false" outlineLevel="0" collapsed="false">
      <c r="B3" s="0" t="s">
        <v>1</v>
      </c>
      <c r="D3" s="7" t="s">
        <v>2</v>
      </c>
      <c r="L3" s="4" t="s">
        <v>0</v>
      </c>
      <c r="P3" s="6" t="s">
        <v>0</v>
      </c>
    </row>
    <row r="4" customFormat="false" ht="12.75" hidden="false" customHeight="false" outlineLevel="0" collapsed="false">
      <c r="B4" s="0" t="s">
        <v>3</v>
      </c>
      <c r="D4" s="7" t="s">
        <v>4</v>
      </c>
      <c r="L4" s="0" t="s">
        <v>0</v>
      </c>
      <c r="P4" s="8" t="n">
        <v>36526</v>
      </c>
      <c r="U4" s="0" t="s">
        <v>0</v>
      </c>
    </row>
    <row r="6" customFormat="false" ht="13.5" hidden="false" customHeight="false" outlineLevel="0" collapsed="false">
      <c r="B6" s="9" t="s">
        <v>5</v>
      </c>
      <c r="G6" s="9" t="s">
        <v>6</v>
      </c>
      <c r="L6" s="9" t="s">
        <v>7</v>
      </c>
    </row>
    <row r="7" customFormat="false" ht="12.75" hidden="false" customHeight="false" outlineLevel="0" collapsed="false">
      <c r="B7" s="10" t="s">
        <v>8</v>
      </c>
      <c r="C7" s="11"/>
      <c r="D7" s="11"/>
      <c r="E7" s="12"/>
      <c r="G7" s="13"/>
      <c r="H7" s="11"/>
      <c r="I7" s="14" t="s">
        <v>9</v>
      </c>
      <c r="J7" s="15" t="s">
        <v>10</v>
      </c>
      <c r="L7" s="10" t="s">
        <v>11</v>
      </c>
      <c r="M7" s="11"/>
      <c r="N7" s="16" t="s">
        <v>12</v>
      </c>
      <c r="O7" s="16"/>
    </row>
    <row r="8" customFormat="false" ht="12.75" hidden="false" customHeight="false" outlineLevel="0" collapsed="false">
      <c r="B8" s="17" t="s">
        <v>13</v>
      </c>
      <c r="C8" s="18"/>
      <c r="D8" s="18"/>
      <c r="E8" s="19" t="n">
        <f aca="false">E9</f>
        <v>54</v>
      </c>
      <c r="G8" s="20" t="s">
        <v>14</v>
      </c>
      <c r="H8" s="18"/>
      <c r="I8" s="21" t="n">
        <v>0</v>
      </c>
      <c r="J8" s="22" t="n">
        <v>0</v>
      </c>
      <c r="L8" s="17" t="s">
        <v>0</v>
      </c>
      <c r="M8" s="18"/>
      <c r="N8" s="23" t="s">
        <v>15</v>
      </c>
      <c r="O8" s="24" t="s">
        <v>16</v>
      </c>
    </row>
    <row r="9" customFormat="false" ht="12.75" hidden="false" customHeight="false" outlineLevel="0" collapsed="false">
      <c r="B9" s="17" t="s">
        <v>17</v>
      </c>
      <c r="C9" s="18"/>
      <c r="D9" s="18"/>
      <c r="E9" s="25" t="n">
        <v>54</v>
      </c>
      <c r="G9" s="17"/>
      <c r="H9" s="18"/>
      <c r="I9" s="18"/>
      <c r="J9" s="26"/>
      <c r="L9" s="17" t="s">
        <v>18</v>
      </c>
      <c r="M9" s="18"/>
      <c r="N9" s="27"/>
      <c r="O9" s="28"/>
    </row>
    <row r="10" customFormat="false" ht="12.75" hidden="false" customHeight="false" outlineLevel="0" collapsed="false">
      <c r="B10" s="17"/>
      <c r="C10" s="18"/>
      <c r="D10" s="18"/>
      <c r="E10" s="29"/>
      <c r="G10" s="20" t="s">
        <v>19</v>
      </c>
      <c r="H10" s="18"/>
      <c r="I10" s="18"/>
      <c r="J10" s="26"/>
      <c r="L10" s="30" t="s">
        <v>20</v>
      </c>
      <c r="M10" s="18"/>
      <c r="N10" s="31" t="n">
        <v>26.67</v>
      </c>
      <c r="O10" s="32" t="n">
        <v>26.67</v>
      </c>
    </row>
    <row r="11" customFormat="false" ht="12.75" hidden="false" customHeight="false" outlineLevel="0" collapsed="false">
      <c r="B11" s="20" t="s">
        <v>21</v>
      </c>
      <c r="C11" s="18"/>
      <c r="D11" s="18"/>
      <c r="E11" s="29"/>
      <c r="G11" s="17" t="s">
        <v>22</v>
      </c>
      <c r="H11" s="18"/>
      <c r="I11" s="18"/>
      <c r="J11" s="22" t="n">
        <v>0</v>
      </c>
      <c r="L11" s="30" t="s">
        <v>23</v>
      </c>
      <c r="M11" s="27"/>
      <c r="N11" s="31" t="n">
        <v>23.31</v>
      </c>
      <c r="O11" s="32" t="n">
        <v>23.31</v>
      </c>
    </row>
    <row r="12" customFormat="false" ht="12.75" hidden="false" customHeight="false" outlineLevel="0" collapsed="false">
      <c r="B12" s="17" t="s">
        <v>24</v>
      </c>
      <c r="C12" s="18"/>
      <c r="D12" s="18"/>
      <c r="E12" s="22" t="n">
        <v>8473</v>
      </c>
      <c r="G12" s="17" t="s">
        <v>25</v>
      </c>
      <c r="H12" s="18"/>
      <c r="I12" s="18"/>
      <c r="J12" s="22" t="n">
        <v>0</v>
      </c>
      <c r="L12" s="17" t="s">
        <v>26</v>
      </c>
      <c r="M12" s="18"/>
      <c r="N12" s="31" t="n">
        <v>56.09</v>
      </c>
      <c r="O12" s="32" t="n">
        <v>26.77</v>
      </c>
    </row>
    <row r="13" customFormat="false" ht="12.75" hidden="false" customHeight="false" outlineLevel="0" collapsed="false">
      <c r="B13" s="17" t="s">
        <v>27</v>
      </c>
      <c r="C13" s="18"/>
      <c r="D13" s="18"/>
      <c r="E13" s="22" t="n">
        <v>7664</v>
      </c>
      <c r="G13" s="17" t="s">
        <v>28</v>
      </c>
      <c r="H13" s="18"/>
      <c r="I13" s="18"/>
      <c r="J13" s="22" t="n">
        <v>0</v>
      </c>
      <c r="L13" s="17"/>
      <c r="M13" s="18"/>
      <c r="N13" s="18"/>
      <c r="O13" s="33"/>
    </row>
    <row r="14" customFormat="false" ht="12.75" hidden="false" customHeight="false" outlineLevel="0" collapsed="false">
      <c r="B14" s="17" t="s">
        <v>29</v>
      </c>
      <c r="C14" s="18"/>
      <c r="D14" s="18"/>
      <c r="E14" s="34" t="n">
        <v>0.001</v>
      </c>
      <c r="G14" s="17" t="s">
        <v>30</v>
      </c>
      <c r="H14" s="18"/>
      <c r="I14" s="18"/>
      <c r="J14" s="22" t="n">
        <v>0</v>
      </c>
      <c r="L14" s="17" t="s">
        <v>31</v>
      </c>
      <c r="M14" s="18"/>
      <c r="N14" s="18"/>
      <c r="O14" s="25" t="n">
        <v>45</v>
      </c>
      <c r="P14" s="35" t="s">
        <v>0</v>
      </c>
    </row>
    <row r="15" customFormat="false" ht="12.75" hidden="false" customHeight="false" outlineLevel="0" collapsed="false">
      <c r="B15" s="17"/>
      <c r="C15" s="18"/>
      <c r="D15" s="18"/>
      <c r="E15" s="29"/>
      <c r="G15" s="17" t="s">
        <v>32</v>
      </c>
      <c r="H15" s="18"/>
      <c r="I15" s="18"/>
      <c r="J15" s="22" t="n">
        <v>0</v>
      </c>
      <c r="L15" s="17" t="s">
        <v>33</v>
      </c>
      <c r="M15" s="18"/>
      <c r="N15" s="18"/>
      <c r="O15" s="36" t="n">
        <v>0</v>
      </c>
    </row>
    <row r="16" customFormat="false" ht="12.75" hidden="false" customHeight="false" outlineLevel="0" collapsed="false">
      <c r="B16" s="20" t="s">
        <v>34</v>
      </c>
      <c r="C16" s="18"/>
      <c r="D16" s="18"/>
      <c r="E16" s="29"/>
      <c r="G16" s="17" t="s">
        <v>35</v>
      </c>
      <c r="H16" s="18"/>
      <c r="I16" s="18"/>
      <c r="J16" s="22" t="n">
        <v>0</v>
      </c>
      <c r="L16" s="17" t="s">
        <v>36</v>
      </c>
      <c r="M16" s="18"/>
      <c r="N16" s="18"/>
      <c r="O16" s="37" t="s">
        <v>37</v>
      </c>
    </row>
    <row r="17" customFormat="false" ht="12.75" hidden="false" customHeight="false" outlineLevel="0" collapsed="false">
      <c r="B17" s="17" t="s">
        <v>38</v>
      </c>
      <c r="C17" s="18"/>
      <c r="D17" s="18"/>
      <c r="E17" s="38" t="n">
        <v>1</v>
      </c>
      <c r="G17" s="17" t="s">
        <v>39</v>
      </c>
      <c r="H17" s="18"/>
      <c r="I17" s="18"/>
      <c r="J17" s="22" t="n">
        <v>0</v>
      </c>
      <c r="L17" s="17" t="s">
        <v>40</v>
      </c>
      <c r="M17" s="18"/>
      <c r="N17" s="18"/>
      <c r="O17" s="37" t="s">
        <v>37</v>
      </c>
    </row>
    <row r="18" customFormat="false" ht="12.75" hidden="false" customHeight="false" outlineLevel="0" collapsed="false">
      <c r="B18" s="17" t="s">
        <v>41</v>
      </c>
      <c r="C18" s="18"/>
      <c r="D18" s="18"/>
      <c r="E18" s="39" t="n">
        <v>0</v>
      </c>
      <c r="G18" s="17" t="s">
        <v>42</v>
      </c>
      <c r="H18" s="18"/>
      <c r="I18" s="21"/>
      <c r="J18" s="22" t="n">
        <v>0</v>
      </c>
      <c r="L18" s="17" t="s">
        <v>43</v>
      </c>
      <c r="M18" s="18"/>
      <c r="N18" s="18"/>
      <c r="O18" s="37" t="s">
        <v>37</v>
      </c>
    </row>
    <row r="19" customFormat="false" ht="12.75" hidden="false" customHeight="false" outlineLevel="0" collapsed="false">
      <c r="B19" s="17" t="s">
        <v>44</v>
      </c>
      <c r="C19" s="18"/>
      <c r="D19" s="18"/>
      <c r="E19" s="34" t="n">
        <v>0.015</v>
      </c>
      <c r="G19" s="17" t="s">
        <v>45</v>
      </c>
      <c r="H19" s="18"/>
      <c r="I19" s="18"/>
      <c r="J19" s="22" t="n">
        <v>0</v>
      </c>
      <c r="L19" s="17"/>
      <c r="M19" s="18"/>
      <c r="N19" s="18"/>
      <c r="O19" s="33"/>
    </row>
    <row r="20" customFormat="false" ht="12.75" hidden="false" customHeight="false" outlineLevel="0" collapsed="false">
      <c r="B20" s="17" t="s">
        <v>46</v>
      </c>
      <c r="C20" s="18"/>
      <c r="D20" s="18"/>
      <c r="E20" s="40" t="n">
        <f aca="false">E17*(1-E18)*(1-E19)</f>
        <v>0.985</v>
      </c>
      <c r="G20" s="17" t="s">
        <v>47</v>
      </c>
      <c r="H20" s="18"/>
      <c r="I20" s="18"/>
      <c r="J20" s="22" t="n">
        <v>0</v>
      </c>
      <c r="L20" s="20" t="s">
        <v>48</v>
      </c>
      <c r="M20" s="18"/>
      <c r="N20" s="18"/>
      <c r="O20" s="33"/>
    </row>
    <row r="21" customFormat="false" ht="12.75" hidden="false" customHeight="false" outlineLevel="0" collapsed="false">
      <c r="B21" s="20" t="s">
        <v>49</v>
      </c>
      <c r="C21" s="18"/>
      <c r="D21" s="18"/>
      <c r="E21" s="33"/>
      <c r="G21" s="17" t="s">
        <v>50</v>
      </c>
      <c r="H21" s="18"/>
      <c r="I21" s="18"/>
      <c r="J21" s="22" t="n">
        <v>0</v>
      </c>
      <c r="L21" s="17" t="s">
        <v>51</v>
      </c>
      <c r="M21" s="18"/>
      <c r="N21" s="18"/>
      <c r="O21" s="41" t="s">
        <v>52</v>
      </c>
    </row>
    <row r="22" customFormat="false" ht="12.75" hidden="false" customHeight="false" outlineLevel="0" collapsed="false">
      <c r="B22" s="17" t="s">
        <v>53</v>
      </c>
      <c r="C22" s="18"/>
      <c r="D22" s="18"/>
      <c r="E22" s="42" t="n">
        <v>36373</v>
      </c>
      <c r="G22" s="17" t="s">
        <v>54</v>
      </c>
      <c r="H22" s="18"/>
      <c r="I22" s="18"/>
      <c r="J22" s="22" t="n">
        <v>0</v>
      </c>
      <c r="L22" s="17" t="s">
        <v>55</v>
      </c>
      <c r="M22" s="18"/>
      <c r="N22" s="18"/>
      <c r="O22" s="43" t="n">
        <f aca="false">IF(O21="no",0,E9-O14-O15)</f>
        <v>9</v>
      </c>
    </row>
    <row r="23" customFormat="false" ht="12.75" hidden="false" customHeight="false" outlineLevel="0" collapsed="false">
      <c r="B23" s="17" t="s">
        <v>56</v>
      </c>
      <c r="C23" s="18"/>
      <c r="D23" s="18"/>
      <c r="E23" s="42" t="n">
        <v>36526</v>
      </c>
      <c r="G23" s="17" t="s">
        <v>57</v>
      </c>
      <c r="H23" s="18"/>
      <c r="I23" s="18"/>
      <c r="J23" s="22" t="n">
        <v>0</v>
      </c>
      <c r="L23" s="17" t="s">
        <v>58</v>
      </c>
      <c r="M23" s="18"/>
      <c r="N23" s="18"/>
      <c r="O23" s="44" t="n">
        <v>3.75</v>
      </c>
    </row>
    <row r="24" customFormat="false" ht="12.75" hidden="false" customHeight="false" outlineLevel="0" collapsed="false">
      <c r="B24" s="17" t="s">
        <v>59</v>
      </c>
      <c r="C24" s="18"/>
      <c r="D24" s="18"/>
      <c r="E24" s="42" t="n">
        <v>36465</v>
      </c>
      <c r="G24" s="45" t="s">
        <v>60</v>
      </c>
      <c r="H24" s="18"/>
      <c r="I24" s="27"/>
      <c r="J24" s="46" t="n">
        <f aca="false">SUM(J11:J23)</f>
        <v>0</v>
      </c>
      <c r="L24" s="17" t="s">
        <v>61</v>
      </c>
      <c r="M24" s="18"/>
      <c r="N24" s="18"/>
      <c r="O24" s="44" t="n">
        <v>0</v>
      </c>
    </row>
    <row r="25" customFormat="false" ht="12.75" hidden="false" customHeight="false" outlineLevel="0" collapsed="false">
      <c r="B25" s="17" t="s">
        <v>62</v>
      </c>
      <c r="C25" s="18"/>
      <c r="D25" s="18"/>
      <c r="E25" s="39" t="n">
        <v>0.25</v>
      </c>
      <c r="G25" s="17"/>
      <c r="H25" s="18"/>
      <c r="I25" s="18"/>
      <c r="J25" s="33"/>
      <c r="L25" s="17" t="s">
        <v>63</v>
      </c>
      <c r="M25" s="18"/>
      <c r="N25" s="18"/>
      <c r="O25" s="47" t="n">
        <v>0.035</v>
      </c>
    </row>
    <row r="26" customFormat="false" ht="12.75" hidden="false" customHeight="false" outlineLevel="0" collapsed="false">
      <c r="B26" s="17" t="s">
        <v>64</v>
      </c>
      <c r="C26" s="18"/>
      <c r="D26" s="18"/>
      <c r="E26" s="42" t="n">
        <v>36647</v>
      </c>
      <c r="G26" s="20" t="s">
        <v>65</v>
      </c>
      <c r="H26" s="18"/>
      <c r="I26" s="18"/>
      <c r="J26" s="33"/>
      <c r="L26" s="17" t="s">
        <v>66</v>
      </c>
      <c r="M26" s="18"/>
      <c r="N26" s="18"/>
      <c r="O26" s="48" t="n">
        <v>0</v>
      </c>
    </row>
    <row r="27" customFormat="false" ht="12.75" hidden="false" customHeight="false" outlineLevel="0" collapsed="false">
      <c r="B27" s="17" t="s">
        <v>67</v>
      </c>
      <c r="C27" s="18"/>
      <c r="D27" s="18"/>
      <c r="E27" s="42" t="n">
        <v>37622</v>
      </c>
      <c r="G27" s="49" t="s">
        <v>68</v>
      </c>
      <c r="H27" s="18"/>
      <c r="I27" s="18"/>
      <c r="J27" s="22" t="n">
        <v>72189</v>
      </c>
      <c r="L27" s="17" t="s">
        <v>69</v>
      </c>
      <c r="M27" s="18"/>
      <c r="N27" s="18"/>
      <c r="O27" s="48" t="n">
        <v>0</v>
      </c>
    </row>
    <row r="28" customFormat="false" ht="13.5" hidden="false" customHeight="false" outlineLevel="0" collapsed="false">
      <c r="B28" s="50" t="s">
        <v>70</v>
      </c>
      <c r="C28" s="51"/>
      <c r="D28" s="51"/>
      <c r="E28" s="52" t="n">
        <v>44926</v>
      </c>
      <c r="G28" s="49" t="s">
        <v>71</v>
      </c>
      <c r="H28" s="18"/>
      <c r="I28" s="18"/>
      <c r="J28" s="22" t="n">
        <v>4370</v>
      </c>
      <c r="L28" s="17" t="s">
        <v>72</v>
      </c>
      <c r="M28" s="18"/>
      <c r="N28" s="18"/>
      <c r="O28" s="53" t="n">
        <f aca="false">CURVES!E3</f>
        <v>36508</v>
      </c>
    </row>
    <row r="29" customFormat="false" ht="12.75" hidden="false" customHeight="false" outlineLevel="0" collapsed="false">
      <c r="G29" s="49" t="s">
        <v>73</v>
      </c>
      <c r="H29" s="18"/>
      <c r="I29" s="18"/>
      <c r="J29" s="22" t="n">
        <v>300</v>
      </c>
      <c r="L29" s="17" t="s">
        <v>74</v>
      </c>
      <c r="M29" s="18"/>
      <c r="N29" s="18"/>
      <c r="O29" s="54" t="s">
        <v>0</v>
      </c>
    </row>
    <row r="30" customFormat="false" ht="13.5" hidden="false" customHeight="false" outlineLevel="0" collapsed="false">
      <c r="B30" s="9" t="s">
        <v>75</v>
      </c>
      <c r="G30" s="49" t="s">
        <v>76</v>
      </c>
      <c r="H30" s="18"/>
      <c r="I30" s="18"/>
      <c r="J30" s="22" t="n">
        <v>160</v>
      </c>
      <c r="L30" s="17" t="s">
        <v>77</v>
      </c>
      <c r="M30" s="18"/>
      <c r="N30" s="18"/>
      <c r="O30" s="54" t="s">
        <v>0</v>
      </c>
    </row>
    <row r="31" customFormat="false" ht="12.75" hidden="false" customHeight="false" outlineLevel="0" collapsed="false">
      <c r="B31" s="10" t="s">
        <v>78</v>
      </c>
      <c r="C31" s="11"/>
      <c r="D31" s="11"/>
      <c r="E31" s="12"/>
      <c r="G31" s="49" t="s">
        <v>79</v>
      </c>
      <c r="H31" s="18"/>
      <c r="I31" s="18"/>
      <c r="J31" s="22" t="n">
        <v>134</v>
      </c>
      <c r="L31" s="17" t="s">
        <v>80</v>
      </c>
      <c r="M31" s="18"/>
      <c r="N31" s="18"/>
      <c r="O31" s="55" t="s">
        <v>81</v>
      </c>
    </row>
    <row r="32" customFormat="false" ht="12.75" hidden="false" customHeight="false" outlineLevel="0" collapsed="false">
      <c r="B32" s="17" t="s">
        <v>82</v>
      </c>
      <c r="C32" s="18"/>
      <c r="D32" s="18"/>
      <c r="E32" s="34" t="n">
        <v>0</v>
      </c>
      <c r="G32" s="49" t="s">
        <v>83</v>
      </c>
      <c r="H32" s="18"/>
      <c r="I32" s="18"/>
      <c r="J32" s="22" t="n">
        <v>0</v>
      </c>
      <c r="L32" s="17"/>
      <c r="M32" s="18" t="s">
        <v>84</v>
      </c>
      <c r="N32" s="56" t="e">
        <f aca="false">O32/O34</f>
        <v>#DIV/0!</v>
      </c>
      <c r="O32" s="57" t="n">
        <f aca="false">CALC!EP9/1000</f>
        <v>0</v>
      </c>
    </row>
    <row r="33" customFormat="false" ht="15" hidden="false" customHeight="false" outlineLevel="0" collapsed="false">
      <c r="B33" s="17" t="s">
        <v>85</v>
      </c>
      <c r="C33" s="18"/>
      <c r="D33" s="18"/>
      <c r="E33" s="34" t="n">
        <v>0</v>
      </c>
      <c r="G33" s="49" t="s">
        <v>86</v>
      </c>
      <c r="H33" s="18"/>
      <c r="I33" s="18"/>
      <c r="J33" s="22" t="n">
        <v>0</v>
      </c>
      <c r="L33" s="17"/>
      <c r="M33" s="18" t="s">
        <v>87</v>
      </c>
      <c r="N33" s="56" t="e">
        <f aca="false">O33/O34</f>
        <v>#DIV/0!</v>
      </c>
      <c r="O33" s="58" t="n">
        <v>0</v>
      </c>
    </row>
    <row r="34" customFormat="false" ht="12.75" hidden="false" customHeight="false" outlineLevel="0" collapsed="false">
      <c r="B34" s="17" t="s">
        <v>88</v>
      </c>
      <c r="C34" s="18"/>
      <c r="D34" s="18"/>
      <c r="E34" s="59" t="n">
        <f aca="false">1-((1-E32)*(1-E33))</f>
        <v>0</v>
      </c>
      <c r="G34" s="49" t="s">
        <v>89</v>
      </c>
      <c r="H34" s="18"/>
      <c r="I34" s="18"/>
      <c r="J34" s="22" t="n">
        <v>200</v>
      </c>
      <c r="L34" s="17"/>
      <c r="M34" s="18" t="s">
        <v>90</v>
      </c>
      <c r="N34" s="56" t="e">
        <f aca="false">SUM(N32:N33)</f>
        <v>#DIV/0!</v>
      </c>
      <c r="O34" s="46" t="n">
        <f aca="false">SUM(O32:O33)</f>
        <v>0</v>
      </c>
    </row>
    <row r="35" customFormat="false" ht="12.75" hidden="false" customHeight="false" outlineLevel="0" collapsed="false">
      <c r="B35" s="17"/>
      <c r="C35" s="18"/>
      <c r="D35" s="18"/>
      <c r="E35" s="33"/>
      <c r="G35" s="49" t="s">
        <v>91</v>
      </c>
      <c r="H35" s="18"/>
      <c r="I35" s="18"/>
      <c r="J35" s="22" t="n">
        <v>60</v>
      </c>
      <c r="L35" s="49" t="s">
        <v>92</v>
      </c>
      <c r="M35" s="27"/>
      <c r="N35" s="27"/>
      <c r="O35" s="44" t="s">
        <v>0</v>
      </c>
    </row>
    <row r="36" customFormat="false" ht="12.75" hidden="false" customHeight="false" outlineLevel="0" collapsed="false">
      <c r="B36" s="20" t="s">
        <v>93</v>
      </c>
      <c r="C36" s="18"/>
      <c r="D36" s="18"/>
      <c r="E36" s="33"/>
      <c r="G36" s="49" t="s">
        <v>94</v>
      </c>
      <c r="H36" s="18"/>
      <c r="I36" s="18"/>
      <c r="J36" s="22" t="n">
        <v>400</v>
      </c>
      <c r="L36" s="49" t="s">
        <v>95</v>
      </c>
      <c r="M36" s="27"/>
      <c r="N36" s="27"/>
      <c r="O36" s="44" t="s">
        <v>0</v>
      </c>
    </row>
    <row r="37" customFormat="false" ht="12.75" hidden="false" customHeight="false" outlineLevel="0" collapsed="false">
      <c r="B37" s="17"/>
      <c r="C37" s="18"/>
      <c r="D37" s="23" t="s">
        <v>96</v>
      </c>
      <c r="E37" s="24" t="s">
        <v>97</v>
      </c>
      <c r="G37" s="49" t="s">
        <v>98</v>
      </c>
      <c r="H37" s="18"/>
      <c r="I37" s="18"/>
      <c r="J37" s="22" t="n">
        <v>50</v>
      </c>
      <c r="L37" s="17"/>
      <c r="M37" s="18"/>
      <c r="N37" s="18"/>
      <c r="O37" s="33"/>
    </row>
    <row r="38" customFormat="false" ht="12.75" hidden="false" customHeight="false" outlineLevel="0" collapsed="false">
      <c r="B38" s="17" t="s">
        <v>99</v>
      </c>
      <c r="C38" s="18"/>
      <c r="D38" s="60" t="n">
        <f aca="false">J49</f>
        <v>78714.55552</v>
      </c>
      <c r="E38" s="61" t="n">
        <f aca="false">J49</f>
        <v>78714.55552</v>
      </c>
      <c r="G38" s="49" t="s">
        <v>100</v>
      </c>
      <c r="H38" s="18"/>
      <c r="I38" s="18"/>
      <c r="J38" s="22" t="n">
        <v>200</v>
      </c>
      <c r="L38" s="20" t="s">
        <v>101</v>
      </c>
      <c r="M38" s="18"/>
      <c r="N38" s="18"/>
      <c r="O38" s="33"/>
    </row>
    <row r="39" customFormat="false" ht="12.75" hidden="false" customHeight="false" outlineLevel="0" collapsed="false">
      <c r="B39" s="17" t="s">
        <v>102</v>
      </c>
      <c r="C39" s="18"/>
      <c r="D39" s="62" t="n">
        <v>15</v>
      </c>
      <c r="E39" s="41" t="n">
        <v>15</v>
      </c>
      <c r="G39" s="49" t="s">
        <v>103</v>
      </c>
      <c r="H39" s="18"/>
      <c r="I39" s="18"/>
      <c r="J39" s="22" t="n">
        <f aca="false">69265/1000</f>
        <v>69.265</v>
      </c>
      <c r="L39" s="17" t="s">
        <v>0</v>
      </c>
      <c r="M39" s="18"/>
      <c r="N39" s="18"/>
      <c r="O39" s="63" t="s">
        <v>0</v>
      </c>
    </row>
    <row r="40" customFormat="false" ht="12.75" hidden="false" customHeight="false" outlineLevel="0" collapsed="false">
      <c r="B40" s="17" t="s">
        <v>104</v>
      </c>
      <c r="C40" s="18"/>
      <c r="D40" s="62" t="s">
        <v>105</v>
      </c>
      <c r="E40" s="41" t="s">
        <v>106</v>
      </c>
      <c r="G40" s="49" t="s">
        <v>107</v>
      </c>
      <c r="H40" s="18"/>
      <c r="I40" s="18"/>
      <c r="J40" s="22" t="n">
        <f aca="false">80500-E95-E96-SUM(J27:J39)</f>
        <v>582.290519999995</v>
      </c>
      <c r="L40" s="17"/>
      <c r="M40" s="18"/>
      <c r="N40" s="23" t="s">
        <v>108</v>
      </c>
      <c r="O40" s="24" t="s">
        <v>10</v>
      </c>
    </row>
    <row r="41" customFormat="false" ht="12.75" hidden="false" customHeight="false" outlineLevel="0" collapsed="false">
      <c r="B41" s="17" t="s">
        <v>109</v>
      </c>
      <c r="C41" s="18"/>
      <c r="D41" s="64" t="n">
        <v>0</v>
      </c>
      <c r="E41" s="65" t="n">
        <v>1.5</v>
      </c>
      <c r="G41" s="49" t="s">
        <v>110</v>
      </c>
      <c r="H41" s="18"/>
      <c r="I41" s="66"/>
      <c r="J41" s="67" t="n">
        <v>0</v>
      </c>
      <c r="L41" s="68" t="s">
        <v>111</v>
      </c>
      <c r="M41" s="18"/>
      <c r="N41" s="69"/>
      <c r="O41" s="28"/>
      <c r="U41" s="0" t="s">
        <v>0</v>
      </c>
    </row>
    <row r="42" customFormat="false" ht="12.75" hidden="false" customHeight="false" outlineLevel="0" collapsed="false">
      <c r="B42" s="17" t="s">
        <v>112</v>
      </c>
      <c r="C42" s="18"/>
      <c r="D42" s="70" t="n">
        <v>36373</v>
      </c>
      <c r="E42" s="71" t="n">
        <f aca="false">D42</f>
        <v>36373</v>
      </c>
      <c r="G42" s="49" t="s">
        <v>113</v>
      </c>
      <c r="H42" s="18"/>
      <c r="I42" s="18"/>
      <c r="J42" s="22" t="n">
        <v>0</v>
      </c>
      <c r="L42" s="17" t="s">
        <v>0</v>
      </c>
      <c r="M42" s="18" t="s">
        <v>0</v>
      </c>
      <c r="N42" s="66" t="s">
        <v>0</v>
      </c>
      <c r="O42" s="22" t="s">
        <v>0</v>
      </c>
    </row>
    <row r="43" customFormat="false" ht="12.75" hidden="false" customHeight="false" outlineLevel="0" collapsed="false">
      <c r="B43" s="17"/>
      <c r="C43" s="18"/>
      <c r="D43" s="70"/>
      <c r="E43" s="72"/>
      <c r="G43" s="49" t="s">
        <v>114</v>
      </c>
      <c r="H43" s="18"/>
      <c r="I43" s="18"/>
      <c r="J43" s="22" t="n">
        <v>0</v>
      </c>
      <c r="L43" s="17" t="s">
        <v>115</v>
      </c>
      <c r="M43" s="18"/>
      <c r="N43" s="69"/>
      <c r="O43" s="22"/>
    </row>
    <row r="44" customFormat="false" ht="12.75" hidden="false" customHeight="false" outlineLevel="0" collapsed="false">
      <c r="B44" s="17" t="s">
        <v>116</v>
      </c>
      <c r="C44" s="18"/>
      <c r="D44" s="73" t="n">
        <f aca="false">1183.38*((CCFMODEL!M125))</f>
        <v>1331.9046155778</v>
      </c>
      <c r="E44" s="61" t="n">
        <f aca="false">D44</f>
        <v>1331.9046155778</v>
      </c>
      <c r="G44" s="49" t="s">
        <v>117</v>
      </c>
      <c r="H44" s="18"/>
      <c r="I44" s="66" t="n">
        <v>0.0725</v>
      </c>
      <c r="J44" s="46" t="n">
        <v>0</v>
      </c>
      <c r="L44" s="30" t="s">
        <v>118</v>
      </c>
      <c r="M44" s="27"/>
      <c r="N44" s="66" t="n">
        <v>0</v>
      </c>
      <c r="O44" s="22" t="n">
        <v>65000</v>
      </c>
    </row>
    <row r="45" customFormat="false" ht="12.75" hidden="false" customHeight="false" outlineLevel="0" collapsed="false">
      <c r="B45" s="17" t="s">
        <v>102</v>
      </c>
      <c r="C45" s="18"/>
      <c r="D45" s="62" t="n">
        <v>8</v>
      </c>
      <c r="E45" s="54" t="n">
        <f aca="false">D45</f>
        <v>8</v>
      </c>
      <c r="G45" s="49" t="s">
        <v>119</v>
      </c>
      <c r="H45" s="18"/>
      <c r="I45" s="74"/>
      <c r="J45" s="22" t="n">
        <v>0</v>
      </c>
      <c r="L45" s="75" t="s">
        <v>0</v>
      </c>
      <c r="M45" s="27"/>
      <c r="N45" s="66"/>
      <c r="O45" s="63" t="s">
        <v>0</v>
      </c>
    </row>
    <row r="46" customFormat="false" ht="12.75" hidden="false" customHeight="false" outlineLevel="0" collapsed="false">
      <c r="B46" s="17" t="s">
        <v>104</v>
      </c>
      <c r="C46" s="18"/>
      <c r="D46" s="62" t="s">
        <v>105</v>
      </c>
      <c r="E46" s="41" t="s">
        <v>106</v>
      </c>
      <c r="G46" s="49" t="s">
        <v>120</v>
      </c>
      <c r="H46" s="18"/>
      <c r="I46" s="66" t="n">
        <v>0.05</v>
      </c>
      <c r="J46" s="46" t="n">
        <v>0</v>
      </c>
      <c r="L46" s="30" t="s">
        <v>0</v>
      </c>
      <c r="M46" s="76" t="s">
        <v>0</v>
      </c>
      <c r="N46" s="66" t="n">
        <v>0.02</v>
      </c>
      <c r="O46" s="22" t="s">
        <v>0</v>
      </c>
    </row>
    <row r="47" customFormat="false" ht="12.75" hidden="false" customHeight="false" outlineLevel="0" collapsed="false">
      <c r="B47" s="17" t="s">
        <v>109</v>
      </c>
      <c r="C47" s="18"/>
      <c r="D47" s="64" t="n">
        <v>0</v>
      </c>
      <c r="E47" s="65" t="n">
        <v>1.5</v>
      </c>
      <c r="G47" s="45" t="s">
        <v>60</v>
      </c>
      <c r="H47" s="18"/>
      <c r="I47" s="27"/>
      <c r="J47" s="46" t="n">
        <f aca="false">SUM(J27:J46)</f>
        <v>78714.55552</v>
      </c>
      <c r="L47" s="77"/>
      <c r="M47" s="76" t="s">
        <v>0</v>
      </c>
      <c r="N47" s="18"/>
      <c r="O47" s="38" t="s">
        <v>0</v>
      </c>
    </row>
    <row r="48" customFormat="false" ht="13.5" hidden="false" customHeight="false" outlineLevel="0" collapsed="false">
      <c r="B48" s="17" t="s">
        <v>112</v>
      </c>
      <c r="C48" s="18"/>
      <c r="D48" s="70" t="n">
        <v>37834</v>
      </c>
      <c r="E48" s="71" t="n">
        <f aca="false">D48</f>
        <v>37834</v>
      </c>
      <c r="G48" s="17"/>
      <c r="H48" s="18"/>
      <c r="I48" s="18"/>
      <c r="J48" s="33"/>
      <c r="L48" s="50" t="s">
        <v>0</v>
      </c>
      <c r="M48" s="78"/>
      <c r="N48" s="79" t="s">
        <v>0</v>
      </c>
      <c r="O48" s="80" t="s">
        <v>0</v>
      </c>
    </row>
    <row r="49" customFormat="false" ht="13.5" hidden="false" customHeight="false" outlineLevel="0" collapsed="false">
      <c r="B49" s="17" t="s">
        <v>0</v>
      </c>
      <c r="C49" s="18"/>
      <c r="D49" s="74"/>
      <c r="E49" s="29"/>
      <c r="G49" s="81" t="s">
        <v>121</v>
      </c>
      <c r="H49" s="51"/>
      <c r="I49" s="82" t="n">
        <f aca="false">J49/E9</f>
        <v>1457.67695407407</v>
      </c>
      <c r="J49" s="83" t="n">
        <f aca="false">J8+J24+J47</f>
        <v>78714.55552</v>
      </c>
      <c r="U49" s="0" t="s">
        <v>0</v>
      </c>
    </row>
    <row r="50" customFormat="false" ht="12.75" hidden="false" customHeight="false" outlineLevel="0" collapsed="false">
      <c r="B50" s="17" t="s">
        <v>122</v>
      </c>
      <c r="C50" s="18"/>
      <c r="D50" s="73" t="n">
        <f aca="false">3640.55*((CCFMODEL!Q125))</f>
        <v>4611.73981979569</v>
      </c>
      <c r="E50" s="61" t="n">
        <f aca="false">D50</f>
        <v>4611.73981979569</v>
      </c>
      <c r="U50" s="0" t="s">
        <v>0</v>
      </c>
    </row>
    <row r="51" customFormat="false" ht="13.5" hidden="false" customHeight="false" outlineLevel="0" collapsed="false">
      <c r="B51" s="17" t="s">
        <v>102</v>
      </c>
      <c r="C51" s="18"/>
      <c r="D51" s="62" t="n">
        <v>8</v>
      </c>
      <c r="E51" s="54" t="n">
        <f aca="false">D51</f>
        <v>8</v>
      </c>
      <c r="G51" s="84"/>
      <c r="H51" s="85"/>
      <c r="I51" s="85"/>
      <c r="J51" s="86"/>
      <c r="L51" s="87" t="s">
        <v>123</v>
      </c>
    </row>
    <row r="52" customFormat="false" ht="13.5" hidden="false" customHeight="false" outlineLevel="0" collapsed="false">
      <c r="B52" s="17" t="s">
        <v>104</v>
      </c>
      <c r="C52" s="18"/>
      <c r="D52" s="62" t="s">
        <v>105</v>
      </c>
      <c r="E52" s="41" t="s">
        <v>106</v>
      </c>
      <c r="G52" s="9" t="s">
        <v>124</v>
      </c>
      <c r="L52" s="88" t="s">
        <v>125</v>
      </c>
      <c r="M52" s="89"/>
      <c r="N52" s="89"/>
      <c r="O52" s="90"/>
      <c r="U52" s="0" t="s">
        <v>0</v>
      </c>
    </row>
    <row r="53" customFormat="false" ht="12.75" hidden="false" customHeight="false" outlineLevel="0" collapsed="false">
      <c r="B53" s="17" t="s">
        <v>109</v>
      </c>
      <c r="C53" s="18"/>
      <c r="D53" s="64" t="n">
        <v>0</v>
      </c>
      <c r="E53" s="65" t="n">
        <v>1.5</v>
      </c>
      <c r="G53" s="10"/>
      <c r="H53" s="11"/>
      <c r="I53" s="11"/>
      <c r="J53" s="12"/>
      <c r="L53" s="77" t="s">
        <v>126</v>
      </c>
      <c r="M53" s="27"/>
      <c r="N53" s="27"/>
      <c r="O53" s="91" t="n">
        <f aca="false">IF($Z$56=1,150000,0)</f>
        <v>0</v>
      </c>
      <c r="U53" s="0" t="s">
        <v>0</v>
      </c>
    </row>
    <row r="54" customFormat="false" ht="12.75" hidden="false" customHeight="false" outlineLevel="0" collapsed="false">
      <c r="B54" s="17" t="s">
        <v>112</v>
      </c>
      <c r="C54" s="18"/>
      <c r="D54" s="70" t="n">
        <v>39295</v>
      </c>
      <c r="E54" s="71" t="n">
        <f aca="false">D54</f>
        <v>39295</v>
      </c>
      <c r="G54" s="92" t="s">
        <v>127</v>
      </c>
      <c r="H54" s="18"/>
      <c r="I54" s="18"/>
      <c r="J54" s="93" t="n">
        <v>0.15</v>
      </c>
      <c r="L54" s="77" t="s">
        <v>128</v>
      </c>
      <c r="M54" s="27"/>
      <c r="N54" s="27"/>
      <c r="O54" s="91" t="n">
        <f aca="false">IF($Z$56=1,150000,0)</f>
        <v>0</v>
      </c>
    </row>
    <row r="55" customFormat="false" ht="12.75" hidden="false" customHeight="false" outlineLevel="0" collapsed="false">
      <c r="B55" s="17"/>
      <c r="C55" s="18"/>
      <c r="D55" s="74"/>
      <c r="E55" s="29"/>
      <c r="G55" s="92" t="s">
        <v>129</v>
      </c>
      <c r="H55" s="18"/>
      <c r="I55" s="18"/>
      <c r="J55" s="94" t="n">
        <v>8.5</v>
      </c>
      <c r="L55" s="77" t="s">
        <v>130</v>
      </c>
      <c r="M55" s="27"/>
      <c r="N55" s="27"/>
      <c r="O55" s="95" t="n">
        <v>36892</v>
      </c>
    </row>
    <row r="56" customFormat="false" ht="12.75" hidden="false" customHeight="false" outlineLevel="0" collapsed="false">
      <c r="B56" s="17" t="s">
        <v>131</v>
      </c>
      <c r="C56" s="18"/>
      <c r="D56" s="73" t="n">
        <f aca="false">1312.04*(CCFMODEL!U125)</f>
        <v>1870.65531397766</v>
      </c>
      <c r="E56" s="61" t="n">
        <f aca="false">D56</f>
        <v>1870.65531397766</v>
      </c>
      <c r="G56" s="92" t="s">
        <v>132</v>
      </c>
      <c r="H56" s="18"/>
      <c r="I56" s="18"/>
      <c r="J56" s="93" t="n">
        <v>3.75</v>
      </c>
      <c r="L56" s="77" t="s">
        <v>133</v>
      </c>
      <c r="M56" s="27"/>
      <c r="N56" s="27"/>
      <c r="O56" s="95" t="n">
        <v>36892</v>
      </c>
      <c r="Z56" s="0" t="n">
        <v>0</v>
      </c>
    </row>
    <row r="57" customFormat="false" ht="13.5" hidden="false" customHeight="false" outlineLevel="0" collapsed="false">
      <c r="B57" s="17" t="s">
        <v>102</v>
      </c>
      <c r="C57" s="18"/>
      <c r="D57" s="62" t="n">
        <v>8</v>
      </c>
      <c r="E57" s="54" t="n">
        <f aca="false">D57</f>
        <v>8</v>
      </c>
      <c r="G57" s="92" t="s">
        <v>134</v>
      </c>
      <c r="H57" s="18"/>
      <c r="I57" s="18"/>
      <c r="J57" s="93" t="n">
        <v>1.75</v>
      </c>
      <c r="L57" s="96"/>
      <c r="M57" s="97"/>
      <c r="N57" s="97"/>
      <c r="O57" s="98"/>
      <c r="U57" s="0" t="s">
        <v>0</v>
      </c>
    </row>
    <row r="58" customFormat="false" ht="12.75" hidden="false" customHeight="false" outlineLevel="0" collapsed="false">
      <c r="B58" s="17" t="s">
        <v>104</v>
      </c>
      <c r="C58" s="18"/>
      <c r="D58" s="62" t="s">
        <v>105</v>
      </c>
      <c r="E58" s="41" t="s">
        <v>106</v>
      </c>
      <c r="G58" s="92" t="s">
        <v>135</v>
      </c>
      <c r="H58" s="18"/>
      <c r="I58" s="18"/>
      <c r="J58" s="93" t="n">
        <v>0.5</v>
      </c>
    </row>
    <row r="59" customFormat="false" ht="12.75" hidden="false" customHeight="false" outlineLevel="0" collapsed="false">
      <c r="B59" s="17" t="s">
        <v>109</v>
      </c>
      <c r="C59" s="18"/>
      <c r="D59" s="64" t="n">
        <v>0</v>
      </c>
      <c r="E59" s="65" t="n">
        <v>1.5</v>
      </c>
      <c r="G59" s="92" t="s">
        <v>136</v>
      </c>
      <c r="H59" s="18"/>
      <c r="I59" s="18"/>
      <c r="J59" s="99" t="n">
        <v>0.121048781448</v>
      </c>
    </row>
    <row r="60" customFormat="false" ht="12.75" hidden="false" customHeight="false" outlineLevel="0" collapsed="false">
      <c r="B60" s="17" t="s">
        <v>112</v>
      </c>
      <c r="C60" s="18"/>
      <c r="D60" s="70" t="n">
        <v>40756</v>
      </c>
      <c r="E60" s="71" t="n">
        <f aca="false">D60</f>
        <v>40756</v>
      </c>
      <c r="G60" s="92" t="s">
        <v>137</v>
      </c>
      <c r="H60" s="18"/>
      <c r="I60" s="18"/>
      <c r="J60" s="93" t="n">
        <v>0.04</v>
      </c>
    </row>
    <row r="61" customFormat="false" ht="15.75" hidden="false" customHeight="true" outlineLevel="0" collapsed="false">
      <c r="B61" s="17"/>
      <c r="C61" s="18"/>
      <c r="D61" s="74"/>
      <c r="E61" s="29"/>
      <c r="G61" s="100" t="s">
        <v>138</v>
      </c>
      <c r="H61" s="51"/>
      <c r="I61" s="51"/>
      <c r="J61" s="101" t="n">
        <v>37011</v>
      </c>
    </row>
    <row r="62" customFormat="false" ht="16.5" hidden="false" customHeight="true" outlineLevel="0" collapsed="false">
      <c r="B62" s="17" t="s">
        <v>139</v>
      </c>
      <c r="C62" s="18"/>
      <c r="D62" s="73" t="n">
        <f aca="false">4028*(CCFMODEL!Y125)</f>
        <v>6463.75753668992</v>
      </c>
      <c r="E62" s="61" t="n">
        <f aca="false">D62</f>
        <v>6463.75753668992</v>
      </c>
      <c r="F62" s="102"/>
      <c r="G62" s="103"/>
      <c r="H62" s="85"/>
      <c r="I62" s="104"/>
      <c r="J62" s="105"/>
      <c r="L62" s="87" t="s">
        <v>140</v>
      </c>
      <c r="M62" s="85"/>
    </row>
    <row r="63" customFormat="false" ht="12.75" hidden="false" customHeight="false" outlineLevel="0" collapsed="false">
      <c r="B63" s="17" t="s">
        <v>102</v>
      </c>
      <c r="C63" s="18"/>
      <c r="D63" s="62" t="n">
        <v>8</v>
      </c>
      <c r="E63" s="54" t="n">
        <f aca="false">D63</f>
        <v>8</v>
      </c>
      <c r="F63" s="106"/>
      <c r="G63" s="103"/>
      <c r="H63" s="85"/>
      <c r="I63" s="104"/>
      <c r="J63" s="105"/>
      <c r="L63" s="10" t="s">
        <v>141</v>
      </c>
      <c r="M63" s="11"/>
      <c r="N63" s="14" t="s">
        <v>9</v>
      </c>
      <c r="O63" s="15" t="s">
        <v>10</v>
      </c>
    </row>
    <row r="64" customFormat="false" ht="13.5" hidden="false" customHeight="true" outlineLevel="0" collapsed="false">
      <c r="B64" s="17" t="s">
        <v>104</v>
      </c>
      <c r="C64" s="18"/>
      <c r="D64" s="62" t="s">
        <v>105</v>
      </c>
      <c r="E64" s="41" t="s">
        <v>106</v>
      </c>
      <c r="F64" s="102"/>
      <c r="G64" s="103"/>
      <c r="H64" s="85"/>
      <c r="I64" s="104"/>
      <c r="J64" s="105"/>
      <c r="L64" s="17" t="s">
        <v>142</v>
      </c>
      <c r="M64" s="18"/>
      <c r="N64" s="107" t="n">
        <f aca="false">O64/$E$9</f>
        <v>17.5646391448282</v>
      </c>
      <c r="O64" s="46" t="n">
        <f aca="false">'O&amp;M'!E9</f>
        <v>948.49051382072</v>
      </c>
    </row>
    <row r="65" customFormat="false" ht="13.5" hidden="false" customHeight="true" outlineLevel="0" collapsed="false">
      <c r="A65" s="0" t="s">
        <v>0</v>
      </c>
      <c r="B65" s="17" t="s">
        <v>109</v>
      </c>
      <c r="C65" s="18"/>
      <c r="D65" s="64" t="n">
        <v>0</v>
      </c>
      <c r="E65" s="65" t="n">
        <v>1.5</v>
      </c>
      <c r="G65" s="103"/>
      <c r="H65" s="85"/>
      <c r="I65" s="104"/>
      <c r="J65" s="105"/>
      <c r="L65" s="17" t="s">
        <v>143</v>
      </c>
      <c r="M65" s="27"/>
      <c r="N65" s="107" t="n">
        <f aca="false">O65/$E$9</f>
        <v>5.91069967377517</v>
      </c>
      <c r="O65" s="46" t="n">
        <f aca="false">'O&amp;M'!E25</f>
        <v>319.177782383859</v>
      </c>
      <c r="U65" s="0" t="s">
        <v>0</v>
      </c>
    </row>
    <row r="66" customFormat="false" ht="13.5" hidden="false" customHeight="true" outlineLevel="0" collapsed="false">
      <c r="B66" s="17" t="s">
        <v>112</v>
      </c>
      <c r="C66" s="18"/>
      <c r="D66" s="70" t="n">
        <v>42217</v>
      </c>
      <c r="E66" s="71" t="n">
        <f aca="false">D66</f>
        <v>42217</v>
      </c>
      <c r="F66" s="0"/>
      <c r="G66" s="103"/>
      <c r="H66" s="85"/>
      <c r="I66" s="85"/>
      <c r="J66" s="108"/>
      <c r="L66" s="17" t="s">
        <v>144</v>
      </c>
      <c r="M66" s="18"/>
      <c r="N66" s="107" t="n">
        <f aca="false">O66/$E$9</f>
        <v>3.65003117552278</v>
      </c>
      <c r="O66" s="46" t="n">
        <f aca="false">'O&amp;M'!E34</f>
        <v>197.10168347823</v>
      </c>
    </row>
    <row r="67" customFormat="false" ht="12.75" hidden="false" customHeight="false" outlineLevel="0" collapsed="false">
      <c r="B67" s="17"/>
      <c r="C67" s="18"/>
      <c r="D67" s="74"/>
      <c r="E67" s="29"/>
      <c r="F67" s="0"/>
      <c r="G67" s="103"/>
      <c r="H67" s="85"/>
      <c r="I67" s="85"/>
      <c r="J67" s="105"/>
      <c r="L67" s="109" t="s">
        <v>145</v>
      </c>
      <c r="M67" s="18"/>
      <c r="N67" s="107" t="n">
        <f aca="false">O67/$E$9</f>
        <v>0.755805137515578</v>
      </c>
      <c r="O67" s="46" t="n">
        <f aca="false">'O&amp;M'!E46</f>
        <v>40.8134774258412</v>
      </c>
    </row>
    <row r="68" customFormat="false" ht="12.75" hidden="false" customHeight="false" outlineLevel="0" collapsed="false">
      <c r="B68" s="17"/>
      <c r="C68" s="18"/>
      <c r="D68" s="74"/>
      <c r="E68" s="29"/>
      <c r="F68" s="0"/>
      <c r="G68" s="103"/>
      <c r="H68" s="85"/>
      <c r="I68" s="3"/>
      <c r="J68" s="108"/>
      <c r="L68" s="109" t="s">
        <v>146</v>
      </c>
      <c r="M68" s="18"/>
      <c r="N68" s="107" t="n">
        <f aca="false">O68/$E$9</f>
        <v>8.7930895195333</v>
      </c>
      <c r="O68" s="46" t="n">
        <f aca="false">'O&amp;M'!E56</f>
        <v>474.826834054798</v>
      </c>
    </row>
    <row r="69" customFormat="false" ht="12.75" hidden="false" customHeight="false" outlineLevel="0" collapsed="false">
      <c r="B69" s="20" t="s">
        <v>147</v>
      </c>
      <c r="C69" s="18"/>
      <c r="D69" s="74"/>
      <c r="E69" s="29"/>
      <c r="F69" s="0"/>
      <c r="G69" s="110"/>
      <c r="H69" s="85"/>
      <c r="I69" s="85"/>
      <c r="J69" s="105"/>
      <c r="L69" s="109" t="s">
        <v>148</v>
      </c>
      <c r="M69" s="18"/>
      <c r="N69" s="107" t="n">
        <f aca="false">O69/$E$9</f>
        <v>25.1443262810489</v>
      </c>
      <c r="O69" s="46" t="n">
        <f aca="false">'O&amp;M'!E40</f>
        <v>1357.79361917664</v>
      </c>
    </row>
    <row r="70" customFormat="false" ht="12.75" hidden="false" customHeight="false" outlineLevel="0" collapsed="false">
      <c r="B70" s="17" t="s">
        <v>149</v>
      </c>
      <c r="C70" s="18"/>
      <c r="D70" s="74"/>
      <c r="E70" s="41" t="s">
        <v>52</v>
      </c>
      <c r="F70" s="0"/>
      <c r="G70" s="111"/>
      <c r="H70" s="110"/>
      <c r="I70" s="110"/>
      <c r="J70" s="110"/>
      <c r="L70" s="109" t="s">
        <v>150</v>
      </c>
      <c r="M70" s="27"/>
      <c r="N70" s="107" t="n">
        <f aca="false">O70/$E$9</f>
        <v>0</v>
      </c>
      <c r="O70" s="22" t="n">
        <v>0</v>
      </c>
    </row>
    <row r="71" customFormat="false" ht="12.75" hidden="false" customHeight="false" outlineLevel="0" collapsed="false">
      <c r="B71" s="17" t="s">
        <v>151</v>
      </c>
      <c r="C71" s="18"/>
      <c r="D71" s="74"/>
      <c r="E71" s="34" t="n">
        <v>0.03</v>
      </c>
      <c r="G71" s="110"/>
      <c r="H71" s="110"/>
      <c r="I71" s="110"/>
      <c r="J71" s="86"/>
      <c r="L71" s="45" t="s">
        <v>152</v>
      </c>
      <c r="M71" s="18"/>
      <c r="N71" s="107" t="n">
        <f aca="false">O71/$E$9</f>
        <v>61.8185909322239</v>
      </c>
      <c r="O71" s="46" t="n">
        <f aca="false">SUM(O64:O70)</f>
        <v>3338.20391034009</v>
      </c>
    </row>
    <row r="72" customFormat="false" ht="12.75" hidden="false" customHeight="false" outlineLevel="0" collapsed="false">
      <c r="B72" s="17"/>
      <c r="C72" s="18"/>
      <c r="D72" s="74"/>
      <c r="E72" s="34"/>
      <c r="G72" s="110"/>
      <c r="H72" s="110"/>
      <c r="I72" s="110"/>
      <c r="J72" s="86"/>
      <c r="L72" s="17"/>
      <c r="M72" s="18"/>
      <c r="N72" s="18"/>
      <c r="O72" s="33"/>
    </row>
    <row r="73" customFormat="false" ht="12.75" hidden="false" customHeight="false" outlineLevel="0" collapsed="false">
      <c r="B73" s="17"/>
      <c r="C73" s="18"/>
      <c r="D73" s="74"/>
      <c r="E73" s="34"/>
      <c r="G73" s="3"/>
      <c r="H73" s="3"/>
      <c r="I73" s="3"/>
      <c r="J73" s="3"/>
      <c r="L73" s="20" t="s">
        <v>153</v>
      </c>
      <c r="M73" s="18"/>
      <c r="N73" s="18"/>
      <c r="O73" s="28"/>
      <c r="P73" s="112" t="s">
        <v>0</v>
      </c>
    </row>
    <row r="74" customFormat="false" ht="12.75" hidden="false" customHeight="false" outlineLevel="0" collapsed="false">
      <c r="B74" s="20" t="s">
        <v>154</v>
      </c>
      <c r="C74" s="18"/>
      <c r="D74" s="18"/>
      <c r="E74" s="33"/>
      <c r="G74" s="85"/>
      <c r="H74" s="85"/>
      <c r="I74" s="85"/>
      <c r="J74" s="86"/>
      <c r="L74" s="17" t="s">
        <v>155</v>
      </c>
      <c r="M74" s="18"/>
      <c r="N74" s="18"/>
      <c r="O74" s="113" t="n">
        <v>1</v>
      </c>
    </row>
    <row r="75" customFormat="false" ht="12.75" hidden="false" customHeight="false" outlineLevel="0" collapsed="false">
      <c r="B75" s="17" t="s">
        <v>156</v>
      </c>
      <c r="C75" s="18"/>
      <c r="D75" s="18"/>
      <c r="E75" s="41" t="s">
        <v>52</v>
      </c>
      <c r="G75" s="85"/>
      <c r="H75" s="85"/>
      <c r="I75" s="85"/>
      <c r="J75" s="114"/>
      <c r="L75" s="17" t="s">
        <v>157</v>
      </c>
      <c r="M75" s="18"/>
      <c r="N75" s="18"/>
      <c r="O75" s="115" t="n">
        <v>5000</v>
      </c>
    </row>
    <row r="76" customFormat="false" ht="13.5" hidden="false" customHeight="false" outlineLevel="0" collapsed="false">
      <c r="B76" s="50" t="s">
        <v>158</v>
      </c>
      <c r="C76" s="51"/>
      <c r="D76" s="51"/>
      <c r="E76" s="116" t="n">
        <v>0.05</v>
      </c>
      <c r="G76" s="85"/>
      <c r="H76" s="85"/>
      <c r="I76" s="117"/>
      <c r="J76" s="118"/>
      <c r="L76" s="119" t="s">
        <v>159</v>
      </c>
      <c r="M76" s="18"/>
      <c r="N76" s="18"/>
      <c r="O76" s="120" t="n">
        <v>-0.03</v>
      </c>
    </row>
    <row r="77" customFormat="false" ht="12.75" hidden="false" customHeight="false" outlineLevel="0" collapsed="false">
      <c r="B77" s="0" t="s">
        <v>0</v>
      </c>
      <c r="G77" s="110"/>
      <c r="H77" s="121"/>
      <c r="I77" s="85"/>
      <c r="J77" s="122"/>
      <c r="L77" s="119" t="s">
        <v>160</v>
      </c>
      <c r="M77" s="18"/>
      <c r="N77" s="18"/>
      <c r="O77" s="123" t="s">
        <v>161</v>
      </c>
    </row>
    <row r="78" customFormat="false" ht="13.5" hidden="false" customHeight="false" outlineLevel="0" collapsed="false">
      <c r="B78" s="9" t="s">
        <v>162</v>
      </c>
      <c r="G78" s="124"/>
      <c r="H78" s="124"/>
      <c r="I78" s="124"/>
      <c r="J78" s="124"/>
      <c r="L78" s="119" t="s">
        <v>163</v>
      </c>
      <c r="M78" s="18"/>
      <c r="N78" s="125" t="n">
        <v>40298</v>
      </c>
      <c r="O78" s="120" t="n">
        <v>-0.25</v>
      </c>
    </row>
    <row r="79" customFormat="false" ht="12.75" hidden="false" customHeight="false" outlineLevel="0" collapsed="false">
      <c r="B79" s="10" t="s">
        <v>164</v>
      </c>
      <c r="C79" s="11"/>
      <c r="D79" s="11"/>
      <c r="E79" s="12"/>
      <c r="L79" s="17" t="s">
        <v>165</v>
      </c>
      <c r="M79" s="27"/>
      <c r="N79" s="27"/>
      <c r="O79" s="39" t="n">
        <v>0.04</v>
      </c>
    </row>
    <row r="80" customFormat="false" ht="12.75" hidden="false" customHeight="false" outlineLevel="0" collapsed="false">
      <c r="B80" s="17" t="s">
        <v>166</v>
      </c>
      <c r="C80" s="18"/>
      <c r="D80" s="18"/>
      <c r="E80" s="34" t="n">
        <v>0</v>
      </c>
      <c r="L80" s="17" t="s">
        <v>167</v>
      </c>
      <c r="M80" s="27"/>
      <c r="N80" s="27"/>
      <c r="O80" s="39" t="n">
        <v>0.2</v>
      </c>
    </row>
    <row r="81" customFormat="false" ht="12.75" hidden="false" customHeight="false" outlineLevel="0" collapsed="false">
      <c r="B81" s="17" t="s">
        <v>168</v>
      </c>
      <c r="C81" s="18"/>
      <c r="D81" s="18"/>
      <c r="E81" s="26" t="n">
        <v>0</v>
      </c>
      <c r="L81" s="17" t="s">
        <v>169</v>
      </c>
      <c r="M81" s="126" t="n">
        <v>36646</v>
      </c>
      <c r="N81" s="27"/>
      <c r="O81" s="120" t="n">
        <v>2.045</v>
      </c>
      <c r="Q81" s="127" t="s">
        <v>0</v>
      </c>
    </row>
    <row r="82" customFormat="false" ht="12.75" hidden="false" customHeight="false" outlineLevel="0" collapsed="false">
      <c r="B82" s="17" t="s">
        <v>170</v>
      </c>
      <c r="C82" s="18"/>
      <c r="D82" s="18"/>
      <c r="E82" s="41" t="s">
        <v>105</v>
      </c>
      <c r="L82" s="17" t="s">
        <v>171</v>
      </c>
      <c r="M82" s="18"/>
      <c r="N82" s="125" t="n">
        <f aca="false">N78</f>
        <v>40298</v>
      </c>
      <c r="O82" s="120" t="n">
        <v>-0.28</v>
      </c>
    </row>
    <row r="83" customFormat="false" ht="12.75" hidden="false" customHeight="false" outlineLevel="0" collapsed="false">
      <c r="B83" s="17" t="s">
        <v>172</v>
      </c>
      <c r="C83" s="18"/>
      <c r="D83" s="18"/>
      <c r="E83" s="26" t="n">
        <v>0</v>
      </c>
      <c r="L83" s="17" t="s">
        <v>0</v>
      </c>
      <c r="M83" s="18"/>
      <c r="N83" s="128" t="n">
        <f aca="false">N78</f>
        <v>40298</v>
      </c>
      <c r="O83" s="120" t="s">
        <v>0</v>
      </c>
    </row>
    <row r="84" customFormat="false" ht="12.75" hidden="false" customHeight="false" outlineLevel="0" collapsed="false">
      <c r="B84" s="17" t="s">
        <v>173</v>
      </c>
      <c r="C84" s="18"/>
      <c r="D84" s="18"/>
      <c r="E84" s="129" t="n">
        <v>0</v>
      </c>
      <c r="L84" s="17" t="s">
        <v>174</v>
      </c>
      <c r="M84" s="18"/>
      <c r="N84" s="128" t="n">
        <v>40298</v>
      </c>
      <c r="O84" s="120"/>
    </row>
    <row r="85" customFormat="false" ht="12.75" hidden="false" customHeight="false" outlineLevel="0" collapsed="false">
      <c r="B85" s="17"/>
      <c r="C85" s="18"/>
      <c r="D85" s="23" t="s">
        <v>9</v>
      </c>
      <c r="E85" s="24" t="s">
        <v>10</v>
      </c>
      <c r="L85" s="17"/>
      <c r="M85" s="18"/>
      <c r="N85" s="128"/>
      <c r="O85" s="115"/>
    </row>
    <row r="86" customFormat="false" ht="12.75" hidden="false" customHeight="false" outlineLevel="0" collapsed="false">
      <c r="B86" s="17" t="s">
        <v>175</v>
      </c>
      <c r="C86" s="18"/>
      <c r="D86" s="21" t="n">
        <v>0</v>
      </c>
      <c r="E86" s="129" t="n">
        <v>0</v>
      </c>
      <c r="L86" s="17" t="s">
        <v>176</v>
      </c>
      <c r="M86" s="18"/>
      <c r="N86" s="18"/>
      <c r="O86" s="34" t="n">
        <v>0.01</v>
      </c>
    </row>
    <row r="87" customFormat="false" ht="12.75" hidden="false" customHeight="false" outlineLevel="0" collapsed="false">
      <c r="B87" s="17"/>
      <c r="C87" s="18"/>
      <c r="D87" s="21"/>
      <c r="E87" s="129"/>
      <c r="L87" s="130" t="s">
        <v>177</v>
      </c>
      <c r="M87" s="18"/>
      <c r="N87" s="18"/>
      <c r="O87" s="115"/>
    </row>
    <row r="88" customFormat="false" ht="12.75" hidden="false" customHeight="false" outlineLevel="0" collapsed="false">
      <c r="B88" s="17"/>
      <c r="C88" s="18"/>
      <c r="D88" s="131"/>
      <c r="E88" s="129"/>
      <c r="L88" s="17" t="s">
        <v>178</v>
      </c>
      <c r="M88" s="18"/>
      <c r="N88" s="18"/>
      <c r="O88" s="132" t="n">
        <v>0.5902</v>
      </c>
    </row>
    <row r="89" customFormat="false" ht="12.75" hidden="false" customHeight="false" outlineLevel="0" collapsed="false">
      <c r="B89" s="20" t="s">
        <v>179</v>
      </c>
      <c r="C89" s="18"/>
      <c r="D89" s="18"/>
      <c r="E89" s="33"/>
      <c r="L89" s="17" t="s">
        <v>180</v>
      </c>
      <c r="M89" s="18"/>
      <c r="N89" s="18"/>
      <c r="O89" s="132" t="n">
        <v>0.42</v>
      </c>
    </row>
    <row r="90" customFormat="false" ht="12.75" hidden="false" customHeight="false" outlineLevel="0" collapsed="false">
      <c r="B90" s="17" t="s">
        <v>181</v>
      </c>
      <c r="C90" s="18"/>
      <c r="D90" s="133" t="n">
        <v>0.3</v>
      </c>
      <c r="E90" s="67" t="n">
        <v>24000</v>
      </c>
      <c r="L90" s="17"/>
      <c r="M90" s="18" t="s">
        <v>182</v>
      </c>
      <c r="N90" s="18"/>
      <c r="O90" s="120" t="n">
        <v>0.067</v>
      </c>
    </row>
    <row r="91" customFormat="false" ht="15" hidden="false" customHeight="false" outlineLevel="0" collapsed="false">
      <c r="B91" s="49" t="s">
        <v>183</v>
      </c>
      <c r="C91" s="18"/>
      <c r="D91" s="133"/>
      <c r="E91" s="134" t="n">
        <v>0</v>
      </c>
      <c r="L91" s="17" t="s">
        <v>0</v>
      </c>
      <c r="M91" s="18" t="s">
        <v>184</v>
      </c>
      <c r="N91" s="18"/>
      <c r="O91" s="39" t="n">
        <v>0.013</v>
      </c>
    </row>
    <row r="92" customFormat="false" ht="12.75" hidden="false" customHeight="false" outlineLevel="0" collapsed="false">
      <c r="B92" s="49" t="s">
        <v>185</v>
      </c>
      <c r="C92" s="18"/>
      <c r="D92" s="133"/>
      <c r="E92" s="46" t="n">
        <f aca="false">SUM(E90:E91)</f>
        <v>24000</v>
      </c>
      <c r="L92" s="17" t="s">
        <v>186</v>
      </c>
      <c r="M92" s="18" t="s">
        <v>187</v>
      </c>
      <c r="N92" s="18"/>
      <c r="O92" s="120" t="n">
        <v>0.1451</v>
      </c>
    </row>
    <row r="93" customFormat="false" ht="12.75" hidden="false" customHeight="false" outlineLevel="0" collapsed="false">
      <c r="B93" s="49"/>
      <c r="C93" s="18"/>
      <c r="D93" s="133"/>
      <c r="E93" s="46"/>
      <c r="L93" s="17" t="s">
        <v>188</v>
      </c>
      <c r="M93" s="18"/>
      <c r="N93" s="18"/>
      <c r="O93" s="120" t="n">
        <v>-0.093</v>
      </c>
    </row>
    <row r="94" customFormat="false" ht="12.75" hidden="false" customHeight="false" outlineLevel="0" collapsed="false">
      <c r="B94" s="17" t="s">
        <v>189</v>
      </c>
      <c r="C94" s="18"/>
      <c r="D94" s="135" t="n">
        <f aca="false">1-D90</f>
        <v>0.7</v>
      </c>
      <c r="E94" s="46" t="n">
        <f aca="false">+J49-E90</f>
        <v>54714.55552</v>
      </c>
      <c r="L94" s="17"/>
      <c r="M94" s="18" t="s">
        <v>182</v>
      </c>
      <c r="N94" s="18"/>
      <c r="O94" s="120" t="n">
        <v>0</v>
      </c>
    </row>
    <row r="95" customFormat="false" ht="12.75" hidden="false" customHeight="false" outlineLevel="0" collapsed="false">
      <c r="B95" s="17" t="s">
        <v>190</v>
      </c>
      <c r="C95" s="18"/>
      <c r="D95" s="136" t="s">
        <v>0</v>
      </c>
      <c r="E95" s="46" t="n">
        <f aca="false">CCFMODEL!E506</f>
        <v>774.44448</v>
      </c>
      <c r="F95" s="1" t="s">
        <v>0</v>
      </c>
      <c r="L95" s="17" t="s">
        <v>191</v>
      </c>
      <c r="M95" s="27"/>
      <c r="N95" s="27"/>
      <c r="O95" s="137" t="n">
        <v>1.5</v>
      </c>
    </row>
    <row r="96" customFormat="false" ht="12.75" hidden="false" customHeight="false" outlineLevel="0" collapsed="false">
      <c r="B96" s="109" t="s">
        <v>192</v>
      </c>
      <c r="C96" s="18"/>
      <c r="D96" s="27"/>
      <c r="E96" s="46" t="n">
        <f aca="false">CCFMODEL!H577</f>
        <v>1011</v>
      </c>
      <c r="L96" s="17"/>
      <c r="M96" s="27"/>
      <c r="N96" s="27"/>
      <c r="O96" s="138"/>
      <c r="P96" s="139"/>
    </row>
    <row r="97" customFormat="false" ht="15" hidden="false" customHeight="false" outlineLevel="0" collapsed="false">
      <c r="B97" s="17" t="s">
        <v>193</v>
      </c>
      <c r="C97" s="18"/>
      <c r="D97" s="27"/>
      <c r="E97" s="140" t="n">
        <f aca="false">CCFMODEL!J588</f>
        <v>0</v>
      </c>
      <c r="L97" s="20" t="s">
        <v>194</v>
      </c>
      <c r="M97" s="27"/>
      <c r="N97" s="27"/>
      <c r="O97" s="138"/>
    </row>
    <row r="98" customFormat="false" ht="12.75" hidden="false" customHeight="false" outlineLevel="0" collapsed="false">
      <c r="B98" s="17" t="s">
        <v>195</v>
      </c>
      <c r="C98" s="18"/>
      <c r="D98" s="27"/>
      <c r="E98" s="46" t="n">
        <f aca="false">SUM(E94:E97)</f>
        <v>56500</v>
      </c>
      <c r="L98" s="17" t="s">
        <v>196</v>
      </c>
      <c r="M98" s="18"/>
      <c r="N98" s="107" t="n">
        <f aca="false">O98/$E$9</f>
        <v>11.8509648931158</v>
      </c>
      <c r="O98" s="46" t="n">
        <f aca="false">'O&amp;M'!E95</f>
        <v>639.952104228251</v>
      </c>
    </row>
    <row r="99" customFormat="false" ht="13.5" hidden="false" customHeight="false" outlineLevel="0" collapsed="false">
      <c r="B99" s="141" t="s">
        <v>197</v>
      </c>
      <c r="C99" s="18"/>
      <c r="D99" s="133"/>
      <c r="E99" s="67" t="n">
        <v>55500</v>
      </c>
      <c r="L99" s="50" t="s">
        <v>0</v>
      </c>
      <c r="M99" s="97"/>
      <c r="N99" s="97"/>
      <c r="O99" s="142" t="s">
        <v>0</v>
      </c>
    </row>
    <row r="100" customFormat="false" ht="12.75" hidden="false" customHeight="false" outlineLevel="0" collapsed="false">
      <c r="B100" s="49" t="s">
        <v>198</v>
      </c>
      <c r="C100" s="18"/>
      <c r="D100" s="18"/>
      <c r="E100" s="33"/>
      <c r="L100" s="85"/>
      <c r="N100" s="0" t="s">
        <v>0</v>
      </c>
    </row>
    <row r="101" customFormat="false" ht="13.5" hidden="false" customHeight="false" outlineLevel="0" collapsed="false">
      <c r="B101" s="49" t="s">
        <v>199</v>
      </c>
      <c r="C101" s="18"/>
      <c r="D101" s="18"/>
      <c r="E101" s="34" t="n">
        <v>0.065</v>
      </c>
      <c r="L101" s="9" t="s">
        <v>200</v>
      </c>
    </row>
    <row r="102" customFormat="false" ht="12.75" hidden="false" customHeight="false" outlineLevel="0" collapsed="false">
      <c r="B102" s="49" t="s">
        <v>201</v>
      </c>
      <c r="C102" s="18"/>
      <c r="D102" s="18"/>
      <c r="E102" s="22" t="n">
        <v>1</v>
      </c>
      <c r="L102" s="10" t="s">
        <v>202</v>
      </c>
      <c r="M102" s="11"/>
      <c r="N102" s="11"/>
      <c r="O102" s="12"/>
      <c r="P102" s="0" t="s">
        <v>0</v>
      </c>
    </row>
    <row r="103" customFormat="false" ht="12.75" hidden="false" customHeight="false" outlineLevel="0" collapsed="false">
      <c r="B103" s="49" t="s">
        <v>203</v>
      </c>
      <c r="C103" s="18"/>
      <c r="D103" s="18"/>
      <c r="E103" s="143" t="n">
        <v>888.896</v>
      </c>
      <c r="L103" s="49" t="s">
        <v>204</v>
      </c>
      <c r="M103" s="18"/>
      <c r="N103" s="18"/>
      <c r="O103" s="144" t="n">
        <f aca="false">MIN(CCFMODEL!$I$751:$Z$751)</f>
        <v>1</v>
      </c>
    </row>
    <row r="104" customFormat="false" ht="12.75" hidden="false" customHeight="false" outlineLevel="0" collapsed="false">
      <c r="B104" s="49" t="s">
        <v>205</v>
      </c>
      <c r="C104" s="18"/>
      <c r="D104" s="18"/>
      <c r="E104" s="143" t="n">
        <v>3000</v>
      </c>
      <c r="L104" s="49" t="s">
        <v>206</v>
      </c>
      <c r="M104" s="18"/>
      <c r="N104" s="18"/>
      <c r="O104" s="144" t="n">
        <f aca="false">MAX(CCFMODEL!$I$751:$Z$751)</f>
        <v>1</v>
      </c>
    </row>
    <row r="105" customFormat="false" ht="12.75" hidden="false" customHeight="false" outlineLevel="0" collapsed="false">
      <c r="B105" s="49" t="s">
        <v>207</v>
      </c>
      <c r="C105" s="18"/>
      <c r="D105" s="18"/>
      <c r="E105" s="34" t="n">
        <v>0.005</v>
      </c>
      <c r="L105" s="49" t="s">
        <v>208</v>
      </c>
      <c r="M105" s="18" t="str">
        <f aca="false">"(over "&amp;E112&amp;" years)"</f>
        <v>(over 17 years)</v>
      </c>
      <c r="N105" s="18"/>
      <c r="O105" s="145" t="n">
        <f aca="false">IF(ISERROR(AVERAGE(CCFMODEL!$I$751:$Z$751)),"NA",AVERAGE(CCFMODEL!$I$751:$Z$751))</f>
        <v>1</v>
      </c>
    </row>
    <row r="106" customFormat="false" ht="12.75" hidden="false" customHeight="false" outlineLevel="0" collapsed="false">
      <c r="B106" s="77"/>
      <c r="C106" s="18"/>
      <c r="D106" s="146" t="s">
        <v>209</v>
      </c>
      <c r="E106" s="147" t="s">
        <v>210</v>
      </c>
      <c r="L106" s="17" t="s">
        <v>211</v>
      </c>
      <c r="M106" s="18"/>
      <c r="N106" s="18"/>
      <c r="O106" s="145" t="n">
        <f aca="false">CCFMODEL!J760</f>
        <v>9.3864213270962</v>
      </c>
    </row>
    <row r="107" customFormat="false" ht="12.75" hidden="false" customHeight="false" outlineLevel="0" collapsed="false">
      <c r="B107" s="148" t="s">
        <v>212</v>
      </c>
      <c r="C107" s="18"/>
      <c r="D107" s="149" t="n">
        <v>125</v>
      </c>
      <c r="E107" s="59" t="n">
        <f aca="false">$E$101+(D107/10000)</f>
        <v>0.0775</v>
      </c>
      <c r="L107" s="17"/>
      <c r="M107" s="18"/>
      <c r="N107" s="18"/>
      <c r="O107" s="145"/>
    </row>
    <row r="108" customFormat="false" ht="12.75" hidden="false" customHeight="false" outlineLevel="0" collapsed="false">
      <c r="B108" s="148" t="s">
        <v>213</v>
      </c>
      <c r="C108" s="18"/>
      <c r="D108" s="149" t="n">
        <v>137.5</v>
      </c>
      <c r="E108" s="59" t="n">
        <f aca="false">$E$101+(D108/10000)</f>
        <v>0.07875</v>
      </c>
      <c r="L108" s="45" t="s">
        <v>214</v>
      </c>
      <c r="M108" s="18"/>
      <c r="N108" s="18"/>
      <c r="O108" s="150" t="n">
        <v>0</v>
      </c>
    </row>
    <row r="109" customFormat="false" ht="12.75" hidden="false" customHeight="false" outlineLevel="0" collapsed="false">
      <c r="B109" s="148" t="s">
        <v>215</v>
      </c>
      <c r="C109" s="18"/>
      <c r="D109" s="149" t="n">
        <v>162.5</v>
      </c>
      <c r="E109" s="59" t="n">
        <f aca="false">$E$101+(D109/10000)</f>
        <v>0.08125</v>
      </c>
      <c r="L109" s="45" t="s">
        <v>0</v>
      </c>
      <c r="M109" s="18"/>
      <c r="N109" s="18"/>
      <c r="O109" s="151" t="n">
        <v>0</v>
      </c>
    </row>
    <row r="110" customFormat="false" ht="12.75" hidden="false" customHeight="false" outlineLevel="0" collapsed="false">
      <c r="B110" s="148" t="s">
        <v>216</v>
      </c>
      <c r="C110" s="18"/>
      <c r="D110" s="149" t="n">
        <v>175</v>
      </c>
      <c r="E110" s="59" t="n">
        <f aca="false">$E$101+(D110/10000)</f>
        <v>0.0825</v>
      </c>
      <c r="L110" s="45" t="s">
        <v>217</v>
      </c>
      <c r="M110" s="18"/>
      <c r="N110" s="18"/>
      <c r="O110" s="152" t="n">
        <v>36891</v>
      </c>
    </row>
    <row r="111" customFormat="false" ht="12.75" hidden="false" customHeight="false" outlineLevel="0" collapsed="false">
      <c r="B111" s="148" t="s">
        <v>218</v>
      </c>
      <c r="C111" s="18"/>
      <c r="D111" s="149" t="n">
        <v>187.5</v>
      </c>
      <c r="E111" s="59" t="n">
        <f aca="false">$E$101+(D111/10000)</f>
        <v>0.08375</v>
      </c>
      <c r="L111" s="45" t="s">
        <v>219</v>
      </c>
      <c r="M111" s="18"/>
      <c r="N111" s="18"/>
      <c r="O111" s="71" t="n">
        <f aca="false">IF(AND(YEAR(O110)=2000,MONTH(O110)=1),+O110,EOMONTH(O110,0))</f>
        <v>36891</v>
      </c>
    </row>
    <row r="112" customFormat="false" ht="12.75" hidden="false" customHeight="false" outlineLevel="0" collapsed="false">
      <c r="B112" s="49" t="s">
        <v>220</v>
      </c>
      <c r="C112" s="18"/>
      <c r="D112" s="18"/>
      <c r="E112" s="129" t="n">
        <v>17</v>
      </c>
      <c r="L112" s="20" t="s">
        <v>221</v>
      </c>
      <c r="M112" s="27"/>
      <c r="N112" s="27"/>
      <c r="O112" s="28"/>
      <c r="P112" s="153" t="s">
        <v>0</v>
      </c>
    </row>
    <row r="113" customFormat="false" ht="12.75" hidden="false" customHeight="false" outlineLevel="0" collapsed="false">
      <c r="B113" s="49" t="s">
        <v>222</v>
      </c>
      <c r="C113" s="18"/>
      <c r="D113" s="18"/>
      <c r="E113" s="34" t="n">
        <f aca="false">1.5%</f>
        <v>0.015</v>
      </c>
      <c r="L113" s="17" t="s">
        <v>223</v>
      </c>
      <c r="M113" s="18"/>
      <c r="N113" s="18"/>
      <c r="O113" s="154" t="n">
        <f aca="false">-CCFMODEL!H736</f>
        <v>24000</v>
      </c>
      <c r="P113" s="153" t="s">
        <v>0</v>
      </c>
    </row>
    <row r="114" customFormat="false" ht="12.75" hidden="false" customHeight="false" outlineLevel="0" collapsed="false">
      <c r="B114" s="30" t="s">
        <v>224</v>
      </c>
      <c r="C114" s="27"/>
      <c r="D114" s="27"/>
      <c r="E114" s="26" t="n">
        <v>15</v>
      </c>
      <c r="L114" s="17" t="s">
        <v>0</v>
      </c>
      <c r="M114" s="18"/>
      <c r="N114" s="155" t="s">
        <v>225</v>
      </c>
      <c r="O114" s="156" t="s">
        <v>0</v>
      </c>
    </row>
    <row r="115" customFormat="false" ht="13.5" hidden="false" customHeight="false" outlineLevel="0" collapsed="false">
      <c r="B115" s="92" t="s">
        <v>226</v>
      </c>
      <c r="C115" s="27"/>
      <c r="D115" s="27"/>
      <c r="E115" s="26"/>
      <c r="L115" s="50" t="s">
        <v>227</v>
      </c>
      <c r="M115" s="79" t="n">
        <v>0.09</v>
      </c>
      <c r="N115" s="51" t="s">
        <v>228</v>
      </c>
      <c r="O115" s="157" t="s">
        <v>0</v>
      </c>
    </row>
    <row r="116" customFormat="false" ht="12.75" hidden="false" customHeight="false" outlineLevel="0" collapsed="false">
      <c r="B116" s="30" t="s">
        <v>229</v>
      </c>
      <c r="C116" s="27"/>
      <c r="D116" s="27"/>
      <c r="E116" s="26" t="n">
        <v>2</v>
      </c>
    </row>
    <row r="117" customFormat="false" ht="12.75" hidden="false" customHeight="false" outlineLevel="0" collapsed="false">
      <c r="B117" s="30" t="s">
        <v>230</v>
      </c>
      <c r="C117" s="27"/>
      <c r="D117" s="27"/>
      <c r="E117" s="158" t="n">
        <f aca="false">3500+300</f>
        <v>3800</v>
      </c>
    </row>
    <row r="118" customFormat="false" ht="12.75" hidden="false" customHeight="false" outlineLevel="0" collapsed="false">
      <c r="B118" s="30" t="s">
        <v>231</v>
      </c>
      <c r="C118" s="18"/>
      <c r="D118" s="18"/>
      <c r="E118" s="39" t="n">
        <v>0.5</v>
      </c>
    </row>
    <row r="119" customFormat="false" ht="13.5" hidden="false" customHeight="false" outlineLevel="0" collapsed="false">
      <c r="B119" s="159" t="s">
        <v>232</v>
      </c>
      <c r="C119" s="51"/>
      <c r="D119" s="51"/>
      <c r="E119" s="116" t="n">
        <v>0.0125</v>
      </c>
    </row>
    <row r="121" customFormat="false" ht="12.75" hidden="false" customHeight="false" outlineLevel="0" collapsed="false">
      <c r="D121" s="160" t="s">
        <v>233</v>
      </c>
      <c r="M121" s="127"/>
    </row>
    <row r="122" customFormat="false" ht="12.75" hidden="false" customHeight="false" outlineLevel="0" collapsed="false">
      <c r="D122" s="161" t="e">
        <f aca="false">CCFMODEL!$C$3</f>
        <v>#VALUE!</v>
      </c>
      <c r="M122" s="162"/>
    </row>
    <row r="123" customFormat="false" ht="12.75" hidden="false" customHeight="false" outlineLevel="0" collapsed="false">
      <c r="M123" s="163"/>
    </row>
    <row r="124" customFormat="false" ht="12.75" hidden="false" customHeight="false" outlineLevel="0" collapsed="false">
      <c r="M124" s="163"/>
    </row>
    <row r="132" customFormat="false" ht="12.75" hidden="false" customHeight="false" outlineLevel="0" collapsed="false">
      <c r="B132" s="35" t="s">
        <v>0</v>
      </c>
    </row>
  </sheetData>
  <mergeCells count="1">
    <mergeCell ref="N7:O7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34">
              <controlPr defaultSize="0" print="false" autoFill="0" autoPict="0" macro="Module1.Optimize">
                <anchor moveWithCells="true" sizeWithCells="false">
                  <from>
                    <xdr:col>1</xdr:col>
                    <xdr:colOff>259200</xdr:colOff>
                    <xdr:row>120</xdr:row>
                    <xdr:rowOff>0</xdr:rowOff>
                  </from>
                  <to>
                    <xdr:col>2</xdr:col>
                    <xdr:colOff>584640</xdr:colOff>
                    <xdr:row>121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38</xdr:col>
                    <xdr:colOff>0</xdr:colOff>
                    <xdr:row>18</xdr:row>
                    <xdr:rowOff>0</xdr:rowOff>
                  </from>
                  <to>
                    <xdr:col>48</xdr:col>
                    <xdr:colOff>360</xdr:colOff>
                    <xdr:row>20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38</xdr:col>
                    <xdr:colOff>0</xdr:colOff>
                    <xdr:row>22</xdr:row>
                    <xdr:rowOff>0</xdr:rowOff>
                  </from>
                  <to>
                    <xdr:col>48</xdr:col>
                    <xdr:colOff>360</xdr:colOff>
                    <xdr:row>24</xdr:row>
                    <xdr:rowOff>66600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48</xdr:col>
                    <xdr:colOff>39960</xdr:colOff>
                    <xdr:row>29</xdr:row>
                    <xdr:rowOff>28800</xdr:rowOff>
                  </from>
                  <to>
                    <xdr:col>58</xdr:col>
                    <xdr:colOff>39960</xdr:colOff>
                    <xdr:row>32</xdr:row>
                    <xdr:rowOff>28440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48</xdr:col>
                    <xdr:colOff>39960</xdr:colOff>
                    <xdr:row>34</xdr:row>
                    <xdr:rowOff>9720</xdr:rowOff>
                  </from>
                  <to>
                    <xdr:col>58</xdr:col>
                    <xdr:colOff>39960</xdr:colOff>
                    <xdr:row>37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Debt Repayment/">
              <controlPr defaultSize="0" locked="1" autoFill="0" autoLine="0" autoPict="0" print="true" altText="Check Box 6">
                <anchor moveWithCells="true" sizeWithCells="false">
                  <from>
                    <xdr:col>9</xdr:col>
                    <xdr:colOff>0</xdr:colOff>
                    <xdr:row>35</xdr:row>
                    <xdr:rowOff>0</xdr:rowOff>
                  </from>
                  <to>
                    <xdr:col>40</xdr:col>
                    <xdr:colOff>69840</xdr:colOff>
                    <xdr:row>38</xdr:row>
                    <xdr:rowOff>19080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Financial Statements">
              <controlPr defaultSize="0" locked="1" autoFill="0" autoLine="0" autoPict="0" print="true" altText="Check Box 11">
                <anchor moveWithCells="true" sizeWithCells="false">
                  <from>
                    <xdr:col>6</xdr:col>
                    <xdr:colOff>0</xdr:colOff>
                    <xdr:row>5</xdr:row>
                    <xdr:rowOff>28800</xdr:rowOff>
                  </from>
                  <to>
                    <xdr:col>28</xdr:col>
                    <xdr:colOff>69840</xdr:colOff>
                    <xdr:row>8</xdr:row>
                    <xdr:rowOff>37800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Income Statement">
              <controlPr defaultSize="0" locked="1" autoFill="0" autoLine="0" autoPict="0" print="true" altText="Check Box 13">
                <anchor moveWithCells="true" sizeWithCells="false">
                  <from>
                    <xdr:col>9</xdr:col>
                    <xdr:colOff>0</xdr:colOff>
                    <xdr:row>10</xdr:row>
                    <xdr:rowOff>57240</xdr:rowOff>
                  </from>
                  <to>
                    <xdr:col>30</xdr:col>
                    <xdr:colOff>69840</xdr:colOff>
                    <xdr:row>13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alance Sheet">
              <controlPr defaultSize="0" locked="1" autoFill="0" autoLine="0" autoPict="0" print="true" altText="Check Box 15">
                <anchor moveWithCells="true" sizeWithCells="false">
                  <from>
                    <xdr:col>9</xdr:col>
                    <xdr:colOff>0</xdr:colOff>
                    <xdr:row>22</xdr:row>
                    <xdr:rowOff>56880</xdr:rowOff>
                  </from>
                  <to>
                    <xdr:col>29</xdr:col>
                    <xdr:colOff>69840</xdr:colOff>
                    <xdr:row>25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Cash Flow Statement">
              <controlPr defaultSize="0" locked="1" autoFill="0" autoLine="0" autoPict="0" print="true" altText="Check Box 16">
                <anchor moveWithCells="true" sizeWithCells="false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29</xdr:col>
                    <xdr:colOff>69840</xdr:colOff>
                    <xdr:row>22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Opening Balance Sheet/Working Capital">
              <controlPr defaultSize="0" locked="1" autoFill="0" autoLine="0" autoPict="0" print="true" altText="Check Box 18">
                <anchor moveWithCells="true" sizeWithCells="false">
                  <from>
                    <xdr:col>9</xdr:col>
                    <xdr:colOff>0</xdr:colOff>
                    <xdr:row>27</xdr:row>
                    <xdr:rowOff>0</xdr:rowOff>
                  </from>
                  <to>
                    <xdr:col>41</xdr:col>
                    <xdr:colOff>69840</xdr:colOff>
                    <xdr:row>30</xdr:row>
                    <xdr:rowOff>19080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Capitalization/Transaction Funds Flow/Fees">
              <controlPr defaultSize="0" locked="1" autoFill="0" autoLine="0" autoPict="0" print="true" altText="Check Box 19">
                <anchor moveWithCells="true" sizeWithCells="false">
                  <from>
                    <xdr:col>9</xdr:col>
                    <xdr:colOff>0</xdr:colOff>
                    <xdr:row>31</xdr:row>
                    <xdr:rowOff>9720</xdr:rowOff>
                  </from>
                  <to>
                    <xdr:col>42</xdr:col>
                    <xdr:colOff>69840</xdr:colOff>
                    <xdr:row>34</xdr:row>
                    <xdr:rowOff>28800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Income Taxes">
              <controlPr defaultSize="0" locked="1" autoFill="0" autoLine="0" autoPict="0" print="true" altText="Check Box 20">
                <anchor moveWithCells="true" sizeWithCells="false">
                  <from>
                    <xdr:col>9</xdr:col>
                    <xdr:colOff>0</xdr:colOff>
                    <xdr:row>44</xdr:row>
                    <xdr:rowOff>57240</xdr:rowOff>
                  </from>
                  <to>
                    <xdr:col>31</xdr:col>
                    <xdr:colOff>69840</xdr:colOff>
                    <xdr:row>47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DCF Analysis">
              <controlPr defaultSize="0" locked="1" autoFill="0" autoLine="0" autoPict="0" print="true" altText="Check Box 23">
                <anchor moveWithCells="true" sizeWithCells="false">
                  <from>
                    <xdr:col>39</xdr:col>
                    <xdr:colOff>0</xdr:colOff>
                    <xdr:row>9</xdr:row>
                    <xdr:rowOff>0</xdr:rowOff>
                  </from>
                  <to>
                    <xdr:col>56</xdr:col>
                    <xdr:colOff>69840</xdr:colOff>
                    <xdr:row>12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Sources &amp; Uses">
              <controlPr defaultSize="0" locked="1" autoFill="0" autoLine="0" autoPict="0" print="true" altText="Check Box 31">
                <anchor moveWithCells="true" sizeWithCells="false">
                  <from>
                    <xdr:col>9</xdr:col>
                    <xdr:colOff>0</xdr:colOff>
                    <xdr:row>14</xdr:row>
                    <xdr:rowOff>38160</xdr:rowOff>
                  </from>
                  <to>
                    <xdr:col>27</xdr:col>
                    <xdr:colOff>69840</xdr:colOff>
                    <xdr:row>17</xdr:row>
                    <xdr:rowOff>47520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281"/>
  <sheetViews>
    <sheetView showFormulas="false" showGridLines="true" showRowColHeaders="true" showZeros="true" rightToLeft="false" tabSelected="false" showOutlineSymbols="true" defaultGridColor="true" view="normal" topLeftCell="A272" colorId="64" zoomScale="100" zoomScaleNormal="100" zoomScalePageLayoutView="100" workbookViewId="0">
      <selection pane="topLeft" activeCell="A272" activeCellId="0" sqref="A27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56"/>
    <col collapsed="false" customWidth="true" hidden="true" outlineLevel="0" max="2" min="2" style="0" width="11.7"/>
    <col collapsed="false" customWidth="true" hidden="false" outlineLevel="0" max="3" min="3" style="164" width="10.99"/>
    <col collapsed="false" customWidth="true" hidden="false" outlineLevel="0" max="4" min="4" style="0" width="10.56"/>
    <col collapsed="false" customWidth="true" hidden="false" outlineLevel="0" max="5" min="5" style="0" width="9.99"/>
    <col collapsed="false" customWidth="true" hidden="false" outlineLevel="0" max="7" min="7" style="164" width="11.28"/>
    <col collapsed="false" customWidth="true" hidden="false" outlineLevel="0" max="9" min="9" style="165" width="9.14"/>
    <col collapsed="false" customWidth="true" hidden="false" outlineLevel="0" max="10" min="10" style="164" width="15.41"/>
    <col collapsed="false" customWidth="true" hidden="false" outlineLevel="0" max="12" min="12" style="0" width="11.13"/>
    <col collapsed="false" customWidth="true" hidden="false" outlineLevel="0" max="13" min="13" style="0" width="14.99"/>
    <col collapsed="false" customWidth="true" hidden="false" outlineLevel="0" max="14" min="14" style="164" width="12.7"/>
    <col collapsed="false" customWidth="true" hidden="false" outlineLevel="0" max="15" min="15" style="0" width="13.99"/>
    <col collapsed="false" customWidth="true" hidden="false" outlineLevel="0" max="16" min="16" style="0" width="14.41"/>
    <col collapsed="false" customWidth="true" hidden="false" outlineLevel="0" max="17" min="17" style="164" width="13.41"/>
    <col collapsed="false" customWidth="true" hidden="false" outlineLevel="0" max="18" min="18" style="0" width="11.7"/>
    <col collapsed="false" customWidth="true" hidden="false" outlineLevel="0" max="19" min="19" style="0" width="15.41"/>
    <col collapsed="false" customWidth="true" hidden="false" outlineLevel="0" max="20" min="20" style="0" width="13.56"/>
    <col collapsed="false" customWidth="true" hidden="false" outlineLevel="0" max="21" min="21" style="163" width="10.85"/>
    <col collapsed="false" customWidth="true" hidden="false" outlineLevel="0" max="22" min="22" style="0" width="13.7"/>
    <col collapsed="false" customWidth="true" hidden="false" outlineLevel="0" max="23" min="23" style="0" width="11.56"/>
    <col collapsed="false" customWidth="true" hidden="false" outlineLevel="0" max="26" min="26" style="166" width="12.99"/>
    <col collapsed="false" customWidth="true" hidden="false" outlineLevel="0" max="27" min="27" style="166" width="14.56"/>
    <col collapsed="false" customWidth="true" hidden="false" outlineLevel="0" max="28" min="28" style="0" width="27.99"/>
  </cols>
  <sheetData>
    <row r="1" customFormat="false" ht="13.5" hidden="false" customHeight="false" outlineLevel="0" collapsed="false">
      <c r="N1" s="167" t="s">
        <v>234</v>
      </c>
      <c r="O1" s="168" t="n">
        <v>0.09</v>
      </c>
      <c r="P1" s="167" t="s">
        <v>235</v>
      </c>
      <c r="Q1" s="169" t="n">
        <f aca="false">XNPV(O1,Q12:Q20,A12:A20)</f>
        <v>1633950.73893081</v>
      </c>
      <c r="V1" s="0" t="s">
        <v>0</v>
      </c>
    </row>
    <row r="2" customFormat="false" ht="16.5" hidden="false" customHeight="false" outlineLevel="0" collapsed="false">
      <c r="A2" s="170"/>
      <c r="B2" s="171"/>
      <c r="C2" s="172" t="s">
        <v>236</v>
      </c>
      <c r="D2" s="171"/>
      <c r="E2" s="173"/>
      <c r="F2" s="174"/>
      <c r="G2" s="175"/>
      <c r="H2" s="176"/>
      <c r="I2" s="177"/>
      <c r="J2" s="178" t="s">
        <v>237</v>
      </c>
      <c r="K2" s="176"/>
      <c r="L2" s="176"/>
      <c r="M2" s="90"/>
      <c r="N2" s="179"/>
      <c r="O2" s="180" t="s">
        <v>238</v>
      </c>
      <c r="P2" s="181"/>
      <c r="Q2" s="182" t="n">
        <v>0</v>
      </c>
      <c r="R2" s="183"/>
      <c r="S2" s="184" t="s">
        <v>239</v>
      </c>
      <c r="T2" s="185"/>
      <c r="U2" s="186"/>
      <c r="V2" s="187"/>
    </row>
    <row r="3" customFormat="false" ht="12.75" hidden="false" customHeight="false" outlineLevel="0" collapsed="false">
      <c r="A3" s="188"/>
      <c r="B3" s="189"/>
      <c r="C3" s="190" t="s">
        <v>240</v>
      </c>
      <c r="D3" s="189" t="s">
        <v>241</v>
      </c>
      <c r="E3" s="189" t="s">
        <v>242</v>
      </c>
      <c r="F3" s="191" t="s">
        <v>243</v>
      </c>
      <c r="G3" s="192" t="s">
        <v>244</v>
      </c>
      <c r="H3" s="193" t="s">
        <v>243</v>
      </c>
      <c r="I3" s="194" t="s">
        <v>245</v>
      </c>
      <c r="J3" s="195" t="s">
        <v>246</v>
      </c>
      <c r="K3" s="196"/>
      <c r="L3" s="197" t="s">
        <v>247</v>
      </c>
      <c r="M3" s="198" t="s">
        <v>248</v>
      </c>
      <c r="N3" s="199" t="s">
        <v>249</v>
      </c>
      <c r="O3" s="200" t="s">
        <v>250</v>
      </c>
      <c r="P3" s="200" t="s">
        <v>251</v>
      </c>
      <c r="Q3" s="199" t="s">
        <v>252</v>
      </c>
      <c r="R3" s="201" t="s">
        <v>253</v>
      </c>
      <c r="S3" s="201" t="s">
        <v>254</v>
      </c>
      <c r="T3" s="201" t="s">
        <v>255</v>
      </c>
      <c r="U3" s="202" t="s">
        <v>256</v>
      </c>
      <c r="V3" s="201" t="s">
        <v>257</v>
      </c>
      <c r="W3" s="203" t="s">
        <v>258</v>
      </c>
    </row>
    <row r="4" customFormat="false" ht="13.5" hidden="false" customHeight="false" outlineLevel="0" collapsed="false">
      <c r="A4" s="204" t="s">
        <v>259</v>
      </c>
      <c r="B4" s="205" t="s">
        <v>260</v>
      </c>
      <c r="C4" s="206" t="s">
        <v>249</v>
      </c>
      <c r="D4" s="205" t="s">
        <v>261</v>
      </c>
      <c r="E4" s="205" t="s">
        <v>262</v>
      </c>
      <c r="F4" s="207" t="s">
        <v>263</v>
      </c>
      <c r="G4" s="208" t="s">
        <v>264</v>
      </c>
      <c r="H4" s="209" t="s">
        <v>265</v>
      </c>
      <c r="I4" s="210" t="s">
        <v>266</v>
      </c>
      <c r="J4" s="211" t="s">
        <v>267</v>
      </c>
      <c r="K4" s="212" t="s">
        <v>268</v>
      </c>
      <c r="L4" s="213" t="s">
        <v>269</v>
      </c>
      <c r="M4" s="214" t="s">
        <v>270</v>
      </c>
      <c r="N4" s="215" t="s">
        <v>271</v>
      </c>
      <c r="O4" s="216" t="s">
        <v>272</v>
      </c>
      <c r="P4" s="216" t="s">
        <v>273</v>
      </c>
      <c r="Q4" s="215" t="s">
        <v>274</v>
      </c>
      <c r="R4" s="217" t="s">
        <v>275</v>
      </c>
      <c r="S4" s="217" t="s">
        <v>276</v>
      </c>
      <c r="T4" s="217" t="s">
        <v>277</v>
      </c>
      <c r="U4" s="218" t="s">
        <v>278</v>
      </c>
      <c r="V4" s="217" t="s">
        <v>279</v>
      </c>
      <c r="W4" s="203" t="s">
        <v>280</v>
      </c>
      <c r="Y4" s="219" t="s">
        <v>281</v>
      </c>
    </row>
    <row r="5" customFormat="false" ht="13.5" hidden="false" customHeight="false" outlineLevel="0" collapsed="false">
      <c r="A5" s="220" t="n">
        <v>36526</v>
      </c>
      <c r="B5" s="221" t="n">
        <f aca="false">YEAR(A5)</f>
        <v>2000</v>
      </c>
      <c r="C5" s="164" t="n">
        <f aca="false">CALC!HH17</f>
        <v>0</v>
      </c>
      <c r="D5" s="222" t="n">
        <f aca="false">IF(Summary!$O$109=0,CALC!HE17,0)</f>
        <v>0</v>
      </c>
      <c r="E5" s="222" t="n">
        <f aca="false">SUM(CALC!GU17:HB17)*CALC!CY17/1000</f>
        <v>0</v>
      </c>
      <c r="F5" s="223" t="n">
        <f aca="false">Summary!$J$54</f>
        <v>0.15</v>
      </c>
      <c r="G5" s="164" t="n">
        <f aca="false">VLOOKUP(A5,CURVES!AW6:$BS$283,16)</f>
        <v>0</v>
      </c>
      <c r="H5" s="223" t="n">
        <f aca="false">Summary!$J$60</f>
        <v>0.04</v>
      </c>
      <c r="I5" s="165" t="n">
        <f aca="false">Summary!$J$55</f>
        <v>8.5</v>
      </c>
      <c r="J5" s="164" t="n">
        <f aca="false">I5*SUM(F5:H5)</f>
        <v>1.615</v>
      </c>
      <c r="K5" s="223" t="n">
        <f aca="false">Summary!$J$56</f>
        <v>3.75</v>
      </c>
      <c r="L5" s="0" t="n">
        <f aca="false">Summary!$O$23</f>
        <v>3.75</v>
      </c>
      <c r="M5" s="223" t="n">
        <f aca="false">Summary!$J$57</f>
        <v>1.75</v>
      </c>
      <c r="N5" s="164" t="n">
        <f aca="false">IF(C5&gt;0,C5-J5,0)</f>
        <v>0</v>
      </c>
      <c r="O5" s="223" t="n">
        <f aca="false">IF(N5&gt;0,IF(N5-SUM(K5:M5)&gt;0,N5-SUM(K5:M5),0),0)</f>
        <v>0</v>
      </c>
      <c r="P5" s="223" t="n">
        <f aca="false">O5*D5</f>
        <v>0</v>
      </c>
      <c r="Q5" s="164" t="n">
        <f aca="false">IF(A5&lt;=Summary!$J$61,0.5*(P5),$Q$2*(P5))</f>
        <v>0</v>
      </c>
      <c r="R5" s="223" t="n">
        <f aca="false">Summary!$J$58</f>
        <v>0.5</v>
      </c>
      <c r="S5" s="223" t="n">
        <f aca="false">J5+(K5+L5+R5)</f>
        <v>9.615</v>
      </c>
      <c r="T5" s="224" t="n">
        <f aca="false">IF(D5*(C5-S5)-Q5&gt;0,D5*(C5-S5)-Q5,0)</f>
        <v>0</v>
      </c>
      <c r="U5" s="225" t="n">
        <f aca="false">Summary!$J$59</f>
        <v>0.121048781448</v>
      </c>
      <c r="V5" s="224" t="n">
        <f aca="false">IF(A5&lt;=Summary!$J$61,(0.2*T5)+(R5*D5),(U5*T5)+(R5*D5))</f>
        <v>0</v>
      </c>
      <c r="W5" s="226" t="n">
        <f aca="false">C5*D5</f>
        <v>0</v>
      </c>
      <c r="Y5" s="227" t="s">
        <v>260</v>
      </c>
      <c r="Z5" s="228" t="s">
        <v>282</v>
      </c>
      <c r="AA5" s="228" t="s">
        <v>283</v>
      </c>
      <c r="AB5" s="227" t="s">
        <v>284</v>
      </c>
    </row>
    <row r="6" customFormat="false" ht="12.75" hidden="false" customHeight="false" outlineLevel="0" collapsed="false">
      <c r="A6" s="220" t="n">
        <v>36557</v>
      </c>
      <c r="B6" s="221" t="n">
        <f aca="false">YEAR(A6)</f>
        <v>2000</v>
      </c>
      <c r="C6" s="164" t="n">
        <f aca="false">CALC!HH18</f>
        <v>0</v>
      </c>
      <c r="D6" s="222" t="n">
        <f aca="false">IF(Summary!$O$109=0,CALC!HE18,0)</f>
        <v>0</v>
      </c>
      <c r="E6" s="222" t="n">
        <f aca="false">SUM(CALC!GU18:HB18)*CALC!CY18/1000</f>
        <v>0</v>
      </c>
      <c r="F6" s="223" t="n">
        <f aca="false">Summary!$J$54</f>
        <v>0.15</v>
      </c>
      <c r="G6" s="164" t="n">
        <f aca="false">VLOOKUP(A6,CURVES!AW7:$BS$283,16)</f>
        <v>0</v>
      </c>
      <c r="H6" s="223" t="n">
        <f aca="false">Summary!$J$60</f>
        <v>0.04</v>
      </c>
      <c r="I6" s="165" t="n">
        <f aca="false">Summary!$J$55</f>
        <v>8.5</v>
      </c>
      <c r="J6" s="164" t="n">
        <f aca="false">I6*SUM(F6:H6)</f>
        <v>1.615</v>
      </c>
      <c r="K6" s="223" t="n">
        <f aca="false">Summary!$J$56</f>
        <v>3.75</v>
      </c>
      <c r="L6" s="0" t="n">
        <f aca="false">Summary!$O$23</f>
        <v>3.75</v>
      </c>
      <c r="M6" s="223" t="n">
        <f aca="false">Summary!$J$57</f>
        <v>1.75</v>
      </c>
      <c r="N6" s="164" t="n">
        <f aca="false">IF(C6&gt;0,C6-J6,0)</f>
        <v>0</v>
      </c>
      <c r="O6" s="223" t="n">
        <f aca="false">IF(N6&gt;0,IF(N6-SUM(K6:M6)&gt;0,N6-SUM(K6:M6),0),0)</f>
        <v>0</v>
      </c>
      <c r="P6" s="223" t="n">
        <f aca="false">O6*D6</f>
        <v>0</v>
      </c>
      <c r="Q6" s="164" t="n">
        <f aca="false">IF(A6&lt;=Summary!$J$61,0.5*(P6),$Q$2*(P6))</f>
        <v>0</v>
      </c>
      <c r="R6" s="223" t="n">
        <f aca="false">Summary!$J$58</f>
        <v>0.5</v>
      </c>
      <c r="S6" s="223" t="n">
        <f aca="false">J6+(K6+L6+R6)</f>
        <v>9.615</v>
      </c>
      <c r="T6" s="224" t="n">
        <f aca="false">IF(D6*(C6-S6)-Q6&gt;0,D6*(C6-S6)-Q6,0)</f>
        <v>0</v>
      </c>
      <c r="U6" s="225" t="n">
        <f aca="false">Summary!$J$59</f>
        <v>0.121048781448</v>
      </c>
      <c r="V6" s="224" t="n">
        <f aca="false">IF(A6&lt;=Summary!$J$61,(0.2*T6)+(R6*D6),(U6*T6)+(R6*D6))</f>
        <v>0</v>
      </c>
      <c r="W6" s="226" t="n">
        <f aca="false">C6*D6</f>
        <v>0</v>
      </c>
      <c r="Y6" s="229" t="n">
        <v>2000</v>
      </c>
      <c r="Z6" s="230" t="n">
        <f aca="false">SUMIF($B$5:$B$281,Y6,$Q$5:$Q$281)</f>
        <v>2149776.66477251</v>
      </c>
      <c r="AA6" s="230" t="n">
        <f aca="false">SUMIF($B$5:$B$281,Y6,$V$5:$V$281)</f>
        <v>482040.776117003</v>
      </c>
      <c r="AB6" s="230" t="n">
        <f aca="false">AA6+Z6</f>
        <v>2631817.44088952</v>
      </c>
    </row>
    <row r="7" customFormat="false" ht="12.75" hidden="false" customHeight="false" outlineLevel="0" collapsed="false">
      <c r="A7" s="220" t="n">
        <v>36586</v>
      </c>
      <c r="B7" s="221" t="n">
        <f aca="false">YEAR(A7)</f>
        <v>2000</v>
      </c>
      <c r="C7" s="164" t="n">
        <f aca="false">CALC!HH19</f>
        <v>0</v>
      </c>
      <c r="D7" s="222" t="n">
        <f aca="false">IF(Summary!$O$109=0,CALC!HE19,0)</f>
        <v>0</v>
      </c>
      <c r="E7" s="222" t="n">
        <f aca="false">SUM(CALC!GU19:HB19)*CALC!CY19/1000</f>
        <v>0</v>
      </c>
      <c r="F7" s="223" t="n">
        <f aca="false">Summary!$J$54</f>
        <v>0.15</v>
      </c>
      <c r="G7" s="164" t="n">
        <f aca="false">VLOOKUP(A7,CURVES!AW8:$BS$283,16)</f>
        <v>0</v>
      </c>
      <c r="H7" s="223" t="n">
        <f aca="false">Summary!$J$60</f>
        <v>0.04</v>
      </c>
      <c r="I7" s="165" t="n">
        <f aca="false">Summary!$J$55</f>
        <v>8.5</v>
      </c>
      <c r="J7" s="164" t="n">
        <f aca="false">I7*SUM(F7:H7)</f>
        <v>1.615</v>
      </c>
      <c r="K7" s="223" t="n">
        <f aca="false">Summary!$J$56</f>
        <v>3.75</v>
      </c>
      <c r="L7" s="0" t="n">
        <f aca="false">Summary!$O$23</f>
        <v>3.75</v>
      </c>
      <c r="M7" s="223" t="n">
        <f aca="false">Summary!$J$57</f>
        <v>1.75</v>
      </c>
      <c r="N7" s="164" t="n">
        <f aca="false">IF(C7&gt;0,C7-J7,0)</f>
        <v>0</v>
      </c>
      <c r="O7" s="223" t="n">
        <f aca="false">IF(N7&gt;0,IF(N7-SUM(K7:M7)&gt;0,N7-SUM(K7:M7),0),0)</f>
        <v>0</v>
      </c>
      <c r="P7" s="223" t="n">
        <f aca="false">O7*D7</f>
        <v>0</v>
      </c>
      <c r="Q7" s="164" t="n">
        <f aca="false">IF(A7&lt;=Summary!$J$61,0.5*(P7),$Q$2*(P7))</f>
        <v>0</v>
      </c>
      <c r="R7" s="223" t="n">
        <f aca="false">Summary!$J$58</f>
        <v>0.5</v>
      </c>
      <c r="S7" s="223" t="n">
        <f aca="false">J7+(K7+L7+R7)</f>
        <v>9.615</v>
      </c>
      <c r="T7" s="224" t="n">
        <f aca="false">IF(D7*(C7-S7)-Q7&gt;0,D7*(C7-S7)-Q7,0)</f>
        <v>0</v>
      </c>
      <c r="U7" s="225" t="n">
        <f aca="false">Summary!$J$59</f>
        <v>0.121048781448</v>
      </c>
      <c r="V7" s="224" t="n">
        <f aca="false">IF(A7&lt;=Summary!$J$61,(0.2*T7)+(R7*D7),(U7*T7)+(R7*D7))</f>
        <v>0</v>
      </c>
      <c r="W7" s="226" t="n">
        <f aca="false">C7*D7</f>
        <v>0</v>
      </c>
      <c r="Y7" s="231" t="n">
        <v>2001</v>
      </c>
      <c r="Z7" s="232" t="n">
        <f aca="false">SUMIF($B$5:$B$281,Y7,$Q$5:$Q$281)</f>
        <v>73251.4632269498</v>
      </c>
      <c r="AA7" s="232" t="n">
        <f aca="false">SUMIF($B$5:$B$281,Y7,$V$5:$V$281)</f>
        <v>453582.932723386</v>
      </c>
      <c r="AB7" s="232" t="n">
        <f aca="false">AA7+Z7</f>
        <v>526834.395950336</v>
      </c>
    </row>
    <row r="8" customFormat="false" ht="12.75" hidden="false" customHeight="false" outlineLevel="0" collapsed="false">
      <c r="A8" s="220" t="n">
        <v>36617</v>
      </c>
      <c r="B8" s="221" t="n">
        <f aca="false">YEAR(A8)</f>
        <v>2000</v>
      </c>
      <c r="C8" s="164" t="n">
        <f aca="false">CALC!HH20</f>
        <v>0</v>
      </c>
      <c r="D8" s="222" t="n">
        <f aca="false">IF(Summary!$O$109=0,CALC!HE20,0)</f>
        <v>0</v>
      </c>
      <c r="E8" s="222" t="n">
        <f aca="false">SUM(CALC!GU20:HB20)*CALC!CY20/1000</f>
        <v>0</v>
      </c>
      <c r="F8" s="223" t="n">
        <f aca="false">Summary!$J$54</f>
        <v>0.15</v>
      </c>
      <c r="G8" s="164" t="n">
        <f aca="false">VLOOKUP(A8,CURVES!AW9:$BS$283,16)</f>
        <v>0</v>
      </c>
      <c r="H8" s="223" t="n">
        <f aca="false">Summary!$J$60</f>
        <v>0.04</v>
      </c>
      <c r="I8" s="165" t="n">
        <f aca="false">Summary!$J$55</f>
        <v>8.5</v>
      </c>
      <c r="J8" s="164" t="n">
        <f aca="false">I8*SUM(F8:H8)</f>
        <v>1.615</v>
      </c>
      <c r="K8" s="223" t="n">
        <f aca="false">Summary!$J$56</f>
        <v>3.75</v>
      </c>
      <c r="L8" s="0" t="n">
        <f aca="false">Summary!$O$23</f>
        <v>3.75</v>
      </c>
      <c r="M8" s="223" t="n">
        <f aca="false">Summary!$J$57</f>
        <v>1.75</v>
      </c>
      <c r="N8" s="164" t="n">
        <f aca="false">IF(C8&gt;0,C8-J8,0)</f>
        <v>0</v>
      </c>
      <c r="O8" s="223" t="n">
        <f aca="false">IF(N8&gt;0,IF(N8-SUM(K8:M8)&gt;0,N8-SUM(K8:M8),0),0)</f>
        <v>0</v>
      </c>
      <c r="P8" s="223" t="n">
        <f aca="false">O8*D8</f>
        <v>0</v>
      </c>
      <c r="Q8" s="164" t="n">
        <f aca="false">IF(A8&lt;=Summary!$J$61,0.5*(P8),$Q$2*(P8))</f>
        <v>0</v>
      </c>
      <c r="R8" s="223" t="n">
        <f aca="false">Summary!$J$58</f>
        <v>0.5</v>
      </c>
      <c r="S8" s="223" t="n">
        <f aca="false">J8+(K8+L8+R8)</f>
        <v>9.615</v>
      </c>
      <c r="T8" s="224" t="n">
        <f aca="false">IF(D8*(C8-S8)-Q8&gt;0,D8*(C8-S8)-Q8,0)</f>
        <v>0</v>
      </c>
      <c r="U8" s="225" t="n">
        <f aca="false">Summary!$J$59</f>
        <v>0.121048781448</v>
      </c>
      <c r="V8" s="224" t="n">
        <f aca="false">IF(A8&lt;=Summary!$J$61,(0.2*T8)+(R8*D8),(U8*T8)+(R8*D8))</f>
        <v>0</v>
      </c>
      <c r="W8" s="226" t="n">
        <f aca="false">C8*D8</f>
        <v>0</v>
      </c>
      <c r="Y8" s="231" t="n">
        <v>2002</v>
      </c>
      <c r="Z8" s="232" t="n">
        <f aca="false">SUMIF($B$5:$B$281,Y8,$Q$5:$Q$281)</f>
        <v>0</v>
      </c>
      <c r="AA8" s="232" t="n">
        <f aca="false">SUMIF($B$5:$B$281,Y8,$V$5:$V$281)</f>
        <v>308578.506329144</v>
      </c>
      <c r="AB8" s="232" t="n">
        <f aca="false">AA8+Z8</f>
        <v>308578.506329144</v>
      </c>
    </row>
    <row r="9" customFormat="false" ht="12.75" hidden="false" customHeight="false" outlineLevel="0" collapsed="false">
      <c r="A9" s="220" t="n">
        <v>36647</v>
      </c>
      <c r="B9" s="221" t="n">
        <f aca="false">YEAR(A9)</f>
        <v>2000</v>
      </c>
      <c r="C9" s="164" t="n">
        <f aca="false">CALC!HH21</f>
        <v>0</v>
      </c>
      <c r="D9" s="222" t="n">
        <f aca="false">IF(Summary!$O$109=0,CALC!HE21,0)</f>
        <v>0</v>
      </c>
      <c r="E9" s="222" t="n">
        <f aca="false">SUM(CALC!GU21:HB21)*CALC!CY21/1000</f>
        <v>0</v>
      </c>
      <c r="F9" s="223" t="n">
        <f aca="false">Summary!$J$54</f>
        <v>0.15</v>
      </c>
      <c r="G9" s="164" t="n">
        <f aca="false">VLOOKUP(A9,CURVES!AW10:$BS$283,16)</f>
        <v>0</v>
      </c>
      <c r="H9" s="223" t="n">
        <f aca="false">Summary!$J$60</f>
        <v>0.04</v>
      </c>
      <c r="I9" s="165" t="n">
        <f aca="false">Summary!$J$55</f>
        <v>8.5</v>
      </c>
      <c r="J9" s="164" t="n">
        <f aca="false">I9*SUM(F9:H9)</f>
        <v>1.615</v>
      </c>
      <c r="K9" s="223" t="n">
        <f aca="false">Summary!$J$56</f>
        <v>3.75</v>
      </c>
      <c r="L9" s="0" t="n">
        <f aca="false">Summary!$O$23</f>
        <v>3.75</v>
      </c>
      <c r="M9" s="223" t="n">
        <f aca="false">Summary!$J$57</f>
        <v>1.75</v>
      </c>
      <c r="N9" s="164" t="n">
        <f aca="false">IF(C9&gt;0,C9-J9,0)</f>
        <v>0</v>
      </c>
      <c r="O9" s="223" t="n">
        <f aca="false">IF(N9&gt;0,IF(N9-SUM(K9:M9)&gt;0,N9-SUM(K9:M9),0),0)</f>
        <v>0</v>
      </c>
      <c r="P9" s="223" t="n">
        <f aca="false">O9*D9</f>
        <v>0</v>
      </c>
      <c r="Q9" s="164" t="n">
        <f aca="false">IF(A9&lt;=Summary!$J$61,0.5*(P9),$Q$2*(P9))</f>
        <v>0</v>
      </c>
      <c r="R9" s="223" t="n">
        <f aca="false">Summary!$J$58</f>
        <v>0.5</v>
      </c>
      <c r="S9" s="223" t="n">
        <f aca="false">J9+(K9+L9+R9)</f>
        <v>9.615</v>
      </c>
      <c r="T9" s="224" t="n">
        <f aca="false">IF(D9*(C9-S9)-Q9&gt;0,D9*(C9-S9)-Q9,0)</f>
        <v>0</v>
      </c>
      <c r="U9" s="225" t="n">
        <f aca="false">Summary!$J$59</f>
        <v>0.121048781448</v>
      </c>
      <c r="V9" s="224" t="n">
        <f aca="false">IF(A9&lt;=Summary!$J$61,(0.2*T9)+(R9*D9),(U9*T9)+(R9*D9))</f>
        <v>0</v>
      </c>
      <c r="W9" s="226" t="n">
        <f aca="false">C9*D9</f>
        <v>0</v>
      </c>
      <c r="Y9" s="231" t="n">
        <v>2003</v>
      </c>
      <c r="Z9" s="232" t="n">
        <f aca="false">SUMIF($B$5:$B$281,Y9,$Q$5:$Q$281)</f>
        <v>0</v>
      </c>
      <c r="AA9" s="232" t="n">
        <f aca="false">SUMIF($B$5:$B$281,Y9,$V$5:$V$281)</f>
        <v>264309.694835194</v>
      </c>
      <c r="AB9" s="232" t="n">
        <f aca="false">AA9+Z9</f>
        <v>264309.694835194</v>
      </c>
    </row>
    <row r="10" customFormat="false" ht="12.75" hidden="false" customHeight="false" outlineLevel="0" collapsed="false">
      <c r="A10" s="220" t="n">
        <v>36678</v>
      </c>
      <c r="B10" s="221" t="n">
        <f aca="false">YEAR(A10)</f>
        <v>2000</v>
      </c>
      <c r="C10" s="164" t="n">
        <f aca="false">CALC!HH22</f>
        <v>61.8552358432036</v>
      </c>
      <c r="D10" s="222" t="n">
        <f aca="false">IF(Summary!$O$109=0,CALC!HE22,0)</f>
        <v>9239.103</v>
      </c>
      <c r="E10" s="222" t="n">
        <f aca="false">SUM(CALC!GU22:HB22)*CALC!CY22/1000</f>
        <v>70952.9347021997</v>
      </c>
      <c r="F10" s="223" t="n">
        <f aca="false">Summary!$J$54</f>
        <v>0.15</v>
      </c>
      <c r="G10" s="164" t="n">
        <f aca="false">VLOOKUP(A10,CURVES!AW11:$BS$283,16)</f>
        <v>0</v>
      </c>
      <c r="H10" s="223" t="n">
        <f aca="false">Summary!$J$60</f>
        <v>0.04</v>
      </c>
      <c r="I10" s="165" t="n">
        <f aca="false">Summary!$J$55</f>
        <v>8.5</v>
      </c>
      <c r="J10" s="164" t="n">
        <f aca="false">I10*SUM(F10:H10)</f>
        <v>1.615</v>
      </c>
      <c r="K10" s="223" t="n">
        <f aca="false">Summary!$J$56</f>
        <v>3.75</v>
      </c>
      <c r="L10" s="0" t="n">
        <f aca="false">Summary!$O$23</f>
        <v>3.75</v>
      </c>
      <c r="M10" s="223" t="n">
        <f aca="false">Summary!$J$57</f>
        <v>1.75</v>
      </c>
      <c r="N10" s="164" t="n">
        <f aca="false">IF(C10&gt;0,C10-J10,0)</f>
        <v>60.2402358432036</v>
      </c>
      <c r="O10" s="223" t="n">
        <f aca="false">IF(N10&gt;0,IF(N10-SUM(K10:M10)&gt;0,N10-SUM(K10:M10),0),0)</f>
        <v>50.9902358432036</v>
      </c>
      <c r="P10" s="223" t="n">
        <f aca="false">O10*D10</f>
        <v>471104.04094965</v>
      </c>
      <c r="Q10" s="164" t="n">
        <f aca="false">IF(A10&lt;=Summary!$J$61,0.5*(P10),$Q$2*(P10))</f>
        <v>235552.020474825</v>
      </c>
      <c r="R10" s="223" t="n">
        <f aca="false">Summary!$J$58</f>
        <v>0.5</v>
      </c>
      <c r="S10" s="223" t="n">
        <f aca="false">J10+(K10+L10+R10)</f>
        <v>9.615</v>
      </c>
      <c r="T10" s="224" t="n">
        <f aca="false">IF(D10*(C10-S10)-Q10&gt;0,D10*(C10-S10)-Q10,0)</f>
        <v>247100.899224825</v>
      </c>
      <c r="U10" s="225" t="n">
        <f aca="false">Summary!$J$59</f>
        <v>0.121048781448</v>
      </c>
      <c r="V10" s="224" t="n">
        <f aca="false">IF(A10&lt;=Summary!$J$61,(0.2*T10)+(R10*D10),(U10*T10)+(R10*D10))</f>
        <v>54039.731344965</v>
      </c>
      <c r="W10" s="226" t="n">
        <f aca="false">C10*D10</f>
        <v>571486.89504465</v>
      </c>
      <c r="Y10" s="231" t="n">
        <v>2004</v>
      </c>
      <c r="Z10" s="232" t="n">
        <f aca="false">SUMIF($B$5:$B$281,Y10,$Q$5:$Q$281)</f>
        <v>0</v>
      </c>
      <c r="AA10" s="232" t="n">
        <f aca="false">SUMIF($B$5:$B$281,Y10,$V$5:$V$281)</f>
        <v>166536.156764661</v>
      </c>
      <c r="AB10" s="232" t="n">
        <f aca="false">AA10+Z10</f>
        <v>166536.156764661</v>
      </c>
    </row>
    <row r="11" customFormat="false" ht="12.75" hidden="false" customHeight="false" outlineLevel="0" collapsed="false">
      <c r="A11" s="220" t="n">
        <v>36708</v>
      </c>
      <c r="B11" s="221" t="n">
        <f aca="false">YEAR(A11)</f>
        <v>2000</v>
      </c>
      <c r="C11" s="164" t="n">
        <f aca="false">CALC!HH23</f>
        <v>80.3581917608209</v>
      </c>
      <c r="D11" s="222" t="n">
        <f aca="false">IF(Summary!$O$109=0,CALC!HE23,0)</f>
        <v>9547.0731</v>
      </c>
      <c r="E11" s="222" t="n">
        <f aca="false">SUM(CALC!GU23:HB23)*CALC!CY23/1000</f>
        <v>73336.6905615071</v>
      </c>
      <c r="F11" s="223" t="n">
        <f aca="false">Summary!$J$54</f>
        <v>0.15</v>
      </c>
      <c r="G11" s="164" t="n">
        <f aca="false">VLOOKUP(A11,CURVES!AW12:$BS$283,16)</f>
        <v>0</v>
      </c>
      <c r="H11" s="223" t="n">
        <f aca="false">Summary!$J$60</f>
        <v>0.04</v>
      </c>
      <c r="I11" s="165" t="n">
        <f aca="false">Summary!$J$55</f>
        <v>8.5</v>
      </c>
      <c r="J11" s="164" t="n">
        <f aca="false">I11*SUM(F11:H11)</f>
        <v>1.615</v>
      </c>
      <c r="K11" s="223" t="n">
        <f aca="false">Summary!$J$56</f>
        <v>3.75</v>
      </c>
      <c r="L11" s="0" t="n">
        <f aca="false">Summary!$O$23</f>
        <v>3.75</v>
      </c>
      <c r="M11" s="223" t="n">
        <f aca="false">Summary!$J$57</f>
        <v>1.75</v>
      </c>
      <c r="N11" s="164" t="n">
        <f aca="false">IF(C11&gt;0,C11-J11,0)</f>
        <v>78.7431917608209</v>
      </c>
      <c r="O11" s="223" t="n">
        <f aca="false">IF(N11&gt;0,IF(N11-SUM(K11:M11)&gt;0,N11-SUM(K11:M11),0),0)</f>
        <v>69.4931917608209</v>
      </c>
      <c r="P11" s="223" t="n">
        <f aca="false">O11*D11</f>
        <v>663456.581692875</v>
      </c>
      <c r="Q11" s="164" t="n">
        <f aca="false">IF(A11&lt;=Summary!$J$61,0.5*(P11),$Q$2*(P11))</f>
        <v>331728.290846438</v>
      </c>
      <c r="R11" s="223" t="n">
        <f aca="false">Summary!$J$58</f>
        <v>0.5</v>
      </c>
      <c r="S11" s="223" t="n">
        <f aca="false">J11+(K11+L11+R11)</f>
        <v>9.615</v>
      </c>
      <c r="T11" s="224" t="n">
        <f aca="false">IF(D11*(C11-S11)-Q11&gt;0,D11*(C11-S11)-Q11,0)</f>
        <v>343662.132221438</v>
      </c>
      <c r="U11" s="225" t="n">
        <f aca="false">Summary!$J$59</f>
        <v>0.121048781448</v>
      </c>
      <c r="V11" s="224" t="n">
        <f aca="false">IF(A11&lt;=Summary!$J$61,(0.2*T11)+(R11*D11),(U11*T11)+(R11*D11))</f>
        <v>73505.9629942875</v>
      </c>
      <c r="W11" s="226" t="n">
        <f aca="false">C11*D11</f>
        <v>767185.530924375</v>
      </c>
      <c r="Y11" s="231" t="n">
        <v>2005</v>
      </c>
      <c r="Z11" s="232" t="n">
        <f aca="false">SUMIF($B$5:$B$281,Y11,$Q$5:$Q$281)</f>
        <v>0</v>
      </c>
      <c r="AA11" s="232" t="n">
        <f aca="false">SUMIF($B$5:$B$281,Y11,$V$5:$V$281)</f>
        <v>274023.779624337</v>
      </c>
      <c r="AB11" s="232" t="n">
        <f aca="false">AA11+Z11</f>
        <v>274023.779624337</v>
      </c>
    </row>
    <row r="12" customFormat="false" ht="12.75" hidden="false" customHeight="false" outlineLevel="0" collapsed="false">
      <c r="A12" s="220" t="n">
        <v>36739</v>
      </c>
      <c r="B12" s="221" t="n">
        <f aca="false">YEAR(A12)</f>
        <v>2000</v>
      </c>
      <c r="C12" s="164" t="n">
        <f aca="false">CALC!HH24</f>
        <v>86.285390330768</v>
      </c>
      <c r="D12" s="222" t="n">
        <f aca="false">IF(Summary!$O$109=0,CALC!HE24,0)</f>
        <v>9547.0731</v>
      </c>
      <c r="E12" s="222" t="n">
        <f aca="false">SUM(CALC!GU24:HB24)*CALC!CY24/1000</f>
        <v>73355.3485974079</v>
      </c>
      <c r="F12" s="223" t="n">
        <f aca="false">Summary!$J$54</f>
        <v>0.15</v>
      </c>
      <c r="G12" s="164" t="n">
        <f aca="false">VLOOKUP(A12,CURVES!AW13:$BS$283,16)</f>
        <v>0</v>
      </c>
      <c r="H12" s="223" t="n">
        <f aca="false">Summary!$J$60</f>
        <v>0.04</v>
      </c>
      <c r="I12" s="165" t="n">
        <f aca="false">Summary!$J$55</f>
        <v>8.5</v>
      </c>
      <c r="J12" s="164" t="n">
        <f aca="false">I12*SUM(F12:H12)</f>
        <v>1.615</v>
      </c>
      <c r="K12" s="223" t="n">
        <f aca="false">Summary!$J$56</f>
        <v>3.75</v>
      </c>
      <c r="L12" s="0" t="n">
        <f aca="false">Summary!$O$23</f>
        <v>3.75</v>
      </c>
      <c r="M12" s="223" t="n">
        <f aca="false">Summary!$J$57</f>
        <v>1.75</v>
      </c>
      <c r="N12" s="164" t="n">
        <f aca="false">IF(C12&gt;0,C12-J12,0)</f>
        <v>84.670390330768</v>
      </c>
      <c r="O12" s="223" t="n">
        <f aca="false">IF(N12&gt;0,IF(N12-SUM(K12:M12)&gt;0,N12-SUM(K12:M12),0),0)</f>
        <v>75.420390330768</v>
      </c>
      <c r="P12" s="223" t="n">
        <f aca="false">O12*D12</f>
        <v>720043.979718375</v>
      </c>
      <c r="Q12" s="164" t="n">
        <f aca="false">IF(A12&lt;=Summary!$J$61,0.5*(P12),$Q$2*(P12))</f>
        <v>360021.989859188</v>
      </c>
      <c r="R12" s="223" t="n">
        <f aca="false">Summary!$J$58</f>
        <v>0.5</v>
      </c>
      <c r="S12" s="223" t="n">
        <f aca="false">J12+(K12+L12+R12)</f>
        <v>9.615</v>
      </c>
      <c r="T12" s="224" t="n">
        <f aca="false">IF(D12*(C12-S12)-Q12&gt;0,D12*(C12-S12)-Q12,0)</f>
        <v>371955.831234188</v>
      </c>
      <c r="U12" s="225" t="n">
        <f aca="false">Summary!$J$59</f>
        <v>0.121048781448</v>
      </c>
      <c r="V12" s="224" t="n">
        <f aca="false">IF(A12&lt;=Summary!$J$61,(0.2*T12)+(R12*D12),(U12*T12)+(R12*D12))</f>
        <v>79164.7027968375</v>
      </c>
      <c r="W12" s="226" t="n">
        <f aca="false">C12*D12</f>
        <v>823772.928949875</v>
      </c>
      <c r="Y12" s="231" t="n">
        <v>2006</v>
      </c>
      <c r="Z12" s="232" t="n">
        <f aca="false">SUMIF($B$5:$B$281,Y12,$Q$5:$Q$281)</f>
        <v>0</v>
      </c>
      <c r="AA12" s="232" t="n">
        <f aca="false">SUMIF($B$5:$B$281,Y12,$V$5:$V$281)</f>
        <v>305334.539245103</v>
      </c>
      <c r="AB12" s="232" t="n">
        <f aca="false">AA12+Z12</f>
        <v>305334.539245103</v>
      </c>
    </row>
    <row r="13" customFormat="false" ht="12.75" hidden="false" customHeight="false" outlineLevel="0" collapsed="false">
      <c r="A13" s="220" t="n">
        <v>36770</v>
      </c>
      <c r="B13" s="221" t="n">
        <f aca="false">YEAR(A13)</f>
        <v>2000</v>
      </c>
      <c r="C13" s="164" t="n">
        <f aca="false">CALC!HH25</f>
        <v>93.8291453985711</v>
      </c>
      <c r="D13" s="222" t="n">
        <f aca="false">IF(Summary!$O$109=0,CALC!HE25,0)</f>
        <v>9239.103</v>
      </c>
      <c r="E13" s="222" t="n">
        <f aca="false">SUM(CALC!GU25:HB25)*CALC!CY25/1000</f>
        <v>71007.1031935246</v>
      </c>
      <c r="F13" s="223" t="n">
        <f aca="false">Summary!$J$54</f>
        <v>0.15</v>
      </c>
      <c r="G13" s="164" t="n">
        <f aca="false">VLOOKUP(A13,CURVES!AW14:$BS$283,16)</f>
        <v>0</v>
      </c>
      <c r="H13" s="223" t="n">
        <f aca="false">Summary!$J$60</f>
        <v>0.04</v>
      </c>
      <c r="I13" s="165" t="n">
        <f aca="false">Summary!$J$55</f>
        <v>8.5</v>
      </c>
      <c r="J13" s="164" t="n">
        <f aca="false">I13*SUM(F13:H13)</f>
        <v>1.615</v>
      </c>
      <c r="K13" s="223" t="n">
        <f aca="false">Summary!$J$56</f>
        <v>3.75</v>
      </c>
      <c r="L13" s="0" t="n">
        <f aca="false">Summary!$O$23</f>
        <v>3.75</v>
      </c>
      <c r="M13" s="223" t="n">
        <f aca="false">Summary!$J$57</f>
        <v>1.75</v>
      </c>
      <c r="N13" s="164" t="n">
        <f aca="false">IF(C13&gt;0,C13-J13,0)</f>
        <v>92.2141453985712</v>
      </c>
      <c r="O13" s="223" t="n">
        <f aca="false">IF(N13&gt;0,IF(N13-SUM(K13:M13)&gt;0,N13-SUM(K13:M13),0),0)</f>
        <v>82.9641453985712</v>
      </c>
      <c r="P13" s="223" t="n">
        <f aca="false">O13*D13</f>
        <v>766514.284644375</v>
      </c>
      <c r="Q13" s="164" t="n">
        <f aca="false">IF(A13&lt;=Summary!$J$61,0.5*(P13),$Q$2*(P13))</f>
        <v>383257.142322188</v>
      </c>
      <c r="R13" s="223" t="n">
        <f aca="false">Summary!$J$58</f>
        <v>0.5</v>
      </c>
      <c r="S13" s="223" t="n">
        <f aca="false">J13+(K13+L13+R13)</f>
        <v>9.615</v>
      </c>
      <c r="T13" s="224" t="n">
        <f aca="false">IF(D13*(C13-S13)-Q13&gt;0,D13*(C13-S13)-Q13,0)</f>
        <v>394806.021072188</v>
      </c>
      <c r="U13" s="225" t="n">
        <f aca="false">Summary!$J$59</f>
        <v>0.121048781448</v>
      </c>
      <c r="V13" s="224" t="n">
        <f aca="false">IF(A13&lt;=Summary!$J$61,(0.2*T13)+(R13*D13),(U13*T13)+(R13*D13))</f>
        <v>83580.7557144375</v>
      </c>
      <c r="W13" s="226" t="n">
        <f aca="false">C13*D13</f>
        <v>866897.138739375</v>
      </c>
      <c r="Y13" s="231" t="n">
        <v>2007</v>
      </c>
      <c r="Z13" s="232" t="n">
        <f aca="false">SUMIF($B$5:$B$281,Y13,$Q$5:$Q$281)</f>
        <v>0</v>
      </c>
      <c r="AA13" s="232" t="n">
        <f aca="false">SUMIF($B$5:$B$281,Y13,$V$5:$V$281)</f>
        <v>338257.623188017</v>
      </c>
      <c r="AB13" s="232" t="n">
        <f aca="false">AA13+Z13</f>
        <v>338257.623188017</v>
      </c>
    </row>
    <row r="14" customFormat="false" ht="12.75" hidden="false" customHeight="false" outlineLevel="0" collapsed="false">
      <c r="A14" s="220" t="n">
        <v>36800</v>
      </c>
      <c r="B14" s="221" t="n">
        <f aca="false">YEAR(A14)</f>
        <v>2000</v>
      </c>
      <c r="C14" s="164" t="n">
        <f aca="false">CALC!HH26</f>
        <v>80.3062059931227</v>
      </c>
      <c r="D14" s="222" t="n">
        <f aca="false">IF(Summary!$O$109=0,CALC!HE26,0)</f>
        <v>12199.03785</v>
      </c>
      <c r="E14" s="222" t="n">
        <f aca="false">SUM(CALC!GU26:HB26)*CALC!CY26/1000</f>
        <v>93779.5159662122</v>
      </c>
      <c r="F14" s="223" t="n">
        <f aca="false">Summary!$J$54</f>
        <v>0.15</v>
      </c>
      <c r="G14" s="164" t="n">
        <f aca="false">VLOOKUP(A14,CURVES!AW15:$BS$283,16)</f>
        <v>0</v>
      </c>
      <c r="H14" s="223" t="n">
        <f aca="false">Summary!$J$60</f>
        <v>0.04</v>
      </c>
      <c r="I14" s="165" t="n">
        <f aca="false">Summary!$J$55</f>
        <v>8.5</v>
      </c>
      <c r="J14" s="164" t="n">
        <f aca="false">I14*SUM(F14:H14)</f>
        <v>1.615</v>
      </c>
      <c r="K14" s="223" t="n">
        <f aca="false">Summary!$J$56</f>
        <v>3.75</v>
      </c>
      <c r="L14" s="0" t="n">
        <f aca="false">Summary!$O$23</f>
        <v>3.75</v>
      </c>
      <c r="M14" s="223" t="n">
        <f aca="false">Summary!$J$57</f>
        <v>1.75</v>
      </c>
      <c r="N14" s="164" t="n">
        <f aca="false">IF(C14&gt;0,C14-J14,0)</f>
        <v>78.6912059931227</v>
      </c>
      <c r="O14" s="223" t="n">
        <f aca="false">IF(N14&gt;0,IF(N14-SUM(K14:M14)&gt;0,N14-SUM(K14:M14),0),0)</f>
        <v>69.4412059931227</v>
      </c>
      <c r="P14" s="223" t="n">
        <f aca="false">O14*D14</f>
        <v>847115.90025975</v>
      </c>
      <c r="Q14" s="164" t="n">
        <f aca="false">IF(A14&lt;=Summary!$J$61,0.5*(P14),$Q$2*(P14))</f>
        <v>423557.950129875</v>
      </c>
      <c r="R14" s="223" t="n">
        <f aca="false">Summary!$J$58</f>
        <v>0.5</v>
      </c>
      <c r="S14" s="223" t="n">
        <f aca="false">J14+(K14+L14+R14)</f>
        <v>9.615</v>
      </c>
      <c r="T14" s="224" t="n">
        <f aca="false">IF(D14*(C14-S14)-Q14&gt;0,D14*(C14-S14)-Q14,0)</f>
        <v>438806.747442375</v>
      </c>
      <c r="U14" s="225" t="n">
        <f aca="false">Summary!$J$59</f>
        <v>0.121048781448</v>
      </c>
      <c r="V14" s="224" t="n">
        <f aca="false">IF(A14&lt;=Summary!$J$61,(0.2*T14)+(R14*D14),(U14*T14)+(R14*D14))</f>
        <v>93860.868413475</v>
      </c>
      <c r="W14" s="226" t="n">
        <f aca="false">C14*D14</f>
        <v>979658.4465</v>
      </c>
      <c r="Y14" s="231" t="n">
        <v>2008</v>
      </c>
      <c r="Z14" s="232" t="n">
        <f aca="false">SUMIF($B$5:$B$281,Y14,$Q$5:$Q$281)</f>
        <v>0</v>
      </c>
      <c r="AA14" s="232" t="n">
        <f aca="false">SUMIF($B$5:$B$281,Y14,$V$5:$V$281)</f>
        <v>382005.910267853</v>
      </c>
      <c r="AB14" s="232" t="n">
        <f aca="false">AA14+Z14</f>
        <v>382005.910267853</v>
      </c>
    </row>
    <row r="15" customFormat="false" ht="12.75" hidden="false" customHeight="false" outlineLevel="0" collapsed="false">
      <c r="A15" s="220" t="n">
        <v>36831</v>
      </c>
      <c r="B15" s="221" t="n">
        <f aca="false">YEAR(A15)</f>
        <v>2000</v>
      </c>
      <c r="C15" s="164" t="n">
        <f aca="false">CALC!HH27</f>
        <v>58.9988345839771</v>
      </c>
      <c r="D15" s="222" t="n">
        <f aca="false">IF(Summary!$O$109=0,CALC!HE27,0)</f>
        <v>9837.93375</v>
      </c>
      <c r="E15" s="222" t="n">
        <f aca="false">SUM(CALC!GU27:HB27)*CALC!CY27/1000</f>
        <v>75647.8683789219</v>
      </c>
      <c r="F15" s="223" t="n">
        <f aca="false">Summary!$J$54</f>
        <v>0.15</v>
      </c>
      <c r="G15" s="164" t="n">
        <f aca="false">VLOOKUP(A15,CURVES!AW16:$BS$283,16)</f>
        <v>0</v>
      </c>
      <c r="H15" s="223" t="n">
        <f aca="false">Summary!$J$60</f>
        <v>0.04</v>
      </c>
      <c r="I15" s="165" t="n">
        <f aca="false">Summary!$J$55</f>
        <v>8.5</v>
      </c>
      <c r="J15" s="164" t="n">
        <f aca="false">I15*SUM(F15:H15)</f>
        <v>1.615</v>
      </c>
      <c r="K15" s="223" t="n">
        <f aca="false">Summary!$J$56</f>
        <v>3.75</v>
      </c>
      <c r="L15" s="0" t="n">
        <f aca="false">Summary!$O$23</f>
        <v>3.75</v>
      </c>
      <c r="M15" s="223" t="n">
        <f aca="false">Summary!$J$57</f>
        <v>1.75</v>
      </c>
      <c r="N15" s="164" t="n">
        <f aca="false">IF(C15&gt;0,C15-J15,0)</f>
        <v>57.3838345839771</v>
      </c>
      <c r="O15" s="223" t="n">
        <f aca="false">IF(N15&gt;0,IF(N15-SUM(K15:M15)&gt;0,N15-SUM(K15:M15),0),0)</f>
        <v>48.1338345839771</v>
      </c>
      <c r="P15" s="223" t="n">
        <f aca="false">O15*D15</f>
        <v>473537.475770625</v>
      </c>
      <c r="Q15" s="164" t="n">
        <f aca="false">IF(A15&lt;=Summary!$J$61,0.5*(P15),$Q$2*(P15))</f>
        <v>236768.737885313</v>
      </c>
      <c r="R15" s="223" t="n">
        <f aca="false">Summary!$J$58</f>
        <v>0.5</v>
      </c>
      <c r="S15" s="223" t="n">
        <f aca="false">J15+(K15+L15+R15)</f>
        <v>9.615</v>
      </c>
      <c r="T15" s="224" t="n">
        <f aca="false">IF(D15*(C15-S15)-Q15&gt;0,D15*(C15-S15)-Q15,0)</f>
        <v>249066.155072813</v>
      </c>
      <c r="U15" s="225" t="n">
        <f aca="false">Summary!$J$59</f>
        <v>0.121048781448</v>
      </c>
      <c r="V15" s="224" t="n">
        <f aca="false">IF(A15&lt;=Summary!$J$61,(0.2*T15)+(R15*D15),(U15*T15)+(R15*D15))</f>
        <v>54732.1978895625</v>
      </c>
      <c r="W15" s="226" t="n">
        <f aca="false">C15*D15</f>
        <v>580426.625964375</v>
      </c>
      <c r="Y15" s="231" t="n">
        <v>2009</v>
      </c>
      <c r="Z15" s="232" t="n">
        <f aca="false">SUMIF($B$5:$B$281,Y15,$Q$5:$Q$281)</f>
        <v>0</v>
      </c>
      <c r="AA15" s="232" t="n">
        <f aca="false">SUMIF($B$5:$B$281,Y15,$V$5:$V$281)</f>
        <v>392216.107695174</v>
      </c>
      <c r="AB15" s="232" t="n">
        <f aca="false">AA15+Z15</f>
        <v>392216.107695174</v>
      </c>
    </row>
    <row r="16" customFormat="false" ht="12.75" hidden="false" customHeight="false" outlineLevel="0" collapsed="false">
      <c r="A16" s="220" t="n">
        <v>36861</v>
      </c>
      <c r="B16" s="221" t="n">
        <f aca="false">YEAR(A16)</f>
        <v>2000</v>
      </c>
      <c r="C16" s="164" t="n">
        <f aca="false">CALC!HH28</f>
        <v>47.2325011035092</v>
      </c>
      <c r="D16" s="222" t="n">
        <f aca="false">IF(Summary!$O$109=0,CALC!HE28,0)</f>
        <v>9837.93375</v>
      </c>
      <c r="E16" s="222" t="n">
        <f aca="false">SUM(CALC!GU28:HB28)*CALC!CY28/1000</f>
        <v>75667.0948496082</v>
      </c>
      <c r="F16" s="223" t="n">
        <f aca="false">Summary!$J$54</f>
        <v>0.15</v>
      </c>
      <c r="G16" s="164" t="n">
        <f aca="false">VLOOKUP(A16,CURVES!AW17:$BS$283,16)</f>
        <v>0</v>
      </c>
      <c r="H16" s="223" t="n">
        <f aca="false">Summary!$J$60</f>
        <v>0.04</v>
      </c>
      <c r="I16" s="165" t="n">
        <f aca="false">Summary!$J$55</f>
        <v>8.5</v>
      </c>
      <c r="J16" s="164" t="n">
        <f aca="false">I16*SUM(F16:H16)</f>
        <v>1.615</v>
      </c>
      <c r="K16" s="223" t="n">
        <f aca="false">Summary!$J$56</f>
        <v>3.75</v>
      </c>
      <c r="L16" s="0" t="n">
        <f aca="false">Summary!$O$23</f>
        <v>3.75</v>
      </c>
      <c r="M16" s="223" t="n">
        <f aca="false">Summary!$J$57</f>
        <v>1.75</v>
      </c>
      <c r="N16" s="164" t="n">
        <f aca="false">IF(C16&gt;0,C16-J16,0)</f>
        <v>45.6175011035092</v>
      </c>
      <c r="O16" s="223" t="n">
        <f aca="false">IF(N16&gt;0,IF(N16-SUM(K16:M16)&gt;0,N16-SUM(K16:M16),0),0)</f>
        <v>36.3675011035092</v>
      </c>
      <c r="P16" s="223" t="n">
        <f aca="false">O16*D16</f>
        <v>357781.066509375</v>
      </c>
      <c r="Q16" s="164" t="n">
        <f aca="false">IF(A16&lt;=Summary!$J$61,0.5*(P16),$Q$2*(P16))</f>
        <v>178890.533254688</v>
      </c>
      <c r="R16" s="223" t="n">
        <f aca="false">Summary!$J$58</f>
        <v>0.5</v>
      </c>
      <c r="S16" s="223" t="n">
        <f aca="false">J16+(K16+L16+R16)</f>
        <v>9.615</v>
      </c>
      <c r="T16" s="224" t="n">
        <f aca="false">IF(D16*(C16-S16)-Q16&gt;0,D16*(C16-S16)-Q16,0)</f>
        <v>191187.950442188</v>
      </c>
      <c r="U16" s="225" t="n">
        <f aca="false">Summary!$J$59</f>
        <v>0.121048781448</v>
      </c>
      <c r="V16" s="224" t="n">
        <f aca="false">IF(A16&lt;=Summary!$J$61,(0.2*T16)+(R16*D16),(U16*T16)+(R16*D16))</f>
        <v>43156.5569634375</v>
      </c>
      <c r="W16" s="226" t="n">
        <f aca="false">C16*D16</f>
        <v>464670.216703125</v>
      </c>
      <c r="Y16" s="231" t="n">
        <v>2010</v>
      </c>
      <c r="Z16" s="232" t="n">
        <f aca="false">SUMIF($B$5:$B$281,Y16,$Q$5:$Q$281)</f>
        <v>0</v>
      </c>
      <c r="AA16" s="232" t="n">
        <f aca="false">SUMIF($B$5:$B$281,Y16,$V$5:$V$281)</f>
        <v>392536.392136881</v>
      </c>
      <c r="AB16" s="232" t="n">
        <f aca="false">AA16+Z16</f>
        <v>392536.392136881</v>
      </c>
    </row>
    <row r="17" customFormat="false" ht="12.75" hidden="false" customHeight="false" outlineLevel="0" collapsed="false">
      <c r="A17" s="220" t="n">
        <v>36892</v>
      </c>
      <c r="B17" s="221" t="n">
        <f aca="false">YEAR(A17)</f>
        <v>2001</v>
      </c>
      <c r="C17" s="164" t="n">
        <f aca="false">CALC!HH29</f>
        <v>42.9884296059255</v>
      </c>
      <c r="D17" s="222" t="n">
        <f aca="false">IF(Summary!$O$109=0,CALC!HE29,0)</f>
        <v>20950.521525</v>
      </c>
      <c r="E17" s="222" t="n">
        <f aca="false">SUM(CALC!GU29:HB29)*CALC!CY29/1000</f>
        <v>93851.0384371652</v>
      </c>
      <c r="F17" s="223" t="n">
        <f aca="false">Summary!$J$54</f>
        <v>0.15</v>
      </c>
      <c r="G17" s="164" t="n">
        <f aca="false">VLOOKUP(A17,CURVES!AW18:$BS$283,16)</f>
        <v>3.20581339378985</v>
      </c>
      <c r="H17" s="223" t="n">
        <f aca="false">Summary!$J$60</f>
        <v>0.04</v>
      </c>
      <c r="I17" s="165" t="n">
        <f aca="false">Summary!$J$55</f>
        <v>8.5</v>
      </c>
      <c r="J17" s="164" t="n">
        <f aca="false">I17*SUM(F17:H17)</f>
        <v>28.8644138472137</v>
      </c>
      <c r="K17" s="223" t="n">
        <f aca="false">Summary!$J$56</f>
        <v>3.75</v>
      </c>
      <c r="L17" s="0" t="n">
        <f aca="false">Summary!$O$23</f>
        <v>3.75</v>
      </c>
      <c r="M17" s="223" t="n">
        <f aca="false">Summary!$J$57</f>
        <v>1.75</v>
      </c>
      <c r="N17" s="164" t="n">
        <f aca="false">IF(C17&gt;0,C17-J17,0)</f>
        <v>14.1240157587118</v>
      </c>
      <c r="O17" s="223" t="n">
        <f aca="false">IF(N17&gt;0,IF(N17-SUM(K17:M17)&gt;0,N17-SUM(K17:M17),0),0)</f>
        <v>4.87401575871176</v>
      </c>
      <c r="P17" s="223" t="n">
        <f aca="false">O17*D17</f>
        <v>102113.17206608</v>
      </c>
      <c r="Q17" s="164" t="n">
        <f aca="false">IF(A17&lt;=Summary!$J$61,0.5*(P17),$Q$2*(P17))</f>
        <v>51056.58603304</v>
      </c>
      <c r="R17" s="223" t="n">
        <f aca="false">Summary!$J$58</f>
        <v>0.5</v>
      </c>
      <c r="S17" s="223" t="n">
        <f aca="false">J17+(K17+L17+R17)</f>
        <v>36.8644138472137</v>
      </c>
      <c r="T17" s="224" t="n">
        <f aca="false">IF(D17*(C17-S17)-Q17&gt;0,D17*(C17-S17)-Q17,0)</f>
        <v>77244.73793929</v>
      </c>
      <c r="U17" s="225" t="n">
        <f aca="false">Summary!$J$59</f>
        <v>0.121048781448</v>
      </c>
      <c r="V17" s="224" t="n">
        <f aca="false">IF(A17&lt;=Summary!$J$61,(0.2*T17)+(R17*D17),(U17*T17)+(R17*D17))</f>
        <v>25924.208350358</v>
      </c>
      <c r="W17" s="226" t="n">
        <f aca="false">C17*D17</f>
        <v>900630.019784888</v>
      </c>
      <c r="Y17" s="231" t="n">
        <v>2011</v>
      </c>
      <c r="Z17" s="232" t="n">
        <f aca="false">SUMIF($B$5:$B$281,Y17,$Q$5:$Q$281)</f>
        <v>0</v>
      </c>
      <c r="AA17" s="232" t="n">
        <f aca="false">SUMIF($B$5:$B$281,Y17,$V$5:$V$281)</f>
        <v>400863.863397072</v>
      </c>
      <c r="AB17" s="232" t="n">
        <f aca="false">AA17+Z17</f>
        <v>400863.863397072</v>
      </c>
    </row>
    <row r="18" customFormat="false" ht="12.75" hidden="false" customHeight="false" outlineLevel="0" collapsed="false">
      <c r="A18" s="220" t="n">
        <v>36923</v>
      </c>
      <c r="B18" s="221" t="n">
        <f aca="false">YEAR(A18)</f>
        <v>2001</v>
      </c>
      <c r="C18" s="164" t="n">
        <f aca="false">CALC!HH30</f>
        <v>38.660277609341</v>
      </c>
      <c r="D18" s="222" t="n">
        <f aca="false">IF(Summary!$O$109=0,CALC!HE30,0)</f>
        <v>18923.0517</v>
      </c>
      <c r="E18" s="222" t="n">
        <f aca="false">SUM(CALC!GU30:HB30)*CALC!CY30/1000</f>
        <v>84790.2135258985</v>
      </c>
      <c r="F18" s="223" t="n">
        <f aca="false">Summary!$J$54</f>
        <v>0.15</v>
      </c>
      <c r="G18" s="164" t="n">
        <f aca="false">VLOOKUP(A18,CURVES!AW19:$BS$283,16)</f>
        <v>3.04095954179077</v>
      </c>
      <c r="H18" s="223" t="n">
        <f aca="false">Summary!$J$60</f>
        <v>0.04</v>
      </c>
      <c r="I18" s="165" t="n">
        <f aca="false">Summary!$J$55</f>
        <v>8.5</v>
      </c>
      <c r="J18" s="164" t="n">
        <f aca="false">I18*SUM(F18:H18)</f>
        <v>27.4631561052216</v>
      </c>
      <c r="K18" s="223" t="n">
        <f aca="false">Summary!$J$56</f>
        <v>3.75</v>
      </c>
      <c r="L18" s="0" t="n">
        <f aca="false">Summary!$O$23</f>
        <v>3.75</v>
      </c>
      <c r="M18" s="223" t="n">
        <f aca="false">Summary!$J$57</f>
        <v>1.75</v>
      </c>
      <c r="N18" s="164" t="n">
        <f aca="false">IF(C18&gt;0,C18-J18,0)</f>
        <v>11.1971215041194</v>
      </c>
      <c r="O18" s="223" t="n">
        <f aca="false">IF(N18&gt;0,IF(N18-SUM(K18:M18)&gt;0,N18-SUM(K18:M18),0),0)</f>
        <v>1.94712150411943</v>
      </c>
      <c r="P18" s="223" t="n">
        <f aca="false">O18*D18</f>
        <v>36845.4808886338</v>
      </c>
      <c r="Q18" s="164" t="n">
        <f aca="false">IF(A18&lt;=Summary!$J$61,0.5*(P18),$Q$2*(P18))</f>
        <v>18422.7404443169</v>
      </c>
      <c r="R18" s="223" t="n">
        <f aca="false">Summary!$J$58</f>
        <v>0.5</v>
      </c>
      <c r="S18" s="223" t="n">
        <f aca="false">J18+(K18+L18+R18)</f>
        <v>35.4631561052216</v>
      </c>
      <c r="T18" s="224" t="n">
        <f aca="false">IF(D18*(C18-S18)-Q18&gt;0,D18*(C18-S18)-Q18,0)</f>
        <v>42076.5550693168</v>
      </c>
      <c r="U18" s="225" t="n">
        <f aca="false">Summary!$J$59</f>
        <v>0.121048781448</v>
      </c>
      <c r="V18" s="224" t="n">
        <f aca="false">IF(A18&lt;=Summary!$J$61,(0.2*T18)+(R18*D18),(U18*T18)+(R18*D18))</f>
        <v>17876.8368638634</v>
      </c>
      <c r="W18" s="226" t="n">
        <f aca="false">C18*D18</f>
        <v>731570.431937912</v>
      </c>
      <c r="Y18" s="231" t="n">
        <v>2012</v>
      </c>
      <c r="Z18" s="232" t="n">
        <f aca="false">SUMIF($B$5:$B$281,Y18,$Q$5:$Q$281)</f>
        <v>0</v>
      </c>
      <c r="AA18" s="232" t="n">
        <f aca="false">SUMIF($B$5:$B$281,Y18,$V$5:$V$281)</f>
        <v>413017.648541815</v>
      </c>
      <c r="AB18" s="232" t="n">
        <f aca="false">AA18+Z18</f>
        <v>413017.648541815</v>
      </c>
    </row>
    <row r="19" customFormat="false" ht="12.75" hidden="false" customHeight="false" outlineLevel="0" collapsed="false">
      <c r="A19" s="220" t="n">
        <v>36951</v>
      </c>
      <c r="B19" s="221" t="n">
        <f aca="false">YEAR(A19)</f>
        <v>2001</v>
      </c>
      <c r="C19" s="164" t="n">
        <f aca="false">CALC!HH31</f>
        <v>35.861646583351</v>
      </c>
      <c r="D19" s="222" t="n">
        <f aca="false">IF(Summary!$O$109=0,CALC!HE31,0)</f>
        <v>20950.521525</v>
      </c>
      <c r="E19" s="222" t="n">
        <f aca="false">SUM(CALC!GU31:HB31)*CALC!CY31/1000</f>
        <v>93898.7200844672</v>
      </c>
      <c r="F19" s="223" t="n">
        <f aca="false">Summary!$J$54</f>
        <v>0.15</v>
      </c>
      <c r="G19" s="164" t="n">
        <f aca="false">VLOOKUP(A19,CURVES!AW20:$BS$283,16)</f>
        <v>2.89841729733504</v>
      </c>
      <c r="H19" s="223" t="n">
        <f aca="false">Summary!$J$60</f>
        <v>0.04</v>
      </c>
      <c r="I19" s="165" t="n">
        <f aca="false">Summary!$J$55</f>
        <v>8.5</v>
      </c>
      <c r="J19" s="164" t="n">
        <f aca="false">I19*SUM(F19:H19)</f>
        <v>26.2515470273479</v>
      </c>
      <c r="K19" s="223" t="n">
        <f aca="false">Summary!$J$56</f>
        <v>3.75</v>
      </c>
      <c r="L19" s="0" t="n">
        <f aca="false">Summary!$O$23</f>
        <v>3.75</v>
      </c>
      <c r="M19" s="223" t="n">
        <f aca="false">Summary!$J$57</f>
        <v>1.75</v>
      </c>
      <c r="N19" s="164" t="n">
        <f aca="false">IF(C19&gt;0,C19-J19,0)</f>
        <v>9.6100995560031</v>
      </c>
      <c r="O19" s="223" t="n">
        <f aca="false">IF(N19&gt;0,IF(N19-SUM(K19:M19)&gt;0,N19-SUM(K19:M19),0),0)</f>
        <v>0.360099556003103</v>
      </c>
      <c r="P19" s="223" t="n">
        <f aca="false">O19*D19</f>
        <v>7544.27349918595</v>
      </c>
      <c r="Q19" s="164" t="n">
        <f aca="false">IF(A19&lt;=Summary!$J$61,0.5*(P19),$Q$2*(P19))</f>
        <v>3772.13674959298</v>
      </c>
      <c r="R19" s="223" t="n">
        <f aca="false">Summary!$J$58</f>
        <v>0.5</v>
      </c>
      <c r="S19" s="223" t="n">
        <f aca="false">J19+(K19+L19+R19)</f>
        <v>34.2515470273479</v>
      </c>
      <c r="T19" s="224" t="n">
        <f aca="false">IF(D19*(C19-S19)-Q19&gt;0,D19*(C19-S19)-Q19,0)</f>
        <v>29960.288655843</v>
      </c>
      <c r="U19" s="225" t="n">
        <f aca="false">Summary!$J$59</f>
        <v>0.121048781448</v>
      </c>
      <c r="V19" s="224" t="n">
        <f aca="false">IF(A19&lt;=Summary!$J$61,(0.2*T19)+(R19*D19),(U19*T19)+(R19*D19))</f>
        <v>16467.3184936686</v>
      </c>
      <c r="W19" s="226" t="n">
        <f aca="false">C19*D19</f>
        <v>751320.198666437</v>
      </c>
      <c r="Y19" s="231" t="n">
        <v>2013</v>
      </c>
      <c r="Z19" s="232" t="n">
        <f aca="false">SUMIF($B$5:$B$281,Y19,$Q$5:$Q$281)</f>
        <v>0</v>
      </c>
      <c r="AA19" s="232" t="n">
        <f aca="false">SUMIF($B$5:$B$281,Y19,$V$5:$V$281)</f>
        <v>426289.647719165</v>
      </c>
      <c r="AB19" s="232" t="n">
        <f aca="false">AA19+Z19</f>
        <v>426289.647719165</v>
      </c>
    </row>
    <row r="20" customFormat="false" ht="12.75" hidden="false" customHeight="false" outlineLevel="0" collapsed="false">
      <c r="A20" s="220" t="n">
        <v>36982</v>
      </c>
      <c r="B20" s="221" t="n">
        <f aca="false">YEAR(A20)</f>
        <v>2001</v>
      </c>
      <c r="C20" s="164" t="n">
        <f aca="false">CALC!HH32</f>
        <v>34.4357229763197</v>
      </c>
      <c r="D20" s="222" t="n">
        <f aca="false">IF(Summary!$O$109=0,CALC!HE32,0)</f>
        <v>20274.69825</v>
      </c>
      <c r="E20" s="222" t="n">
        <f aca="false">SUM(CALC!GU32:HB32)*CALC!CY32/1000</f>
        <v>90892.8008788241</v>
      </c>
      <c r="F20" s="223" t="n">
        <f aca="false">Summary!$J$54</f>
        <v>0.15</v>
      </c>
      <c r="G20" s="164" t="n">
        <f aca="false">VLOOKUP(A20,CURVES!AW21:$BS$283,16)</f>
        <v>2.77621550494765</v>
      </c>
      <c r="H20" s="223" t="n">
        <f aca="false">Summary!$J$60</f>
        <v>0.04</v>
      </c>
      <c r="I20" s="165" t="n">
        <f aca="false">Summary!$J$55</f>
        <v>8.5</v>
      </c>
      <c r="J20" s="164" t="n">
        <f aca="false">I20*SUM(F20:H20)</f>
        <v>25.212831792055</v>
      </c>
      <c r="K20" s="223" t="n">
        <f aca="false">Summary!$J$56</f>
        <v>3.75</v>
      </c>
      <c r="L20" s="0" t="n">
        <f aca="false">Summary!$O$23</f>
        <v>3.75</v>
      </c>
      <c r="M20" s="223" t="n">
        <f aca="false">Summary!$J$57</f>
        <v>1.75</v>
      </c>
      <c r="N20" s="164" t="n">
        <f aca="false">IF(C20&gt;0,C20-J20,0)</f>
        <v>9.22289118426469</v>
      </c>
      <c r="O20" s="223" t="n">
        <f aca="false">IF(N20&gt;0,IF(N20-SUM(K20:M20)&gt;0,N20-SUM(K20:M20),0),0)</f>
        <v>0</v>
      </c>
      <c r="P20" s="223" t="n">
        <f aca="false">O20*D20</f>
        <v>0</v>
      </c>
      <c r="Q20" s="164" t="n">
        <f aca="false">IF(A20&lt;=Summary!$J$61,0.5*(P20),$Q$2*(P20))</f>
        <v>0</v>
      </c>
      <c r="R20" s="223" t="n">
        <f aca="false">Summary!$J$58</f>
        <v>0.5</v>
      </c>
      <c r="S20" s="223" t="n">
        <f aca="false">J20+(K20+L20+R20)</f>
        <v>33.212831792055</v>
      </c>
      <c r="T20" s="224" t="n">
        <f aca="false">IF(D20*(C20-S20)-Q20&gt;0,D20*(C20-S20)-Q20,0)</f>
        <v>24793.7497535516</v>
      </c>
      <c r="U20" s="225" t="n">
        <f aca="false">Summary!$J$59</f>
        <v>0.121048781448</v>
      </c>
      <c r="V20" s="224" t="n">
        <f aca="false">IF(A20&lt;=Summary!$J$61,(0.2*T20)+(R20*D20),(U20*T20)+(R20*D20))</f>
        <v>15096.0990757103</v>
      </c>
      <c r="W20" s="226" t="n">
        <f aca="false">C20*D20</f>
        <v>698173.892365473</v>
      </c>
      <c r="Y20" s="231" t="n">
        <v>2014</v>
      </c>
      <c r="Z20" s="232" t="n">
        <f aca="false">SUMIF($B$5:$B$281,Y20,$Q$5:$Q$281)</f>
        <v>0</v>
      </c>
      <c r="AA20" s="232" t="n">
        <f aca="false">SUMIF($B$5:$B$281,Y20,$V$5:$V$281)</f>
        <v>426393.183154104</v>
      </c>
      <c r="AB20" s="232" t="n">
        <f aca="false">AA20+Z20</f>
        <v>426393.183154104</v>
      </c>
    </row>
    <row r="21" customFormat="false" ht="12.75" hidden="false" customHeight="false" outlineLevel="0" collapsed="false">
      <c r="A21" s="220" t="n">
        <v>37012</v>
      </c>
      <c r="B21" s="221" t="n">
        <f aca="false">YEAR(A21)</f>
        <v>2001</v>
      </c>
      <c r="C21" s="164" t="n">
        <f aca="false">CALC!HH33</f>
        <v>36.2443943808366</v>
      </c>
      <c r="D21" s="222" t="n">
        <f aca="false">IF(Summary!$O$109=0,CALC!HE33,0)</f>
        <v>22276.5039</v>
      </c>
      <c r="E21" s="222" t="n">
        <f aca="false">SUM(CALC!GU33:HB33)*CALC!CY33/1000</f>
        <v>73523.2709205151</v>
      </c>
      <c r="F21" s="223" t="n">
        <f aca="false">Summary!$J$54</f>
        <v>0.15</v>
      </c>
      <c r="G21" s="164" t="n">
        <f aca="false">VLOOKUP(A21,CURVES!AW22:$BS$283,16)</f>
        <v>2.73491239251911</v>
      </c>
      <c r="H21" s="223" t="n">
        <f aca="false">Summary!$J$60</f>
        <v>0.04</v>
      </c>
      <c r="I21" s="165" t="n">
        <f aca="false">Summary!$J$55</f>
        <v>8.5</v>
      </c>
      <c r="J21" s="164" t="n">
        <f aca="false">I21*SUM(F21:H21)</f>
        <v>24.8617553364124</v>
      </c>
      <c r="K21" s="223" t="n">
        <f aca="false">Summary!$J$56</f>
        <v>3.75</v>
      </c>
      <c r="L21" s="0" t="n">
        <f aca="false">Summary!$O$23</f>
        <v>3.75</v>
      </c>
      <c r="M21" s="223" t="n">
        <f aca="false">Summary!$J$57</f>
        <v>1.75</v>
      </c>
      <c r="N21" s="164" t="n">
        <f aca="false">IF(C21&gt;0,C21-J21,0)</f>
        <v>11.3826390444241</v>
      </c>
      <c r="O21" s="223" t="n">
        <f aca="false">IF(N21&gt;0,IF(N21-SUM(K21:M21)&gt;0,N21-SUM(K21:M21),0),0)</f>
        <v>2.13263904442412</v>
      </c>
      <c r="P21" s="223" t="n">
        <f aca="false">O21*D21</f>
        <v>47507.7419904063</v>
      </c>
      <c r="Q21" s="164" t="n">
        <f aca="false">IF(A21&lt;=Summary!$J$61,0.5*(P21),$Q$2*(P21))</f>
        <v>0</v>
      </c>
      <c r="R21" s="223" t="n">
        <f aca="false">Summary!$J$58</f>
        <v>0.5</v>
      </c>
      <c r="S21" s="223" t="n">
        <f aca="false">J21+(K21+L21+R21)</f>
        <v>32.8617553364124</v>
      </c>
      <c r="T21" s="224" t="n">
        <f aca="false">IF(D21*(C21-S21)-Q21&gt;0,D21*(C21-S21)-Q21,0)</f>
        <v>75353.3718654063</v>
      </c>
      <c r="U21" s="225" t="n">
        <f aca="false">Summary!$J$59</f>
        <v>0.121048781448</v>
      </c>
      <c r="V21" s="224" t="n">
        <f aca="false">IF(A21&lt;=Summary!$J$61,(0.2*T21)+(R21*D21),(U21*T21)+(R21*D21))</f>
        <v>20259.6857923054</v>
      </c>
      <c r="W21" s="226" t="n">
        <f aca="false">C21*D21</f>
        <v>807398.392777844</v>
      </c>
      <c r="Y21" s="231" t="n">
        <v>2015</v>
      </c>
      <c r="Z21" s="232" t="n">
        <f aca="false">SUMIF($B$5:$B$281,Y21,$Q$5:$Q$281)</f>
        <v>0</v>
      </c>
      <c r="AA21" s="232" t="n">
        <f aca="false">SUMIF($B$5:$B$281,Y21,$V$5:$V$281)</f>
        <v>467982.003525324</v>
      </c>
      <c r="AB21" s="232" t="n">
        <f aca="false">AA21+Z21</f>
        <v>467982.003525324</v>
      </c>
    </row>
    <row r="22" customFormat="false" ht="12.75" hidden="false" customHeight="false" outlineLevel="0" collapsed="false">
      <c r="A22" s="220" t="n">
        <v>37043</v>
      </c>
      <c r="B22" s="221" t="n">
        <f aca="false">YEAR(A22)</f>
        <v>2001</v>
      </c>
      <c r="C22" s="164" t="n">
        <f aca="false">CALC!HH34</f>
        <v>31.4210269786105</v>
      </c>
      <c r="D22" s="222" t="n">
        <f aca="false">IF(Summary!$O$109=0,CALC!HE34,0)</f>
        <v>21557.907</v>
      </c>
      <c r="E22" s="222" t="n">
        <f aca="false">SUM(CALC!GU34:HB34)*CALC!CY34/1000</f>
        <v>71169.6086674992</v>
      </c>
      <c r="F22" s="223" t="n">
        <f aca="false">Summary!$J$54</f>
        <v>0.15</v>
      </c>
      <c r="G22" s="164" t="n">
        <f aca="false">VLOOKUP(A22,CURVES!AW23:$BS$283,16)</f>
        <v>2.74155284030319</v>
      </c>
      <c r="H22" s="223" t="n">
        <f aca="false">Summary!$J$60</f>
        <v>0.04</v>
      </c>
      <c r="I22" s="165" t="n">
        <f aca="false">Summary!$J$55</f>
        <v>8.5</v>
      </c>
      <c r="J22" s="164" t="n">
        <f aca="false">I22*SUM(F22:H22)</f>
        <v>24.9181991425771</v>
      </c>
      <c r="K22" s="223" t="n">
        <f aca="false">Summary!$J$56</f>
        <v>3.75</v>
      </c>
      <c r="L22" s="0" t="n">
        <f aca="false">Summary!$O$23</f>
        <v>3.75</v>
      </c>
      <c r="M22" s="223" t="n">
        <f aca="false">Summary!$J$57</f>
        <v>1.75</v>
      </c>
      <c r="N22" s="164" t="n">
        <f aca="false">IF(C22&gt;0,C22-J22,0)</f>
        <v>6.5028278360334</v>
      </c>
      <c r="O22" s="223" t="n">
        <f aca="false">IF(N22&gt;0,IF(N22-SUM(K22:M22)&gt;0,N22-SUM(K22:M22),0),0)</f>
        <v>0</v>
      </c>
      <c r="P22" s="223" t="n">
        <f aca="false">O22*D22</f>
        <v>0</v>
      </c>
      <c r="Q22" s="164" t="n">
        <f aca="false">IF(A22&lt;=Summary!$J$61,0.5*(P22),$Q$2*(P22))</f>
        <v>0</v>
      </c>
      <c r="R22" s="223" t="n">
        <f aca="false">Summary!$J$58</f>
        <v>0.5</v>
      </c>
      <c r="S22" s="223" t="n">
        <f aca="false">J22+(K22+L22+R22)</f>
        <v>32.9181991425771</v>
      </c>
      <c r="T22" s="224" t="n">
        <f aca="false">IF(D22*(C22-S22)-Q22&gt;0,D22*(C22-S22)-Q22,0)</f>
        <v>0</v>
      </c>
      <c r="U22" s="225" t="n">
        <f aca="false">Summary!$J$59</f>
        <v>0.121048781448</v>
      </c>
      <c r="V22" s="224" t="n">
        <f aca="false">IF(A22&lt;=Summary!$J$61,(0.2*T22)+(R22*D22),(U22*T22)+(R22*D22))</f>
        <v>10778.9535</v>
      </c>
      <c r="W22" s="226" t="n">
        <f aca="false">C22*D22</f>
        <v>677371.577449377</v>
      </c>
      <c r="Y22" s="231" t="n">
        <v>2016</v>
      </c>
      <c r="Z22" s="232" t="n">
        <f aca="false">SUMIF($B$5:$B$281,Y22,$Q$5:$Q$281)</f>
        <v>0</v>
      </c>
      <c r="AA22" s="232" t="n">
        <f aca="false">SUMIF($B$5:$B$281,Y22,$V$5:$V$281)</f>
        <v>492197.658174097</v>
      </c>
      <c r="AB22" s="232" t="n">
        <f aca="false">AA22+Z22</f>
        <v>492197.658174097</v>
      </c>
    </row>
    <row r="23" customFormat="false" ht="12.75" hidden="false" customHeight="false" outlineLevel="0" collapsed="false">
      <c r="A23" s="220" t="n">
        <v>37073</v>
      </c>
      <c r="B23" s="221" t="n">
        <f aca="false">YEAR(A23)</f>
        <v>2001</v>
      </c>
      <c r="C23" s="164" t="n">
        <f aca="false">CALC!HH35</f>
        <v>44.4317801119591</v>
      </c>
      <c r="D23" s="222" t="n">
        <f aca="false">IF(Summary!$O$109=0,CALC!HE35,0)</f>
        <v>22276.5039</v>
      </c>
      <c r="E23" s="222" t="n">
        <f aca="false">SUM(CALC!GU35:HB35)*CALC!CY35/1000</f>
        <v>73560.5869923167</v>
      </c>
      <c r="F23" s="223" t="n">
        <f aca="false">Summary!$J$54</f>
        <v>0.15</v>
      </c>
      <c r="G23" s="164" t="n">
        <f aca="false">VLOOKUP(A23,CURVES!AW24:$BS$283,16)</f>
        <v>2.75827536043266</v>
      </c>
      <c r="H23" s="223" t="n">
        <f aca="false">Summary!$J$60</f>
        <v>0.04</v>
      </c>
      <c r="I23" s="165" t="n">
        <f aca="false">Summary!$J$55</f>
        <v>8.5</v>
      </c>
      <c r="J23" s="164" t="n">
        <f aca="false">I23*SUM(F23:H23)</f>
        <v>25.0603405636776</v>
      </c>
      <c r="K23" s="223" t="n">
        <f aca="false">Summary!$J$56</f>
        <v>3.75</v>
      </c>
      <c r="L23" s="0" t="n">
        <f aca="false">Summary!$O$23</f>
        <v>3.75</v>
      </c>
      <c r="M23" s="223" t="n">
        <f aca="false">Summary!$J$57</f>
        <v>1.75</v>
      </c>
      <c r="N23" s="164" t="n">
        <f aca="false">IF(C23&gt;0,C23-J23,0)</f>
        <v>19.3714395482815</v>
      </c>
      <c r="O23" s="223" t="n">
        <f aca="false">IF(N23&gt;0,IF(N23-SUM(K23:M23)&gt;0,N23-SUM(K23:M23),0),0)</f>
        <v>10.1214395482815</v>
      </c>
      <c r="P23" s="223" t="n">
        <f aca="false">O23*D23</f>
        <v>225470.287570906</v>
      </c>
      <c r="Q23" s="164" t="n">
        <f aca="false">IF(A23&lt;=Summary!$J$61,0.5*(P23),$Q$2*(P23))</f>
        <v>0</v>
      </c>
      <c r="R23" s="223" t="n">
        <f aca="false">Summary!$J$58</f>
        <v>0.5</v>
      </c>
      <c r="S23" s="223" t="n">
        <f aca="false">J23+(K23+L23+R23)</f>
        <v>33.0603405636776</v>
      </c>
      <c r="T23" s="224" t="n">
        <f aca="false">IF(D23*(C23-S23)-Q23&gt;0,D23*(C23-S23)-Q23,0)</f>
        <v>253315.917445906</v>
      </c>
      <c r="U23" s="225" t="n">
        <f aca="false">Summary!$J$59</f>
        <v>0.121048781448</v>
      </c>
      <c r="V23" s="224" t="n">
        <f aca="false">IF(A23&lt;=Summary!$J$61,(0.2*T23)+(R23*D23),(U23*T23)+(R23*D23))</f>
        <v>41801.8350782091</v>
      </c>
      <c r="W23" s="226" t="n">
        <f aca="false">C23*D23</f>
        <v>989784.722947999</v>
      </c>
      <c r="Y23" s="231" t="n">
        <v>2017</v>
      </c>
      <c r="Z23" s="232" t="n">
        <f aca="false">SUMIF($B$5:$B$281,Y23,$Q$5:$Q$281)</f>
        <v>0</v>
      </c>
      <c r="AA23" s="232" t="n">
        <f aca="false">SUMIF($B$5:$B$281,Y23,$V$5:$V$281)</f>
        <v>487526.194147145</v>
      </c>
      <c r="AB23" s="232" t="n">
        <f aca="false">AA23+Z23</f>
        <v>487526.194147145</v>
      </c>
    </row>
    <row r="24" customFormat="false" ht="12.75" hidden="false" customHeight="false" outlineLevel="0" collapsed="false">
      <c r="A24" s="220" t="n">
        <v>37104</v>
      </c>
      <c r="B24" s="221" t="n">
        <f aca="false">YEAR(A24)</f>
        <v>2001</v>
      </c>
      <c r="C24" s="164" t="n">
        <f aca="false">CALC!HH36</f>
        <v>75.9015395962251</v>
      </c>
      <c r="D24" s="222" t="n">
        <f aca="false">IF(Summary!$O$109=0,CALC!HE36,0)</f>
        <v>22276.5039</v>
      </c>
      <c r="E24" s="222" t="n">
        <f aca="false">SUM(CALC!GU36:HB36)*CALC!CY36/1000</f>
        <v>73579.2450282174</v>
      </c>
      <c r="F24" s="223" t="n">
        <f aca="false">Summary!$J$54</f>
        <v>0.15</v>
      </c>
      <c r="G24" s="164" t="n">
        <f aca="false">VLOOKUP(A24,CURVES!AW25:$BS$283,16)</f>
        <v>2.77110205597423</v>
      </c>
      <c r="H24" s="223" t="n">
        <f aca="false">Summary!$J$60</f>
        <v>0.04</v>
      </c>
      <c r="I24" s="165" t="n">
        <f aca="false">Summary!$J$55</f>
        <v>8.5</v>
      </c>
      <c r="J24" s="164" t="n">
        <f aca="false">I24*SUM(F24:H24)</f>
        <v>25.1693674757809</v>
      </c>
      <c r="K24" s="223" t="n">
        <f aca="false">Summary!$J$56</f>
        <v>3.75</v>
      </c>
      <c r="L24" s="0" t="n">
        <f aca="false">Summary!$O$23</f>
        <v>3.75</v>
      </c>
      <c r="M24" s="223" t="n">
        <f aca="false">Summary!$J$57</f>
        <v>1.75</v>
      </c>
      <c r="N24" s="164" t="n">
        <f aca="false">IF(C24&gt;0,C24-J24,0)</f>
        <v>50.7321721204442</v>
      </c>
      <c r="O24" s="223" t="n">
        <f aca="false">IF(N24&gt;0,IF(N24-SUM(K24:M24)&gt;0,N24-SUM(K24:M24),0),0)</f>
        <v>41.4821721204442</v>
      </c>
      <c r="P24" s="223" t="n">
        <f aca="false">O24*D24</f>
        <v>924077.769021546</v>
      </c>
      <c r="Q24" s="164" t="n">
        <f aca="false">IF(A24&lt;=Summary!$J$61,0.5*(P24),$Q$2*(P24))</f>
        <v>0</v>
      </c>
      <c r="R24" s="223" t="n">
        <f aca="false">Summary!$J$58</f>
        <v>0.5</v>
      </c>
      <c r="S24" s="223" t="n">
        <f aca="false">J24+(K24+L24+R24)</f>
        <v>33.1693674757809</v>
      </c>
      <c r="T24" s="224" t="n">
        <f aca="false">IF(D24*(C24-S24)-Q24&gt;0,D24*(C24-S24)-Q24,0)</f>
        <v>951923.398896546</v>
      </c>
      <c r="U24" s="225" t="n">
        <f aca="false">Summary!$J$59</f>
        <v>0.121048781448</v>
      </c>
      <c r="V24" s="224" t="n">
        <f aca="false">IF(A24&lt;=Summary!$J$61,(0.2*T24)+(R24*D24),(U24*T24)+(R24*D24))</f>
        <v>126367.419418265</v>
      </c>
      <c r="W24" s="226" t="n">
        <f aca="false">C24*D24</f>
        <v>1690820.94283131</v>
      </c>
      <c r="Y24" s="231" t="n">
        <v>2018</v>
      </c>
      <c r="Z24" s="232" t="n">
        <f aca="false">SUMIF($B$5:$B$281,Y24,$Q$5:$Q$281)</f>
        <v>0</v>
      </c>
      <c r="AA24" s="232" t="n">
        <f aca="false">SUMIF($B$5:$B$281,Y24,$V$5:$V$281)</f>
        <v>469970.624450458</v>
      </c>
      <c r="AB24" s="232" t="n">
        <f aca="false">AA24+Z24</f>
        <v>469970.624450458</v>
      </c>
    </row>
    <row r="25" customFormat="false" ht="12.75" hidden="false" customHeight="false" outlineLevel="0" collapsed="false">
      <c r="A25" s="220" t="n">
        <v>37135</v>
      </c>
      <c r="B25" s="221" t="n">
        <f aca="false">YEAR(A25)</f>
        <v>2001</v>
      </c>
      <c r="C25" s="164" t="n">
        <f aca="false">CALC!HH37</f>
        <v>60.6795619526182</v>
      </c>
      <c r="D25" s="222" t="n">
        <f aca="false">IF(Summary!$O$109=0,CALC!HE37,0)</f>
        <v>21557.907</v>
      </c>
      <c r="E25" s="222" t="n">
        <f aca="false">SUM(CALC!GU37:HB37)*CALC!CY37/1000</f>
        <v>71223.7771588241</v>
      </c>
      <c r="F25" s="223" t="n">
        <f aca="false">Summary!$J$54</f>
        <v>0.15</v>
      </c>
      <c r="G25" s="164" t="n">
        <f aca="false">VLOOKUP(A25,CURVES!AW26:$BS$283,16)</f>
        <v>2.78396409912876</v>
      </c>
      <c r="H25" s="223" t="n">
        <f aca="false">Summary!$J$60</f>
        <v>0.04</v>
      </c>
      <c r="I25" s="165" t="n">
        <f aca="false">Summary!$J$55</f>
        <v>8.5</v>
      </c>
      <c r="J25" s="164" t="n">
        <f aca="false">I25*SUM(F25:H25)</f>
        <v>25.2786948425945</v>
      </c>
      <c r="K25" s="223" t="n">
        <f aca="false">Summary!$J$56</f>
        <v>3.75</v>
      </c>
      <c r="L25" s="0" t="n">
        <f aca="false">Summary!$O$23</f>
        <v>3.75</v>
      </c>
      <c r="M25" s="223" t="n">
        <f aca="false">Summary!$J$57</f>
        <v>1.75</v>
      </c>
      <c r="N25" s="164" t="n">
        <f aca="false">IF(C25&gt;0,C25-J25,0)</f>
        <v>35.4008671100237</v>
      </c>
      <c r="O25" s="223" t="n">
        <f aca="false">IF(N25&gt;0,IF(N25-SUM(K25:M25)&gt;0,N25-SUM(K25:M25),0),0)</f>
        <v>26.1508671100237</v>
      </c>
      <c r="P25" s="223" t="n">
        <f aca="false">O25*D25</f>
        <v>563757.96112725</v>
      </c>
      <c r="Q25" s="164" t="n">
        <f aca="false">IF(A25&lt;=Summary!$J$61,0.5*(P25),$Q$2*(P25))</f>
        <v>0</v>
      </c>
      <c r="R25" s="223" t="n">
        <f aca="false">Summary!$J$58</f>
        <v>0.5</v>
      </c>
      <c r="S25" s="223" t="n">
        <f aca="false">J25+(K25+L25+R25)</f>
        <v>33.2786948425945</v>
      </c>
      <c r="T25" s="224" t="n">
        <f aca="false">IF(D25*(C25-S25)-Q25&gt;0,D25*(C25-S25)-Q25,0)</f>
        <v>590705.344877249</v>
      </c>
      <c r="U25" s="225" t="n">
        <f aca="false">Summary!$J$59</f>
        <v>0.121048781448</v>
      </c>
      <c r="V25" s="224" t="n">
        <f aca="false">IF(A25&lt;=Summary!$J$61,(0.2*T25)+(R25*D25),(U25*T25)+(R25*D25))</f>
        <v>82283.1156922116</v>
      </c>
      <c r="W25" s="226" t="n">
        <f aca="false">C25*D25</f>
        <v>1308124.35337528</v>
      </c>
      <c r="Y25" s="231" t="n">
        <v>2019</v>
      </c>
      <c r="Z25" s="232" t="n">
        <f aca="false">SUMIF($B$5:$B$281,Y25,$Q$5:$Q$281)</f>
        <v>0</v>
      </c>
      <c r="AA25" s="232" t="n">
        <f aca="false">SUMIF($B$5:$B$281,Y25,$V$5:$V$281)</f>
        <v>513820.199543183</v>
      </c>
      <c r="AB25" s="232" t="n">
        <f aca="false">AA25+Z25</f>
        <v>513820.199543183</v>
      </c>
    </row>
    <row r="26" customFormat="false" ht="12.75" hidden="false" customHeight="false" outlineLevel="0" collapsed="false">
      <c r="A26" s="220" t="n">
        <v>37165</v>
      </c>
      <c r="B26" s="221" t="n">
        <f aca="false">YEAR(A26)</f>
        <v>2001</v>
      </c>
      <c r="C26" s="164" t="n">
        <f aca="false">CALC!HH38</f>
        <v>48.3580414512987</v>
      </c>
      <c r="D26" s="222" t="n">
        <f aca="false">IF(Summary!$O$109=0,CALC!HE38,0)</f>
        <v>20950.521525</v>
      </c>
      <c r="E26" s="222" t="n">
        <f aca="false">SUM(CALC!GU38:HB38)*CALC!CY38/1000</f>
        <v>94065.6058500243</v>
      </c>
      <c r="F26" s="223" t="n">
        <f aca="false">Summary!$J$54</f>
        <v>0.15</v>
      </c>
      <c r="G26" s="164" t="n">
        <f aca="false">VLOOKUP(A26,CURVES!AW27:$BS$283,16)</f>
        <v>2.88508723675694</v>
      </c>
      <c r="H26" s="223" t="n">
        <f aca="false">Summary!$J$60</f>
        <v>0.04</v>
      </c>
      <c r="I26" s="165" t="n">
        <f aca="false">Summary!$J$55</f>
        <v>8.5</v>
      </c>
      <c r="J26" s="164" t="n">
        <f aca="false">I26*SUM(F26:H26)</f>
        <v>26.138241512434</v>
      </c>
      <c r="K26" s="223" t="n">
        <f aca="false">Summary!$J$56</f>
        <v>3.75</v>
      </c>
      <c r="L26" s="0" t="n">
        <f aca="false">Summary!$O$23</f>
        <v>3.75</v>
      </c>
      <c r="M26" s="223" t="n">
        <f aca="false">Summary!$J$57</f>
        <v>1.75</v>
      </c>
      <c r="N26" s="164" t="n">
        <f aca="false">IF(C26&gt;0,C26-J26,0)</f>
        <v>22.2197999388647</v>
      </c>
      <c r="O26" s="223" t="n">
        <f aca="false">IF(N26&gt;0,IF(N26-SUM(K26:M26)&gt;0,N26-SUM(K26:M26),0),0)</f>
        <v>12.9697999388647</v>
      </c>
      <c r="P26" s="223" t="n">
        <f aca="false">O26*D26</f>
        <v>271724.072794129</v>
      </c>
      <c r="Q26" s="164" t="n">
        <f aca="false">IF(A26&lt;=Summary!$J$61,0.5*(P26),$Q$2*(P26))</f>
        <v>0</v>
      </c>
      <c r="R26" s="223" t="n">
        <f aca="false">Summary!$J$58</f>
        <v>0.5</v>
      </c>
      <c r="S26" s="223" t="n">
        <f aca="false">J26+(K26+L26+R26)</f>
        <v>34.138241512434</v>
      </c>
      <c r="T26" s="224" t="n">
        <f aca="false">IF(D26*(C26-S26)-Q26&gt;0,D26*(C26-S26)-Q26,0)</f>
        <v>297912.224700379</v>
      </c>
      <c r="U26" s="225" t="n">
        <f aca="false">Summary!$J$59</f>
        <v>0.121048781448</v>
      </c>
      <c r="V26" s="224" t="n">
        <f aca="false">IF(A26&lt;=Summary!$J$61,(0.2*T26)+(R26*D26),(U26*T26)+(R26*D26))</f>
        <v>46537.1725409436</v>
      </c>
      <c r="W26" s="226" t="n">
        <f aca="false">C26*D26</f>
        <v>1013126.18833228</v>
      </c>
      <c r="Y26" s="231" t="n">
        <v>2020</v>
      </c>
      <c r="Z26" s="232" t="n">
        <f aca="false">SUMIF($B$5:$B$281,Y26,$Q$5:$Q$281)</f>
        <v>0</v>
      </c>
      <c r="AA26" s="232" t="n">
        <f aca="false">SUMIF($B$5:$B$281,Y26,$V$5:$V$281)</f>
        <v>490194.30018616</v>
      </c>
      <c r="AB26" s="232" t="n">
        <f aca="false">AA26+Z26</f>
        <v>490194.30018616</v>
      </c>
    </row>
    <row r="27" customFormat="false" ht="12.75" hidden="false" customHeight="false" outlineLevel="0" collapsed="false">
      <c r="A27" s="220" t="n">
        <v>37196</v>
      </c>
      <c r="B27" s="221" t="n">
        <f aca="false">YEAR(A27)</f>
        <v>2001</v>
      </c>
      <c r="C27" s="164" t="n">
        <f aca="false">CALC!HH39</f>
        <v>41.5715016126314</v>
      </c>
      <c r="D27" s="222" t="n">
        <f aca="false">IF(Summary!$O$109=0,CALC!HE39,0)</f>
        <v>20274.69825</v>
      </c>
      <c r="E27" s="222" t="n">
        <f aca="false">SUM(CALC!GU39:HB39)*CALC!CY39/1000</f>
        <v>91054.303232589</v>
      </c>
      <c r="F27" s="223" t="n">
        <f aca="false">Summary!$J$54</f>
        <v>0.15</v>
      </c>
      <c r="G27" s="164" t="n">
        <f aca="false">VLOOKUP(A27,CURVES!AW28:$BS$283,16)</f>
        <v>2.9846138421767</v>
      </c>
      <c r="H27" s="223" t="n">
        <f aca="false">Summary!$J$60</f>
        <v>0.04</v>
      </c>
      <c r="I27" s="165" t="n">
        <f aca="false">Summary!$J$55</f>
        <v>8.5</v>
      </c>
      <c r="J27" s="164" t="n">
        <f aca="false">I27*SUM(F27:H27)</f>
        <v>26.9842176585019</v>
      </c>
      <c r="K27" s="223" t="n">
        <f aca="false">Summary!$J$56</f>
        <v>3.75</v>
      </c>
      <c r="L27" s="0" t="n">
        <f aca="false">Summary!$O$23</f>
        <v>3.75</v>
      </c>
      <c r="M27" s="223" t="n">
        <f aca="false">Summary!$J$57</f>
        <v>1.75</v>
      </c>
      <c r="N27" s="164" t="n">
        <f aca="false">IF(C27&gt;0,C27-J27,0)</f>
        <v>14.5872839541294</v>
      </c>
      <c r="O27" s="223" t="n">
        <f aca="false">IF(N27&gt;0,IF(N27-SUM(K27:M27)&gt;0,N27-SUM(K27:M27),0),0)</f>
        <v>5.33728395412942</v>
      </c>
      <c r="P27" s="223" t="n">
        <f aca="false">O27*D27</f>
        <v>108211.821644541</v>
      </c>
      <c r="Q27" s="164" t="n">
        <f aca="false">IF(A27&lt;=Summary!$J$61,0.5*(P27),$Q$2*(P27))</f>
        <v>0</v>
      </c>
      <c r="R27" s="223" t="n">
        <f aca="false">Summary!$J$58</f>
        <v>0.5</v>
      </c>
      <c r="S27" s="223" t="n">
        <f aca="false">J27+(K27+L27+R27)</f>
        <v>34.9842176585019</v>
      </c>
      <c r="T27" s="224" t="n">
        <f aca="false">IF(D27*(C27-S27)-Q27&gt;0,D27*(C27-S27)-Q27,0)</f>
        <v>133555.194457041</v>
      </c>
      <c r="U27" s="225" t="n">
        <f aca="false">Summary!$J$59</f>
        <v>0.121048781448</v>
      </c>
      <c r="V27" s="224" t="n">
        <f aca="false">IF(A27&lt;=Summary!$J$61,(0.2*T27)+(R27*D27),(U27*T27)+(R27*D27))</f>
        <v>26304.0426700755</v>
      </c>
      <c r="W27" s="226" t="n">
        <f aca="false">C27*D27</f>
        <v>842849.650995489</v>
      </c>
      <c r="Y27" s="231" t="n">
        <v>2021</v>
      </c>
      <c r="Z27" s="232" t="n">
        <f aca="false">SUMIF($B$5:$B$281,Y27,$Q$5:$Q$281)</f>
        <v>0</v>
      </c>
      <c r="AA27" s="232" t="n">
        <f aca="false">SUMIF($B$5:$B$281,Y27,$V$5:$V$281)</f>
        <v>515311.754853554</v>
      </c>
      <c r="AB27" s="232" t="n">
        <f aca="false">AA27+Z27</f>
        <v>515311.754853554</v>
      </c>
    </row>
    <row r="28" customFormat="false" ht="12.75" hidden="false" customHeight="false" outlineLevel="0" collapsed="false">
      <c r="A28" s="220" t="n">
        <v>37226</v>
      </c>
      <c r="B28" s="221" t="n">
        <f aca="false">YEAR(A28)</f>
        <v>2001</v>
      </c>
      <c r="C28" s="164" t="n">
        <f aca="false">CALC!HH40</f>
        <v>41.1712151309158</v>
      </c>
      <c r="D28" s="222" t="n">
        <f aca="false">IF(Summary!$O$109=0,CALC!HE40,0)</f>
        <v>20950.521525</v>
      </c>
      <c r="E28" s="222" t="n">
        <f aca="false">SUM(CALC!GU40:HB40)*CALC!CY40/1000</f>
        <v>94113.2874973263</v>
      </c>
      <c r="F28" s="223" t="n">
        <f aca="false">Summary!$J$54</f>
        <v>0.15</v>
      </c>
      <c r="G28" s="164" t="n">
        <f aca="false">VLOOKUP(A28,CURVES!AW29:$BS$283,16)</f>
        <v>3.0903582625892</v>
      </c>
      <c r="H28" s="223" t="n">
        <f aca="false">Summary!$J$60</f>
        <v>0.04</v>
      </c>
      <c r="I28" s="165" t="n">
        <f aca="false">Summary!$J$55</f>
        <v>8.5</v>
      </c>
      <c r="J28" s="164" t="n">
        <f aca="false">I28*SUM(F28:H28)</f>
        <v>27.8830452320082</v>
      </c>
      <c r="K28" s="223" t="n">
        <f aca="false">Summary!$J$56</f>
        <v>3.75</v>
      </c>
      <c r="L28" s="0" t="n">
        <f aca="false">Summary!$O$23</f>
        <v>3.75</v>
      </c>
      <c r="M28" s="223" t="n">
        <f aca="false">Summary!$J$57</f>
        <v>1.75</v>
      </c>
      <c r="N28" s="164" t="n">
        <f aca="false">IF(C28&gt;0,C28-J28,0)</f>
        <v>13.2881698989075</v>
      </c>
      <c r="O28" s="223" t="n">
        <f aca="false">IF(N28&gt;0,IF(N28-SUM(K28:M28)&gt;0,N28-SUM(K28:M28),0),0)</f>
        <v>4.03816989890755</v>
      </c>
      <c r="P28" s="223" t="n">
        <f aca="false">O28*D28</f>
        <v>84601.7653886697</v>
      </c>
      <c r="Q28" s="164" t="n">
        <f aca="false">IF(A28&lt;=Summary!$J$61,0.5*(P28),$Q$2*(P28))</f>
        <v>0</v>
      </c>
      <c r="R28" s="223" t="n">
        <f aca="false">Summary!$J$58</f>
        <v>0.5</v>
      </c>
      <c r="S28" s="223" t="n">
        <f aca="false">J28+(K28+L28+R28)</f>
        <v>35.8830452320082</v>
      </c>
      <c r="T28" s="224" t="n">
        <f aca="false">IF(D28*(C28-S28)-Q28&gt;0,D28*(C28-S28)-Q28,0)</f>
        <v>110789.91729492</v>
      </c>
      <c r="U28" s="225" t="n">
        <f aca="false">Summary!$J$59</f>
        <v>0.121048781448</v>
      </c>
      <c r="V28" s="224" t="n">
        <f aca="false">IF(A28&lt;=Summary!$J$61,(0.2*T28)+(R28*D28),(U28*T28)+(R28*D28))</f>
        <v>23886.2452477747</v>
      </c>
      <c r="W28" s="226" t="n">
        <f aca="false">C28*D28</f>
        <v>862558.428810657</v>
      </c>
      <c r="Y28" s="231" t="n">
        <v>2022</v>
      </c>
      <c r="Z28" s="232" t="n">
        <f aca="false">SUMIF($B$5:$B$281,Y28,$Q$5:$Q$281)</f>
        <v>0</v>
      </c>
      <c r="AA28" s="232" t="n">
        <f aca="false">SUMIF($B$5:$B$281,Y28,$V$5:$V$281)</f>
        <v>91803.0673250204</v>
      </c>
      <c r="AB28" s="232" t="n">
        <f aca="false">AA28+Z28</f>
        <v>91803.0673250204</v>
      </c>
    </row>
    <row r="29" customFormat="false" ht="12.75" hidden="false" customHeight="false" outlineLevel="0" collapsed="false">
      <c r="A29" s="220" t="n">
        <v>37257</v>
      </c>
      <c r="B29" s="221" t="n">
        <f aca="false">YEAR(A29)</f>
        <v>2002</v>
      </c>
      <c r="C29" s="164" t="n">
        <f aca="false">CALC!HH41</f>
        <v>39.5295624371693</v>
      </c>
      <c r="D29" s="222" t="n">
        <f aca="false">IF(Summary!$O$109=0,CALC!HE41,0)</f>
        <v>20950.521525</v>
      </c>
      <c r="E29" s="222" t="n">
        <f aca="false">SUM(CALC!GU41:HB41)*CALC!CY41/1000</f>
        <v>94137.1283209773</v>
      </c>
      <c r="F29" s="223" t="n">
        <f aca="false">Summary!$J$54</f>
        <v>0.15</v>
      </c>
      <c r="G29" s="164" t="n">
        <f aca="false">VLOOKUP(A29,CURVES!AW30:$BS$283,16)</f>
        <v>2.96505117330743</v>
      </c>
      <c r="H29" s="223" t="n">
        <f aca="false">Summary!$J$60</f>
        <v>0.04</v>
      </c>
      <c r="I29" s="165" t="n">
        <f aca="false">Summary!$J$55</f>
        <v>8.5</v>
      </c>
      <c r="J29" s="164" t="n">
        <f aca="false">I29*SUM(F29:H29)</f>
        <v>26.8179349731131</v>
      </c>
      <c r="K29" s="223" t="n">
        <f aca="false">Summary!$J$56</f>
        <v>3.75</v>
      </c>
      <c r="L29" s="0" t="n">
        <f aca="false">Summary!$O$23</f>
        <v>3.75</v>
      </c>
      <c r="M29" s="223" t="n">
        <f aca="false">Summary!$J$57</f>
        <v>1.75</v>
      </c>
      <c r="N29" s="164" t="n">
        <f aca="false">IF(C29&gt;0,C29-J29,0)</f>
        <v>12.7116274640562</v>
      </c>
      <c r="O29" s="223" t="n">
        <f aca="false">IF(N29&gt;0,IF(N29-SUM(K29:M29)&gt;0,N29-SUM(K29:M29),0),0)</f>
        <v>3.4616274640562</v>
      </c>
      <c r="P29" s="223" t="n">
        <f aca="false">O29*D29</f>
        <v>72522.9006972406</v>
      </c>
      <c r="Q29" s="164" t="n">
        <f aca="false">IF(A29&lt;=Summary!$J$61,0.5*(P29),$Q$2*(P29))</f>
        <v>0</v>
      </c>
      <c r="R29" s="223" t="n">
        <f aca="false">Summary!$J$58</f>
        <v>0.5</v>
      </c>
      <c r="S29" s="223" t="n">
        <f aca="false">J29+(K29+L29+R29)</f>
        <v>34.8179349731131</v>
      </c>
      <c r="T29" s="224" t="n">
        <f aca="false">IF(D29*(C29-S29)-Q29&gt;0,D29*(C29-S29)-Q29,0)</f>
        <v>98711.0526034906</v>
      </c>
      <c r="U29" s="225" t="n">
        <f aca="false">Summary!$J$59</f>
        <v>0.121048781448</v>
      </c>
      <c r="V29" s="224" t="n">
        <f aca="false">IF(A29&lt;=Summary!$J$61,(0.2*T29)+(R29*D29),(U29*T29)+(R29*D29))</f>
        <v>22424.113395602</v>
      </c>
      <c r="W29" s="226" t="n">
        <f aca="false">C29*D29</f>
        <v>828164.948713748</v>
      </c>
      <c r="Y29" s="231" t="n">
        <v>2023</v>
      </c>
      <c r="Z29" s="232" t="n">
        <f aca="false">SUMIF($B$5:$B$281,Y29,$Q$5:$Q$281)</f>
        <v>0</v>
      </c>
      <c r="AA29" s="232" t="n">
        <f aca="false">SUMIF($B$5:$B$281,Y29,$V$5:$V$281)</f>
        <v>0</v>
      </c>
      <c r="AB29" s="232" t="n">
        <f aca="false">AA29+Z29</f>
        <v>0</v>
      </c>
    </row>
    <row r="30" customFormat="false" ht="13.5" hidden="false" customHeight="false" outlineLevel="0" collapsed="false">
      <c r="A30" s="220" t="n">
        <v>37288</v>
      </c>
      <c r="B30" s="221" t="n">
        <f aca="false">YEAR(A30)</f>
        <v>2002</v>
      </c>
      <c r="C30" s="164" t="n">
        <f aca="false">CALC!HH42</f>
        <v>32.9532812992611</v>
      </c>
      <c r="D30" s="222" t="n">
        <f aca="false">IF(Summary!$O$109=0,CALC!HE42,0)</f>
        <v>18923.0517</v>
      </c>
      <c r="E30" s="222" t="n">
        <f aca="false">SUM(CALC!GU42:HB42)*CALC!CY42/1000</f>
        <v>85048.6172919224</v>
      </c>
      <c r="F30" s="223" t="n">
        <f aca="false">Summary!$J$54</f>
        <v>0.15</v>
      </c>
      <c r="G30" s="164" t="n">
        <f aca="false">VLOOKUP(A30,CURVES!AW31:$BS$283,16)</f>
        <v>2.74160058035552</v>
      </c>
      <c r="H30" s="223" t="n">
        <f aca="false">Summary!$J$60</f>
        <v>0.04</v>
      </c>
      <c r="I30" s="165" t="n">
        <f aca="false">Summary!$J$55</f>
        <v>8.5</v>
      </c>
      <c r="J30" s="164" t="n">
        <f aca="false">I30*SUM(F30:H30)</f>
        <v>24.9186049330219</v>
      </c>
      <c r="K30" s="223" t="n">
        <f aca="false">Summary!$J$56</f>
        <v>3.75</v>
      </c>
      <c r="L30" s="0" t="n">
        <f aca="false">Summary!$O$23</f>
        <v>3.75</v>
      </c>
      <c r="M30" s="223" t="n">
        <f aca="false">Summary!$J$57</f>
        <v>1.75</v>
      </c>
      <c r="N30" s="164" t="n">
        <f aca="false">IF(C30&gt;0,C30-J30,0)</f>
        <v>8.03467636623919</v>
      </c>
      <c r="O30" s="223" t="n">
        <f aca="false">IF(N30&gt;0,IF(N30-SUM(K30:M30)&gt;0,N30-SUM(K30:M30),0),0)</f>
        <v>0</v>
      </c>
      <c r="P30" s="223" t="n">
        <f aca="false">O30*D30</f>
        <v>0</v>
      </c>
      <c r="Q30" s="164" t="n">
        <f aca="false">IF(A30&lt;=Summary!$J$61,0.5*(P30),$Q$2*(P30))</f>
        <v>0</v>
      </c>
      <c r="R30" s="223" t="n">
        <f aca="false">Summary!$J$58</f>
        <v>0.5</v>
      </c>
      <c r="S30" s="223" t="n">
        <f aca="false">J30+(K30+L30+R30)</f>
        <v>32.9186049330219</v>
      </c>
      <c r="T30" s="224" t="n">
        <f aca="false">IF(D30*(C30-S30)-Q30&gt;0,D30*(C30-S30)-Q30,0)</f>
        <v>656.182671112314</v>
      </c>
      <c r="U30" s="225" t="n">
        <f aca="false">Summary!$J$59</f>
        <v>0.121048781448</v>
      </c>
      <c r="V30" s="224" t="n">
        <f aca="false">IF(A30&lt;=Summary!$J$61,(0.2*T30)+(R30*D30),(U30*T30)+(R30*D30))</f>
        <v>9540.95596274544</v>
      </c>
      <c r="W30" s="226" t="n">
        <f aca="false">C30*D30</f>
        <v>623576.645710561</v>
      </c>
      <c r="Y30" s="233" t="n">
        <v>2024</v>
      </c>
      <c r="Z30" s="234" t="n">
        <f aca="false">SUMIF($B$5:$B$281,Y30,$Q$5:$Q$281)</f>
        <v>0</v>
      </c>
      <c r="AA30" s="234" t="n">
        <f aca="false">SUMIF($B$5:$B$281,Y30,$V$5:$V$281)</f>
        <v>0</v>
      </c>
      <c r="AB30" s="234" t="n">
        <f aca="false">AA30+Z30</f>
        <v>0</v>
      </c>
    </row>
    <row r="31" customFormat="false" ht="12.75" hidden="false" customHeight="false" outlineLevel="0" collapsed="false">
      <c r="A31" s="220" t="n">
        <v>37316</v>
      </c>
      <c r="B31" s="221" t="n">
        <f aca="false">YEAR(A31)</f>
        <v>2002</v>
      </c>
      <c r="C31" s="164" t="n">
        <f aca="false">CALC!HH43</f>
        <v>29.3848223498553</v>
      </c>
      <c r="D31" s="222" t="n">
        <f aca="false">IF(Summary!$O$109=0,CALC!HE43,0)</f>
        <v>20950.521525</v>
      </c>
      <c r="E31" s="222" t="n">
        <f aca="false">SUM(CALC!GU43:HB43)*CALC!CY43/1000</f>
        <v>94184.8099682794</v>
      </c>
      <c r="F31" s="223" t="n">
        <f aca="false">Summary!$J$54</f>
        <v>0.15</v>
      </c>
      <c r="G31" s="164" t="n">
        <f aca="false">VLOOKUP(A31,CURVES!AW32:$BS$283,16)</f>
        <v>2.5922946557627</v>
      </c>
      <c r="H31" s="223" t="n">
        <f aca="false">Summary!$J$60</f>
        <v>0.04</v>
      </c>
      <c r="I31" s="165" t="n">
        <f aca="false">Summary!$J$55</f>
        <v>8.5</v>
      </c>
      <c r="J31" s="164" t="n">
        <f aca="false">I31*SUM(F31:H31)</f>
        <v>23.6495045739829</v>
      </c>
      <c r="K31" s="223" t="n">
        <f aca="false">Summary!$J$56</f>
        <v>3.75</v>
      </c>
      <c r="L31" s="0" t="n">
        <f aca="false">Summary!$O$23</f>
        <v>3.75</v>
      </c>
      <c r="M31" s="223" t="n">
        <f aca="false">Summary!$J$57</f>
        <v>1.75</v>
      </c>
      <c r="N31" s="164" t="n">
        <f aca="false">IF(C31&gt;0,C31-J31,0)</f>
        <v>5.73531777587234</v>
      </c>
      <c r="O31" s="223" t="n">
        <f aca="false">IF(N31&gt;0,IF(N31-SUM(K31:M31)&gt;0,N31-SUM(K31:M31),0),0)</f>
        <v>0</v>
      </c>
      <c r="P31" s="223" t="n">
        <f aca="false">O31*D31</f>
        <v>0</v>
      </c>
      <c r="Q31" s="164" t="n">
        <f aca="false">IF(A31&lt;=Summary!$J$61,0.5*(P31),$Q$2*(P31))</f>
        <v>0</v>
      </c>
      <c r="R31" s="223" t="n">
        <f aca="false">Summary!$J$58</f>
        <v>0.5</v>
      </c>
      <c r="S31" s="223" t="n">
        <f aca="false">J31+(K31+L31+R31)</f>
        <v>31.6495045739829</v>
      </c>
      <c r="T31" s="224" t="n">
        <f aca="false">IF(D31*(C31-S31)-Q31&gt;0,D31*(C31-S31)-Q31,0)</f>
        <v>0</v>
      </c>
      <c r="U31" s="225" t="n">
        <f aca="false">Summary!$J$59</f>
        <v>0.121048781448</v>
      </c>
      <c r="V31" s="224" t="n">
        <f aca="false">IF(A31&lt;=Summary!$J$61,(0.2*T31)+(R31*D31),(U31*T31)+(R31*D31))</f>
        <v>10475.2607625</v>
      </c>
      <c r="W31" s="226" t="n">
        <f aca="false">C31*D31</f>
        <v>615627.353148944</v>
      </c>
    </row>
    <row r="32" customFormat="false" ht="12.75" hidden="false" customHeight="false" outlineLevel="0" collapsed="false">
      <c r="A32" s="220" t="n">
        <v>37347</v>
      </c>
      <c r="B32" s="221" t="n">
        <f aca="false">YEAR(A32)</f>
        <v>2002</v>
      </c>
      <c r="C32" s="164" t="n">
        <f aca="false">CALC!HH44</f>
        <v>28.4103557208297</v>
      </c>
      <c r="D32" s="222" t="n">
        <f aca="false">IF(Summary!$O$109=0,CALC!HE44,0)</f>
        <v>20274.69825</v>
      </c>
      <c r="E32" s="222" t="n">
        <f aca="false">SUM(CALC!GU44:HB44)*CALC!CY44/1000</f>
        <v>91169.6620567068</v>
      </c>
      <c r="F32" s="223" t="n">
        <f aca="false">Summary!$J$54</f>
        <v>0.15</v>
      </c>
      <c r="G32" s="164" t="n">
        <f aca="false">VLOOKUP(A32,CURVES!AW33:$BS$283,16)</f>
        <v>2.50766935115245</v>
      </c>
      <c r="H32" s="223" t="n">
        <f aca="false">Summary!$J$60</f>
        <v>0.04</v>
      </c>
      <c r="I32" s="165" t="n">
        <f aca="false">Summary!$J$55</f>
        <v>8.5</v>
      </c>
      <c r="J32" s="164" t="n">
        <f aca="false">I32*SUM(F32:H32)</f>
        <v>22.9301894847958</v>
      </c>
      <c r="K32" s="223" t="n">
        <f aca="false">Summary!$J$56</f>
        <v>3.75</v>
      </c>
      <c r="L32" s="0" t="n">
        <f aca="false">Summary!$O$23</f>
        <v>3.75</v>
      </c>
      <c r="M32" s="223" t="n">
        <f aca="false">Summary!$J$57</f>
        <v>1.75</v>
      </c>
      <c r="N32" s="164" t="n">
        <f aca="false">IF(C32&gt;0,C32-J32,0)</f>
        <v>5.48016623603389</v>
      </c>
      <c r="O32" s="223" t="n">
        <f aca="false">IF(N32&gt;0,IF(N32-SUM(K32:M32)&gt;0,N32-SUM(K32:M32),0),0)</f>
        <v>0</v>
      </c>
      <c r="P32" s="223" t="n">
        <f aca="false">O32*D32</f>
        <v>0</v>
      </c>
      <c r="Q32" s="164" t="n">
        <f aca="false">IF(A32&lt;=Summary!$J$61,0.5*(P32),$Q$2*(P32))</f>
        <v>0</v>
      </c>
      <c r="R32" s="223" t="n">
        <f aca="false">Summary!$J$58</f>
        <v>0.5</v>
      </c>
      <c r="S32" s="223" t="n">
        <f aca="false">J32+(K32+L32+R32)</f>
        <v>30.9301894847958</v>
      </c>
      <c r="T32" s="224" t="n">
        <f aca="false">IF(D32*(C32-S32)-Q32&gt;0,D32*(C32-S32)-Q32,0)</f>
        <v>0</v>
      </c>
      <c r="U32" s="225" t="n">
        <f aca="false">Summary!$J$59</f>
        <v>0.121048781448</v>
      </c>
      <c r="V32" s="224" t="n">
        <f aca="false">IF(A32&lt;=Summary!$J$61,(0.2*T32)+(R32*D32),(U32*T32)+(R32*D32))</f>
        <v>10137.349125</v>
      </c>
      <c r="W32" s="226" t="n">
        <f aca="false">C32*D32</f>
        <v>576011.389414984</v>
      </c>
    </row>
    <row r="33" customFormat="false" ht="12.75" hidden="false" customHeight="false" outlineLevel="0" collapsed="false">
      <c r="A33" s="220" t="n">
        <v>37377</v>
      </c>
      <c r="B33" s="221" t="n">
        <f aca="false">YEAR(A33)</f>
        <v>2002</v>
      </c>
      <c r="C33" s="164" t="n">
        <f aca="false">CALC!HH45</f>
        <v>29.6878030949644</v>
      </c>
      <c r="D33" s="222" t="n">
        <f aca="false">IF(Summary!$O$109=0,CALC!HE45,0)</f>
        <v>22276.5039</v>
      </c>
      <c r="E33" s="222" t="n">
        <f aca="false">SUM(CALC!GU45:HB45)*CALC!CY45/1000</f>
        <v>73747.1673513246</v>
      </c>
      <c r="F33" s="223" t="n">
        <f aca="false">Summary!$J$54</f>
        <v>0.15</v>
      </c>
      <c r="G33" s="164" t="n">
        <f aca="false">VLOOKUP(A33,CURVES!AW34:$BS$283,16)</f>
        <v>2.47790150694725</v>
      </c>
      <c r="H33" s="223" t="n">
        <f aca="false">Summary!$J$60</f>
        <v>0.04</v>
      </c>
      <c r="I33" s="165" t="n">
        <f aca="false">Summary!$J$55</f>
        <v>8.5</v>
      </c>
      <c r="J33" s="164" t="n">
        <f aca="false">I33*SUM(F33:H33)</f>
        <v>22.6771628090516</v>
      </c>
      <c r="K33" s="223" t="n">
        <f aca="false">Summary!$J$56</f>
        <v>3.75</v>
      </c>
      <c r="L33" s="0" t="n">
        <f aca="false">Summary!$O$23</f>
        <v>3.75</v>
      </c>
      <c r="M33" s="223" t="n">
        <f aca="false">Summary!$J$57</f>
        <v>1.75</v>
      </c>
      <c r="N33" s="164" t="n">
        <f aca="false">IF(C33&gt;0,C33-J33,0)</f>
        <v>7.01064028591281</v>
      </c>
      <c r="O33" s="223" t="n">
        <f aca="false">IF(N33&gt;0,IF(N33-SUM(K33:M33)&gt;0,N33-SUM(K33:M33),0),0)</f>
        <v>0</v>
      </c>
      <c r="P33" s="223" t="n">
        <f aca="false">O33*D33</f>
        <v>0</v>
      </c>
      <c r="Q33" s="164" t="n">
        <f aca="false">IF(A33&lt;=Summary!$J$61,0.5*(P33),$Q$2*(P33))</f>
        <v>0</v>
      </c>
      <c r="R33" s="223" t="n">
        <f aca="false">Summary!$J$58</f>
        <v>0.5</v>
      </c>
      <c r="S33" s="223" t="n">
        <f aca="false">J33+(K33+L33+R33)</f>
        <v>30.6771628090516</v>
      </c>
      <c r="T33" s="224" t="n">
        <f aca="false">IF(D33*(C33-S33)-Q33&gt;0,D33*(C33-S33)-Q33,0)</f>
        <v>0</v>
      </c>
      <c r="U33" s="225" t="n">
        <f aca="false">Summary!$J$59</f>
        <v>0.121048781448</v>
      </c>
      <c r="V33" s="224" t="n">
        <f aca="false">IF(A33&lt;=Summary!$J$61,(0.2*T33)+(R33*D33),(U33*T33)+(R33*D33))</f>
        <v>11138.25195</v>
      </c>
      <c r="W33" s="226" t="n">
        <f aca="false">C33*D33</f>
        <v>661340.461427407</v>
      </c>
    </row>
    <row r="34" customFormat="false" ht="12.75" hidden="false" customHeight="false" outlineLevel="0" collapsed="false">
      <c r="A34" s="220" t="n">
        <v>37408</v>
      </c>
      <c r="B34" s="221" t="n">
        <f aca="false">YEAR(A34)</f>
        <v>2002</v>
      </c>
      <c r="C34" s="164" t="n">
        <f aca="false">CALC!HH46</f>
        <v>27.2582691859454</v>
      </c>
      <c r="D34" s="222" t="n">
        <f aca="false">IF(Summary!$O$109=0,CALC!HE46,0)</f>
        <v>16425.072</v>
      </c>
      <c r="E34" s="222" t="n">
        <f aca="false">SUM(CALC!GU46:HB46)*CALC!CY46/1000</f>
        <v>31727.2367256883</v>
      </c>
      <c r="F34" s="223" t="n">
        <f aca="false">Summary!$J$54</f>
        <v>0.15</v>
      </c>
      <c r="G34" s="164" t="n">
        <f aca="false">VLOOKUP(A34,CURVES!AW35:$BS$283,16)</f>
        <v>2.49395273496496</v>
      </c>
      <c r="H34" s="223" t="n">
        <f aca="false">Summary!$J$60</f>
        <v>0.04</v>
      </c>
      <c r="I34" s="165" t="n">
        <f aca="false">Summary!$J$55</f>
        <v>8.5</v>
      </c>
      <c r="J34" s="164" t="n">
        <f aca="false">I34*SUM(F34:H34)</f>
        <v>22.8135982472022</v>
      </c>
      <c r="K34" s="223" t="n">
        <f aca="false">Summary!$J$56</f>
        <v>3.75</v>
      </c>
      <c r="L34" s="0" t="n">
        <f aca="false">Summary!$O$23</f>
        <v>3.75</v>
      </c>
      <c r="M34" s="223" t="n">
        <f aca="false">Summary!$J$57</f>
        <v>1.75</v>
      </c>
      <c r="N34" s="164" t="n">
        <f aca="false">IF(C34&gt;0,C34-J34,0)</f>
        <v>4.44467093874318</v>
      </c>
      <c r="O34" s="223" t="n">
        <f aca="false">IF(N34&gt;0,IF(N34-SUM(K34:M34)&gt;0,N34-SUM(K34:M34),0),0)</f>
        <v>0</v>
      </c>
      <c r="P34" s="223" t="n">
        <f aca="false">O34*D34</f>
        <v>0</v>
      </c>
      <c r="Q34" s="164" t="n">
        <f aca="false">IF(A34&lt;=Summary!$J$61,0.5*(P34),$Q$2*(P34))</f>
        <v>0</v>
      </c>
      <c r="R34" s="223" t="n">
        <f aca="false">Summary!$J$58</f>
        <v>0.5</v>
      </c>
      <c r="S34" s="223" t="n">
        <f aca="false">J34+(K34+L34+R34)</f>
        <v>30.8135982472022</v>
      </c>
      <c r="T34" s="224" t="n">
        <f aca="false">IF(D34*(C34-S34)-Q34&gt;0,D34*(C34-S34)-Q34,0)</f>
        <v>0</v>
      </c>
      <c r="U34" s="225" t="n">
        <f aca="false">Summary!$J$59</f>
        <v>0.121048781448</v>
      </c>
      <c r="V34" s="224" t="n">
        <f aca="false">IF(A34&lt;=Summary!$J$61,(0.2*T34)+(R34*D34),(U34*T34)+(R34*D34))</f>
        <v>8212.536</v>
      </c>
      <c r="W34" s="226" t="n">
        <f aca="false">C34*D34</f>
        <v>447719.033974534</v>
      </c>
    </row>
    <row r="35" customFormat="false" ht="12.75" hidden="false" customHeight="false" outlineLevel="0" collapsed="false">
      <c r="A35" s="220" t="n">
        <v>37438</v>
      </c>
      <c r="B35" s="221" t="n">
        <f aca="false">YEAR(A35)</f>
        <v>2002</v>
      </c>
      <c r="C35" s="164" t="n">
        <f aca="false">CALC!HH47</f>
        <v>39.1561508325408</v>
      </c>
      <c r="D35" s="222" t="n">
        <f aca="false">IF(Summary!$O$109=0,CALC!HE47,0)</f>
        <v>22276.5039</v>
      </c>
      <c r="E35" s="222" t="n">
        <f aca="false">SUM(CALC!GU47:HB47)*CALC!CY47/1000</f>
        <v>73784.4834231262</v>
      </c>
      <c r="F35" s="223" t="n">
        <f aca="false">Summary!$J$54</f>
        <v>0.15</v>
      </c>
      <c r="G35" s="164" t="n">
        <f aca="false">VLOOKUP(A35,CURVES!AW36:$BS$283,16)</f>
        <v>2.54617977599528</v>
      </c>
      <c r="H35" s="223" t="n">
        <f aca="false">Summary!$J$60</f>
        <v>0.04</v>
      </c>
      <c r="I35" s="165" t="n">
        <f aca="false">Summary!$J$55</f>
        <v>8.5</v>
      </c>
      <c r="J35" s="164" t="n">
        <f aca="false">I35*SUM(F35:H35)</f>
        <v>23.2575280959598</v>
      </c>
      <c r="K35" s="223" t="n">
        <f aca="false">Summary!$J$56</f>
        <v>3.75</v>
      </c>
      <c r="L35" s="0" t="n">
        <f aca="false">Summary!$O$23</f>
        <v>3.75</v>
      </c>
      <c r="M35" s="223" t="n">
        <f aca="false">Summary!$J$57</f>
        <v>1.75</v>
      </c>
      <c r="N35" s="164" t="n">
        <f aca="false">IF(C35&gt;0,C35-J35,0)</f>
        <v>15.898622736581</v>
      </c>
      <c r="O35" s="223" t="n">
        <f aca="false">IF(N35&gt;0,IF(N35-SUM(K35:M35)&gt;0,N35-SUM(K35:M35),0),0)</f>
        <v>6.64862273658096</v>
      </c>
      <c r="P35" s="223" t="n">
        <f aca="false">O35*D35</f>
        <v>148108.070321074</v>
      </c>
      <c r="Q35" s="164" t="n">
        <f aca="false">IF(A35&lt;=Summary!$J$61,0.5*(P35),$Q$2*(P35))</f>
        <v>0</v>
      </c>
      <c r="R35" s="223" t="n">
        <f aca="false">Summary!$J$58</f>
        <v>0.5</v>
      </c>
      <c r="S35" s="223" t="n">
        <f aca="false">J35+(K35+L35+R35)</f>
        <v>31.2575280959598</v>
      </c>
      <c r="T35" s="224" t="n">
        <f aca="false">IF(D35*(C35-S35)-Q35&gt;0,D35*(C35-S35)-Q35,0)</f>
        <v>175953.700196074</v>
      </c>
      <c r="U35" s="225" t="n">
        <f aca="false">Summary!$J$59</f>
        <v>0.121048781448</v>
      </c>
      <c r="V35" s="224" t="n">
        <f aca="false">IF(A35&lt;=Summary!$J$61,(0.2*T35)+(R35*D35),(U35*T35)+(R35*D35))</f>
        <v>32437.2329500015</v>
      </c>
      <c r="W35" s="226" t="n">
        <f aca="false">C35*D35</f>
        <v>872262.146730083</v>
      </c>
    </row>
    <row r="36" customFormat="false" ht="12.75" hidden="false" customHeight="false" outlineLevel="0" collapsed="false">
      <c r="A36" s="220" t="n">
        <v>37469</v>
      </c>
      <c r="B36" s="221" t="n">
        <f aca="false">YEAR(A36)</f>
        <v>2002</v>
      </c>
      <c r="C36" s="164" t="n">
        <f aca="false">CALC!HH48</f>
        <v>56.3105156001787</v>
      </c>
      <c r="D36" s="222" t="n">
        <f aca="false">IF(Summary!$O$109=0,CALC!HE48,0)</f>
        <v>22276.5039</v>
      </c>
      <c r="E36" s="222" t="n">
        <f aca="false">SUM(CALC!GU48:HB48)*CALC!CY48/1000</f>
        <v>73803.1414590269</v>
      </c>
      <c r="F36" s="223" t="n">
        <f aca="false">Summary!$J$54</f>
        <v>0.15</v>
      </c>
      <c r="G36" s="164" t="n">
        <f aca="false">VLOOKUP(A36,CURVES!AW37:$BS$283,16)</f>
        <v>2.62542135801671</v>
      </c>
      <c r="H36" s="223" t="n">
        <f aca="false">Summary!$J$60</f>
        <v>0.04</v>
      </c>
      <c r="I36" s="165" t="n">
        <f aca="false">Summary!$J$55</f>
        <v>8.5</v>
      </c>
      <c r="J36" s="164" t="n">
        <f aca="false">I36*SUM(F36:H36)</f>
        <v>23.931081543142</v>
      </c>
      <c r="K36" s="223" t="n">
        <f aca="false">Summary!$J$56</f>
        <v>3.75</v>
      </c>
      <c r="L36" s="0" t="n">
        <f aca="false">Summary!$O$23</f>
        <v>3.75</v>
      </c>
      <c r="M36" s="223" t="n">
        <f aca="false">Summary!$J$57</f>
        <v>1.75</v>
      </c>
      <c r="N36" s="164" t="n">
        <f aca="false">IF(C36&gt;0,C36-J36,0)</f>
        <v>32.3794340570367</v>
      </c>
      <c r="O36" s="223" t="n">
        <f aca="false">IF(N36&gt;0,IF(N36-SUM(K36:M36)&gt;0,N36-SUM(K36:M36),0),0)</f>
        <v>23.1294340570367</v>
      </c>
      <c r="P36" s="223" t="n">
        <f aca="false">O36*D36</f>
        <v>515242.92797637</v>
      </c>
      <c r="Q36" s="164" t="n">
        <f aca="false">IF(A36&lt;=Summary!$J$61,0.5*(P36),$Q$2*(P36))</f>
        <v>0</v>
      </c>
      <c r="R36" s="223" t="n">
        <f aca="false">Summary!$J$58</f>
        <v>0.5</v>
      </c>
      <c r="S36" s="223" t="n">
        <f aca="false">J36+(K36+L36+R36)</f>
        <v>31.931081543142</v>
      </c>
      <c r="T36" s="224" t="n">
        <f aca="false">IF(D36*(C36-S36)-Q36&gt;0,D36*(C36-S36)-Q36,0)</f>
        <v>543088.55785137</v>
      </c>
      <c r="U36" s="225" t="n">
        <f aca="false">Summary!$J$59</f>
        <v>0.121048781448</v>
      </c>
      <c r="V36" s="224" t="n">
        <f aca="false">IF(A36&lt;=Summary!$J$61,(0.2*T36)+(R36*D36),(U36*T36)+(R36*D36))</f>
        <v>76878.46009626</v>
      </c>
      <c r="W36" s="226" t="n">
        <f aca="false">C36*D36</f>
        <v>1254401.42037839</v>
      </c>
    </row>
    <row r="37" customFormat="false" ht="12.75" hidden="false" customHeight="false" outlineLevel="0" collapsed="false">
      <c r="A37" s="220" t="n">
        <v>37500</v>
      </c>
      <c r="B37" s="221" t="n">
        <f aca="false">YEAR(A37)</f>
        <v>2002</v>
      </c>
      <c r="C37" s="164" t="n">
        <f aca="false">CALC!HH49</f>
        <v>46.2642600685139</v>
      </c>
      <c r="D37" s="222" t="n">
        <f aca="false">IF(Summary!$O$109=0,CALC!HE49,0)</f>
        <v>21557.907</v>
      </c>
      <c r="E37" s="222" t="n">
        <f aca="false">SUM(CALC!GU49:HB49)*CALC!CY49/1000</f>
        <v>71440.4511241236</v>
      </c>
      <c r="F37" s="223" t="n">
        <f aca="false">Summary!$J$54</f>
        <v>0.15</v>
      </c>
      <c r="G37" s="164" t="n">
        <f aca="false">VLOOKUP(A37,CURVES!AW38:$BS$283,16)</f>
        <v>2.72204562523989</v>
      </c>
      <c r="H37" s="223" t="n">
        <f aca="false">Summary!$J$60</f>
        <v>0.04</v>
      </c>
      <c r="I37" s="165" t="n">
        <f aca="false">Summary!$J$55</f>
        <v>8.5</v>
      </c>
      <c r="J37" s="164" t="n">
        <f aca="false">I37*SUM(F37:H37)</f>
        <v>24.7523878145391</v>
      </c>
      <c r="K37" s="223" t="n">
        <f aca="false">Summary!$J$56</f>
        <v>3.75</v>
      </c>
      <c r="L37" s="0" t="n">
        <f aca="false">Summary!$O$23</f>
        <v>3.75</v>
      </c>
      <c r="M37" s="223" t="n">
        <f aca="false">Summary!$J$57</f>
        <v>1.75</v>
      </c>
      <c r="N37" s="164" t="n">
        <f aca="false">IF(C37&gt;0,C37-J37,0)</f>
        <v>21.5118722539748</v>
      </c>
      <c r="O37" s="223" t="n">
        <f aca="false">IF(N37&gt;0,IF(N37-SUM(K37:M37)&gt;0,N37-SUM(K37:M37),0),0)</f>
        <v>12.2618722539748</v>
      </c>
      <c r="P37" s="223" t="n">
        <f aca="false">O37*D37</f>
        <v>264340.301697069</v>
      </c>
      <c r="Q37" s="164" t="n">
        <f aca="false">IF(A37&lt;=Summary!$J$61,0.5*(P37),$Q$2*(P37))</f>
        <v>0</v>
      </c>
      <c r="R37" s="223" t="n">
        <f aca="false">Summary!$J$58</f>
        <v>0.5</v>
      </c>
      <c r="S37" s="223" t="n">
        <f aca="false">J37+(K37+L37+R37)</f>
        <v>32.7523878145391</v>
      </c>
      <c r="T37" s="224" t="n">
        <f aca="false">IF(D37*(C37-S37)-Q37&gt;0,D37*(C37-S37)-Q37,0)</f>
        <v>291287.685447069</v>
      </c>
      <c r="U37" s="225" t="n">
        <f aca="false">Summary!$J$59</f>
        <v>0.121048781448</v>
      </c>
      <c r="V37" s="224" t="n">
        <f aca="false">IF(A37&lt;=Summary!$J$61,(0.2*T37)+(R37*D37),(U37*T37)+(R37*D37))</f>
        <v>46038.9728741761</v>
      </c>
      <c r="W37" s="226" t="n">
        <f aca="false">C37*D37</f>
        <v>997360.615980835</v>
      </c>
    </row>
    <row r="38" customFormat="false" ht="12.75" hidden="false" customHeight="false" outlineLevel="0" collapsed="false">
      <c r="A38" s="220" t="n">
        <v>37530</v>
      </c>
      <c r="B38" s="221" t="n">
        <f aca="false">YEAR(A38)</f>
        <v>2002</v>
      </c>
      <c r="C38" s="164" t="n">
        <f aca="false">CALC!HH50</f>
        <v>41.0806176056707</v>
      </c>
      <c r="D38" s="222" t="n">
        <f aca="false">IF(Summary!$O$109=0,CALC!HE50,0)</f>
        <v>20950.521525</v>
      </c>
      <c r="E38" s="222" t="n">
        <f aca="false">SUM(CALC!GU50:HB50)*CALC!CY50/1000</f>
        <v>94351.6957338364</v>
      </c>
      <c r="F38" s="223" t="n">
        <f aca="false">Summary!$J$54</f>
        <v>0.15</v>
      </c>
      <c r="G38" s="164" t="n">
        <f aca="false">VLOOKUP(A38,CURVES!AW39:$BS$283,16)</f>
        <v>2.82633833953054</v>
      </c>
      <c r="H38" s="223" t="n">
        <f aca="false">Summary!$J$60</f>
        <v>0.04</v>
      </c>
      <c r="I38" s="165" t="n">
        <f aca="false">Summary!$J$55</f>
        <v>8.5</v>
      </c>
      <c r="J38" s="164" t="n">
        <f aca="false">I38*SUM(F38:H38)</f>
        <v>25.6388758860096</v>
      </c>
      <c r="K38" s="223" t="n">
        <f aca="false">Summary!$J$56</f>
        <v>3.75</v>
      </c>
      <c r="L38" s="0" t="n">
        <f aca="false">Summary!$O$23</f>
        <v>3.75</v>
      </c>
      <c r="M38" s="223" t="n">
        <f aca="false">Summary!$J$57</f>
        <v>1.75</v>
      </c>
      <c r="N38" s="164" t="n">
        <f aca="false">IF(C38&gt;0,C38-J38,0)</f>
        <v>15.4417417196611</v>
      </c>
      <c r="O38" s="223" t="n">
        <f aca="false">IF(N38&gt;0,IF(N38-SUM(K38:M38)&gt;0,N38-SUM(K38:M38),0),0)</f>
        <v>6.19174171966112</v>
      </c>
      <c r="P38" s="223" t="n">
        <f aca="false">O38*D38</f>
        <v>129720.218175001</v>
      </c>
      <c r="Q38" s="164" t="n">
        <f aca="false">IF(A38&lt;=Summary!$J$61,0.5*(P38),$Q$2*(P38))</f>
        <v>0</v>
      </c>
      <c r="R38" s="223" t="n">
        <f aca="false">Summary!$J$58</f>
        <v>0.5</v>
      </c>
      <c r="S38" s="223" t="n">
        <f aca="false">J38+(K38+L38+R38)</f>
        <v>33.6388758860096</v>
      </c>
      <c r="T38" s="224" t="n">
        <f aca="false">IF(D38*(C38-S38)-Q38&gt;0,D38*(C38-S38)-Q38,0)</f>
        <v>155908.370081251</v>
      </c>
      <c r="U38" s="225" t="n">
        <f aca="false">Summary!$J$59</f>
        <v>0.121048781448</v>
      </c>
      <c r="V38" s="224" t="n">
        <f aca="false">IF(A38&lt;=Summary!$J$61,(0.2*T38)+(R38*D38),(U38*T38)+(R38*D38))</f>
        <v>29347.7789783792</v>
      </c>
      <c r="W38" s="226" t="n">
        <f aca="false">C38*D38</f>
        <v>860660.363407898</v>
      </c>
    </row>
    <row r="39" customFormat="false" ht="12.75" hidden="false" customHeight="false" outlineLevel="0" collapsed="false">
      <c r="A39" s="220" t="n">
        <v>37561</v>
      </c>
      <c r="B39" s="221" t="n">
        <f aca="false">YEAR(A39)</f>
        <v>2002</v>
      </c>
      <c r="C39" s="164" t="n">
        <f aca="false">CALC!HH51</f>
        <v>42.1345221211575</v>
      </c>
      <c r="D39" s="222" t="n">
        <f aca="false">IF(Summary!$O$109=0,CALC!HE51,0)</f>
        <v>20274.69825</v>
      </c>
      <c r="E39" s="222" t="n">
        <f aca="false">SUM(CALC!GU51:HB51)*CALC!CY51/1000</f>
        <v>91331.1644104717</v>
      </c>
      <c r="F39" s="223" t="n">
        <f aca="false">Summary!$J$54</f>
        <v>0.15</v>
      </c>
      <c r="G39" s="164" t="n">
        <f aca="false">VLOOKUP(A39,CURVES!AW40:$BS$283,16)</f>
        <v>2.92897478919532</v>
      </c>
      <c r="H39" s="223" t="n">
        <f aca="false">Summary!$J$60</f>
        <v>0.04</v>
      </c>
      <c r="I39" s="165" t="n">
        <f aca="false">Summary!$J$55</f>
        <v>8.5</v>
      </c>
      <c r="J39" s="164" t="n">
        <f aca="false">I39*SUM(F39:H39)</f>
        <v>26.5112857081602</v>
      </c>
      <c r="K39" s="223" t="n">
        <f aca="false">Summary!$J$56</f>
        <v>3.75</v>
      </c>
      <c r="L39" s="0" t="n">
        <f aca="false">Summary!$O$23</f>
        <v>3.75</v>
      </c>
      <c r="M39" s="223" t="n">
        <f aca="false">Summary!$J$57</f>
        <v>1.75</v>
      </c>
      <c r="N39" s="164" t="n">
        <f aca="false">IF(C39&gt;0,C39-J39,0)</f>
        <v>15.6232364129972</v>
      </c>
      <c r="O39" s="223" t="n">
        <f aca="false">IF(N39&gt;0,IF(N39-SUM(K39:M39)&gt;0,N39-SUM(K39:M39),0),0)</f>
        <v>6.37323641299723</v>
      </c>
      <c r="P39" s="223" t="n">
        <f aca="false">O39*D39</f>
        <v>129215.445149431</v>
      </c>
      <c r="Q39" s="164" t="n">
        <f aca="false">IF(A39&lt;=Summary!$J$61,0.5*(P39),$Q$2*(P39))</f>
        <v>0</v>
      </c>
      <c r="R39" s="223" t="n">
        <f aca="false">Summary!$J$58</f>
        <v>0.5</v>
      </c>
      <c r="S39" s="223" t="n">
        <f aca="false">J39+(K39+L39+R39)</f>
        <v>34.5112857081602</v>
      </c>
      <c r="T39" s="224" t="n">
        <f aca="false">IF(D39*(C39-S39)-Q39&gt;0,D39*(C39-S39)-Q39,0)</f>
        <v>154558.817961931</v>
      </c>
      <c r="U39" s="225" t="n">
        <f aca="false">Summary!$J$59</f>
        <v>0.121048781448</v>
      </c>
      <c r="V39" s="224" t="n">
        <f aca="false">IF(A39&lt;=Summary!$J$61,(0.2*T39)+(R39*D39),(U39*T39)+(R39*D39))</f>
        <v>28846.505701335</v>
      </c>
      <c r="W39" s="226" t="n">
        <f aca="false">C39*D39</f>
        <v>854264.721914417</v>
      </c>
    </row>
    <row r="40" customFormat="false" ht="12.75" hidden="false" customHeight="false" outlineLevel="0" collapsed="false">
      <c r="A40" s="220" t="n">
        <v>37591</v>
      </c>
      <c r="B40" s="221" t="n">
        <f aca="false">YEAR(A40)</f>
        <v>2002</v>
      </c>
      <c r="C40" s="164" t="n">
        <f aca="false">CALC!HH52</f>
        <v>40.4168948514077</v>
      </c>
      <c r="D40" s="222" t="n">
        <f aca="false">IF(Summary!$O$109=0,CALC!HE52,0)</f>
        <v>20950.521525</v>
      </c>
      <c r="E40" s="222" t="n">
        <f aca="false">SUM(CALC!GU52:HB52)*CALC!CY52/1000</f>
        <v>94399.3773811385</v>
      </c>
      <c r="F40" s="223" t="n">
        <f aca="false">Summary!$J$54</f>
        <v>0.15</v>
      </c>
      <c r="G40" s="164" t="n">
        <f aca="false">VLOOKUP(A40,CURVES!AW41:$BS$283,16)</f>
        <v>3.03803824117668</v>
      </c>
      <c r="H40" s="223" t="n">
        <f aca="false">Summary!$J$60</f>
        <v>0.04</v>
      </c>
      <c r="I40" s="165" t="n">
        <f aca="false">Summary!$J$55</f>
        <v>8.5</v>
      </c>
      <c r="J40" s="164" t="n">
        <f aca="false">I40*SUM(F40:H40)</f>
        <v>27.4383250500018</v>
      </c>
      <c r="K40" s="223" t="n">
        <f aca="false">Summary!$J$56</f>
        <v>3.75</v>
      </c>
      <c r="L40" s="0" t="n">
        <f aca="false">Summary!$O$23</f>
        <v>3.75</v>
      </c>
      <c r="M40" s="223" t="n">
        <f aca="false">Summary!$J$57</f>
        <v>1.75</v>
      </c>
      <c r="N40" s="164" t="n">
        <f aca="false">IF(C40&gt;0,C40-J40,0)</f>
        <v>12.9785698014059</v>
      </c>
      <c r="O40" s="223" t="n">
        <f aca="false">IF(N40&gt;0,IF(N40-SUM(K40:M40)&gt;0,N40-SUM(K40:M40),0),0)</f>
        <v>3.72856980140592</v>
      </c>
      <c r="P40" s="223" t="n">
        <f aca="false">O40*D40</f>
        <v>78115.4818818197</v>
      </c>
      <c r="Q40" s="164" t="n">
        <f aca="false">IF(A40&lt;=Summary!$J$61,0.5*(P40),$Q$2*(P40))</f>
        <v>0</v>
      </c>
      <c r="R40" s="223" t="n">
        <f aca="false">Summary!$J$58</f>
        <v>0.5</v>
      </c>
      <c r="S40" s="223" t="n">
        <f aca="false">J40+(K40+L40+R40)</f>
        <v>35.4383250500018</v>
      </c>
      <c r="T40" s="224" t="n">
        <f aca="false">IF(D40*(C40-S40)-Q40&gt;0,D40*(C40-S40)-Q40,0)</f>
        <v>104303.63378807</v>
      </c>
      <c r="U40" s="225" t="n">
        <f aca="false">Summary!$J$59</f>
        <v>0.121048781448</v>
      </c>
      <c r="V40" s="224" t="n">
        <f aca="false">IF(A40&lt;=Summary!$J$61,(0.2*T40)+(R40*D40),(U40*T40)+(R40*D40))</f>
        <v>23101.0885331443</v>
      </c>
      <c r="W40" s="226" t="n">
        <f aca="false">C40*D40</f>
        <v>846755.025558079</v>
      </c>
    </row>
    <row r="41" customFormat="false" ht="12.75" hidden="false" customHeight="false" outlineLevel="0" collapsed="false">
      <c r="A41" s="220" t="n">
        <v>37622</v>
      </c>
      <c r="B41" s="221" t="n">
        <f aca="false">YEAR(A41)</f>
        <v>2003</v>
      </c>
      <c r="C41" s="164" t="n">
        <f aca="false">CALC!HH53</f>
        <v>37.9566306627362</v>
      </c>
      <c r="D41" s="222" t="n">
        <f aca="false">IF(Summary!$O$109=0,CALC!HE53,0)</f>
        <v>20950.521525</v>
      </c>
      <c r="E41" s="222" t="n">
        <f aca="false">SUM(CALC!GU53:HB53)*CALC!CY53/1000</f>
        <v>94423.2182047895</v>
      </c>
      <c r="F41" s="223" t="n">
        <f aca="false">Summary!$J$54</f>
        <v>0.15</v>
      </c>
      <c r="G41" s="164" t="n">
        <f aca="false">VLOOKUP(A41,CURVES!AW42:$BS$283,16)</f>
        <v>2.91641152152491</v>
      </c>
      <c r="H41" s="223" t="n">
        <f aca="false">Summary!$J$60</f>
        <v>0.04</v>
      </c>
      <c r="I41" s="165" t="n">
        <f aca="false">Summary!$J$55</f>
        <v>8.5</v>
      </c>
      <c r="J41" s="164" t="n">
        <f aca="false">I41*SUM(F41:H41)</f>
        <v>26.4044979329617</v>
      </c>
      <c r="K41" s="223" t="n">
        <f aca="false">Summary!$J$56</f>
        <v>3.75</v>
      </c>
      <c r="L41" s="0" t="n">
        <f aca="false">Summary!$O$23</f>
        <v>3.75</v>
      </c>
      <c r="M41" s="223" t="n">
        <f aca="false">Summary!$J$57</f>
        <v>1.75</v>
      </c>
      <c r="N41" s="164" t="n">
        <f aca="false">IF(C41&gt;0,C41-J41,0)</f>
        <v>11.5521327297745</v>
      </c>
      <c r="O41" s="223" t="n">
        <f aca="false">IF(N41&gt;0,IF(N41-SUM(K41:M41)&gt;0,N41-SUM(K41:M41),0),0)</f>
        <v>2.30213272977445</v>
      </c>
      <c r="P41" s="223" t="n">
        <f aca="false">O41*D41</f>
        <v>48230.8813085466</v>
      </c>
      <c r="Q41" s="164" t="n">
        <f aca="false">IF(A41&lt;=Summary!$J$61,0.5*(P41),$Q$2*(P41))</f>
        <v>0</v>
      </c>
      <c r="R41" s="223" t="n">
        <f aca="false">Summary!$J$58</f>
        <v>0.5</v>
      </c>
      <c r="S41" s="223" t="n">
        <f aca="false">J41+(K41+L41+R41)</f>
        <v>34.4044979329617</v>
      </c>
      <c r="T41" s="224" t="n">
        <f aca="false">IF(D41*(C41-S41)-Q41&gt;0,D41*(C41-S41)-Q41,0)</f>
        <v>74419.0332147966</v>
      </c>
      <c r="U41" s="225" t="n">
        <f aca="false">Summary!$J$59</f>
        <v>0.121048781448</v>
      </c>
      <c r="V41" s="224" t="n">
        <f aca="false">IF(A41&lt;=Summary!$J$61,(0.2*T41)+(R41*D41),(U41*T41)+(R41*D41))</f>
        <v>19483.5940496894</v>
      </c>
      <c r="W41" s="226" t="n">
        <f aca="false">C41*D41</f>
        <v>795211.207716129</v>
      </c>
    </row>
    <row r="42" customFormat="false" ht="12.75" hidden="false" customHeight="false" outlineLevel="0" collapsed="false">
      <c r="A42" s="220" t="n">
        <v>37653</v>
      </c>
      <c r="B42" s="221" t="n">
        <f aca="false">YEAR(A42)</f>
        <v>2003</v>
      </c>
      <c r="C42" s="164" t="n">
        <f aca="false">CALC!HH54</f>
        <v>31.2184398685272</v>
      </c>
      <c r="D42" s="222" t="n">
        <f aca="false">IF(Summary!$O$109=0,CALC!HE54,0)</f>
        <v>18923.0517</v>
      </c>
      <c r="E42" s="222" t="n">
        <f aca="false">SUM(CALC!GU54:HB54)*CALC!CY54/1000</f>
        <v>85307.0210579462</v>
      </c>
      <c r="F42" s="223" t="n">
        <f aca="false">Summary!$J$54</f>
        <v>0.15</v>
      </c>
      <c r="G42" s="164" t="n">
        <f aca="false">VLOOKUP(A42,CURVES!AW43:$BS$283,16)</f>
        <v>2.685039110158</v>
      </c>
      <c r="H42" s="223" t="n">
        <f aca="false">Summary!$J$60</f>
        <v>0.04</v>
      </c>
      <c r="I42" s="165" t="n">
        <f aca="false">Summary!$J$55</f>
        <v>8.5</v>
      </c>
      <c r="J42" s="164" t="n">
        <f aca="false">I42*SUM(F42:H42)</f>
        <v>24.437832436343</v>
      </c>
      <c r="K42" s="223" t="n">
        <f aca="false">Summary!$J$56</f>
        <v>3.75</v>
      </c>
      <c r="L42" s="0" t="n">
        <f aca="false">Summary!$O$23</f>
        <v>3.75</v>
      </c>
      <c r="M42" s="223" t="n">
        <f aca="false">Summary!$J$57</f>
        <v>1.75</v>
      </c>
      <c r="N42" s="164" t="n">
        <f aca="false">IF(C42&gt;0,C42-J42,0)</f>
        <v>6.78060743218419</v>
      </c>
      <c r="O42" s="223" t="n">
        <f aca="false">IF(N42&gt;0,IF(N42-SUM(K42:M42)&gt;0,N42-SUM(K42:M42),0),0)</f>
        <v>0</v>
      </c>
      <c r="P42" s="223" t="n">
        <f aca="false">O42*D42</f>
        <v>0</v>
      </c>
      <c r="Q42" s="164" t="n">
        <f aca="false">IF(A42&lt;=Summary!$J$61,0.5*(P42),$Q$2*(P42))</f>
        <v>0</v>
      </c>
      <c r="R42" s="223" t="n">
        <f aca="false">Summary!$J$58</f>
        <v>0.5</v>
      </c>
      <c r="S42" s="223" t="n">
        <f aca="false">J42+(K42+L42+R42)</f>
        <v>32.437832436343</v>
      </c>
      <c r="T42" s="224" t="n">
        <f aca="false">IF(D42*(C42-S42)-Q42&gt;0,D42*(C42-S42)-Q42,0)</f>
        <v>0</v>
      </c>
      <c r="U42" s="225" t="n">
        <f aca="false">Summary!$J$59</f>
        <v>0.121048781448</v>
      </c>
      <c r="V42" s="224" t="n">
        <f aca="false">IF(A42&lt;=Summary!$J$61,(0.2*T42)+(R42*D42),(U42*T42)+(R42*D42))</f>
        <v>9461.52585</v>
      </c>
      <c r="W42" s="226" t="n">
        <f aca="false">C42*D42</f>
        <v>590748.151625481</v>
      </c>
    </row>
    <row r="43" customFormat="false" ht="12.75" hidden="false" customHeight="false" outlineLevel="0" collapsed="false">
      <c r="A43" s="220" t="n">
        <v>37681</v>
      </c>
      <c r="B43" s="221" t="n">
        <f aca="false">YEAR(A43)</f>
        <v>2003</v>
      </c>
      <c r="C43" s="164" t="n">
        <f aca="false">CALC!HH55</f>
        <v>28.0310852579808</v>
      </c>
      <c r="D43" s="222" t="n">
        <f aca="false">IF(Summary!$O$109=0,CALC!HE55,0)</f>
        <v>20950.521525</v>
      </c>
      <c r="E43" s="222" t="n">
        <f aca="false">SUM(CALC!GU55:HB55)*CALC!CY55/1000</f>
        <v>94470.8998520915</v>
      </c>
      <c r="F43" s="223" t="n">
        <f aca="false">Summary!$J$54</f>
        <v>0.15</v>
      </c>
      <c r="G43" s="164" t="n">
        <f aca="false">VLOOKUP(A43,CURVES!AW44:$BS$283,16)</f>
        <v>2.53044136898898</v>
      </c>
      <c r="H43" s="223" t="n">
        <f aca="false">Summary!$J$60</f>
        <v>0.04</v>
      </c>
      <c r="I43" s="165" t="n">
        <f aca="false">Summary!$J$55</f>
        <v>8.5</v>
      </c>
      <c r="J43" s="164" t="n">
        <f aca="false">I43*SUM(F43:H43)</f>
        <v>23.1237516364063</v>
      </c>
      <c r="K43" s="223" t="n">
        <f aca="false">Summary!$J$56</f>
        <v>3.75</v>
      </c>
      <c r="L43" s="0" t="n">
        <f aca="false">Summary!$O$23</f>
        <v>3.75</v>
      </c>
      <c r="M43" s="223" t="n">
        <f aca="false">Summary!$J$57</f>
        <v>1.75</v>
      </c>
      <c r="N43" s="164" t="n">
        <f aca="false">IF(C43&gt;0,C43-J43,0)</f>
        <v>4.90733362157447</v>
      </c>
      <c r="O43" s="223" t="n">
        <f aca="false">IF(N43&gt;0,IF(N43-SUM(K43:M43)&gt;0,N43-SUM(K43:M43),0),0)</f>
        <v>0</v>
      </c>
      <c r="P43" s="223" t="n">
        <f aca="false">O43*D43</f>
        <v>0</v>
      </c>
      <c r="Q43" s="164" t="n">
        <f aca="false">IF(A43&lt;=Summary!$J$61,0.5*(P43),$Q$2*(P43))</f>
        <v>0</v>
      </c>
      <c r="R43" s="223" t="n">
        <f aca="false">Summary!$J$58</f>
        <v>0.5</v>
      </c>
      <c r="S43" s="223" t="n">
        <f aca="false">J43+(K43+L43+R43)</f>
        <v>31.1237516364063</v>
      </c>
      <c r="T43" s="224" t="n">
        <f aca="false">IF(D43*(C43-S43)-Q43&gt;0,D43*(C43-S43)-Q43,0)</f>
        <v>0</v>
      </c>
      <c r="U43" s="225" t="n">
        <f aca="false">Summary!$J$59</f>
        <v>0.121048781448</v>
      </c>
      <c r="V43" s="224" t="n">
        <f aca="false">IF(A43&lt;=Summary!$J$61,(0.2*T43)+(R43*D43),(U43*T43)+(R43*D43))</f>
        <v>10475.2607625</v>
      </c>
      <c r="W43" s="226" t="n">
        <f aca="false">C43*D43</f>
        <v>587265.855066437</v>
      </c>
    </row>
    <row r="44" customFormat="false" ht="12.75" hidden="false" customHeight="false" outlineLevel="0" collapsed="false">
      <c r="A44" s="220" t="n">
        <v>37712</v>
      </c>
      <c r="B44" s="221" t="n">
        <f aca="false">YEAR(A44)</f>
        <v>2003</v>
      </c>
      <c r="C44" s="164" t="n">
        <f aca="false">CALC!HH56</f>
        <v>27.3840819080505</v>
      </c>
      <c r="D44" s="222" t="n">
        <f aca="false">IF(Summary!$O$109=0,CALC!HE56,0)</f>
        <v>13858.6545</v>
      </c>
      <c r="E44" s="222" t="n">
        <f aca="false">SUM(CALC!GU56:HB56)*CALC!CY56/1000</f>
        <v>91446.5232345895</v>
      </c>
      <c r="F44" s="223" t="n">
        <f aca="false">Summary!$J$54</f>
        <v>0.15</v>
      </c>
      <c r="G44" s="164" t="n">
        <f aca="false">VLOOKUP(A44,CURVES!AW45:$BS$283,16)</f>
        <v>2.44277200876375</v>
      </c>
      <c r="H44" s="223" t="n">
        <f aca="false">Summary!$J$60</f>
        <v>0.04</v>
      </c>
      <c r="I44" s="165" t="n">
        <f aca="false">Summary!$J$55</f>
        <v>8.5</v>
      </c>
      <c r="J44" s="164" t="n">
        <f aca="false">I44*SUM(F44:H44)</f>
        <v>22.3785620744919</v>
      </c>
      <c r="K44" s="223" t="n">
        <f aca="false">Summary!$J$56</f>
        <v>3.75</v>
      </c>
      <c r="L44" s="0" t="n">
        <f aca="false">Summary!$O$23</f>
        <v>3.75</v>
      </c>
      <c r="M44" s="223" t="n">
        <f aca="false">Summary!$J$57</f>
        <v>1.75</v>
      </c>
      <c r="N44" s="164" t="n">
        <f aca="false">IF(C44&gt;0,C44-J44,0)</f>
        <v>5.00551983355862</v>
      </c>
      <c r="O44" s="223" t="n">
        <f aca="false">IF(N44&gt;0,IF(N44-SUM(K44:M44)&gt;0,N44-SUM(K44:M44),0),0)</f>
        <v>0</v>
      </c>
      <c r="P44" s="223" t="n">
        <f aca="false">O44*D44</f>
        <v>0</v>
      </c>
      <c r="Q44" s="164" t="n">
        <f aca="false">IF(A44&lt;=Summary!$J$61,0.5*(P44),$Q$2*(P44))</f>
        <v>0</v>
      </c>
      <c r="R44" s="223" t="n">
        <f aca="false">Summary!$J$58</f>
        <v>0.5</v>
      </c>
      <c r="S44" s="223" t="n">
        <f aca="false">J44+(K44+L44+R44)</f>
        <v>30.3785620744919</v>
      </c>
      <c r="T44" s="224" t="n">
        <f aca="false">IF(D44*(C44-S44)-Q44&gt;0,D44*(C44-S44)-Q44,0)</f>
        <v>0</v>
      </c>
      <c r="U44" s="225" t="n">
        <f aca="false">Summary!$J$59</f>
        <v>0.121048781448</v>
      </c>
      <c r="V44" s="224" t="n">
        <f aca="false">IF(A44&lt;=Summary!$J$61,(0.2*T44)+(R44*D44),(U44*T44)+(R44*D44))</f>
        <v>6929.32725</v>
      </c>
      <c r="W44" s="226" t="n">
        <f aca="false">C44*D44</f>
        <v>379506.529963372</v>
      </c>
    </row>
    <row r="45" customFormat="false" ht="12.75" hidden="false" customHeight="false" outlineLevel="0" collapsed="false">
      <c r="A45" s="220" t="n">
        <v>37742</v>
      </c>
      <c r="B45" s="221" t="n">
        <f aca="false">YEAR(A45)</f>
        <v>2003</v>
      </c>
      <c r="C45" s="164" t="n">
        <f aca="false">CALC!HH57</f>
        <v>27.9208593917782</v>
      </c>
      <c r="D45" s="222" t="n">
        <f aca="false">IF(Summary!$O$109=0,CALC!HE57,0)</f>
        <v>22276.5039</v>
      </c>
      <c r="E45" s="222" t="n">
        <f aca="false">SUM(CALC!GU57:HB57)*CALC!CY57/1000</f>
        <v>73971.0637821341</v>
      </c>
      <c r="F45" s="223" t="n">
        <f aca="false">Summary!$J$54</f>
        <v>0.15</v>
      </c>
      <c r="G45" s="164" t="n">
        <f aca="false">VLOOKUP(A45,CURVES!AW46:$BS$283,16)</f>
        <v>2.41189591554804</v>
      </c>
      <c r="H45" s="223" t="n">
        <f aca="false">Summary!$J$60</f>
        <v>0.04</v>
      </c>
      <c r="I45" s="165" t="n">
        <f aca="false">Summary!$J$55</f>
        <v>8.5</v>
      </c>
      <c r="J45" s="164" t="n">
        <f aca="false">I45*SUM(F45:H45)</f>
        <v>22.1161152821584</v>
      </c>
      <c r="K45" s="223" t="n">
        <f aca="false">Summary!$J$56</f>
        <v>3.75</v>
      </c>
      <c r="L45" s="0" t="n">
        <f aca="false">Summary!$O$23</f>
        <v>3.75</v>
      </c>
      <c r="M45" s="223" t="n">
        <f aca="false">Summary!$J$57</f>
        <v>1.75</v>
      </c>
      <c r="N45" s="164" t="n">
        <f aca="false">IF(C45&gt;0,C45-J45,0)</f>
        <v>5.80474410961984</v>
      </c>
      <c r="O45" s="223" t="n">
        <f aca="false">IF(N45&gt;0,IF(N45-SUM(K45:M45)&gt;0,N45-SUM(K45:M45),0),0)</f>
        <v>0</v>
      </c>
      <c r="P45" s="223" t="n">
        <f aca="false">O45*D45</f>
        <v>0</v>
      </c>
      <c r="Q45" s="164" t="n">
        <f aca="false">IF(A45&lt;=Summary!$J$61,0.5*(P45),$Q$2*(P45))</f>
        <v>0</v>
      </c>
      <c r="R45" s="223" t="n">
        <f aca="false">Summary!$J$58</f>
        <v>0.5</v>
      </c>
      <c r="S45" s="223" t="n">
        <f aca="false">J45+(K45+L45+R45)</f>
        <v>30.1161152821584</v>
      </c>
      <c r="T45" s="224" t="n">
        <f aca="false">IF(D45*(C45-S45)-Q45&gt;0,D45*(C45-S45)-Q45,0)</f>
        <v>0</v>
      </c>
      <c r="U45" s="225" t="n">
        <f aca="false">Summary!$J$59</f>
        <v>0.121048781448</v>
      </c>
      <c r="V45" s="224" t="n">
        <f aca="false">IF(A45&lt;=Summary!$J$61,(0.2*T45)+(R45*D45),(U45*T45)+(R45*D45))</f>
        <v>11138.25195</v>
      </c>
      <c r="W45" s="226" t="n">
        <f aca="false">C45*D45</f>
        <v>621979.133132299</v>
      </c>
    </row>
    <row r="46" customFormat="false" ht="12.75" hidden="false" customHeight="false" outlineLevel="0" collapsed="false">
      <c r="A46" s="220" t="n">
        <v>37773</v>
      </c>
      <c r="B46" s="221" t="n">
        <f aca="false">YEAR(A46)</f>
        <v>2003</v>
      </c>
      <c r="C46" s="164" t="n">
        <f aca="false">CALC!HH58</f>
        <v>26.8670780029999</v>
      </c>
      <c r="D46" s="222" t="n">
        <f aca="false">IF(Summary!$O$109=0,CALC!HE58,0)</f>
        <v>16425.072</v>
      </c>
      <c r="E46" s="222" t="n">
        <f aca="false">SUM(CALC!GU58:HB58)*CALC!CY58/1000</f>
        <v>31823.5362658214</v>
      </c>
      <c r="F46" s="223" t="n">
        <f aca="false">Summary!$J$54</f>
        <v>0.15</v>
      </c>
      <c r="G46" s="164" t="n">
        <f aca="false">VLOOKUP(A46,CURVES!AW47:$BS$283,16)</f>
        <v>2.44103022577283</v>
      </c>
      <c r="H46" s="223" t="n">
        <f aca="false">Summary!$J$60</f>
        <v>0.04</v>
      </c>
      <c r="I46" s="165" t="n">
        <f aca="false">Summary!$J$55</f>
        <v>8.5</v>
      </c>
      <c r="J46" s="164" t="n">
        <f aca="false">I46*SUM(F46:H46)</f>
        <v>22.363756919069</v>
      </c>
      <c r="K46" s="223" t="n">
        <f aca="false">Summary!$J$56</f>
        <v>3.75</v>
      </c>
      <c r="L46" s="0" t="n">
        <f aca="false">Summary!$O$23</f>
        <v>3.75</v>
      </c>
      <c r="M46" s="223" t="n">
        <f aca="false">Summary!$J$57</f>
        <v>1.75</v>
      </c>
      <c r="N46" s="164" t="n">
        <f aca="false">IF(C46&gt;0,C46-J46,0)</f>
        <v>4.50332108393092</v>
      </c>
      <c r="O46" s="223" t="n">
        <f aca="false">IF(N46&gt;0,IF(N46-SUM(K46:M46)&gt;0,N46-SUM(K46:M46),0),0)</f>
        <v>0</v>
      </c>
      <c r="P46" s="223" t="n">
        <f aca="false">O46*D46</f>
        <v>0</v>
      </c>
      <c r="Q46" s="164" t="n">
        <f aca="false">IF(A46&lt;=Summary!$J$61,0.5*(P46),$Q$2*(P46))</f>
        <v>0</v>
      </c>
      <c r="R46" s="223" t="n">
        <f aca="false">Summary!$J$58</f>
        <v>0.5</v>
      </c>
      <c r="S46" s="223" t="n">
        <f aca="false">J46+(K46+L46+R46)</f>
        <v>30.363756919069</v>
      </c>
      <c r="T46" s="224" t="n">
        <f aca="false">IF(D46*(C46-S46)-Q46&gt;0,D46*(C46-S46)-Q46,0)</f>
        <v>0</v>
      </c>
      <c r="U46" s="225" t="n">
        <f aca="false">Summary!$J$59</f>
        <v>0.121048781448</v>
      </c>
      <c r="V46" s="224" t="n">
        <f aca="false">IF(A46&lt;=Summary!$J$61,(0.2*T46)+(R46*D46),(U46*T46)+(R46*D46))</f>
        <v>8212.536</v>
      </c>
      <c r="W46" s="226" t="n">
        <f aca="false">C46*D46</f>
        <v>441293.69062889</v>
      </c>
    </row>
    <row r="47" customFormat="false" ht="12.75" hidden="false" customHeight="false" outlineLevel="0" collapsed="false">
      <c r="A47" s="220" t="n">
        <v>37803</v>
      </c>
      <c r="B47" s="221" t="n">
        <f aca="false">YEAR(A47)</f>
        <v>2003</v>
      </c>
      <c r="C47" s="164" t="n">
        <f aca="false">CALC!HH59</f>
        <v>37.5027820242432</v>
      </c>
      <c r="D47" s="222" t="n">
        <f aca="false">IF(Summary!$O$109=0,CALC!HE59,0)</f>
        <v>22276.5039</v>
      </c>
      <c r="E47" s="222" t="n">
        <f aca="false">SUM(CALC!GU59:HB59)*CALC!CY59/1000</f>
        <v>74008.3798539357</v>
      </c>
      <c r="F47" s="223" t="n">
        <f aca="false">Summary!$J$54</f>
        <v>0.15</v>
      </c>
      <c r="G47" s="164" t="n">
        <f aca="false">VLOOKUP(A47,CURVES!AW48:$BS$283,16)</f>
        <v>2.50766080743567</v>
      </c>
      <c r="H47" s="223" t="n">
        <f aca="false">Summary!$J$60</f>
        <v>0.04</v>
      </c>
      <c r="I47" s="165" t="n">
        <f aca="false">Summary!$J$55</f>
        <v>8.5</v>
      </c>
      <c r="J47" s="164" t="n">
        <f aca="false">I47*SUM(F47:H47)</f>
        <v>22.9301168632032</v>
      </c>
      <c r="K47" s="223" t="n">
        <f aca="false">Summary!$J$56</f>
        <v>3.75</v>
      </c>
      <c r="L47" s="0" t="n">
        <f aca="false">Summary!$O$23</f>
        <v>3.75</v>
      </c>
      <c r="M47" s="223" t="n">
        <f aca="false">Summary!$J$57</f>
        <v>1.75</v>
      </c>
      <c r="N47" s="164" t="n">
        <f aca="false">IF(C47&gt;0,C47-J47,0)</f>
        <v>14.57266516104</v>
      </c>
      <c r="O47" s="223" t="n">
        <f aca="false">IF(N47&gt;0,IF(N47-SUM(K47:M47)&gt;0,N47-SUM(K47:M47),0),0)</f>
        <v>5.32266516104004</v>
      </c>
      <c r="P47" s="223" t="n">
        <f aca="false">O47*D47</f>
        <v>118570.371218303</v>
      </c>
      <c r="Q47" s="164" t="n">
        <f aca="false">IF(A47&lt;=Summary!$J$61,0.5*(P47),$Q$2*(P47))</f>
        <v>0</v>
      </c>
      <c r="R47" s="223" t="n">
        <f aca="false">Summary!$J$58</f>
        <v>0.5</v>
      </c>
      <c r="S47" s="223" t="n">
        <f aca="false">J47+(K47+L47+R47)</f>
        <v>30.9301168632032</v>
      </c>
      <c r="T47" s="224" t="n">
        <f aca="false">IF(D47*(C47-S47)-Q47&gt;0,D47*(C47-S47)-Q47,0)</f>
        <v>146416.001093303</v>
      </c>
      <c r="U47" s="225" t="n">
        <f aca="false">Summary!$J$59</f>
        <v>0.121048781448</v>
      </c>
      <c r="V47" s="224" t="n">
        <f aca="false">IF(A47&lt;=Summary!$J$61,(0.2*T47)+(R47*D47),(U47*T47)+(R47*D47))</f>
        <v>28861.7304668333</v>
      </c>
      <c r="W47" s="226" t="n">
        <f aca="false">C47*D47</f>
        <v>835430.870023904</v>
      </c>
    </row>
    <row r="48" customFormat="false" ht="12.75" hidden="false" customHeight="false" outlineLevel="0" collapsed="false">
      <c r="A48" s="220" t="n">
        <v>37834</v>
      </c>
      <c r="B48" s="221" t="n">
        <f aca="false">YEAR(A48)</f>
        <v>2003</v>
      </c>
      <c r="C48" s="164" t="n">
        <f aca="false">CALC!HH60</f>
        <v>52.2037876890875</v>
      </c>
      <c r="D48" s="222" t="n">
        <f aca="false">IF(Summary!$O$109=0,CALC!HE60,0)</f>
        <v>22276.5039</v>
      </c>
      <c r="E48" s="222" t="n">
        <f aca="false">SUM(CALC!GU60:HB60)*CALC!CY60/1000</f>
        <v>74027.0378898364</v>
      </c>
      <c r="F48" s="223" t="n">
        <f aca="false">Summary!$J$54</f>
        <v>0.15</v>
      </c>
      <c r="G48" s="164" t="n">
        <f aca="false">VLOOKUP(A48,CURVES!AW49:$BS$283,16)</f>
        <v>2.60229007179516</v>
      </c>
      <c r="H48" s="223" t="n">
        <f aca="false">Summary!$J$60</f>
        <v>0.04</v>
      </c>
      <c r="I48" s="165" t="n">
        <f aca="false">Summary!$J$55</f>
        <v>8.5</v>
      </c>
      <c r="J48" s="164" t="n">
        <f aca="false">I48*SUM(F48:H48)</f>
        <v>23.7344656102588</v>
      </c>
      <c r="K48" s="223" t="n">
        <f aca="false">Summary!$J$56</f>
        <v>3.75</v>
      </c>
      <c r="L48" s="0" t="n">
        <f aca="false">Summary!$O$23</f>
        <v>3.75</v>
      </c>
      <c r="M48" s="223" t="n">
        <f aca="false">Summary!$J$57</f>
        <v>1.75</v>
      </c>
      <c r="N48" s="164" t="n">
        <f aca="false">IF(C48&gt;0,C48-J48,0)</f>
        <v>28.4693220788287</v>
      </c>
      <c r="O48" s="223" t="n">
        <f aca="false">IF(N48&gt;0,IF(N48-SUM(K48:M48)&gt;0,N48-SUM(K48:M48),0),0)</f>
        <v>19.2193220788287</v>
      </c>
      <c r="P48" s="223" t="n">
        <f aca="false">O48*D48</f>
        <v>428139.303244383</v>
      </c>
      <c r="Q48" s="164" t="n">
        <f aca="false">IF(A48&lt;=Summary!$J$61,0.5*(P48),$Q$2*(P48))</f>
        <v>0</v>
      </c>
      <c r="R48" s="223" t="n">
        <f aca="false">Summary!$J$58</f>
        <v>0.5</v>
      </c>
      <c r="S48" s="223" t="n">
        <f aca="false">J48+(K48+L48+R48)</f>
        <v>31.7344656102588</v>
      </c>
      <c r="T48" s="224" t="n">
        <f aca="false">IF(D48*(C48-S48)-Q48&gt;0,D48*(C48-S48)-Q48,0)</f>
        <v>455984.933119383</v>
      </c>
      <c r="U48" s="225" t="n">
        <f aca="false">Summary!$J$59</f>
        <v>0.121048781448</v>
      </c>
      <c r="V48" s="224" t="n">
        <f aca="false">IF(A48&lt;=Summary!$J$61,(0.2*T48)+(R48*D48),(U48*T48)+(R48*D48))</f>
        <v>66334.6724627491</v>
      </c>
      <c r="W48" s="226" t="n">
        <f aca="false">C48*D48</f>
        <v>1162917.88005073</v>
      </c>
    </row>
    <row r="49" customFormat="false" ht="12.75" hidden="false" customHeight="false" outlineLevel="0" collapsed="false">
      <c r="A49" s="220" t="n">
        <v>37865</v>
      </c>
      <c r="B49" s="221" t="n">
        <f aca="false">YEAR(A49)</f>
        <v>2003</v>
      </c>
      <c r="C49" s="164" t="n">
        <f aca="false">CALC!HH61</f>
        <v>44.7777652307435</v>
      </c>
      <c r="D49" s="222" t="n">
        <f aca="false">IF(Summary!$O$109=0,CALC!HE61,0)</f>
        <v>21557.907</v>
      </c>
      <c r="E49" s="222" t="n">
        <f aca="false">SUM(CALC!GU61:HB61)*CALC!CY61/1000</f>
        <v>71657.1250894231</v>
      </c>
      <c r="F49" s="223" t="n">
        <f aca="false">Summary!$J$54</f>
        <v>0.15</v>
      </c>
      <c r="G49" s="164" t="n">
        <f aca="false">VLOOKUP(A49,CURVES!AW50:$BS$283,16)</f>
        <v>2.71495549344316</v>
      </c>
      <c r="H49" s="223" t="n">
        <f aca="false">Summary!$J$60</f>
        <v>0.04</v>
      </c>
      <c r="I49" s="165" t="n">
        <f aca="false">Summary!$J$55</f>
        <v>8.5</v>
      </c>
      <c r="J49" s="164" t="n">
        <f aca="false">I49*SUM(F49:H49)</f>
        <v>24.6921216942668</v>
      </c>
      <c r="K49" s="223" t="n">
        <f aca="false">Summary!$J$56</f>
        <v>3.75</v>
      </c>
      <c r="L49" s="0" t="n">
        <f aca="false">Summary!$O$23</f>
        <v>3.75</v>
      </c>
      <c r="M49" s="223" t="n">
        <f aca="false">Summary!$J$57</f>
        <v>1.75</v>
      </c>
      <c r="N49" s="164" t="n">
        <f aca="false">IF(C49&gt;0,C49-J49,0)</f>
        <v>20.0856435364767</v>
      </c>
      <c r="O49" s="223" t="n">
        <f aca="false">IF(N49&gt;0,IF(N49-SUM(K49:M49)&gt;0,N49-SUM(K49:M49),0),0)</f>
        <v>10.8356435364767</v>
      </c>
      <c r="P49" s="223" t="n">
        <f aca="false">O49*D49</f>
        <v>233593.795644515</v>
      </c>
      <c r="Q49" s="164" t="n">
        <f aca="false">IF(A49&lt;=Summary!$J$61,0.5*(P49),$Q$2*(P49))</f>
        <v>0</v>
      </c>
      <c r="R49" s="223" t="n">
        <f aca="false">Summary!$J$58</f>
        <v>0.5</v>
      </c>
      <c r="S49" s="223" t="n">
        <f aca="false">J49+(K49+L49+R49)</f>
        <v>32.6921216942668</v>
      </c>
      <c r="T49" s="224" t="n">
        <f aca="false">IF(D49*(C49-S49)-Q49&gt;0,D49*(C49-S49)-Q49,0)</f>
        <v>260541.179394515</v>
      </c>
      <c r="U49" s="225" t="n">
        <f aca="false">Summary!$J$59</f>
        <v>0.121048781448</v>
      </c>
      <c r="V49" s="224" t="n">
        <f aca="false">IF(A49&lt;=Summary!$J$61,(0.2*T49)+(R49*D49),(U49*T49)+(R49*D49))</f>
        <v>42317.1457827309</v>
      </c>
      <c r="W49" s="226" t="n">
        <f aca="false">C49*D49</f>
        <v>965314.898512202</v>
      </c>
    </row>
    <row r="50" customFormat="false" ht="12.75" hidden="false" customHeight="false" outlineLevel="0" collapsed="false">
      <c r="A50" s="220" t="n">
        <v>37895</v>
      </c>
      <c r="B50" s="221" t="n">
        <f aca="false">YEAR(A50)</f>
        <v>2003</v>
      </c>
      <c r="C50" s="164" t="n">
        <f aca="false">CALC!HH62</f>
        <v>38.0231217245929</v>
      </c>
      <c r="D50" s="222" t="n">
        <f aca="false">IF(Summary!$O$109=0,CALC!HE62,0)</f>
        <v>20950.521525</v>
      </c>
      <c r="E50" s="222" t="n">
        <f aca="false">SUM(CALC!GU62:HB62)*CALC!CY62/1000</f>
        <v>94637.7856176486</v>
      </c>
      <c r="F50" s="223" t="n">
        <f aca="false">Summary!$J$54</f>
        <v>0.15</v>
      </c>
      <c r="G50" s="164" t="n">
        <f aca="false">VLOOKUP(A50,CURVES!AW51:$BS$283,16)</f>
        <v>2.83560653221647</v>
      </c>
      <c r="H50" s="223" t="n">
        <f aca="false">Summary!$J$60</f>
        <v>0.04</v>
      </c>
      <c r="I50" s="165" t="n">
        <f aca="false">Summary!$J$55</f>
        <v>8.5</v>
      </c>
      <c r="J50" s="164" t="n">
        <f aca="false">I50*SUM(F50:H50)</f>
        <v>25.71765552384</v>
      </c>
      <c r="K50" s="223" t="n">
        <f aca="false">Summary!$J$56</f>
        <v>3.75</v>
      </c>
      <c r="L50" s="0" t="n">
        <f aca="false">Summary!$O$23</f>
        <v>3.75</v>
      </c>
      <c r="M50" s="223" t="n">
        <f aca="false">Summary!$J$57</f>
        <v>1.75</v>
      </c>
      <c r="N50" s="164" t="n">
        <f aca="false">IF(C50&gt;0,C50-J50,0)</f>
        <v>12.3054662007529</v>
      </c>
      <c r="O50" s="223" t="n">
        <f aca="false">IF(N50&gt;0,IF(N50-SUM(K50:M50)&gt;0,N50-SUM(K50:M50),0),0)</f>
        <v>3.05546620075289</v>
      </c>
      <c r="P50" s="223" t="n">
        <f aca="false">O50*D50</f>
        <v>64013.6104077834</v>
      </c>
      <c r="Q50" s="164" t="n">
        <f aca="false">IF(A50&lt;=Summary!$J$61,0.5*(P50),$Q$2*(P50))</f>
        <v>0</v>
      </c>
      <c r="R50" s="223" t="n">
        <f aca="false">Summary!$J$58</f>
        <v>0.5</v>
      </c>
      <c r="S50" s="223" t="n">
        <f aca="false">J50+(K50+L50+R50)</f>
        <v>33.71765552384</v>
      </c>
      <c r="T50" s="224" t="n">
        <f aca="false">IF(D50*(C50-S50)-Q50&gt;0,D50*(C50-S50)-Q50,0)</f>
        <v>90201.7623140335</v>
      </c>
      <c r="U50" s="225" t="n">
        <f aca="false">Summary!$J$59</f>
        <v>0.121048781448</v>
      </c>
      <c r="V50" s="224" t="n">
        <f aca="false">IF(A50&lt;=Summary!$J$61,(0.2*T50)+(R50*D50),(U50*T50)+(R50*D50))</f>
        <v>21394.0741750759</v>
      </c>
      <c r="W50" s="226" t="n">
        <f aca="false">C50*D50</f>
        <v>796604.230138778</v>
      </c>
    </row>
    <row r="51" customFormat="false" ht="12.75" hidden="false" customHeight="false" outlineLevel="0" collapsed="false">
      <c r="A51" s="220" t="n">
        <v>37926</v>
      </c>
      <c r="B51" s="221" t="n">
        <f aca="false">YEAR(A51)</f>
        <v>2003</v>
      </c>
      <c r="C51" s="164" t="n">
        <f aca="false">CALC!HH63</f>
        <v>39.6847909651117</v>
      </c>
      <c r="D51" s="222" t="n">
        <f aca="false">IF(Summary!$O$109=0,CALC!HE63,0)</f>
        <v>20274.69825</v>
      </c>
      <c r="E51" s="222" t="n">
        <f aca="false">SUM(CALC!GU63:HB63)*CALC!CY63/1000</f>
        <v>91608.0255883544</v>
      </c>
      <c r="F51" s="223" t="n">
        <f aca="false">Summary!$J$54</f>
        <v>0.15</v>
      </c>
      <c r="G51" s="164" t="n">
        <f aca="false">VLOOKUP(A51,CURVES!AW52:$BS$283,16)</f>
        <v>2.9545805258803</v>
      </c>
      <c r="H51" s="223" t="n">
        <f aca="false">Summary!$J$60</f>
        <v>0.04</v>
      </c>
      <c r="I51" s="165" t="n">
        <f aca="false">Summary!$J$55</f>
        <v>8.5</v>
      </c>
      <c r="J51" s="164" t="n">
        <f aca="false">I51*SUM(F51:H51)</f>
        <v>26.7289344699825</v>
      </c>
      <c r="K51" s="223" t="n">
        <f aca="false">Summary!$J$56</f>
        <v>3.75</v>
      </c>
      <c r="L51" s="0" t="n">
        <f aca="false">Summary!$O$23</f>
        <v>3.75</v>
      </c>
      <c r="M51" s="223" t="n">
        <f aca="false">Summary!$J$57</f>
        <v>1.75</v>
      </c>
      <c r="N51" s="164" t="n">
        <f aca="false">IF(C51&gt;0,C51-J51,0)</f>
        <v>12.9558564951292</v>
      </c>
      <c r="O51" s="223" t="n">
        <f aca="false">IF(N51&gt;0,IF(N51-SUM(K51:M51)&gt;0,N51-SUM(K51:M51),0),0)</f>
        <v>3.70585649512918</v>
      </c>
      <c r="P51" s="223" t="n">
        <f aca="false">O51*D51</f>
        <v>75135.1221965467</v>
      </c>
      <c r="Q51" s="164" t="n">
        <f aca="false">IF(A51&lt;=Summary!$J$61,0.5*(P51),$Q$2*(P51))</f>
        <v>0</v>
      </c>
      <c r="R51" s="223" t="n">
        <f aca="false">Summary!$J$58</f>
        <v>0.5</v>
      </c>
      <c r="S51" s="223" t="n">
        <f aca="false">J51+(K51+L51+R51)</f>
        <v>34.7289344699825</v>
      </c>
      <c r="T51" s="224" t="n">
        <f aca="false">IF(D51*(C51-S51)-Q51&gt;0,D51*(C51-S51)-Q51,0)</f>
        <v>100478.495009047</v>
      </c>
      <c r="U51" s="225" t="n">
        <f aca="false">Summary!$J$59</f>
        <v>0.121048781448</v>
      </c>
      <c r="V51" s="224" t="n">
        <f aca="false">IF(A51&lt;=Summary!$J$61,(0.2*T51)+(R51*D51),(U51*T51)+(R51*D51))</f>
        <v>22300.148507574</v>
      </c>
      <c r="W51" s="226" t="n">
        <f aca="false">C51*D51</f>
        <v>804597.161931966</v>
      </c>
    </row>
    <row r="52" customFormat="false" ht="12.75" hidden="false" customHeight="false" outlineLevel="0" collapsed="false">
      <c r="A52" s="220" t="n">
        <v>37956</v>
      </c>
      <c r="B52" s="221" t="n">
        <f aca="false">YEAR(A52)</f>
        <v>2003</v>
      </c>
      <c r="C52" s="164" t="n">
        <f aca="false">CALC!HH64</f>
        <v>38.5282587488293</v>
      </c>
      <c r="D52" s="222" t="n">
        <f aca="false">IF(Summary!$O$109=0,CALC!HE64,0)</f>
        <v>20950.521525</v>
      </c>
      <c r="E52" s="222" t="n">
        <f aca="false">SUM(CALC!GU64:HB64)*CALC!CY64/1000</f>
        <v>94147.8800649768</v>
      </c>
      <c r="F52" s="223" t="n">
        <f aca="false">Summary!$J$54</f>
        <v>0.15</v>
      </c>
      <c r="G52" s="164" t="n">
        <f aca="false">VLOOKUP(A52,CURVES!AW53:$BS$283,16)</f>
        <v>3.08025390780628</v>
      </c>
      <c r="H52" s="223" t="n">
        <f aca="false">Summary!$J$60</f>
        <v>0.04</v>
      </c>
      <c r="I52" s="165" t="n">
        <f aca="false">Summary!$J$55</f>
        <v>8.5</v>
      </c>
      <c r="J52" s="164" t="n">
        <f aca="false">I52*SUM(F52:H52)</f>
        <v>27.7971582163534</v>
      </c>
      <c r="K52" s="223" t="n">
        <f aca="false">Summary!$J$56</f>
        <v>3.75</v>
      </c>
      <c r="L52" s="0" t="n">
        <f aca="false">Summary!$O$23</f>
        <v>3.75</v>
      </c>
      <c r="M52" s="223" t="n">
        <f aca="false">Summary!$J$57</f>
        <v>1.75</v>
      </c>
      <c r="N52" s="164" t="n">
        <f aca="false">IF(C52&gt;0,C52-J52,0)</f>
        <v>10.7311005324759</v>
      </c>
      <c r="O52" s="223" t="n">
        <f aca="false">IF(N52&gt;0,IF(N52-SUM(K52:M52)&gt;0,N52-SUM(K52:M52),0),0)</f>
        <v>1.48110053247594</v>
      </c>
      <c r="P52" s="223" t="n">
        <f aca="false">O52*D52</f>
        <v>31029.8285863261</v>
      </c>
      <c r="Q52" s="164" t="n">
        <f aca="false">IF(A52&lt;=Summary!$J$61,0.5*(P52),$Q$2*(P52))</f>
        <v>0</v>
      </c>
      <c r="R52" s="223" t="n">
        <f aca="false">Summary!$J$58</f>
        <v>0.5</v>
      </c>
      <c r="S52" s="223" t="n">
        <f aca="false">J52+(K52+L52+R52)</f>
        <v>35.7971582163534</v>
      </c>
      <c r="T52" s="224" t="n">
        <f aca="false">IF(D52*(C52-S52)-Q52&gt;0,D52*(C52-S52)-Q52,0)</f>
        <v>57217.980492576</v>
      </c>
      <c r="U52" s="225" t="n">
        <f aca="false">Summary!$J$59</f>
        <v>0.121048781448</v>
      </c>
      <c r="V52" s="224" t="n">
        <f aca="false">IF(A52&lt;=Summary!$J$61,(0.2*T52)+(R52*D52),(U52*T52)+(R52*D52))</f>
        <v>17401.4275780418</v>
      </c>
      <c r="W52" s="226" t="n">
        <f aca="false">C52*D52</f>
        <v>807187.114238118</v>
      </c>
    </row>
    <row r="53" customFormat="false" ht="12.75" hidden="false" customHeight="false" outlineLevel="0" collapsed="false">
      <c r="A53" s="220" t="n">
        <v>37987</v>
      </c>
      <c r="B53" s="221" t="n">
        <f aca="false">YEAR(A53)</f>
        <v>2004</v>
      </c>
      <c r="C53" s="164" t="n">
        <f aca="false">CALC!HH65</f>
        <v>35.7374585694625</v>
      </c>
      <c r="D53" s="222" t="n">
        <f aca="false">IF(Summary!$O$109=0,CALC!HE65,0)</f>
        <v>20950.521525</v>
      </c>
      <c r="E53" s="222" t="n">
        <f aca="false">SUM(CALC!GU65:HB65)*CALC!CY65/1000</f>
        <v>94163.7739474108</v>
      </c>
      <c r="F53" s="223" t="n">
        <f aca="false">Summary!$J$54</f>
        <v>0.15</v>
      </c>
      <c r="G53" s="164" t="n">
        <f aca="false">VLOOKUP(A53,CURVES!AW54:$BS$283,16)</f>
        <v>2.95859668949733</v>
      </c>
      <c r="H53" s="223" t="n">
        <f aca="false">Summary!$J$60</f>
        <v>0.04</v>
      </c>
      <c r="I53" s="165" t="n">
        <f aca="false">Summary!$J$55</f>
        <v>8.5</v>
      </c>
      <c r="J53" s="164" t="n">
        <f aca="false">I53*SUM(F53:H53)</f>
        <v>26.7630718607273</v>
      </c>
      <c r="K53" s="223" t="n">
        <f aca="false">Summary!$J$56</f>
        <v>3.75</v>
      </c>
      <c r="L53" s="0" t="n">
        <f aca="false">Summary!$O$23</f>
        <v>3.75</v>
      </c>
      <c r="M53" s="223" t="n">
        <f aca="false">Summary!$J$57</f>
        <v>1.75</v>
      </c>
      <c r="N53" s="164" t="n">
        <f aca="false">IF(C53&gt;0,C53-J53,0)</f>
        <v>8.9743867087352</v>
      </c>
      <c r="O53" s="223" t="n">
        <f aca="false">IF(N53&gt;0,IF(N53-SUM(K53:M53)&gt;0,N53-SUM(K53:M53),0),0)</f>
        <v>0</v>
      </c>
      <c r="P53" s="223" t="n">
        <f aca="false">O53*D53</f>
        <v>0</v>
      </c>
      <c r="Q53" s="164" t="n">
        <f aca="false">IF(A53&lt;=Summary!$J$61,0.5*(P53),$Q$2*(P53))</f>
        <v>0</v>
      </c>
      <c r="R53" s="223" t="n">
        <f aca="false">Summary!$J$58</f>
        <v>0.5</v>
      </c>
      <c r="S53" s="223" t="n">
        <f aca="false">J53+(K53+L53+R53)</f>
        <v>34.7630718607273</v>
      </c>
      <c r="T53" s="224" t="n">
        <f aca="false">IF(D53*(C53-S53)-Q53&gt;0,D53*(C53-S53)-Q53,0)</f>
        <v>20413.9097150306</v>
      </c>
      <c r="U53" s="225" t="n">
        <f aca="false">Summary!$J$59</f>
        <v>0.121048781448</v>
      </c>
      <c r="V53" s="224" t="n">
        <f aca="false">IF(A53&lt;=Summary!$J$61,(0.2*T53)+(R53*D53),(U53*T53)+(R53*D53))</f>
        <v>12946.3396580939</v>
      </c>
      <c r="W53" s="226" t="n">
        <f aca="false">C53*D53</f>
        <v>748718.39500832</v>
      </c>
    </row>
    <row r="54" customFormat="false" ht="12.75" hidden="false" customHeight="false" outlineLevel="0" collapsed="false">
      <c r="A54" s="220" t="n">
        <v>38018</v>
      </c>
      <c r="B54" s="221" t="n">
        <f aca="false">YEAR(A54)</f>
        <v>2004</v>
      </c>
      <c r="C54" s="164" t="n">
        <f aca="false">CALC!HH66</f>
        <v>29.5613291171284</v>
      </c>
      <c r="D54" s="222" t="n">
        <f aca="false">IF(Summary!$O$109=0,CALC!HE66,0)</f>
        <v>5954.0886</v>
      </c>
      <c r="E54" s="222" t="n">
        <f aca="false">SUM(CALC!GU66:HB66)*CALC!CY66/1000</f>
        <v>30644.7166010154</v>
      </c>
      <c r="F54" s="223" t="n">
        <f aca="false">Summary!$J$54</f>
        <v>0.15</v>
      </c>
      <c r="G54" s="164" t="n">
        <f aca="false">VLOOKUP(A54,CURVES!AW55:$BS$283,16)</f>
        <v>2.73261088932635</v>
      </c>
      <c r="H54" s="223" t="n">
        <f aca="false">Summary!$J$60</f>
        <v>0.04</v>
      </c>
      <c r="I54" s="165" t="n">
        <f aca="false">Summary!$J$55</f>
        <v>8.5</v>
      </c>
      <c r="J54" s="164" t="n">
        <f aca="false">I54*SUM(F54:H54)</f>
        <v>24.842192559274</v>
      </c>
      <c r="K54" s="223" t="n">
        <f aca="false">Summary!$J$56</f>
        <v>3.75</v>
      </c>
      <c r="L54" s="0" t="n">
        <f aca="false">Summary!$O$23</f>
        <v>3.75</v>
      </c>
      <c r="M54" s="223" t="n">
        <f aca="false">Summary!$J$57</f>
        <v>1.75</v>
      </c>
      <c r="N54" s="164" t="n">
        <f aca="false">IF(C54&gt;0,C54-J54,0)</f>
        <v>4.71913655785446</v>
      </c>
      <c r="O54" s="223" t="n">
        <f aca="false">IF(N54&gt;0,IF(N54-SUM(K54:M54)&gt;0,N54-SUM(K54:M54),0),0)</f>
        <v>0</v>
      </c>
      <c r="P54" s="223" t="n">
        <f aca="false">O54*D54</f>
        <v>0</v>
      </c>
      <c r="Q54" s="164" t="n">
        <f aca="false">IF(A54&lt;=Summary!$J$61,0.5*(P54),$Q$2*(P54))</f>
        <v>0</v>
      </c>
      <c r="R54" s="223" t="n">
        <f aca="false">Summary!$J$58</f>
        <v>0.5</v>
      </c>
      <c r="S54" s="223" t="n">
        <f aca="false">J54+(K54+L54+R54)</f>
        <v>32.842192559274</v>
      </c>
      <c r="T54" s="224" t="n">
        <f aca="false">IF(D54*(C54-S54)-Q54&gt;0,D54*(C54-S54)-Q54,0)</f>
        <v>0</v>
      </c>
      <c r="U54" s="225" t="n">
        <f aca="false">Summary!$J$59</f>
        <v>0.121048781448</v>
      </c>
      <c r="V54" s="224" t="n">
        <f aca="false">IF(A54&lt;=Summary!$J$61,(0.2*T54)+(R54*D54),(U54*T54)+(R54*D54))</f>
        <v>2977.0443</v>
      </c>
      <c r="W54" s="226" t="n">
        <f aca="false">C54*D54</f>
        <v>176010.772697143</v>
      </c>
    </row>
    <row r="55" customFormat="false" ht="12.75" hidden="false" customHeight="false" outlineLevel="0" collapsed="false">
      <c r="A55" s="220" t="n">
        <v>38047</v>
      </c>
      <c r="B55" s="221" t="n">
        <f aca="false">YEAR(A55)</f>
        <v>2004</v>
      </c>
      <c r="C55" s="164" t="n">
        <f aca="false">CALC!HH67</f>
        <v>27.4919127672417</v>
      </c>
      <c r="D55" s="222" t="n">
        <f aca="false">IF(Summary!$O$109=0,CALC!HE67,0)</f>
        <v>6364.7154</v>
      </c>
      <c r="E55" s="222" t="n">
        <f aca="false">SUM(CALC!GU67:HB67)*CALC!CY67/1000</f>
        <v>32763.6736390535</v>
      </c>
      <c r="F55" s="223" t="n">
        <f aca="false">Summary!$J$54</f>
        <v>0.15</v>
      </c>
      <c r="G55" s="164" t="n">
        <f aca="false">VLOOKUP(A55,CURVES!AW56:$BS$283,16)</f>
        <v>2.58605513050825</v>
      </c>
      <c r="H55" s="223" t="n">
        <f aca="false">Summary!$J$60</f>
        <v>0.04</v>
      </c>
      <c r="I55" s="165" t="n">
        <f aca="false">Summary!$J$55</f>
        <v>8.5</v>
      </c>
      <c r="J55" s="164" t="n">
        <f aca="false">I55*SUM(F55:H55)</f>
        <v>23.5964686093202</v>
      </c>
      <c r="K55" s="223" t="n">
        <f aca="false">Summary!$J$56</f>
        <v>3.75</v>
      </c>
      <c r="L55" s="0" t="n">
        <f aca="false">Summary!$O$23</f>
        <v>3.75</v>
      </c>
      <c r="M55" s="223" t="n">
        <f aca="false">Summary!$J$57</f>
        <v>1.75</v>
      </c>
      <c r="N55" s="164" t="n">
        <f aca="false">IF(C55&gt;0,C55-J55,0)</f>
        <v>3.89544415792151</v>
      </c>
      <c r="O55" s="223" t="n">
        <f aca="false">IF(N55&gt;0,IF(N55-SUM(K55:M55)&gt;0,N55-SUM(K55:M55),0),0)</f>
        <v>0</v>
      </c>
      <c r="P55" s="223" t="n">
        <f aca="false">O55*D55</f>
        <v>0</v>
      </c>
      <c r="Q55" s="164" t="n">
        <f aca="false">IF(A55&lt;=Summary!$J$61,0.5*(P55),$Q$2*(P55))</f>
        <v>0</v>
      </c>
      <c r="R55" s="223" t="n">
        <f aca="false">Summary!$J$58</f>
        <v>0.5</v>
      </c>
      <c r="S55" s="223" t="n">
        <f aca="false">J55+(K55+L55+R55)</f>
        <v>31.5964686093202</v>
      </c>
      <c r="T55" s="224" t="n">
        <f aca="false">IF(D55*(C55-S55)-Q55&gt;0,D55*(C55-S55)-Q55,0)</f>
        <v>0</v>
      </c>
      <c r="U55" s="225" t="n">
        <f aca="false">Summary!$J$59</f>
        <v>0.121048781448</v>
      </c>
      <c r="V55" s="224" t="n">
        <f aca="false">IF(A55&lt;=Summary!$J$61,(0.2*T55)+(R55*D55),(U55*T55)+(R55*D55))</f>
        <v>3182.3577</v>
      </c>
      <c r="W55" s="226" t="n">
        <f aca="false">C55*D55</f>
        <v>174978.20056512</v>
      </c>
    </row>
    <row r="56" customFormat="false" ht="12.75" hidden="false" customHeight="false" outlineLevel="0" collapsed="false">
      <c r="A56" s="220" t="n">
        <v>38078</v>
      </c>
      <c r="B56" s="221" t="n">
        <f aca="false">YEAR(A56)</f>
        <v>2004</v>
      </c>
      <c r="C56" s="164" t="n">
        <f aca="false">CALC!HH68</f>
        <v>27.0530548547002</v>
      </c>
      <c r="D56" s="222" t="n">
        <f aca="false">IF(Summary!$O$109=0,CALC!HE68,0)</f>
        <v>13858.6545</v>
      </c>
      <c r="E56" s="222" t="n">
        <f aca="false">SUM(CALC!GU68:HB68)*CALC!CY68/1000</f>
        <v>91172.3763819801</v>
      </c>
      <c r="F56" s="223" t="n">
        <f aca="false">Summary!$J$54</f>
        <v>0.15</v>
      </c>
      <c r="G56" s="164" t="n">
        <f aca="false">VLOOKUP(A56,CURVES!AW57:$BS$283,16)</f>
        <v>2.50847163047972</v>
      </c>
      <c r="H56" s="223" t="n">
        <f aca="false">Summary!$J$60</f>
        <v>0.04</v>
      </c>
      <c r="I56" s="165" t="n">
        <f aca="false">Summary!$J$55</f>
        <v>8.5</v>
      </c>
      <c r="J56" s="164" t="n">
        <f aca="false">I56*SUM(F56:H56)</f>
        <v>22.9370088590776</v>
      </c>
      <c r="K56" s="223" t="n">
        <f aca="false">Summary!$J$56</f>
        <v>3.75</v>
      </c>
      <c r="L56" s="0" t="n">
        <f aca="false">Summary!$O$23</f>
        <v>3.75</v>
      </c>
      <c r="M56" s="223" t="n">
        <f aca="false">Summary!$J$57</f>
        <v>1.75</v>
      </c>
      <c r="N56" s="164" t="n">
        <f aca="false">IF(C56&gt;0,C56-J56,0)</f>
        <v>4.11604599562263</v>
      </c>
      <c r="O56" s="223" t="n">
        <f aca="false">IF(N56&gt;0,IF(N56-SUM(K56:M56)&gt;0,N56-SUM(K56:M56),0),0)</f>
        <v>0</v>
      </c>
      <c r="P56" s="223" t="n">
        <f aca="false">O56*D56</f>
        <v>0</v>
      </c>
      <c r="Q56" s="164" t="n">
        <f aca="false">IF(A56&lt;=Summary!$J$61,0.5*(P56),$Q$2*(P56))</f>
        <v>0</v>
      </c>
      <c r="R56" s="223" t="n">
        <f aca="false">Summary!$J$58</f>
        <v>0.5</v>
      </c>
      <c r="S56" s="223" t="n">
        <f aca="false">J56+(K56+L56+R56)</f>
        <v>30.9370088590776</v>
      </c>
      <c r="T56" s="224" t="n">
        <f aca="false">IF(D56*(C56-S56)-Q56&gt;0,D56*(C56-S56)-Q56,0)</f>
        <v>0</v>
      </c>
      <c r="U56" s="225" t="n">
        <f aca="false">Summary!$J$59</f>
        <v>0.121048781448</v>
      </c>
      <c r="V56" s="224" t="n">
        <f aca="false">IF(A56&lt;=Summary!$J$61,(0.2*T56)+(R56*D56),(U56*T56)+(R56*D56))</f>
        <v>6929.32725</v>
      </c>
      <c r="W56" s="226" t="n">
        <f aca="false">C56*D56</f>
        <v>374918.940400838</v>
      </c>
    </row>
    <row r="57" customFormat="false" ht="12.75" hidden="false" customHeight="false" outlineLevel="0" collapsed="false">
      <c r="A57" s="220" t="n">
        <v>38108</v>
      </c>
      <c r="B57" s="221" t="n">
        <f aca="false">YEAR(A57)</f>
        <v>2004</v>
      </c>
      <c r="C57" s="164" t="n">
        <f aca="false">CALC!HH69</f>
        <v>27.6409278185618</v>
      </c>
      <c r="D57" s="222" t="n">
        <f aca="false">IF(Summary!$O$109=0,CALC!HE69,0)</f>
        <v>22276.5039</v>
      </c>
      <c r="E57" s="222" t="n">
        <f aca="false">SUM(CALC!GU69:HB69)*CALC!CY69/1000</f>
        <v>73743.1430690714</v>
      </c>
      <c r="F57" s="223" t="n">
        <f aca="false">Summary!$J$54</f>
        <v>0.15</v>
      </c>
      <c r="G57" s="164" t="n">
        <f aca="false">VLOOKUP(A57,CURVES!AW58:$BS$283,16)</f>
        <v>2.48955351339881</v>
      </c>
      <c r="H57" s="223" t="n">
        <f aca="false">Summary!$J$60</f>
        <v>0.04</v>
      </c>
      <c r="I57" s="165" t="n">
        <f aca="false">Summary!$J$55</f>
        <v>8.5</v>
      </c>
      <c r="J57" s="164" t="n">
        <f aca="false">I57*SUM(F57:H57)</f>
        <v>22.7762048638899</v>
      </c>
      <c r="K57" s="223" t="n">
        <f aca="false">Summary!$J$56</f>
        <v>3.75</v>
      </c>
      <c r="L57" s="0" t="n">
        <f aca="false">Summary!$O$23</f>
        <v>3.75</v>
      </c>
      <c r="M57" s="223" t="n">
        <f aca="false">Summary!$J$57</f>
        <v>1.75</v>
      </c>
      <c r="N57" s="164" t="n">
        <f aca="false">IF(C57&gt;0,C57-J57,0)</f>
        <v>4.86472295467185</v>
      </c>
      <c r="O57" s="223" t="n">
        <f aca="false">IF(N57&gt;0,IF(N57-SUM(K57:M57)&gt;0,N57-SUM(K57:M57),0),0)</f>
        <v>0</v>
      </c>
      <c r="P57" s="223" t="n">
        <f aca="false">O57*D57</f>
        <v>0</v>
      </c>
      <c r="Q57" s="164" t="n">
        <f aca="false">IF(A57&lt;=Summary!$J$61,0.5*(P57),$Q$2*(P57))</f>
        <v>0</v>
      </c>
      <c r="R57" s="223" t="n">
        <f aca="false">Summary!$J$58</f>
        <v>0.5</v>
      </c>
      <c r="S57" s="223" t="n">
        <f aca="false">J57+(K57+L57+R57)</f>
        <v>30.7762048638899</v>
      </c>
      <c r="T57" s="224" t="n">
        <f aca="false">IF(D57*(C57-S57)-Q57&gt;0,D57*(C57-S57)-Q57,0)</f>
        <v>0</v>
      </c>
      <c r="U57" s="225" t="n">
        <f aca="false">Summary!$J$59</f>
        <v>0.121048781448</v>
      </c>
      <c r="V57" s="224" t="n">
        <f aca="false">IF(A57&lt;=Summary!$J$61,(0.2*T57)+(R57*D57),(U57*T57)+(R57*D57))</f>
        <v>11138.25195</v>
      </c>
      <c r="W57" s="226" t="n">
        <f aca="false">C57*D57</f>
        <v>615743.23634981</v>
      </c>
    </row>
    <row r="58" customFormat="false" ht="12.75" hidden="false" customHeight="false" outlineLevel="0" collapsed="false">
      <c r="A58" s="220" t="n">
        <v>38139</v>
      </c>
      <c r="B58" s="221" t="n">
        <f aca="false">YEAR(A58)</f>
        <v>2004</v>
      </c>
      <c r="C58" s="164" t="n">
        <f aca="false">CALC!HH70</f>
        <v>0</v>
      </c>
      <c r="D58" s="222" t="n">
        <f aca="false">IF(Summary!$O$109=0,CALC!HE70,0)</f>
        <v>0</v>
      </c>
      <c r="E58" s="222" t="n">
        <f aca="false">SUM(CALC!GU70:HB70)*CALC!CY70/1000</f>
        <v>0</v>
      </c>
      <c r="F58" s="223" t="n">
        <f aca="false">Summary!$J$54</f>
        <v>0.15</v>
      </c>
      <c r="G58" s="164" t="n">
        <f aca="false">VLOOKUP(A58,CURVES!AW59:$BS$283,16)</f>
        <v>2.51962588257237</v>
      </c>
      <c r="H58" s="223" t="n">
        <f aca="false">Summary!$J$60</f>
        <v>0.04</v>
      </c>
      <c r="I58" s="165" t="n">
        <f aca="false">Summary!$J$55</f>
        <v>8.5</v>
      </c>
      <c r="J58" s="164" t="n">
        <f aca="false">I58*SUM(F58:H58)</f>
        <v>23.0318200018652</v>
      </c>
      <c r="K58" s="223" t="n">
        <f aca="false">Summary!$J$56</f>
        <v>3.75</v>
      </c>
      <c r="L58" s="0" t="n">
        <f aca="false">Summary!$O$23</f>
        <v>3.75</v>
      </c>
      <c r="M58" s="223" t="n">
        <f aca="false">Summary!$J$57</f>
        <v>1.75</v>
      </c>
      <c r="N58" s="164" t="n">
        <f aca="false">IF(C58&gt;0,C58-J58,0)</f>
        <v>0</v>
      </c>
      <c r="O58" s="223" t="n">
        <f aca="false">IF(N58&gt;0,IF(N58-SUM(K58:M58)&gt;0,N58-SUM(K58:M58),0),0)</f>
        <v>0</v>
      </c>
      <c r="P58" s="223" t="n">
        <f aca="false">O58*D58</f>
        <v>0</v>
      </c>
      <c r="Q58" s="164" t="n">
        <f aca="false">IF(A58&lt;=Summary!$J$61,0.5*(P58),$Q$2*(P58))</f>
        <v>0</v>
      </c>
      <c r="R58" s="223" t="n">
        <f aca="false">Summary!$J$58</f>
        <v>0.5</v>
      </c>
      <c r="S58" s="223" t="n">
        <f aca="false">J58+(K58+L58+R58)</f>
        <v>31.0318200018652</v>
      </c>
      <c r="T58" s="224" t="n">
        <f aca="false">IF(D58*(C58-S58)-Q58&gt;0,D58*(C58-S58)-Q58,0)</f>
        <v>0</v>
      </c>
      <c r="U58" s="225" t="n">
        <f aca="false">Summary!$J$59</f>
        <v>0.121048781448</v>
      </c>
      <c r="V58" s="224" t="n">
        <f aca="false">IF(A58&lt;=Summary!$J$61,(0.2*T58)+(R58*D58),(U58*T58)+(R58*D58))</f>
        <v>0</v>
      </c>
      <c r="W58" s="226" t="n">
        <f aca="false">C58*D58</f>
        <v>0</v>
      </c>
    </row>
    <row r="59" customFormat="false" ht="12.75" hidden="false" customHeight="false" outlineLevel="0" collapsed="false">
      <c r="A59" s="220" t="n">
        <v>38169</v>
      </c>
      <c r="B59" s="221" t="n">
        <f aca="false">YEAR(A59)</f>
        <v>2004</v>
      </c>
      <c r="C59" s="164" t="n">
        <f aca="false">CALC!HH71</f>
        <v>36.0573306691538</v>
      </c>
      <c r="D59" s="222" t="n">
        <f aca="false">IF(Summary!$O$109=0,CALC!HE71,0)</f>
        <v>22276.5039</v>
      </c>
      <c r="E59" s="222" t="n">
        <f aca="false">SUM(CALC!GU71:HB71)*CALC!CY71/1000</f>
        <v>73768.0204502725</v>
      </c>
      <c r="F59" s="223" t="n">
        <f aca="false">Summary!$J$54</f>
        <v>0.15</v>
      </c>
      <c r="G59" s="164" t="n">
        <f aca="false">VLOOKUP(A59,CURVES!AW60:$BS$283,16)</f>
        <v>2.58840181838669</v>
      </c>
      <c r="H59" s="223" t="n">
        <f aca="false">Summary!$J$60</f>
        <v>0.04</v>
      </c>
      <c r="I59" s="165" t="n">
        <f aca="false">Summary!$J$55</f>
        <v>8.5</v>
      </c>
      <c r="J59" s="164" t="n">
        <f aca="false">I59*SUM(F59:H59)</f>
        <v>23.6164154562869</v>
      </c>
      <c r="K59" s="223" t="n">
        <f aca="false">Summary!$J$56</f>
        <v>3.75</v>
      </c>
      <c r="L59" s="0" t="n">
        <f aca="false">Summary!$O$23</f>
        <v>3.75</v>
      </c>
      <c r="M59" s="223" t="n">
        <f aca="false">Summary!$J$57</f>
        <v>1.75</v>
      </c>
      <c r="N59" s="164" t="n">
        <f aca="false">IF(C59&gt;0,C59-J59,0)</f>
        <v>12.4409152128669</v>
      </c>
      <c r="O59" s="223" t="n">
        <f aca="false">IF(N59&gt;0,IF(N59-SUM(K59:M59)&gt;0,N59-SUM(K59:M59),0),0)</f>
        <v>3.19091521286694</v>
      </c>
      <c r="P59" s="223" t="n">
        <f aca="false">O59*D59</f>
        <v>71082.4351839998</v>
      </c>
      <c r="Q59" s="164" t="n">
        <f aca="false">IF(A59&lt;=Summary!$J$61,0.5*(P59),$Q$2*(P59))</f>
        <v>0</v>
      </c>
      <c r="R59" s="223" t="n">
        <f aca="false">Summary!$J$58</f>
        <v>0.5</v>
      </c>
      <c r="S59" s="223" t="n">
        <f aca="false">J59+(K59+L59+R59)</f>
        <v>31.6164154562869</v>
      </c>
      <c r="T59" s="224" t="n">
        <f aca="false">IF(D59*(C59-S59)-Q59&gt;0,D59*(C59-S59)-Q59,0)</f>
        <v>98928.0650589998</v>
      </c>
      <c r="U59" s="225" t="n">
        <f aca="false">Summary!$J$59</f>
        <v>0.121048781448</v>
      </c>
      <c r="V59" s="224" t="n">
        <f aca="false">IF(A59&lt;=Summary!$J$61,(0.2*T59)+(R59*D59),(U59*T59)+(R59*D59))</f>
        <v>23113.3736764004</v>
      </c>
      <c r="W59" s="226" t="n">
        <f aca="false">C59*D59</f>
        <v>803231.267274994</v>
      </c>
    </row>
    <row r="60" customFormat="false" ht="12.75" hidden="false" customHeight="false" outlineLevel="0" collapsed="false">
      <c r="A60" s="220" t="n">
        <v>38200</v>
      </c>
      <c r="B60" s="221" t="n">
        <f aca="false">YEAR(A60)</f>
        <v>2004</v>
      </c>
      <c r="C60" s="164" t="n">
        <f aca="false">CALC!HH72</f>
        <v>44.03503635487</v>
      </c>
      <c r="D60" s="222" t="n">
        <f aca="false">IF(Summary!$O$109=0,CALC!HE72,0)</f>
        <v>22276.5039</v>
      </c>
      <c r="E60" s="222" t="n">
        <f aca="false">SUM(CALC!GU72:HB72)*CALC!CY72/1000</f>
        <v>73780.459140873</v>
      </c>
      <c r="F60" s="223" t="n">
        <f aca="false">Summary!$J$54</f>
        <v>0.15</v>
      </c>
      <c r="G60" s="164" t="n">
        <f aca="false">VLOOKUP(A60,CURVES!AW61:$BS$283,16)</f>
        <v>2.68607793120641</v>
      </c>
      <c r="H60" s="223" t="n">
        <f aca="false">Summary!$J$60</f>
        <v>0.04</v>
      </c>
      <c r="I60" s="165" t="n">
        <f aca="false">Summary!$J$55</f>
        <v>8.5</v>
      </c>
      <c r="J60" s="164" t="n">
        <f aca="false">I60*SUM(F60:H60)</f>
        <v>24.4466624152545</v>
      </c>
      <c r="K60" s="223" t="n">
        <f aca="false">Summary!$J$56</f>
        <v>3.75</v>
      </c>
      <c r="L60" s="0" t="n">
        <f aca="false">Summary!$O$23</f>
        <v>3.75</v>
      </c>
      <c r="M60" s="223" t="n">
        <f aca="false">Summary!$J$57</f>
        <v>1.75</v>
      </c>
      <c r="N60" s="164" t="n">
        <f aca="false">IF(C60&gt;0,C60-J60,0)</f>
        <v>19.5883739396155</v>
      </c>
      <c r="O60" s="223" t="n">
        <f aca="false">IF(N60&gt;0,IF(N60-SUM(K60:M60)&gt;0,N60-SUM(K60:M60),0),0)</f>
        <v>10.3383739396155</v>
      </c>
      <c r="P60" s="223" t="n">
        <f aca="false">O60*D60</f>
        <v>230302.827385503</v>
      </c>
      <c r="Q60" s="164" t="n">
        <f aca="false">IF(A60&lt;=Summary!$J$61,0.5*(P60),$Q$2*(P60))</f>
        <v>0</v>
      </c>
      <c r="R60" s="223" t="n">
        <f aca="false">Summary!$J$58</f>
        <v>0.5</v>
      </c>
      <c r="S60" s="223" t="n">
        <f aca="false">J60+(K60+L60+R60)</f>
        <v>32.4466624152545</v>
      </c>
      <c r="T60" s="224" t="n">
        <f aca="false">IF(D60*(C60-S60)-Q60&gt;0,D60*(C60-S60)-Q60,0)</f>
        <v>258148.457260503</v>
      </c>
      <c r="U60" s="225" t="n">
        <f aca="false">Summary!$J$59</f>
        <v>0.121048781448</v>
      </c>
      <c r="V60" s="224" t="n">
        <f aca="false">IF(A60&lt;=Summary!$J$61,(0.2*T60)+(R60*D60),(U60*T60)+(R60*D60))</f>
        <v>42386.808134065</v>
      </c>
      <c r="W60" s="226" t="n">
        <f aca="false">C60*D60</f>
        <v>980946.659095903</v>
      </c>
    </row>
    <row r="61" customFormat="false" ht="12.75" hidden="false" customHeight="false" outlineLevel="0" collapsed="false">
      <c r="A61" s="220" t="n">
        <v>38231</v>
      </c>
      <c r="B61" s="221" t="n">
        <f aca="false">YEAR(A61)</f>
        <v>2004</v>
      </c>
      <c r="C61" s="164" t="n">
        <f aca="false">CALC!HH73</f>
        <v>39.4446092099815</v>
      </c>
      <c r="D61" s="222" t="n">
        <f aca="false">IF(Summary!$O$109=0,CALC!HE73,0)</f>
        <v>21557.907</v>
      </c>
      <c r="E61" s="222" t="n">
        <f aca="false">SUM(CALC!GU73:HB73)*CALC!CY73/1000</f>
        <v>71412.4817723938</v>
      </c>
      <c r="F61" s="223" t="n">
        <f aca="false">Summary!$J$54</f>
        <v>0.15</v>
      </c>
      <c r="G61" s="164" t="n">
        <f aca="false">VLOOKUP(A61,CURVES!AW62:$BS$283,16)</f>
        <v>2.80237092481953</v>
      </c>
      <c r="H61" s="223" t="n">
        <f aca="false">Summary!$J$60</f>
        <v>0.04</v>
      </c>
      <c r="I61" s="165" t="n">
        <f aca="false">Summary!$J$55</f>
        <v>8.5</v>
      </c>
      <c r="J61" s="164" t="n">
        <f aca="false">I61*SUM(F61:H61)</f>
        <v>25.435152860966</v>
      </c>
      <c r="K61" s="223" t="n">
        <f aca="false">Summary!$J$56</f>
        <v>3.75</v>
      </c>
      <c r="L61" s="0" t="n">
        <f aca="false">Summary!$O$23</f>
        <v>3.75</v>
      </c>
      <c r="M61" s="223" t="n">
        <f aca="false">Summary!$J$57</f>
        <v>1.75</v>
      </c>
      <c r="N61" s="164" t="n">
        <f aca="false">IF(C61&gt;0,C61-J61,0)</f>
        <v>14.0094563490155</v>
      </c>
      <c r="O61" s="223" t="n">
        <f aca="false">IF(N61&gt;0,IF(N61-SUM(K61:M61)&gt;0,N61-SUM(K61:M61),0),0)</f>
        <v>4.75945634901546</v>
      </c>
      <c r="P61" s="223" t="n">
        <f aca="false">O61*D61</f>
        <v>102603.917342635</v>
      </c>
      <c r="Q61" s="164" t="n">
        <f aca="false">IF(A61&lt;=Summary!$J$61,0.5*(P61),$Q$2*(P61))</f>
        <v>0</v>
      </c>
      <c r="R61" s="223" t="n">
        <f aca="false">Summary!$J$58</f>
        <v>0.5</v>
      </c>
      <c r="S61" s="223" t="n">
        <f aca="false">J61+(K61+L61+R61)</f>
        <v>33.435152860966</v>
      </c>
      <c r="T61" s="224" t="n">
        <f aca="false">IF(D61*(C61-S61)-Q61&gt;0,D61*(C61-S61)-Q61,0)</f>
        <v>129551.301092635</v>
      </c>
      <c r="U61" s="225" t="n">
        <f aca="false">Summary!$J$59</f>
        <v>0.121048781448</v>
      </c>
      <c r="V61" s="224" t="n">
        <f aca="false">IF(A61&lt;=Summary!$J$61,(0.2*T61)+(R61*D61),(U61*T61)+(R61*D61))</f>
        <v>26460.9806322664</v>
      </c>
      <c r="W61" s="226" t="n">
        <f aca="false">C61*D61</f>
        <v>850343.217000124</v>
      </c>
    </row>
    <row r="62" customFormat="false" ht="12.75" hidden="false" customHeight="false" outlineLevel="0" collapsed="false">
      <c r="A62" s="220" t="n">
        <v>38261</v>
      </c>
      <c r="B62" s="221" t="n">
        <f aca="false">YEAR(A62)</f>
        <v>2004</v>
      </c>
      <c r="C62" s="164" t="n">
        <f aca="false">CALC!HH74</f>
        <v>35.5609394784775</v>
      </c>
      <c r="D62" s="222" t="n">
        <f aca="false">IF(Summary!$O$109=0,CALC!HE74,0)</f>
        <v>20950.521525</v>
      </c>
      <c r="E62" s="222" t="n">
        <f aca="false">SUM(CALC!GU74:HB74)*CALC!CY74/1000</f>
        <v>94306.8188893169</v>
      </c>
      <c r="F62" s="223" t="n">
        <f aca="false">Summary!$J$54</f>
        <v>0.15</v>
      </c>
      <c r="G62" s="164" t="n">
        <f aca="false">VLOOKUP(A62,CURVES!AW63:$BS$283,16)</f>
        <v>2.92690665438275</v>
      </c>
      <c r="H62" s="223" t="n">
        <f aca="false">Summary!$J$60</f>
        <v>0.04</v>
      </c>
      <c r="I62" s="165" t="n">
        <f aca="false">Summary!$J$55</f>
        <v>8.5</v>
      </c>
      <c r="J62" s="164" t="n">
        <f aca="false">I62*SUM(F62:H62)</f>
        <v>26.4937065622534</v>
      </c>
      <c r="K62" s="223" t="n">
        <f aca="false">Summary!$J$56</f>
        <v>3.75</v>
      </c>
      <c r="L62" s="0" t="n">
        <f aca="false">Summary!$O$23</f>
        <v>3.75</v>
      </c>
      <c r="M62" s="223" t="n">
        <f aca="false">Summary!$J$57</f>
        <v>1.75</v>
      </c>
      <c r="N62" s="164" t="n">
        <f aca="false">IF(C62&gt;0,C62-J62,0)</f>
        <v>9.06723291622417</v>
      </c>
      <c r="O62" s="223" t="n">
        <f aca="false">IF(N62&gt;0,IF(N62-SUM(K62:M62)&gt;0,N62-SUM(K62:M62),0),0)</f>
        <v>0</v>
      </c>
      <c r="P62" s="223" t="n">
        <f aca="false">O62*D62</f>
        <v>0</v>
      </c>
      <c r="Q62" s="164" t="n">
        <f aca="false">IF(A62&lt;=Summary!$J$61,0.5*(P62),$Q$2*(P62))</f>
        <v>0</v>
      </c>
      <c r="R62" s="223" t="n">
        <f aca="false">Summary!$J$58</f>
        <v>0.5</v>
      </c>
      <c r="S62" s="223" t="n">
        <f aca="false">J62+(K62+L62+R62)</f>
        <v>34.4937065622534</v>
      </c>
      <c r="T62" s="224" t="n">
        <f aca="false">IF(D62*(C62-S62)-Q62&gt;0,D62*(C62-S62)-Q62,0)</f>
        <v>22359.086183543</v>
      </c>
      <c r="U62" s="225" t="n">
        <f aca="false">Summary!$J$59</f>
        <v>0.121048781448</v>
      </c>
      <c r="V62" s="224" t="n">
        <f aca="false">IF(A62&lt;=Summary!$J$61,(0.2*T62)+(R62*D62),(U62*T62)+(R62*D62))</f>
        <v>13181.8008993087</v>
      </c>
      <c r="W62" s="226" t="n">
        <f aca="false">C62*D62</f>
        <v>745020.227993066</v>
      </c>
    </row>
    <row r="63" customFormat="false" ht="12.75" hidden="false" customHeight="false" outlineLevel="0" collapsed="false">
      <c r="A63" s="220" t="n">
        <v>38292</v>
      </c>
      <c r="B63" s="221" t="n">
        <f aca="false">YEAR(A63)</f>
        <v>2004</v>
      </c>
      <c r="C63" s="164" t="n">
        <f aca="false">CALC!HH75</f>
        <v>35.9684584252807</v>
      </c>
      <c r="D63" s="222" t="n">
        <f aca="false">IF(Summary!$O$109=0,CALC!HE75,0)</f>
        <v>20274.69825</v>
      </c>
      <c r="E63" s="222" t="n">
        <f aca="false">SUM(CALC!GU75:HB75)*CALC!CY75/1000</f>
        <v>91280.0446178234</v>
      </c>
      <c r="F63" s="223" t="n">
        <f aca="false">Summary!$J$54</f>
        <v>0.15</v>
      </c>
      <c r="G63" s="164" t="n">
        <f aca="false">VLOOKUP(A63,CURVES!AW64:$BS$283,16)</f>
        <v>3.0497113417739</v>
      </c>
      <c r="H63" s="223" t="n">
        <f aca="false">Summary!$J$60</f>
        <v>0.04</v>
      </c>
      <c r="I63" s="165" t="n">
        <f aca="false">Summary!$J$55</f>
        <v>8.5</v>
      </c>
      <c r="J63" s="164" t="n">
        <f aca="false">I63*SUM(F63:H63)</f>
        <v>27.5375464050781</v>
      </c>
      <c r="K63" s="223" t="n">
        <f aca="false">Summary!$J$56</f>
        <v>3.75</v>
      </c>
      <c r="L63" s="0" t="n">
        <f aca="false">Summary!$O$23</f>
        <v>3.75</v>
      </c>
      <c r="M63" s="223" t="n">
        <f aca="false">Summary!$J$57</f>
        <v>1.75</v>
      </c>
      <c r="N63" s="164" t="n">
        <f aca="false">IF(C63&gt;0,C63-J63,0)</f>
        <v>8.43091202020259</v>
      </c>
      <c r="O63" s="223" t="n">
        <f aca="false">IF(N63&gt;0,IF(N63-SUM(K63:M63)&gt;0,N63-SUM(K63:M63),0),0)</f>
        <v>0</v>
      </c>
      <c r="P63" s="223" t="n">
        <f aca="false">O63*D63</f>
        <v>0</v>
      </c>
      <c r="Q63" s="164" t="n">
        <f aca="false">IF(A63&lt;=Summary!$J$61,0.5*(P63),$Q$2*(P63))</f>
        <v>0</v>
      </c>
      <c r="R63" s="223" t="n">
        <f aca="false">Summary!$J$58</f>
        <v>0.5</v>
      </c>
      <c r="S63" s="223" t="n">
        <f aca="false">J63+(K63+L63+R63)</f>
        <v>35.5375464050781</v>
      </c>
      <c r="T63" s="224" t="n">
        <f aca="false">IF(D63*(C63-S63)-Q63&gt;0,D63*(C63-S63)-Q63,0)</f>
        <v>8736.61118190544</v>
      </c>
      <c r="U63" s="225" t="n">
        <f aca="false">Summary!$J$59</f>
        <v>0.121048781448</v>
      </c>
      <c r="V63" s="224" t="n">
        <f aca="false">IF(A63&lt;=Summary!$J$61,(0.2*T63)+(R63*D63),(U63*T63)+(R63*D63))</f>
        <v>11194.9052625546</v>
      </c>
      <c r="W63" s="226" t="n">
        <f aca="false">C63*D63</f>
        <v>729249.641090237</v>
      </c>
    </row>
    <row r="64" customFormat="false" ht="12.75" hidden="false" customHeight="false" outlineLevel="0" collapsed="false">
      <c r="A64" s="220" t="n">
        <v>38322</v>
      </c>
      <c r="B64" s="221" t="n">
        <f aca="false">YEAR(A64)</f>
        <v>2004</v>
      </c>
      <c r="C64" s="164" t="n">
        <f aca="false">CALC!HH76</f>
        <v>37.6455554130442</v>
      </c>
      <c r="D64" s="222" t="n">
        <f aca="false">IF(Summary!$O$109=0,CALC!HE76,0)</f>
        <v>20950.521525</v>
      </c>
      <c r="E64" s="222" t="n">
        <f aca="false">SUM(CALC!GU76:HB76)*CALC!CY76/1000</f>
        <v>94338.6066541849</v>
      </c>
      <c r="F64" s="223" t="n">
        <f aca="false">Summary!$J$54</f>
        <v>0.15</v>
      </c>
      <c r="G64" s="164" t="n">
        <f aca="false">VLOOKUP(A64,CURVES!AW65:$BS$283,16)</f>
        <v>3.17943112258934</v>
      </c>
      <c r="H64" s="223" t="n">
        <f aca="false">Summary!$J$60</f>
        <v>0.04</v>
      </c>
      <c r="I64" s="165" t="n">
        <f aca="false">Summary!$J$55</f>
        <v>8.5</v>
      </c>
      <c r="J64" s="164" t="n">
        <f aca="false">I64*SUM(F64:H64)</f>
        <v>28.6401645420094</v>
      </c>
      <c r="K64" s="223" t="n">
        <f aca="false">Summary!$J$56</f>
        <v>3.75</v>
      </c>
      <c r="L64" s="0" t="n">
        <f aca="false">Summary!$O$23</f>
        <v>3.75</v>
      </c>
      <c r="M64" s="223" t="n">
        <f aca="false">Summary!$J$57</f>
        <v>1.75</v>
      </c>
      <c r="N64" s="164" t="n">
        <f aca="false">IF(C64&gt;0,C64-J64,0)</f>
        <v>9.0053908710348</v>
      </c>
      <c r="O64" s="223" t="n">
        <f aca="false">IF(N64&gt;0,IF(N64-SUM(K64:M64)&gt;0,N64-SUM(K64:M64),0),0)</f>
        <v>0</v>
      </c>
      <c r="P64" s="223" t="n">
        <f aca="false">O64*D64</f>
        <v>0</v>
      </c>
      <c r="Q64" s="164" t="n">
        <f aca="false">IF(A64&lt;=Summary!$J$61,0.5*(P64),$Q$2*(P64))</f>
        <v>0</v>
      </c>
      <c r="R64" s="223" t="n">
        <f aca="false">Summary!$J$58</f>
        <v>0.5</v>
      </c>
      <c r="S64" s="223" t="n">
        <f aca="false">J64+(K64+L64+R64)</f>
        <v>36.6401645420094</v>
      </c>
      <c r="T64" s="224" t="n">
        <f aca="false">IF(D64*(C64-S64)-Q64&gt;0,D64*(C64-S64)-Q64,0)</f>
        <v>21063.4630846532</v>
      </c>
      <c r="U64" s="225" t="n">
        <f aca="false">Summary!$J$59</f>
        <v>0.121048781448</v>
      </c>
      <c r="V64" s="224" t="n">
        <f aca="false">IF(A64&lt;=Summary!$J$61,(0.2*T64)+(R64*D64),(U64*T64)+(R64*D64))</f>
        <v>13024.9673019722</v>
      </c>
      <c r="W64" s="226" t="n">
        <f aca="false">C64*D64</f>
        <v>788694.019001563</v>
      </c>
    </row>
    <row r="65" customFormat="false" ht="12.75" hidden="false" customHeight="false" outlineLevel="0" collapsed="false">
      <c r="A65" s="220" t="n">
        <v>38353</v>
      </c>
      <c r="B65" s="221" t="n">
        <f aca="false">YEAR(A65)</f>
        <v>2005</v>
      </c>
      <c r="C65" s="164" t="n">
        <f aca="false">CALC!HH77</f>
        <v>37.6946835696356</v>
      </c>
      <c r="D65" s="222" t="n">
        <f aca="false">IF(Summary!$O$109=0,CALC!HE77,0)</f>
        <v>20950.521525</v>
      </c>
      <c r="E65" s="222" t="n">
        <f aca="false">SUM(CALC!GU77:HB77)*CALC!CY77/1000</f>
        <v>94354.5005366189</v>
      </c>
      <c r="F65" s="223" t="n">
        <f aca="false">Summary!$J$54</f>
        <v>0.15</v>
      </c>
      <c r="G65" s="164" t="n">
        <f aca="false">VLOOKUP(A65,CURVES!AW66:$BS$283,16)</f>
        <v>3.04617211779335</v>
      </c>
      <c r="H65" s="223" t="n">
        <f aca="false">Summary!$J$60</f>
        <v>0.04</v>
      </c>
      <c r="I65" s="165" t="n">
        <f aca="false">Summary!$J$55</f>
        <v>8.5</v>
      </c>
      <c r="J65" s="164" t="n">
        <f aca="false">I65*SUM(F65:H65)</f>
        <v>27.5074630012435</v>
      </c>
      <c r="K65" s="223" t="n">
        <f aca="false">Summary!$J$56</f>
        <v>3.75</v>
      </c>
      <c r="L65" s="0" t="n">
        <f aca="false">Summary!$O$23</f>
        <v>3.75</v>
      </c>
      <c r="M65" s="223" t="n">
        <f aca="false">Summary!$J$57</f>
        <v>1.75</v>
      </c>
      <c r="N65" s="164" t="n">
        <f aca="false">IF(C65&gt;0,C65-J65,0)</f>
        <v>10.1872205683921</v>
      </c>
      <c r="O65" s="223" t="n">
        <f aca="false">IF(N65&gt;0,IF(N65-SUM(K65:M65)&gt;0,N65-SUM(K65:M65),0),0)</f>
        <v>0.937220568392132</v>
      </c>
      <c r="P65" s="223" t="n">
        <f aca="false">O65*D65</f>
        <v>19635.2596917721</v>
      </c>
      <c r="Q65" s="164" t="n">
        <f aca="false">IF(A65&lt;=Summary!$J$61,0.5*(P65),$Q$2*(P65))</f>
        <v>0</v>
      </c>
      <c r="R65" s="223" t="n">
        <f aca="false">Summary!$J$58</f>
        <v>0.5</v>
      </c>
      <c r="S65" s="223" t="n">
        <f aca="false">J65+(K65+L65+R65)</f>
        <v>35.5074630012435</v>
      </c>
      <c r="T65" s="224" t="n">
        <f aca="false">IF(D65*(C65-S65)-Q65&gt;0,D65*(C65-S65)-Q65,0)</f>
        <v>45823.4115980222</v>
      </c>
      <c r="U65" s="225" t="n">
        <f aca="false">Summary!$J$59</f>
        <v>0.121048781448</v>
      </c>
      <c r="V65" s="224" t="n">
        <f aca="false">IF(A65&lt;=Summary!$J$61,(0.2*T65)+(R65*D65),(U65*T65)+(R65*D65))</f>
        <v>16022.1288982307</v>
      </c>
      <c r="W65" s="226" t="n">
        <f aca="false">C65*D65</f>
        <v>789723.279503714</v>
      </c>
    </row>
    <row r="66" customFormat="false" ht="12.75" hidden="false" customHeight="false" outlineLevel="0" collapsed="false">
      <c r="A66" s="220" t="n">
        <v>38384</v>
      </c>
      <c r="B66" s="221" t="n">
        <f aca="false">YEAR(A66)</f>
        <v>2005</v>
      </c>
      <c r="C66" s="164" t="n">
        <f aca="false">CALC!HH78</f>
        <v>31.1262877122428</v>
      </c>
      <c r="D66" s="222" t="n">
        <f aca="false">IF(Summary!$O$109=0,CALC!HE78,0)</f>
        <v>18923.0517</v>
      </c>
      <c r="E66" s="222" t="n">
        <f aca="false">SUM(CALC!GU78:HB78)*CALC!CY78/1000</f>
        <v>85237.7756043059</v>
      </c>
      <c r="F66" s="223" t="n">
        <f aca="false">Summary!$J$54</f>
        <v>0.15</v>
      </c>
      <c r="G66" s="164" t="n">
        <f aca="false">VLOOKUP(A66,CURVES!AW67:$BS$283,16)</f>
        <v>2.81349706412964</v>
      </c>
      <c r="H66" s="223" t="n">
        <f aca="false">Summary!$J$60</f>
        <v>0.04</v>
      </c>
      <c r="I66" s="165" t="n">
        <f aca="false">Summary!$J$55</f>
        <v>8.5</v>
      </c>
      <c r="J66" s="164" t="n">
        <f aca="false">I66*SUM(F66:H66)</f>
        <v>25.529725045102</v>
      </c>
      <c r="K66" s="223" t="n">
        <f aca="false">Summary!$J$56</f>
        <v>3.75</v>
      </c>
      <c r="L66" s="0" t="n">
        <f aca="false">Summary!$O$23</f>
        <v>3.75</v>
      </c>
      <c r="M66" s="223" t="n">
        <f aca="false">Summary!$J$57</f>
        <v>1.75</v>
      </c>
      <c r="N66" s="164" t="n">
        <f aca="false">IF(C66&gt;0,C66-J66,0)</f>
        <v>5.59656266714083</v>
      </c>
      <c r="O66" s="223" t="n">
        <f aca="false">IF(N66&gt;0,IF(N66-SUM(K66:M66)&gt;0,N66-SUM(K66:M66),0),0)</f>
        <v>0</v>
      </c>
      <c r="P66" s="223" t="n">
        <f aca="false">O66*D66</f>
        <v>0</v>
      </c>
      <c r="Q66" s="164" t="n">
        <f aca="false">IF(A66&lt;=Summary!$J$61,0.5*(P66),$Q$2*(P66))</f>
        <v>0</v>
      </c>
      <c r="R66" s="223" t="n">
        <f aca="false">Summary!$J$58</f>
        <v>0.5</v>
      </c>
      <c r="S66" s="223" t="n">
        <f aca="false">J66+(K66+L66+R66)</f>
        <v>33.529725045102</v>
      </c>
      <c r="T66" s="224" t="n">
        <f aca="false">IF(D66*(C66-S66)-Q66&gt;0,D66*(C66-S66)-Q66,0)</f>
        <v>0</v>
      </c>
      <c r="U66" s="225" t="n">
        <f aca="false">Summary!$J$59</f>
        <v>0.121048781448</v>
      </c>
      <c r="V66" s="224" t="n">
        <f aca="false">IF(A66&lt;=Summary!$J$61,(0.2*T66)+(R66*D66),(U66*T66)+(R66*D66))</f>
        <v>9461.52585</v>
      </c>
      <c r="W66" s="226" t="n">
        <f aca="false">C66*D66</f>
        <v>589004.351607845</v>
      </c>
    </row>
    <row r="67" customFormat="false" ht="12.75" hidden="false" customHeight="false" outlineLevel="0" collapsed="false">
      <c r="A67" s="220" t="n">
        <v>38412</v>
      </c>
      <c r="B67" s="221" t="n">
        <f aca="false">YEAR(A67)</f>
        <v>2005</v>
      </c>
      <c r="C67" s="164" t="n">
        <f aca="false">CALC!HH79</f>
        <v>28.3936279084762</v>
      </c>
      <c r="D67" s="222" t="n">
        <f aca="false">IF(Summary!$O$109=0,CALC!HE79,0)</f>
        <v>14320.60965</v>
      </c>
      <c r="E67" s="222" t="n">
        <f aca="false">SUM(CALC!GU79:HB79)*CALC!CY79/1000</f>
        <v>94386.2883014869</v>
      </c>
      <c r="F67" s="223" t="n">
        <f aca="false">Summary!$J$54</f>
        <v>0.15</v>
      </c>
      <c r="G67" s="164" t="n">
        <f aca="false">VLOOKUP(A67,CURVES!AW68:$BS$283,16)</f>
        <v>2.66245885350202</v>
      </c>
      <c r="H67" s="223" t="n">
        <f aca="false">Summary!$J$60</f>
        <v>0.04</v>
      </c>
      <c r="I67" s="165" t="n">
        <f aca="false">Summary!$J$55</f>
        <v>8.5</v>
      </c>
      <c r="J67" s="164" t="n">
        <f aca="false">I67*SUM(F67:H67)</f>
        <v>24.2459002547672</v>
      </c>
      <c r="K67" s="223" t="n">
        <f aca="false">Summary!$J$56</f>
        <v>3.75</v>
      </c>
      <c r="L67" s="0" t="n">
        <f aca="false">Summary!$O$23</f>
        <v>3.75</v>
      </c>
      <c r="M67" s="223" t="n">
        <f aca="false">Summary!$J$57</f>
        <v>1.75</v>
      </c>
      <c r="N67" s="164" t="n">
        <f aca="false">IF(C67&gt;0,C67-J67,0)</f>
        <v>4.14772765370898</v>
      </c>
      <c r="O67" s="223" t="n">
        <f aca="false">IF(N67&gt;0,IF(N67-SUM(K67:M67)&gt;0,N67-SUM(K67:M67),0),0)</f>
        <v>0</v>
      </c>
      <c r="P67" s="223" t="n">
        <f aca="false">O67*D67</f>
        <v>0</v>
      </c>
      <c r="Q67" s="164" t="n">
        <f aca="false">IF(A67&lt;=Summary!$J$61,0.5*(P67),$Q$2*(P67))</f>
        <v>0</v>
      </c>
      <c r="R67" s="223" t="n">
        <f aca="false">Summary!$J$58</f>
        <v>0.5</v>
      </c>
      <c r="S67" s="223" t="n">
        <f aca="false">J67+(K67+L67+R67)</f>
        <v>32.2459002547672</v>
      </c>
      <c r="T67" s="224" t="n">
        <f aca="false">IF(D67*(C67-S67)-Q67&gt;0,D67*(C67-S67)-Q67,0)</f>
        <v>0</v>
      </c>
      <c r="U67" s="225" t="n">
        <f aca="false">Summary!$J$59</f>
        <v>0.121048781448</v>
      </c>
      <c r="V67" s="224" t="n">
        <f aca="false">IF(A67&lt;=Summary!$J$61,(0.2*T67)+(R67*D67),(U67*T67)+(R67*D67))</f>
        <v>7160.304825</v>
      </c>
      <c r="W67" s="226" t="n">
        <f aca="false">C67*D67</f>
        <v>406614.061824633</v>
      </c>
    </row>
    <row r="68" customFormat="false" ht="12.75" hidden="false" customHeight="false" outlineLevel="0" collapsed="false">
      <c r="A68" s="220" t="n">
        <v>38443</v>
      </c>
      <c r="B68" s="221" t="n">
        <f aca="false">YEAR(A68)</f>
        <v>2005</v>
      </c>
      <c r="C68" s="164" t="n">
        <f aca="false">CALC!HH80</f>
        <v>29.2329774520384</v>
      </c>
      <c r="D68" s="222" t="n">
        <f aca="false">IF(Summary!$O$109=0,CALC!HE80,0)</f>
        <v>13858.6545</v>
      </c>
      <c r="E68" s="222" t="n">
        <f aca="false">SUM(CALC!GU80:HB80)*CALC!CY80/1000</f>
        <v>91356.9505005686</v>
      </c>
      <c r="F68" s="223" t="n">
        <f aca="false">Summary!$J$54</f>
        <v>0.15</v>
      </c>
      <c r="G68" s="164" t="n">
        <f aca="false">VLOOKUP(A68,CURVES!AW69:$BS$283,16)</f>
        <v>2.58258318724117</v>
      </c>
      <c r="H68" s="223" t="n">
        <f aca="false">Summary!$J$60</f>
        <v>0.04</v>
      </c>
      <c r="I68" s="165" t="n">
        <f aca="false">Summary!$J$55</f>
        <v>8.5</v>
      </c>
      <c r="J68" s="164" t="n">
        <f aca="false">I68*SUM(F68:H68)</f>
        <v>23.5669570915499</v>
      </c>
      <c r="K68" s="223" t="n">
        <f aca="false">Summary!$J$56</f>
        <v>3.75</v>
      </c>
      <c r="L68" s="0" t="n">
        <f aca="false">Summary!$O$23</f>
        <v>3.75</v>
      </c>
      <c r="M68" s="223" t="n">
        <f aca="false">Summary!$J$57</f>
        <v>1.75</v>
      </c>
      <c r="N68" s="164" t="n">
        <f aca="false">IF(C68&gt;0,C68-J68,0)</f>
        <v>5.66602036048848</v>
      </c>
      <c r="O68" s="223" t="n">
        <f aca="false">IF(N68&gt;0,IF(N68-SUM(K68:M68)&gt;0,N68-SUM(K68:M68),0),0)</f>
        <v>0</v>
      </c>
      <c r="P68" s="223" t="n">
        <f aca="false">O68*D68</f>
        <v>0</v>
      </c>
      <c r="Q68" s="164" t="n">
        <f aca="false">IF(A68&lt;=Summary!$J$61,0.5*(P68),$Q$2*(P68))</f>
        <v>0</v>
      </c>
      <c r="R68" s="223" t="n">
        <f aca="false">Summary!$J$58</f>
        <v>0.5</v>
      </c>
      <c r="S68" s="223" t="n">
        <f aca="false">J68+(K68+L68+R68)</f>
        <v>31.5669570915499</v>
      </c>
      <c r="T68" s="224" t="n">
        <f aca="false">IF(D68*(C68-S68)-Q68&gt;0,D68*(C68-S68)-Q68,0)</f>
        <v>0</v>
      </c>
      <c r="U68" s="225" t="n">
        <f aca="false">Summary!$J$59</f>
        <v>0.121048781448</v>
      </c>
      <c r="V68" s="224" t="n">
        <f aca="false">IF(A68&lt;=Summary!$J$61,(0.2*T68)+(R68*D68),(U68*T68)+(R68*D68))</f>
        <v>6929.32725</v>
      </c>
      <c r="W68" s="226" t="n">
        <f aca="false">C68*D68</f>
        <v>405129.73451409</v>
      </c>
    </row>
    <row r="69" customFormat="false" ht="12.75" hidden="false" customHeight="false" outlineLevel="0" collapsed="false">
      <c r="A69" s="220" t="n">
        <v>38473</v>
      </c>
      <c r="B69" s="221" t="n">
        <f aca="false">YEAR(A69)</f>
        <v>2005</v>
      </c>
      <c r="C69" s="164" t="n">
        <f aca="false">CALC!HH81</f>
        <v>29.3997214693298</v>
      </c>
      <c r="D69" s="222" t="n">
        <f aca="false">IF(Summary!$O$109=0,CALC!HE81,0)</f>
        <v>22276.5039</v>
      </c>
      <c r="E69" s="222" t="n">
        <f aca="false">SUM(CALC!GU81:HB81)*CALC!CY81/1000</f>
        <v>73892.4073562778</v>
      </c>
      <c r="F69" s="223" t="n">
        <f aca="false">Summary!$J$54</f>
        <v>0.15</v>
      </c>
      <c r="G69" s="164" t="n">
        <f aca="false">VLOOKUP(A69,CURVES!AW70:$BS$283,16)</f>
        <v>2.56310614372441</v>
      </c>
      <c r="H69" s="223" t="n">
        <f aca="false">Summary!$J$60</f>
        <v>0.04</v>
      </c>
      <c r="I69" s="165" t="n">
        <f aca="false">Summary!$J$55</f>
        <v>8.5</v>
      </c>
      <c r="J69" s="164" t="n">
        <f aca="false">I69*SUM(F69:H69)</f>
        <v>23.4014022216575</v>
      </c>
      <c r="K69" s="223" t="n">
        <f aca="false">Summary!$J$56</f>
        <v>3.75</v>
      </c>
      <c r="L69" s="0" t="n">
        <f aca="false">Summary!$O$23</f>
        <v>3.75</v>
      </c>
      <c r="M69" s="223" t="n">
        <f aca="false">Summary!$J$57</f>
        <v>1.75</v>
      </c>
      <c r="N69" s="164" t="n">
        <f aca="false">IF(C69&gt;0,C69-J69,0)</f>
        <v>5.99831924767228</v>
      </c>
      <c r="O69" s="223" t="n">
        <f aca="false">IF(N69&gt;0,IF(N69-SUM(K69:M69)&gt;0,N69-SUM(K69:M69),0),0)</f>
        <v>0</v>
      </c>
      <c r="P69" s="223" t="n">
        <f aca="false">O69*D69</f>
        <v>0</v>
      </c>
      <c r="Q69" s="164" t="n">
        <f aca="false">IF(A69&lt;=Summary!$J$61,0.5*(P69),$Q$2*(P69))</f>
        <v>0</v>
      </c>
      <c r="R69" s="223" t="n">
        <f aca="false">Summary!$J$58</f>
        <v>0.5</v>
      </c>
      <c r="S69" s="223" t="n">
        <f aca="false">J69+(K69+L69+R69)</f>
        <v>31.4014022216575</v>
      </c>
      <c r="T69" s="224" t="n">
        <f aca="false">IF(D69*(C69-S69)-Q69&gt;0,D69*(C69-S69)-Q69,0)</f>
        <v>0</v>
      </c>
      <c r="U69" s="225" t="n">
        <f aca="false">Summary!$J$59</f>
        <v>0.121048781448</v>
      </c>
      <c r="V69" s="224" t="n">
        <f aca="false">IF(A69&lt;=Summary!$J$61,(0.2*T69)+(R69*D69),(U69*T69)+(R69*D69))</f>
        <v>11138.25195</v>
      </c>
      <c r="W69" s="226" t="n">
        <f aca="false">C69*D69</f>
        <v>654923.009970438</v>
      </c>
    </row>
    <row r="70" customFormat="false" ht="12.75" hidden="false" customHeight="false" outlineLevel="0" collapsed="false">
      <c r="A70" s="220" t="n">
        <v>38504</v>
      </c>
      <c r="B70" s="221" t="n">
        <f aca="false">YEAR(A70)</f>
        <v>2005</v>
      </c>
      <c r="C70" s="164" t="n">
        <f aca="false">CALC!HH82</f>
        <v>27.7358151794931</v>
      </c>
      <c r="D70" s="222" t="n">
        <f aca="false">IF(Summary!$O$109=0,CALC!HE82,0)</f>
        <v>16425.072</v>
      </c>
      <c r="E70" s="222" t="n">
        <f aca="false">SUM(CALC!GU82:HB82)*CALC!CY82/1000</f>
        <v>31787.0305577971</v>
      </c>
      <c r="F70" s="223" t="n">
        <f aca="false">Summary!$J$54</f>
        <v>0.15</v>
      </c>
      <c r="G70" s="164" t="n">
        <f aca="false">VLOOKUP(A70,CURVES!AW71:$BS$283,16)</f>
        <v>2.59406698620892</v>
      </c>
      <c r="H70" s="223" t="n">
        <f aca="false">Summary!$J$60</f>
        <v>0.04</v>
      </c>
      <c r="I70" s="165" t="n">
        <f aca="false">Summary!$J$55</f>
        <v>8.5</v>
      </c>
      <c r="J70" s="164" t="n">
        <f aca="false">I70*SUM(F70:H70)</f>
        <v>23.6645693827758</v>
      </c>
      <c r="K70" s="223" t="n">
        <f aca="false">Summary!$J$56</f>
        <v>3.75</v>
      </c>
      <c r="L70" s="0" t="n">
        <f aca="false">Summary!$O$23</f>
        <v>3.75</v>
      </c>
      <c r="M70" s="223" t="n">
        <f aca="false">Summary!$J$57</f>
        <v>1.75</v>
      </c>
      <c r="N70" s="164" t="n">
        <f aca="false">IF(C70&gt;0,C70-J70,0)</f>
        <v>4.07124579671723</v>
      </c>
      <c r="O70" s="223" t="n">
        <f aca="false">IF(N70&gt;0,IF(N70-SUM(K70:M70)&gt;0,N70-SUM(K70:M70),0),0)</f>
        <v>0</v>
      </c>
      <c r="P70" s="223" t="n">
        <f aca="false">O70*D70</f>
        <v>0</v>
      </c>
      <c r="Q70" s="164" t="n">
        <f aca="false">IF(A70&lt;=Summary!$J$61,0.5*(P70),$Q$2*(P70))</f>
        <v>0</v>
      </c>
      <c r="R70" s="223" t="n">
        <f aca="false">Summary!$J$58</f>
        <v>0.5</v>
      </c>
      <c r="S70" s="223" t="n">
        <f aca="false">J70+(K70+L70+R70)</f>
        <v>31.6645693827758</v>
      </c>
      <c r="T70" s="224" t="n">
        <f aca="false">IF(D70*(C70-S70)-Q70&gt;0,D70*(C70-S70)-Q70,0)</f>
        <v>0</v>
      </c>
      <c r="U70" s="225" t="n">
        <f aca="false">Summary!$J$59</f>
        <v>0.121048781448</v>
      </c>
      <c r="V70" s="224" t="n">
        <f aca="false">IF(A70&lt;=Summary!$J$61,(0.2*T70)+(R70*D70),(U70*T70)+(R70*D70))</f>
        <v>8212.536</v>
      </c>
      <c r="W70" s="226" t="n">
        <f aca="false">C70*D70</f>
        <v>455562.761301866</v>
      </c>
    </row>
    <row r="71" customFormat="false" ht="12.75" hidden="false" customHeight="false" outlineLevel="0" collapsed="false">
      <c r="A71" s="220" t="n">
        <v>38534</v>
      </c>
      <c r="B71" s="221" t="n">
        <f aca="false">YEAR(A71)</f>
        <v>2005</v>
      </c>
      <c r="C71" s="164" t="n">
        <f aca="false">CALC!HH83</f>
        <v>39.4714791750593</v>
      </c>
      <c r="D71" s="222" t="n">
        <f aca="false">IF(Summary!$O$109=0,CALC!HE83,0)</f>
        <v>22276.5039</v>
      </c>
      <c r="E71" s="222" t="n">
        <f aca="false">SUM(CALC!GU83:HB83)*CALC!CY83/1000</f>
        <v>73917.2847374788</v>
      </c>
      <c r="F71" s="223" t="n">
        <f aca="false">Summary!$J$54</f>
        <v>0.15</v>
      </c>
      <c r="G71" s="164" t="n">
        <f aca="false">VLOOKUP(A71,CURVES!AW72:$BS$283,16)</f>
        <v>2.66487487311608</v>
      </c>
      <c r="H71" s="223" t="n">
        <f aca="false">Summary!$J$60</f>
        <v>0.04</v>
      </c>
      <c r="I71" s="165" t="n">
        <f aca="false">Summary!$J$55</f>
        <v>8.5</v>
      </c>
      <c r="J71" s="164" t="n">
        <f aca="false">I71*SUM(F71:H71)</f>
        <v>24.2664364214867</v>
      </c>
      <c r="K71" s="223" t="n">
        <f aca="false">Summary!$J$56</f>
        <v>3.75</v>
      </c>
      <c r="L71" s="0" t="n">
        <f aca="false">Summary!$O$23</f>
        <v>3.75</v>
      </c>
      <c r="M71" s="223" t="n">
        <f aca="false">Summary!$J$57</f>
        <v>1.75</v>
      </c>
      <c r="N71" s="164" t="n">
        <f aca="false">IF(C71&gt;0,C71-J71,0)</f>
        <v>15.2050427535726</v>
      </c>
      <c r="O71" s="223" t="n">
        <f aca="false">IF(N71&gt;0,IF(N71-SUM(K71:M71)&gt;0,N71-SUM(K71:M71),0),0)</f>
        <v>5.95504275357265</v>
      </c>
      <c r="P71" s="223" t="n">
        <f aca="false">O71*D71</f>
        <v>132657.533124628</v>
      </c>
      <c r="Q71" s="164" t="n">
        <f aca="false">IF(A71&lt;=Summary!$J$61,0.5*(P71),$Q$2*(P71))</f>
        <v>0</v>
      </c>
      <c r="R71" s="223" t="n">
        <f aca="false">Summary!$J$58</f>
        <v>0.5</v>
      </c>
      <c r="S71" s="223" t="n">
        <f aca="false">J71+(K71+L71+R71)</f>
        <v>32.2664364214867</v>
      </c>
      <c r="T71" s="224" t="n">
        <f aca="false">IF(D71*(C71-S71)-Q71&gt;0,D71*(C71-S71)-Q71,0)</f>
        <v>160503.162999628</v>
      </c>
      <c r="U71" s="225" t="n">
        <f aca="false">Summary!$J$59</f>
        <v>0.121048781448</v>
      </c>
      <c r="V71" s="224" t="n">
        <f aca="false">IF(A71&lt;=Summary!$J$61,(0.2*T71)+(R71*D71),(U71*T71)+(R71*D71))</f>
        <v>30566.9642496547</v>
      </c>
      <c r="W71" s="226" t="n">
        <f aca="false">C71*D71</f>
        <v>879286.559781978</v>
      </c>
    </row>
    <row r="72" customFormat="false" ht="12.75" hidden="false" customHeight="false" outlineLevel="0" collapsed="false">
      <c r="A72" s="220" t="n">
        <v>38565</v>
      </c>
      <c r="B72" s="221" t="n">
        <f aca="false">YEAR(A72)</f>
        <v>2005</v>
      </c>
      <c r="C72" s="164" t="n">
        <f aca="false">CALC!HH84</f>
        <v>55.8416248235282</v>
      </c>
      <c r="D72" s="222" t="n">
        <f aca="false">IF(Summary!$O$109=0,CALC!HE84,0)</f>
        <v>22276.5039</v>
      </c>
      <c r="E72" s="222" t="n">
        <f aca="false">SUM(CALC!GU84:HB84)*CALC!CY84/1000</f>
        <v>73929.7234280794</v>
      </c>
      <c r="F72" s="223" t="n">
        <f aca="false">Summary!$J$54</f>
        <v>0.15</v>
      </c>
      <c r="G72" s="164" t="n">
        <f aca="false">VLOOKUP(A72,CURVES!AW73:$BS$283,16)</f>
        <v>2.7654367785003</v>
      </c>
      <c r="H72" s="223" t="n">
        <f aca="false">Summary!$J$60</f>
        <v>0.04</v>
      </c>
      <c r="I72" s="165" t="n">
        <f aca="false">Summary!$J$55</f>
        <v>8.5</v>
      </c>
      <c r="J72" s="164" t="n">
        <f aca="false">I72*SUM(F72:H72)</f>
        <v>25.1212126172525</v>
      </c>
      <c r="K72" s="223" t="n">
        <f aca="false">Summary!$J$56</f>
        <v>3.75</v>
      </c>
      <c r="L72" s="0" t="n">
        <f aca="false">Summary!$O$23</f>
        <v>3.75</v>
      </c>
      <c r="M72" s="223" t="n">
        <f aca="false">Summary!$J$57</f>
        <v>1.75</v>
      </c>
      <c r="N72" s="164" t="n">
        <f aca="false">IF(C72&gt;0,C72-J72,0)</f>
        <v>30.7204122062757</v>
      </c>
      <c r="O72" s="223" t="n">
        <f aca="false">IF(N72&gt;0,IF(N72-SUM(K72:M72)&gt;0,N72-SUM(K72:M72),0),0)</f>
        <v>21.4704122062757</v>
      </c>
      <c r="P72" s="223" t="n">
        <f aca="false">O72*D72</f>
        <v>478285.721247707</v>
      </c>
      <c r="Q72" s="164" t="n">
        <f aca="false">IF(A72&lt;=Summary!$J$61,0.5*(P72),$Q$2*(P72))</f>
        <v>0</v>
      </c>
      <c r="R72" s="223" t="n">
        <f aca="false">Summary!$J$58</f>
        <v>0.5</v>
      </c>
      <c r="S72" s="223" t="n">
        <f aca="false">J72+(K72+L72+R72)</f>
        <v>33.1212126172525</v>
      </c>
      <c r="T72" s="224" t="n">
        <f aca="false">IF(D72*(C72-S72)-Q72&gt;0,D72*(C72-S72)-Q72,0)</f>
        <v>506131.351122707</v>
      </c>
      <c r="U72" s="225" t="n">
        <f aca="false">Summary!$J$59</f>
        <v>0.121048781448</v>
      </c>
      <c r="V72" s="224" t="n">
        <f aca="false">IF(A72&lt;=Summary!$J$61,(0.2*T72)+(R72*D72),(U72*T72)+(R72*D72))</f>
        <v>72404.8352560336</v>
      </c>
      <c r="W72" s="226" t="n">
        <f aca="false">C72*D72</f>
        <v>1243956.17316366</v>
      </c>
    </row>
    <row r="73" customFormat="false" ht="12.75" hidden="false" customHeight="false" outlineLevel="0" collapsed="false">
      <c r="A73" s="220" t="n">
        <v>38596</v>
      </c>
      <c r="B73" s="221" t="n">
        <f aca="false">YEAR(A73)</f>
        <v>2005</v>
      </c>
      <c r="C73" s="164" t="n">
        <f aca="false">CALC!HH85</f>
        <v>46.0271192462548</v>
      </c>
      <c r="D73" s="222" t="n">
        <f aca="false">IF(Summary!$O$109=0,CALC!HE85,0)</f>
        <v>21557.907</v>
      </c>
      <c r="E73" s="222" t="n">
        <f aca="false">SUM(CALC!GU85:HB85)*CALC!CY85/1000</f>
        <v>71556.9310825934</v>
      </c>
      <c r="F73" s="223" t="n">
        <f aca="false">Summary!$J$54</f>
        <v>0.15</v>
      </c>
      <c r="G73" s="164" t="n">
        <f aca="false">VLOOKUP(A73,CURVES!AW74:$BS$283,16)</f>
        <v>2.88516559123626</v>
      </c>
      <c r="H73" s="223" t="n">
        <f aca="false">Summary!$J$60</f>
        <v>0.04</v>
      </c>
      <c r="I73" s="165" t="n">
        <f aca="false">Summary!$J$55</f>
        <v>8.5</v>
      </c>
      <c r="J73" s="164" t="n">
        <f aca="false">I73*SUM(F73:H73)</f>
        <v>26.1389075255082</v>
      </c>
      <c r="K73" s="223" t="n">
        <f aca="false">Summary!$J$56</f>
        <v>3.75</v>
      </c>
      <c r="L73" s="0" t="n">
        <f aca="false">Summary!$O$23</f>
        <v>3.75</v>
      </c>
      <c r="M73" s="223" t="n">
        <f aca="false">Summary!$J$57</f>
        <v>1.75</v>
      </c>
      <c r="N73" s="164" t="n">
        <f aca="false">IF(C73&gt;0,C73-J73,0)</f>
        <v>19.8882117207466</v>
      </c>
      <c r="O73" s="223" t="n">
        <f aca="false">IF(N73&gt;0,IF(N73-SUM(K73:M73)&gt;0,N73-SUM(K73:M73),0),0)</f>
        <v>10.6382117207466</v>
      </c>
      <c r="P73" s="223" t="n">
        <f aca="false">O73*D73</f>
        <v>229337.578922164</v>
      </c>
      <c r="Q73" s="164" t="n">
        <f aca="false">IF(A73&lt;=Summary!$J$61,0.5*(P73),$Q$2*(P73))</f>
        <v>0</v>
      </c>
      <c r="R73" s="223" t="n">
        <f aca="false">Summary!$J$58</f>
        <v>0.5</v>
      </c>
      <c r="S73" s="223" t="n">
        <f aca="false">J73+(K73+L73+R73)</f>
        <v>34.1389075255082</v>
      </c>
      <c r="T73" s="224" t="n">
        <f aca="false">IF(D73*(C73-S73)-Q73&gt;0,D73*(C73-S73)-Q73,0)</f>
        <v>256284.962672164</v>
      </c>
      <c r="U73" s="225" t="n">
        <f aca="false">Summary!$J$59</f>
        <v>0.121048781448</v>
      </c>
      <c r="V73" s="224" t="n">
        <f aca="false">IF(A73&lt;=Summary!$J$61,(0.2*T73)+(R73*D73),(U73*T73)+(R73*D73))</f>
        <v>41801.9359349116</v>
      </c>
      <c r="W73" s="226" t="n">
        <f aca="false">C73*D73</f>
        <v>992248.356188671</v>
      </c>
    </row>
    <row r="74" customFormat="false" ht="12.75" hidden="false" customHeight="false" outlineLevel="0" collapsed="false">
      <c r="A74" s="220" t="n">
        <v>38626</v>
      </c>
      <c r="B74" s="221" t="n">
        <f aca="false">YEAR(A74)</f>
        <v>2005</v>
      </c>
      <c r="C74" s="164" t="n">
        <f aca="false">CALC!HH86</f>
        <v>40.556754397997</v>
      </c>
      <c r="D74" s="222" t="n">
        <f aca="false">IF(Summary!$O$109=0,CALC!HE86,0)</f>
        <v>20950.521525</v>
      </c>
      <c r="E74" s="222" t="n">
        <f aca="false">SUM(CALC!GU86:HB86)*CALC!CY86/1000</f>
        <v>94497.545478525</v>
      </c>
      <c r="F74" s="223" t="n">
        <f aca="false">Summary!$J$54</f>
        <v>0.15</v>
      </c>
      <c r="G74" s="164" t="n">
        <f aca="false">VLOOKUP(A74,CURVES!AW75:$BS$283,16)</f>
        <v>3.01338066748939</v>
      </c>
      <c r="H74" s="223" t="n">
        <f aca="false">Summary!$J$60</f>
        <v>0.04</v>
      </c>
      <c r="I74" s="165" t="n">
        <f aca="false">Summary!$J$55</f>
        <v>8.5</v>
      </c>
      <c r="J74" s="164" t="n">
        <f aca="false">I74*SUM(F74:H74)</f>
        <v>27.2287356736598</v>
      </c>
      <c r="K74" s="223" t="n">
        <f aca="false">Summary!$J$56</f>
        <v>3.75</v>
      </c>
      <c r="L74" s="0" t="n">
        <f aca="false">Summary!$O$23</f>
        <v>3.75</v>
      </c>
      <c r="M74" s="223" t="n">
        <f aca="false">Summary!$J$57</f>
        <v>1.75</v>
      </c>
      <c r="N74" s="164" t="n">
        <f aca="false">IF(C74&gt;0,C74-J74,0)</f>
        <v>13.3280187243372</v>
      </c>
      <c r="O74" s="223" t="n">
        <f aca="false">IF(N74&gt;0,IF(N74-SUM(K74:M74)&gt;0,N74-SUM(K74:M74),0),0)</f>
        <v>4.07801872433716</v>
      </c>
      <c r="P74" s="223" t="n">
        <f aca="false">O74*D74</f>
        <v>85436.6190635788</v>
      </c>
      <c r="Q74" s="164" t="n">
        <f aca="false">IF(A74&lt;=Summary!$J$61,0.5*(P74),$Q$2*(P74))</f>
        <v>0</v>
      </c>
      <c r="R74" s="223" t="n">
        <f aca="false">Summary!$J$58</f>
        <v>0.5</v>
      </c>
      <c r="S74" s="223" t="n">
        <f aca="false">J74+(K74+L74+R74)</f>
        <v>35.2287356736598</v>
      </c>
      <c r="T74" s="224" t="n">
        <f aca="false">IF(D74*(C74-S74)-Q74&gt;0,D74*(C74-S74)-Q74,0)</f>
        <v>111624.770969829</v>
      </c>
      <c r="U74" s="225" t="n">
        <f aca="false">Summary!$J$59</f>
        <v>0.121048781448</v>
      </c>
      <c r="V74" s="224" t="n">
        <f aca="false">IF(A74&lt;=Summary!$J$61,(0.2*T74)+(R74*D74),(U74*T74)+(R74*D74))</f>
        <v>23987.3032678099</v>
      </c>
      <c r="W74" s="226" t="n">
        <f aca="false">C74*D74</f>
        <v>849685.155999375</v>
      </c>
    </row>
    <row r="75" customFormat="false" ht="12.75" hidden="false" customHeight="false" outlineLevel="0" collapsed="false">
      <c r="A75" s="220" t="n">
        <v>38657</v>
      </c>
      <c r="B75" s="221" t="n">
        <f aca="false">YEAR(A75)</f>
        <v>2005</v>
      </c>
      <c r="C75" s="164" t="n">
        <f aca="false">CALC!HH87</f>
        <v>42.5365544394025</v>
      </c>
      <c r="D75" s="222" t="n">
        <f aca="false">IF(Summary!$O$109=0,CALC!HE87,0)</f>
        <v>20274.69825</v>
      </c>
      <c r="E75" s="222" t="n">
        <f aca="false">SUM(CALC!GU87:HB87)*CALC!CY87/1000</f>
        <v>91464.6187364119</v>
      </c>
      <c r="F75" s="223" t="n">
        <f aca="false">Summary!$J$54</f>
        <v>0.15</v>
      </c>
      <c r="G75" s="164" t="n">
        <f aca="false">VLOOKUP(A75,CURVES!AW76:$BS$283,16)</f>
        <v>3.1398135587835</v>
      </c>
      <c r="H75" s="223" t="n">
        <f aca="false">Summary!$J$60</f>
        <v>0.04</v>
      </c>
      <c r="I75" s="165" t="n">
        <f aca="false">Summary!$J$55</f>
        <v>8.5</v>
      </c>
      <c r="J75" s="164" t="n">
        <f aca="false">I75*SUM(F75:H75)</f>
        <v>28.3034152496597</v>
      </c>
      <c r="K75" s="223" t="n">
        <f aca="false">Summary!$J$56</f>
        <v>3.75</v>
      </c>
      <c r="L75" s="0" t="n">
        <f aca="false">Summary!$O$23</f>
        <v>3.75</v>
      </c>
      <c r="M75" s="223" t="n">
        <f aca="false">Summary!$J$57</f>
        <v>1.75</v>
      </c>
      <c r="N75" s="164" t="n">
        <f aca="false">IF(C75&gt;0,C75-J75,0)</f>
        <v>14.2331391897428</v>
      </c>
      <c r="O75" s="223" t="n">
        <f aca="false">IF(N75&gt;0,IF(N75-SUM(K75:M75)&gt;0,N75-SUM(K75:M75),0),0)</f>
        <v>4.98313918974276</v>
      </c>
      <c r="P75" s="223" t="n">
        <f aca="false">O75*D75</f>
        <v>101031.643409784</v>
      </c>
      <c r="Q75" s="164" t="n">
        <f aca="false">IF(A75&lt;=Summary!$J$61,0.5*(P75),$Q$2*(P75))</f>
        <v>0</v>
      </c>
      <c r="R75" s="223" t="n">
        <f aca="false">Summary!$J$58</f>
        <v>0.5</v>
      </c>
      <c r="S75" s="223" t="n">
        <f aca="false">J75+(K75+L75+R75)</f>
        <v>36.3034152496597</v>
      </c>
      <c r="T75" s="224" t="n">
        <f aca="false">IF(D75*(C75-S75)-Q75&gt;0,D75*(C75-S75)-Q75,0)</f>
        <v>126375.016222284</v>
      </c>
      <c r="U75" s="225" t="n">
        <f aca="false">Summary!$J$59</f>
        <v>0.121048781448</v>
      </c>
      <c r="V75" s="224" t="n">
        <f aca="false">IF(A75&lt;=Summary!$J$61,(0.2*T75)+(R75*D75),(U75*T75)+(R75*D75))</f>
        <v>25434.8908441787</v>
      </c>
      <c r="W75" s="226" t="n">
        <f aca="false">C75*D75</f>
        <v>862415.805853584</v>
      </c>
    </row>
    <row r="76" customFormat="false" ht="12.75" hidden="false" customHeight="false" outlineLevel="0" collapsed="false">
      <c r="A76" s="220" t="n">
        <v>38687</v>
      </c>
      <c r="B76" s="221" t="n">
        <f aca="false">YEAR(A76)</f>
        <v>2005</v>
      </c>
      <c r="C76" s="164" t="n">
        <f aca="false">CALC!HH88</f>
        <v>41.5507430530326</v>
      </c>
      <c r="D76" s="222" t="n">
        <f aca="false">IF(Summary!$O$109=0,CALC!HE88,0)</f>
        <v>20950.521525</v>
      </c>
      <c r="E76" s="222" t="n">
        <f aca="false">SUM(CALC!GU88:HB88)*CALC!CY88/1000</f>
        <v>94529.333243393</v>
      </c>
      <c r="F76" s="223" t="n">
        <f aca="false">Summary!$J$54</f>
        <v>0.15</v>
      </c>
      <c r="G76" s="164" t="n">
        <f aca="false">VLOOKUP(A76,CURVES!AW77:$BS$283,16)</f>
        <v>3.27336584652554</v>
      </c>
      <c r="H76" s="223" t="n">
        <f aca="false">Summary!$J$60</f>
        <v>0.04</v>
      </c>
      <c r="I76" s="165" t="n">
        <f aca="false">Summary!$J$55</f>
        <v>8.5</v>
      </c>
      <c r="J76" s="164" t="n">
        <f aca="false">I76*SUM(F76:H76)</f>
        <v>29.4386096954671</v>
      </c>
      <c r="K76" s="223" t="n">
        <f aca="false">Summary!$J$56</f>
        <v>3.75</v>
      </c>
      <c r="L76" s="0" t="n">
        <f aca="false">Summary!$O$23</f>
        <v>3.75</v>
      </c>
      <c r="M76" s="223" t="n">
        <f aca="false">Summary!$J$57</f>
        <v>1.75</v>
      </c>
      <c r="N76" s="164" t="n">
        <f aca="false">IF(C76&gt;0,C76-J76,0)</f>
        <v>12.1121333575655</v>
      </c>
      <c r="O76" s="223" t="n">
        <f aca="false">IF(N76&gt;0,IF(N76-SUM(K76:M76)&gt;0,N76-SUM(K76:M76),0),0)</f>
        <v>2.86213335756548</v>
      </c>
      <c r="P76" s="223" t="n">
        <f aca="false">O76*D76</f>
        <v>59963.1865150962</v>
      </c>
      <c r="Q76" s="164" t="n">
        <f aca="false">IF(A76&lt;=Summary!$J$61,0.5*(P76),$Q$2*(P76))</f>
        <v>0</v>
      </c>
      <c r="R76" s="223" t="n">
        <f aca="false">Summary!$J$58</f>
        <v>0.5</v>
      </c>
      <c r="S76" s="223" t="n">
        <f aca="false">J76+(K76+L76+R76)</f>
        <v>37.4386096954671</v>
      </c>
      <c r="T76" s="224" t="n">
        <f aca="false">IF(D76*(C76-S76)-Q76&gt;0,D76*(C76-S76)-Q76,0)</f>
        <v>86151.3384213462</v>
      </c>
      <c r="U76" s="225" t="n">
        <f aca="false">Summary!$J$59</f>
        <v>0.121048781448</v>
      </c>
      <c r="V76" s="224" t="n">
        <f aca="false">IF(A76&lt;=Summary!$J$61,(0.2*T76)+(R76*D76),(U76*T76)+(R76*D76))</f>
        <v>20903.7752985182</v>
      </c>
      <c r="W76" s="226" t="n">
        <f aca="false">C76*D76</f>
        <v>870509.736712303</v>
      </c>
    </row>
    <row r="77" customFormat="false" ht="12.75" hidden="false" customHeight="false" outlineLevel="0" collapsed="false">
      <c r="A77" s="220" t="n">
        <v>38718</v>
      </c>
      <c r="B77" s="221" t="n">
        <f aca="false">YEAR(A77)</f>
        <v>2006</v>
      </c>
      <c r="C77" s="164" t="n">
        <f aca="false">CALC!HH89</f>
        <v>40.8170362120773</v>
      </c>
      <c r="D77" s="222" t="n">
        <f aca="false">IF(Summary!$O$109=0,CALC!HE89,0)</f>
        <v>20950.521525</v>
      </c>
      <c r="E77" s="222" t="n">
        <f aca="false">SUM(CALC!GU89:HB89)*CALC!CY89/1000</f>
        <v>94545.227125827</v>
      </c>
      <c r="F77" s="223" t="n">
        <f aca="false">Summary!$J$54</f>
        <v>0.15</v>
      </c>
      <c r="G77" s="164" t="n">
        <f aca="false">VLOOKUP(A77,CURVES!AW78:$BS$283,16)</f>
        <v>3.14774905452853</v>
      </c>
      <c r="H77" s="223" t="n">
        <f aca="false">Summary!$J$60</f>
        <v>0.04</v>
      </c>
      <c r="I77" s="165" t="n">
        <f aca="false">Summary!$J$55</f>
        <v>8.5</v>
      </c>
      <c r="J77" s="164" t="n">
        <f aca="false">I77*SUM(F77:H77)</f>
        <v>28.3708669634925</v>
      </c>
      <c r="K77" s="223" t="n">
        <f aca="false">Summary!$J$56</f>
        <v>3.75</v>
      </c>
      <c r="L77" s="0" t="n">
        <f aca="false">Summary!$O$23</f>
        <v>3.75</v>
      </c>
      <c r="M77" s="223" t="n">
        <f aca="false">Summary!$J$57</f>
        <v>1.75</v>
      </c>
      <c r="N77" s="164" t="n">
        <f aca="false">IF(C77&gt;0,C77-J77,0)</f>
        <v>12.4461692485847</v>
      </c>
      <c r="O77" s="223" t="n">
        <f aca="false">IF(N77&gt;0,IF(N77-SUM(K77:M77)&gt;0,N77-SUM(K77:M77),0),0)</f>
        <v>3.19616924858474</v>
      </c>
      <c r="P77" s="223" t="n">
        <f aca="false">O77*D77</f>
        <v>66961.4126400176</v>
      </c>
      <c r="Q77" s="164" t="n">
        <f aca="false">IF(A77&lt;=Summary!$J$61,0.5*(P77),$Q$2*(P77))</f>
        <v>0</v>
      </c>
      <c r="R77" s="223" t="n">
        <f aca="false">Summary!$J$58</f>
        <v>0.5</v>
      </c>
      <c r="S77" s="223" t="n">
        <f aca="false">J77+(K77+L77+R77)</f>
        <v>36.3708669634925</v>
      </c>
      <c r="T77" s="224" t="n">
        <f aca="false">IF(D77*(C77-S77)-Q77&gt;0,D77*(C77-S77)-Q77,0)</f>
        <v>93149.5645462676</v>
      </c>
      <c r="U77" s="225" t="n">
        <f aca="false">Summary!$J$59</f>
        <v>0.121048781448</v>
      </c>
      <c r="V77" s="224" t="n">
        <f aca="false">IF(A77&lt;=Summary!$J$61,(0.2*T77)+(R77*D77),(U77*T77)+(R77*D77))</f>
        <v>21750.9020432375</v>
      </c>
      <c r="W77" s="226" t="n">
        <f aca="false">C77*D77</f>
        <v>855138.19574783</v>
      </c>
    </row>
    <row r="78" customFormat="false" ht="12.75" hidden="false" customHeight="false" outlineLevel="0" collapsed="false">
      <c r="A78" s="220" t="n">
        <v>38749</v>
      </c>
      <c r="B78" s="221" t="n">
        <f aca="false">YEAR(A78)</f>
        <v>2006</v>
      </c>
      <c r="C78" s="164" t="n">
        <f aca="false">CALC!HH90</f>
        <v>31.6037281519509</v>
      </c>
      <c r="D78" s="222" t="n">
        <f aca="false">IF(Summary!$O$109=0,CALC!HE90,0)</f>
        <v>18923.0517</v>
      </c>
      <c r="E78" s="222" t="n">
        <f aca="false">SUM(CALC!GU90:HB90)*CALC!CY90/1000</f>
        <v>85410.0447816551</v>
      </c>
      <c r="F78" s="223" t="n">
        <f aca="false">Summary!$J$54</f>
        <v>0.15</v>
      </c>
      <c r="G78" s="164" t="n">
        <f aca="false">VLOOKUP(A78,CURVES!AW79:$BS$283,16)</f>
        <v>2.90731527342202</v>
      </c>
      <c r="H78" s="223" t="n">
        <f aca="false">Summary!$J$60</f>
        <v>0.04</v>
      </c>
      <c r="I78" s="165" t="n">
        <f aca="false">Summary!$J$55</f>
        <v>8.5</v>
      </c>
      <c r="J78" s="164" t="n">
        <f aca="false">I78*SUM(F78:H78)</f>
        <v>26.3271798240871</v>
      </c>
      <c r="K78" s="223" t="n">
        <f aca="false">Summary!$J$56</f>
        <v>3.75</v>
      </c>
      <c r="L78" s="0" t="n">
        <f aca="false">Summary!$O$23</f>
        <v>3.75</v>
      </c>
      <c r="M78" s="223" t="n">
        <f aca="false">Summary!$J$57</f>
        <v>1.75</v>
      </c>
      <c r="N78" s="164" t="n">
        <f aca="false">IF(C78&gt;0,C78-J78,0)</f>
        <v>5.2765483278637</v>
      </c>
      <c r="O78" s="223" t="n">
        <f aca="false">IF(N78&gt;0,IF(N78-SUM(K78:M78)&gt;0,N78-SUM(K78:M78),0),0)</f>
        <v>0</v>
      </c>
      <c r="P78" s="223" t="n">
        <f aca="false">O78*D78</f>
        <v>0</v>
      </c>
      <c r="Q78" s="164" t="n">
        <f aca="false">IF(A78&lt;=Summary!$J$61,0.5*(P78),$Q$2*(P78))</f>
        <v>0</v>
      </c>
      <c r="R78" s="223" t="n">
        <f aca="false">Summary!$J$58</f>
        <v>0.5</v>
      </c>
      <c r="S78" s="223" t="n">
        <f aca="false">J78+(K78+L78+R78)</f>
        <v>34.3271798240871</v>
      </c>
      <c r="T78" s="224" t="n">
        <f aca="false">IF(D78*(C78-S78)-Q78&gt;0,D78*(C78-S78)-Q78,0)</f>
        <v>0</v>
      </c>
      <c r="U78" s="225" t="n">
        <f aca="false">Summary!$J$59</f>
        <v>0.121048781448</v>
      </c>
      <c r="V78" s="224" t="n">
        <f aca="false">IF(A78&lt;=Summary!$J$61,(0.2*T78)+(R78*D78),(U78*T78)+(R78*D78))</f>
        <v>9461.52585</v>
      </c>
      <c r="W78" s="226" t="n">
        <f aca="false">C78*D78</f>
        <v>598038.981732111</v>
      </c>
    </row>
    <row r="79" customFormat="false" ht="12.75" hidden="false" customHeight="false" outlineLevel="0" collapsed="false">
      <c r="A79" s="220" t="n">
        <v>38777</v>
      </c>
      <c r="B79" s="221" t="n">
        <f aca="false">YEAR(A79)</f>
        <v>2006</v>
      </c>
      <c r="C79" s="164" t="n">
        <f aca="false">CALC!HH91</f>
        <v>30.7408230719013</v>
      </c>
      <c r="D79" s="222" t="n">
        <f aca="false">IF(Summary!$O$109=0,CALC!HE91,0)</f>
        <v>14320.60965</v>
      </c>
      <c r="E79" s="222" t="n">
        <f aca="false">SUM(CALC!GU91:HB91)*CALC!CY91/1000</f>
        <v>94577.014890695</v>
      </c>
      <c r="F79" s="223" t="n">
        <f aca="false">Summary!$J$54</f>
        <v>0.15</v>
      </c>
      <c r="G79" s="164" t="n">
        <f aca="false">VLOOKUP(A79,CURVES!AW80:$BS$283,16)</f>
        <v>2.75124057825831</v>
      </c>
      <c r="H79" s="223" t="n">
        <f aca="false">Summary!$J$60</f>
        <v>0.04</v>
      </c>
      <c r="I79" s="165" t="n">
        <f aca="false">Summary!$J$55</f>
        <v>8.5</v>
      </c>
      <c r="J79" s="164" t="n">
        <f aca="false">I79*SUM(F79:H79)</f>
        <v>25.0005449151957</v>
      </c>
      <c r="K79" s="223" t="n">
        <f aca="false">Summary!$J$56</f>
        <v>3.75</v>
      </c>
      <c r="L79" s="0" t="n">
        <f aca="false">Summary!$O$23</f>
        <v>3.75</v>
      </c>
      <c r="M79" s="223" t="n">
        <f aca="false">Summary!$J$57</f>
        <v>1.75</v>
      </c>
      <c r="N79" s="164" t="n">
        <f aca="false">IF(C79&gt;0,C79-J79,0)</f>
        <v>5.74027815670564</v>
      </c>
      <c r="O79" s="223" t="n">
        <f aca="false">IF(N79&gt;0,IF(N79-SUM(K79:M79)&gt;0,N79-SUM(K79:M79),0),0)</f>
        <v>0</v>
      </c>
      <c r="P79" s="223" t="n">
        <f aca="false">O79*D79</f>
        <v>0</v>
      </c>
      <c r="Q79" s="164" t="n">
        <f aca="false">IF(A79&lt;=Summary!$J$61,0.5*(P79),$Q$2*(P79))</f>
        <v>0</v>
      </c>
      <c r="R79" s="223" t="n">
        <f aca="false">Summary!$J$58</f>
        <v>0.5</v>
      </c>
      <c r="S79" s="223" t="n">
        <f aca="false">J79+(K79+L79+R79)</f>
        <v>33.0005449151957</v>
      </c>
      <c r="T79" s="224" t="n">
        <f aca="false">IF(D79*(C79-S79)-Q79&gt;0,D79*(C79-S79)-Q79,0)</f>
        <v>0</v>
      </c>
      <c r="U79" s="225" t="n">
        <f aca="false">Summary!$J$59</f>
        <v>0.121048781448</v>
      </c>
      <c r="V79" s="224" t="n">
        <f aca="false">IF(A79&lt;=Summary!$J$61,(0.2*T79)+(R79*D79),(U79*T79)+(R79*D79))</f>
        <v>7160.304825</v>
      </c>
      <c r="W79" s="226" t="n">
        <f aca="false">C79*D79</f>
        <v>440227.327532412</v>
      </c>
    </row>
    <row r="80" customFormat="false" ht="12.75" hidden="false" customHeight="false" outlineLevel="0" collapsed="false">
      <c r="A80" s="220" t="n">
        <v>38808</v>
      </c>
      <c r="B80" s="221" t="n">
        <f aca="false">YEAR(A80)</f>
        <v>2006</v>
      </c>
      <c r="C80" s="164" t="n">
        <f aca="false">CALC!HH92</f>
        <v>29.8537932966791</v>
      </c>
      <c r="D80" s="222" t="n">
        <f aca="false">IF(Summary!$O$109=0,CALC!HE92,0)</f>
        <v>20274.69825</v>
      </c>
      <c r="E80" s="222" t="n">
        <f aca="false">SUM(CALC!GU92:HB92)*CALC!CY92/1000</f>
        <v>91541.5246191571</v>
      </c>
      <c r="F80" s="223" t="n">
        <f aca="false">Summary!$J$54</f>
        <v>0.15</v>
      </c>
      <c r="G80" s="164" t="n">
        <f aca="false">VLOOKUP(A80,CURVES!AW81:$BS$283,16)</f>
        <v>2.66870139687595</v>
      </c>
      <c r="H80" s="223" t="n">
        <f aca="false">Summary!$J$60</f>
        <v>0.04</v>
      </c>
      <c r="I80" s="165" t="n">
        <f aca="false">Summary!$J$55</f>
        <v>8.5</v>
      </c>
      <c r="J80" s="164" t="n">
        <f aca="false">I80*SUM(F80:H80)</f>
        <v>24.2989618734455</v>
      </c>
      <c r="K80" s="223" t="n">
        <f aca="false">Summary!$J$56</f>
        <v>3.75</v>
      </c>
      <c r="L80" s="0" t="n">
        <f aca="false">Summary!$O$23</f>
        <v>3.75</v>
      </c>
      <c r="M80" s="223" t="n">
        <f aca="false">Summary!$J$57</f>
        <v>1.75</v>
      </c>
      <c r="N80" s="164" t="n">
        <f aca="false">IF(C80&gt;0,C80-J80,0)</f>
        <v>5.55483142323353</v>
      </c>
      <c r="O80" s="223" t="n">
        <f aca="false">IF(N80&gt;0,IF(N80-SUM(K80:M80)&gt;0,N80-SUM(K80:M80),0),0)</f>
        <v>0</v>
      </c>
      <c r="P80" s="223" t="n">
        <f aca="false">O80*D80</f>
        <v>0</v>
      </c>
      <c r="Q80" s="164" t="n">
        <f aca="false">IF(A80&lt;=Summary!$J$61,0.5*(P80),$Q$2*(P80))</f>
        <v>0</v>
      </c>
      <c r="R80" s="223" t="n">
        <f aca="false">Summary!$J$58</f>
        <v>0.5</v>
      </c>
      <c r="S80" s="223" t="n">
        <f aca="false">J80+(K80+L80+R80)</f>
        <v>32.2989618734455</v>
      </c>
      <c r="T80" s="224" t="n">
        <f aca="false">IF(D80*(C80-S80)-Q80&gt;0,D80*(C80-S80)-Q80,0)</f>
        <v>0</v>
      </c>
      <c r="U80" s="225" t="n">
        <f aca="false">Summary!$J$59</f>
        <v>0.121048781448</v>
      </c>
      <c r="V80" s="224" t="n">
        <f aca="false">IF(A80&lt;=Summary!$J$61,(0.2*T80)+(R80*D80),(U80*T80)+(R80*D80))</f>
        <v>10137.349125</v>
      </c>
      <c r="W80" s="226" t="n">
        <f aca="false">C80*D80</f>
        <v>605276.650708041</v>
      </c>
    </row>
    <row r="81" customFormat="false" ht="12.75" hidden="false" customHeight="false" outlineLevel="0" collapsed="false">
      <c r="A81" s="220" t="n">
        <v>38838</v>
      </c>
      <c r="B81" s="221" t="n">
        <f aca="false">YEAR(A81)</f>
        <v>2006</v>
      </c>
      <c r="C81" s="164" t="n">
        <f aca="false">CALC!HH93</f>
        <v>30.1229479918821</v>
      </c>
      <c r="D81" s="222" t="n">
        <f aca="false">IF(Summary!$O$109=0,CALC!HE93,0)</f>
        <v>22276.5039</v>
      </c>
      <c r="E81" s="222" t="n">
        <f aca="false">SUM(CALC!GU93:HB93)*CALC!CY93/1000</f>
        <v>74041.6716434841</v>
      </c>
      <c r="F81" s="223" t="n">
        <f aca="false">Summary!$J$54</f>
        <v>0.15</v>
      </c>
      <c r="G81" s="164" t="n">
        <f aca="false">VLOOKUP(A81,CURVES!AW82:$BS$283,16)</f>
        <v>2.64857487646144</v>
      </c>
      <c r="H81" s="223" t="n">
        <f aca="false">Summary!$J$60</f>
        <v>0.04</v>
      </c>
      <c r="I81" s="165" t="n">
        <f aca="false">Summary!$J$55</f>
        <v>8.5</v>
      </c>
      <c r="J81" s="164" t="n">
        <f aca="false">I81*SUM(F81:H81)</f>
        <v>24.1278864499222</v>
      </c>
      <c r="K81" s="223" t="n">
        <f aca="false">Summary!$J$56</f>
        <v>3.75</v>
      </c>
      <c r="L81" s="0" t="n">
        <f aca="false">Summary!$O$23</f>
        <v>3.75</v>
      </c>
      <c r="M81" s="223" t="n">
        <f aca="false">Summary!$J$57</f>
        <v>1.75</v>
      </c>
      <c r="N81" s="164" t="n">
        <f aca="false">IF(C81&gt;0,C81-J81,0)</f>
        <v>5.9950615419599</v>
      </c>
      <c r="O81" s="223" t="n">
        <f aca="false">IF(N81&gt;0,IF(N81-SUM(K81:M81)&gt;0,N81-SUM(K81:M81),0),0)</f>
        <v>0</v>
      </c>
      <c r="P81" s="223" t="n">
        <f aca="false">O81*D81</f>
        <v>0</v>
      </c>
      <c r="Q81" s="164" t="n">
        <f aca="false">IF(A81&lt;=Summary!$J$61,0.5*(P81),$Q$2*(P81))</f>
        <v>0</v>
      </c>
      <c r="R81" s="223" t="n">
        <f aca="false">Summary!$J$58</f>
        <v>0.5</v>
      </c>
      <c r="S81" s="223" t="n">
        <f aca="false">J81+(K81+L81+R81)</f>
        <v>32.1278864499222</v>
      </c>
      <c r="T81" s="224" t="n">
        <f aca="false">IF(D81*(C81-S81)-Q81&gt;0,D81*(C81-S81)-Q81,0)</f>
        <v>0</v>
      </c>
      <c r="U81" s="225" t="n">
        <f aca="false">Summary!$J$59</f>
        <v>0.121048781448</v>
      </c>
      <c r="V81" s="224" t="n">
        <f aca="false">IF(A81&lt;=Summary!$J$61,(0.2*T81)+(R81*D81),(U81*T81)+(R81*D81))</f>
        <v>11138.25195</v>
      </c>
      <c r="W81" s="226" t="n">
        <f aca="false">C81*D81</f>
        <v>671033.968420659</v>
      </c>
    </row>
    <row r="82" customFormat="false" ht="12.75" hidden="false" customHeight="false" outlineLevel="0" collapsed="false">
      <c r="A82" s="220" t="n">
        <v>38869</v>
      </c>
      <c r="B82" s="221" t="n">
        <f aca="false">YEAR(A82)</f>
        <v>2006</v>
      </c>
      <c r="C82" s="164" t="n">
        <f aca="false">CALC!HH94</f>
        <v>29.8633028358068</v>
      </c>
      <c r="D82" s="222" t="n">
        <f aca="false">IF(Summary!$O$109=0,CALC!HE94,0)</f>
        <v>16425.072</v>
      </c>
      <c r="E82" s="222" t="n">
        <f aca="false">SUM(CALC!GU94:HB94)*CALC!CY94/1000</f>
        <v>31851.2302512192</v>
      </c>
      <c r="F82" s="223" t="n">
        <f aca="false">Summary!$J$54</f>
        <v>0.15</v>
      </c>
      <c r="G82" s="164" t="n">
        <f aca="false">VLOOKUP(A82,CURVES!AW83:$BS$283,16)</f>
        <v>2.68056813189463</v>
      </c>
      <c r="H82" s="223" t="n">
        <f aca="false">Summary!$J$60</f>
        <v>0.04</v>
      </c>
      <c r="I82" s="165" t="n">
        <f aca="false">Summary!$J$55</f>
        <v>8.5</v>
      </c>
      <c r="J82" s="164" t="n">
        <f aca="false">I82*SUM(F82:H82)</f>
        <v>24.3998291211043</v>
      </c>
      <c r="K82" s="223" t="n">
        <f aca="false">Summary!$J$56</f>
        <v>3.75</v>
      </c>
      <c r="L82" s="0" t="n">
        <f aca="false">Summary!$O$23</f>
        <v>3.75</v>
      </c>
      <c r="M82" s="223" t="n">
        <f aca="false">Summary!$J$57</f>
        <v>1.75</v>
      </c>
      <c r="N82" s="164" t="n">
        <f aca="false">IF(C82&gt;0,C82-J82,0)</f>
        <v>5.46347371470243</v>
      </c>
      <c r="O82" s="223" t="n">
        <f aca="false">IF(N82&gt;0,IF(N82-SUM(K82:M82)&gt;0,N82-SUM(K82:M82),0),0)</f>
        <v>0</v>
      </c>
      <c r="P82" s="223" t="n">
        <f aca="false">O82*D82</f>
        <v>0</v>
      </c>
      <c r="Q82" s="164" t="n">
        <f aca="false">IF(A82&lt;=Summary!$J$61,0.5*(P82),$Q$2*(P82))</f>
        <v>0</v>
      </c>
      <c r="R82" s="223" t="n">
        <f aca="false">Summary!$J$58</f>
        <v>0.5</v>
      </c>
      <c r="S82" s="223" t="n">
        <f aca="false">J82+(K82+L82+R82)</f>
        <v>32.3998291211043</v>
      </c>
      <c r="T82" s="224" t="n">
        <f aca="false">IF(D82*(C82-S82)-Q82&gt;0,D82*(C82-S82)-Q82,0)</f>
        <v>0</v>
      </c>
      <c r="U82" s="225" t="n">
        <f aca="false">Summary!$J$59</f>
        <v>0.121048781448</v>
      </c>
      <c r="V82" s="224" t="n">
        <f aca="false">IF(A82&lt;=Summary!$J$61,(0.2*T82)+(R82*D82),(U82*T82)+(R82*D82))</f>
        <v>8212.536</v>
      </c>
      <c r="W82" s="226" t="n">
        <f aca="false">C82*D82</f>
        <v>490506.89923593</v>
      </c>
    </row>
    <row r="83" customFormat="false" ht="12.75" hidden="false" customHeight="false" outlineLevel="0" collapsed="false">
      <c r="A83" s="220" t="n">
        <v>38899</v>
      </c>
      <c r="B83" s="221" t="n">
        <f aca="false">YEAR(A83)</f>
        <v>2006</v>
      </c>
      <c r="C83" s="164" t="n">
        <f aca="false">CALC!HH95</f>
        <v>41.4004958781918</v>
      </c>
      <c r="D83" s="222" t="n">
        <f aca="false">IF(Summary!$O$109=0,CALC!HE95,0)</f>
        <v>22276.5039</v>
      </c>
      <c r="E83" s="222" t="n">
        <f aca="false">SUM(CALC!GU95:HB95)*CALC!CY95/1000</f>
        <v>74066.5490246852</v>
      </c>
      <c r="F83" s="223" t="n">
        <f aca="false">Summary!$J$54</f>
        <v>0.15</v>
      </c>
      <c r="G83" s="164" t="n">
        <f aca="false">VLOOKUP(A83,CURVES!AW84:$BS$283,16)</f>
        <v>2.75373716189239</v>
      </c>
      <c r="H83" s="223" t="n">
        <f aca="false">Summary!$J$60</f>
        <v>0.04</v>
      </c>
      <c r="I83" s="165" t="n">
        <f aca="false">Summary!$J$55</f>
        <v>8.5</v>
      </c>
      <c r="J83" s="164" t="n">
        <f aca="false">I83*SUM(F83:H83)</f>
        <v>25.0217658760853</v>
      </c>
      <c r="K83" s="223" t="n">
        <f aca="false">Summary!$J$56</f>
        <v>3.75</v>
      </c>
      <c r="L83" s="0" t="n">
        <f aca="false">Summary!$O$23</f>
        <v>3.75</v>
      </c>
      <c r="M83" s="223" t="n">
        <f aca="false">Summary!$J$57</f>
        <v>1.75</v>
      </c>
      <c r="N83" s="164" t="n">
        <f aca="false">IF(C83&gt;0,C83-J83,0)</f>
        <v>16.3787300021064</v>
      </c>
      <c r="O83" s="223" t="n">
        <f aca="false">IF(N83&gt;0,IF(N83-SUM(K83:M83)&gt;0,N83-SUM(K83:M83),0),0)</f>
        <v>7.12873000210645</v>
      </c>
      <c r="P83" s="223" t="n">
        <f aca="false">O83*D83</f>
        <v>158803.181693971</v>
      </c>
      <c r="Q83" s="164" t="n">
        <f aca="false">IF(A83&lt;=Summary!$J$61,0.5*(P83),$Q$2*(P83))</f>
        <v>0</v>
      </c>
      <c r="R83" s="223" t="n">
        <f aca="false">Summary!$J$58</f>
        <v>0.5</v>
      </c>
      <c r="S83" s="223" t="n">
        <f aca="false">J83+(K83+L83+R83)</f>
        <v>33.0217658760853</v>
      </c>
      <c r="T83" s="224" t="n">
        <f aca="false">IF(D83*(C83-S83)-Q83&gt;0,D83*(C83-S83)-Q83,0)</f>
        <v>186648.811568971</v>
      </c>
      <c r="U83" s="225" t="n">
        <f aca="false">Summary!$J$59</f>
        <v>0.121048781448</v>
      </c>
      <c r="V83" s="224" t="n">
        <f aca="false">IF(A83&lt;=Summary!$J$61,(0.2*T83)+(R83*D83),(U83*T83)+(R83*D83))</f>
        <v>33731.8631491414</v>
      </c>
      <c r="W83" s="226" t="n">
        <f aca="false">C83*D83</f>
        <v>922258.307892473</v>
      </c>
    </row>
    <row r="84" customFormat="false" ht="12.75" hidden="false" customHeight="false" outlineLevel="0" collapsed="false">
      <c r="A84" s="220" t="n">
        <v>38930</v>
      </c>
      <c r="B84" s="221" t="n">
        <f aca="false">YEAR(A84)</f>
        <v>2006</v>
      </c>
      <c r="C84" s="164" t="n">
        <f aca="false">CALC!HH96</f>
        <v>59.6261501271985</v>
      </c>
      <c r="D84" s="222" t="n">
        <f aca="false">IF(Summary!$O$109=0,CALC!HE96,0)</f>
        <v>22276.5039</v>
      </c>
      <c r="E84" s="222" t="n">
        <f aca="false">SUM(CALC!GU96:HB96)*CALC!CY96/1000</f>
        <v>74078.9877152857</v>
      </c>
      <c r="F84" s="223" t="n">
        <f aca="false">Summary!$J$54</f>
        <v>0.15</v>
      </c>
      <c r="G84" s="164" t="n">
        <f aca="false">VLOOKUP(A84,CURVES!AW85:$BS$283,16)</f>
        <v>2.85765238084728</v>
      </c>
      <c r="H84" s="223" t="n">
        <f aca="false">Summary!$J$60</f>
        <v>0.04</v>
      </c>
      <c r="I84" s="165" t="n">
        <f aca="false">Summary!$J$55</f>
        <v>8.5</v>
      </c>
      <c r="J84" s="164" t="n">
        <f aca="false">I84*SUM(F84:H84)</f>
        <v>25.9050452372018</v>
      </c>
      <c r="K84" s="223" t="n">
        <f aca="false">Summary!$J$56</f>
        <v>3.75</v>
      </c>
      <c r="L84" s="0" t="n">
        <f aca="false">Summary!$O$23</f>
        <v>3.75</v>
      </c>
      <c r="M84" s="223" t="n">
        <f aca="false">Summary!$J$57</f>
        <v>1.75</v>
      </c>
      <c r="N84" s="164" t="n">
        <f aca="false">IF(C84&gt;0,C84-J84,0)</f>
        <v>33.7211048899967</v>
      </c>
      <c r="O84" s="223" t="n">
        <f aca="false">IF(N84&gt;0,IF(N84-SUM(K84:M84)&gt;0,N84-SUM(K84:M84),0),0)</f>
        <v>24.4711048899967</v>
      </c>
      <c r="P84" s="223" t="n">
        <f aca="false">O84*D84</f>
        <v>545130.663519321</v>
      </c>
      <c r="Q84" s="164" t="n">
        <f aca="false">IF(A84&lt;=Summary!$J$61,0.5*(P84),$Q$2*(P84))</f>
        <v>0</v>
      </c>
      <c r="R84" s="223" t="n">
        <f aca="false">Summary!$J$58</f>
        <v>0.5</v>
      </c>
      <c r="S84" s="223" t="n">
        <f aca="false">J84+(K84+L84+R84)</f>
        <v>33.9050452372018</v>
      </c>
      <c r="T84" s="224" t="n">
        <f aca="false">IF(D84*(C84-S84)-Q84&gt;0,D84*(C84-S84)-Q84,0)</f>
        <v>572976.293394321</v>
      </c>
      <c r="U84" s="225" t="n">
        <f aca="false">Summary!$J$59</f>
        <v>0.121048781448</v>
      </c>
      <c r="V84" s="224" t="n">
        <f aca="false">IF(A84&lt;=Summary!$J$61,(0.2*T84)+(R84*D84),(U84*T84)+(R84*D84))</f>
        <v>80496.3340639743</v>
      </c>
      <c r="W84" s="226" t="n">
        <f aca="false">C84*D84</f>
        <v>1328262.16585052</v>
      </c>
    </row>
    <row r="85" customFormat="false" ht="12.75" hidden="false" customHeight="false" outlineLevel="0" collapsed="false">
      <c r="A85" s="220" t="n">
        <v>38961</v>
      </c>
      <c r="B85" s="221" t="n">
        <f aca="false">YEAR(A85)</f>
        <v>2006</v>
      </c>
      <c r="C85" s="164" t="n">
        <f aca="false">CALC!HH97</f>
        <v>48.7356942925328</v>
      </c>
      <c r="D85" s="222" t="n">
        <f aca="false">IF(Summary!$O$109=0,CALC!HE97,0)</f>
        <v>21557.907</v>
      </c>
      <c r="E85" s="222" t="n">
        <f aca="false">SUM(CALC!GU97:HB97)*CALC!CY97/1000</f>
        <v>71701.3803927931</v>
      </c>
      <c r="F85" s="223" t="n">
        <f aca="false">Summary!$J$54</f>
        <v>0.15</v>
      </c>
      <c r="G85" s="164" t="n">
        <f aca="false">VLOOKUP(A85,CURVES!AW86:$BS$283,16)</f>
        <v>2.98137364232428</v>
      </c>
      <c r="H85" s="223" t="n">
        <f aca="false">Summary!$J$60</f>
        <v>0.04</v>
      </c>
      <c r="I85" s="165" t="n">
        <f aca="false">Summary!$J$55</f>
        <v>8.5</v>
      </c>
      <c r="J85" s="164" t="n">
        <f aca="false">I85*SUM(F85:H85)</f>
        <v>26.9566759597563</v>
      </c>
      <c r="K85" s="223" t="n">
        <f aca="false">Summary!$J$56</f>
        <v>3.75</v>
      </c>
      <c r="L85" s="0" t="n">
        <f aca="false">Summary!$O$23</f>
        <v>3.75</v>
      </c>
      <c r="M85" s="223" t="n">
        <f aca="false">Summary!$J$57</f>
        <v>1.75</v>
      </c>
      <c r="N85" s="164" t="n">
        <f aca="false">IF(C85&gt;0,C85-J85,0)</f>
        <v>21.7790183327765</v>
      </c>
      <c r="O85" s="223" t="n">
        <f aca="false">IF(N85&gt;0,IF(N85-SUM(K85:M85)&gt;0,N85-SUM(K85:M85),0),0)</f>
        <v>12.5290183327765</v>
      </c>
      <c r="P85" s="223" t="n">
        <f aca="false">O85*D85</f>
        <v>270099.41201929</v>
      </c>
      <c r="Q85" s="164" t="n">
        <f aca="false">IF(A85&lt;=Summary!$J$61,0.5*(P85),$Q$2*(P85))</f>
        <v>0</v>
      </c>
      <c r="R85" s="223" t="n">
        <f aca="false">Summary!$J$58</f>
        <v>0.5</v>
      </c>
      <c r="S85" s="223" t="n">
        <f aca="false">J85+(K85+L85+R85)</f>
        <v>34.9566759597563</v>
      </c>
      <c r="T85" s="224" t="n">
        <f aca="false">IF(D85*(C85-S85)-Q85&gt;0,D85*(C85-S85)-Q85,0)</f>
        <v>297046.79576929</v>
      </c>
      <c r="U85" s="225" t="n">
        <f aca="false">Summary!$J$59</f>
        <v>0.121048781448</v>
      </c>
      <c r="V85" s="224" t="n">
        <f aca="false">IF(A85&lt;=Summary!$J$61,(0.2*T85)+(R85*D85),(U85*T85)+(R85*D85))</f>
        <v>46736.1061609054</v>
      </c>
      <c r="W85" s="226" t="n">
        <f aca="false">C85*D85</f>
        <v>1050639.56513885</v>
      </c>
    </row>
    <row r="86" customFormat="false" ht="12.75" hidden="false" customHeight="false" outlineLevel="0" collapsed="false">
      <c r="A86" s="220" t="n">
        <v>38991</v>
      </c>
      <c r="B86" s="221" t="n">
        <f aca="false">YEAR(A86)</f>
        <v>2006</v>
      </c>
      <c r="C86" s="164" t="n">
        <f aca="false">CALC!HH98</f>
        <v>42.9477371889369</v>
      </c>
      <c r="D86" s="222" t="n">
        <f aca="false">IF(Summary!$O$109=0,CALC!HE98,0)</f>
        <v>20950.521525</v>
      </c>
      <c r="E86" s="222" t="n">
        <f aca="false">SUM(CALC!GU98:HB98)*CALC!CY98/1000</f>
        <v>94688.2720677331</v>
      </c>
      <c r="F86" s="223" t="n">
        <f aca="false">Summary!$J$54</f>
        <v>0.15</v>
      </c>
      <c r="G86" s="164" t="n">
        <f aca="false">VLOOKUP(A86,CURVES!AW87:$BS$283,16)</f>
        <v>3.11386414825946</v>
      </c>
      <c r="H86" s="223" t="n">
        <f aca="false">Summary!$J$60</f>
        <v>0.04</v>
      </c>
      <c r="I86" s="165" t="n">
        <f aca="false">Summary!$J$55</f>
        <v>8.5</v>
      </c>
      <c r="J86" s="164" t="n">
        <f aca="false">I86*SUM(F86:H86)</f>
        <v>28.0828452602054</v>
      </c>
      <c r="K86" s="223" t="n">
        <f aca="false">Summary!$J$56</f>
        <v>3.75</v>
      </c>
      <c r="L86" s="0" t="n">
        <f aca="false">Summary!$O$23</f>
        <v>3.75</v>
      </c>
      <c r="M86" s="223" t="n">
        <f aca="false">Summary!$J$57</f>
        <v>1.75</v>
      </c>
      <c r="N86" s="164" t="n">
        <f aca="false">IF(C86&gt;0,C86-J86,0)</f>
        <v>14.8648919287314</v>
      </c>
      <c r="O86" s="223" t="n">
        <f aca="false">IF(N86&gt;0,IF(N86-SUM(K86:M86)&gt;0,N86-SUM(K86:M86),0),0)</f>
        <v>5.61489192873145</v>
      </c>
      <c r="P86" s="223" t="n">
        <f aca="false">O86*D86</f>
        <v>117634.914213437</v>
      </c>
      <c r="Q86" s="164" t="n">
        <f aca="false">IF(A86&lt;=Summary!$J$61,0.5*(P86),$Q$2*(P86))</f>
        <v>0</v>
      </c>
      <c r="R86" s="223" t="n">
        <f aca="false">Summary!$J$58</f>
        <v>0.5</v>
      </c>
      <c r="S86" s="223" t="n">
        <f aca="false">J86+(K86+L86+R86)</f>
        <v>36.0828452602054</v>
      </c>
      <c r="T86" s="224" t="n">
        <f aca="false">IF(D86*(C86-S86)-Q86&gt;0,D86*(C86-S86)-Q86,0)</f>
        <v>143823.066119687</v>
      </c>
      <c r="U86" s="225" t="n">
        <f aca="false">Summary!$J$59</f>
        <v>0.121048781448</v>
      </c>
      <c r="V86" s="224" t="n">
        <f aca="false">IF(A86&lt;=Summary!$J$61,(0.2*T86)+(R86*D86),(U86*T86)+(R86*D86))</f>
        <v>27884.8676604032</v>
      </c>
      <c r="W86" s="226" t="n">
        <f aca="false">C86*D86</f>
        <v>899777.492426865</v>
      </c>
    </row>
    <row r="87" customFormat="false" ht="12.75" hidden="false" customHeight="false" outlineLevel="0" collapsed="false">
      <c r="A87" s="220" t="n">
        <v>39022</v>
      </c>
      <c r="B87" s="221" t="n">
        <f aca="false">YEAR(A87)</f>
        <v>2006</v>
      </c>
      <c r="C87" s="164" t="n">
        <f aca="false">CALC!HH99</f>
        <v>44.9915010972841</v>
      </c>
      <c r="D87" s="222" t="n">
        <f aca="false">IF(Summary!$O$109=0,CALC!HE99,0)</f>
        <v>20274.69825</v>
      </c>
      <c r="E87" s="222" t="n">
        <f aca="false">SUM(CALC!GU99:HB99)*CALC!CY99/1000</f>
        <v>91649.1928550004</v>
      </c>
      <c r="F87" s="223" t="n">
        <f aca="false">Summary!$J$54</f>
        <v>0.15</v>
      </c>
      <c r="G87" s="164" t="n">
        <f aca="false">VLOOKUP(A87,CURVES!AW88:$BS$283,16)</f>
        <v>3.24451304091646</v>
      </c>
      <c r="H87" s="223" t="n">
        <f aca="false">Summary!$J$60</f>
        <v>0.04</v>
      </c>
      <c r="I87" s="165" t="n">
        <f aca="false">Summary!$J$55</f>
        <v>8.5</v>
      </c>
      <c r="J87" s="164" t="n">
        <f aca="false">I87*SUM(F87:H87)</f>
        <v>29.1933608477899</v>
      </c>
      <c r="K87" s="223" t="n">
        <f aca="false">Summary!$J$56</f>
        <v>3.75</v>
      </c>
      <c r="L87" s="0" t="n">
        <f aca="false">Summary!$O$23</f>
        <v>3.75</v>
      </c>
      <c r="M87" s="223" t="n">
        <f aca="false">Summary!$J$57</f>
        <v>1.75</v>
      </c>
      <c r="N87" s="164" t="n">
        <f aca="false">IF(C87&gt;0,C87-J87,0)</f>
        <v>15.7981402494942</v>
      </c>
      <c r="O87" s="223" t="n">
        <f aca="false">IF(N87&gt;0,IF(N87-SUM(K87:M87)&gt;0,N87-SUM(K87:M87),0),0)</f>
        <v>6.5481402494942</v>
      </c>
      <c r="P87" s="223" t="n">
        <f aca="false">O87*D87</f>
        <v>132761.567657175</v>
      </c>
      <c r="Q87" s="164" t="n">
        <f aca="false">IF(A87&lt;=Summary!$J$61,0.5*(P87),$Q$2*(P87))</f>
        <v>0</v>
      </c>
      <c r="R87" s="223" t="n">
        <f aca="false">Summary!$J$58</f>
        <v>0.5</v>
      </c>
      <c r="S87" s="223" t="n">
        <f aca="false">J87+(K87+L87+R87)</f>
        <v>37.1933608477899</v>
      </c>
      <c r="T87" s="224" t="n">
        <f aca="false">IF(D87*(C87-S87)-Q87&gt;0,D87*(C87-S87)-Q87,0)</f>
        <v>158104.940469675</v>
      </c>
      <c r="U87" s="225" t="n">
        <f aca="false">Summary!$J$59</f>
        <v>0.121048781448</v>
      </c>
      <c r="V87" s="224" t="n">
        <f aca="false">IF(A87&lt;=Summary!$J$61,(0.2*T87)+(R87*D87),(U87*T87)+(R87*D87))</f>
        <v>29275.7595097627</v>
      </c>
      <c r="W87" s="226" t="n">
        <f aca="false">C87*D87</f>
        <v>912189.10856198</v>
      </c>
    </row>
    <row r="88" customFormat="false" ht="12.75" hidden="false" customHeight="false" outlineLevel="0" collapsed="false">
      <c r="A88" s="220" t="n">
        <v>39052</v>
      </c>
      <c r="B88" s="221" t="n">
        <f aca="false">YEAR(A88)</f>
        <v>2006</v>
      </c>
      <c r="C88" s="164" t="n">
        <f aca="false">CALC!HH100</f>
        <v>41.8653663677139</v>
      </c>
      <c r="D88" s="222" t="n">
        <f aca="false">IF(Summary!$O$109=0,CALC!HE100,0)</f>
        <v>20950.521525</v>
      </c>
      <c r="E88" s="222" t="n">
        <f aca="false">SUM(CALC!GU100:HB100)*CALC!CY100/1000</f>
        <v>94720.0598326011</v>
      </c>
      <c r="F88" s="223" t="n">
        <f aca="false">Summary!$J$54</f>
        <v>0.15</v>
      </c>
      <c r="G88" s="164" t="n">
        <f aca="false">VLOOKUP(A88,CURVES!AW89:$BS$283,16)</f>
        <v>3.38251873173562</v>
      </c>
      <c r="H88" s="223" t="n">
        <f aca="false">Summary!$J$60</f>
        <v>0.04</v>
      </c>
      <c r="I88" s="165" t="n">
        <f aca="false">Summary!$J$55</f>
        <v>8.5</v>
      </c>
      <c r="J88" s="164" t="n">
        <f aca="false">I88*SUM(F88:H88)</f>
        <v>30.3664092197528</v>
      </c>
      <c r="K88" s="223" t="n">
        <f aca="false">Summary!$J$56</f>
        <v>3.75</v>
      </c>
      <c r="L88" s="0" t="n">
        <f aca="false">Summary!$O$23</f>
        <v>3.75</v>
      </c>
      <c r="M88" s="223" t="n">
        <f aca="false">Summary!$J$57</f>
        <v>1.75</v>
      </c>
      <c r="N88" s="164" t="n">
        <f aca="false">IF(C88&gt;0,C88-J88,0)</f>
        <v>11.4989571479612</v>
      </c>
      <c r="O88" s="223" t="n">
        <f aca="false">IF(N88&gt;0,IF(N88-SUM(K88:M88)&gt;0,N88-SUM(K88:M88),0),0)</f>
        <v>2.24895714796116</v>
      </c>
      <c r="P88" s="223" t="n">
        <f aca="false">O88*D88</f>
        <v>47116.825137163</v>
      </c>
      <c r="Q88" s="164" t="n">
        <f aca="false">IF(A88&lt;=Summary!$J$61,0.5*(P88),$Q$2*(P88))</f>
        <v>0</v>
      </c>
      <c r="R88" s="223" t="n">
        <f aca="false">Summary!$J$58</f>
        <v>0.5</v>
      </c>
      <c r="S88" s="223" t="n">
        <f aca="false">J88+(K88+L88+R88)</f>
        <v>38.3664092197528</v>
      </c>
      <c r="T88" s="224" t="n">
        <f aca="false">IF(D88*(C88-S88)-Q88&gt;0,D88*(C88-S88)-Q88,0)</f>
        <v>73304.977043413</v>
      </c>
      <c r="U88" s="225" t="n">
        <f aca="false">Summary!$J$59</f>
        <v>0.121048781448</v>
      </c>
      <c r="V88" s="224" t="n">
        <f aca="false">IF(A88&lt;=Summary!$J$61,(0.2*T88)+(R88*D88),(U88*T88)+(R88*D88))</f>
        <v>19348.7389076788</v>
      </c>
      <c r="W88" s="226" t="n">
        <f aca="false">C88*D88</f>
        <v>877101.259238802</v>
      </c>
    </row>
    <row r="89" customFormat="false" ht="12.75" hidden="false" customHeight="false" outlineLevel="0" collapsed="false">
      <c r="A89" s="220" t="n">
        <v>39083</v>
      </c>
      <c r="B89" s="221" t="n">
        <f aca="false">YEAR(A89)</f>
        <v>2007</v>
      </c>
      <c r="C89" s="164" t="n">
        <f aca="false">CALC!HH101</f>
        <v>41.1261904200783</v>
      </c>
      <c r="D89" s="222" t="n">
        <f aca="false">IF(Summary!$O$109=0,CALC!HE101,0)</f>
        <v>20950.521525</v>
      </c>
      <c r="E89" s="222" t="n">
        <f aca="false">SUM(CALC!GU101:HB101)*CALC!CY101/1000</f>
        <v>94735.9537150351</v>
      </c>
      <c r="F89" s="223" t="n">
        <f aca="false">Summary!$J$54</f>
        <v>0.15</v>
      </c>
      <c r="G89" s="164" t="n">
        <f aca="false">VLOOKUP(A89,CURVES!AW90:$BS$283,16)</f>
        <v>3.2445479561774</v>
      </c>
      <c r="H89" s="223" t="n">
        <f aca="false">Summary!$J$60</f>
        <v>0.04</v>
      </c>
      <c r="I89" s="165" t="n">
        <f aca="false">Summary!$J$55</f>
        <v>8.5</v>
      </c>
      <c r="J89" s="164" t="n">
        <f aca="false">I89*SUM(F89:H89)</f>
        <v>29.1936576275079</v>
      </c>
      <c r="K89" s="223" t="n">
        <f aca="false">Summary!$J$56</f>
        <v>3.75</v>
      </c>
      <c r="L89" s="0" t="n">
        <f aca="false">Summary!$O$23</f>
        <v>3.75</v>
      </c>
      <c r="M89" s="223" t="n">
        <f aca="false">Summary!$J$57</f>
        <v>1.75</v>
      </c>
      <c r="N89" s="164" t="n">
        <f aca="false">IF(C89&gt;0,C89-J89,0)</f>
        <v>11.9325327925704</v>
      </c>
      <c r="O89" s="223" t="n">
        <f aca="false">IF(N89&gt;0,IF(N89-SUM(K89:M89)&gt;0,N89-SUM(K89:M89),0),0)</f>
        <v>2.68253279257041</v>
      </c>
      <c r="P89" s="223" t="n">
        <f aca="false">O89*D89</f>
        <v>56200.4610122646</v>
      </c>
      <c r="Q89" s="164" t="n">
        <f aca="false">IF(A89&lt;=Summary!$J$61,0.5*(P89),$Q$2*(P89))</f>
        <v>0</v>
      </c>
      <c r="R89" s="223" t="n">
        <f aca="false">Summary!$J$58</f>
        <v>0.5</v>
      </c>
      <c r="S89" s="223" t="n">
        <f aca="false">J89+(K89+L89+R89)</f>
        <v>37.1936576275079</v>
      </c>
      <c r="T89" s="224" t="n">
        <f aca="false">IF(D89*(C89-S89)-Q89&gt;0,D89*(C89-S89)-Q89,0)</f>
        <v>82388.6129185146</v>
      </c>
      <c r="U89" s="225" t="n">
        <f aca="false">Summary!$J$59</f>
        <v>0.121048781448</v>
      </c>
      <c r="V89" s="224" t="n">
        <f aca="false">IF(A89&lt;=Summary!$J$61,(0.2*T89)+(R89*D89),(U89*T89)+(R89*D89))</f>
        <v>20448.3019614771</v>
      </c>
      <c r="W89" s="226" t="n">
        <f aca="false">C89*D89</f>
        <v>861615.1376371</v>
      </c>
    </row>
    <row r="90" customFormat="false" ht="12.75" hidden="false" customHeight="false" outlineLevel="0" collapsed="false">
      <c r="A90" s="220" t="n">
        <v>39114</v>
      </c>
      <c r="B90" s="221" t="n">
        <f aca="false">YEAR(A90)</f>
        <v>2007</v>
      </c>
      <c r="C90" s="164" t="n">
        <f aca="false">CALC!HH102</f>
        <v>34.8594350897755</v>
      </c>
      <c r="D90" s="222" t="n">
        <f aca="false">IF(Summary!$O$109=0,CALC!HE102,0)</f>
        <v>18923.0517</v>
      </c>
      <c r="E90" s="222" t="n">
        <f aca="false">SUM(CALC!GU102:HB102)*CALC!CY102/1000</f>
        <v>85582.3139590044</v>
      </c>
      <c r="F90" s="223" t="n">
        <f aca="false">Summary!$J$54</f>
        <v>0.15</v>
      </c>
      <c r="G90" s="164" t="n">
        <f aca="false">VLOOKUP(A90,CURVES!AW91:$BS$283,16)</f>
        <v>2.99672040716651</v>
      </c>
      <c r="H90" s="223" t="n">
        <f aca="false">Summary!$J$60</f>
        <v>0.04</v>
      </c>
      <c r="I90" s="165" t="n">
        <f aca="false">Summary!$J$55</f>
        <v>8.5</v>
      </c>
      <c r="J90" s="164" t="n">
        <f aca="false">I90*SUM(F90:H90)</f>
        <v>27.0871234609154</v>
      </c>
      <c r="K90" s="223" t="n">
        <f aca="false">Summary!$J$56</f>
        <v>3.75</v>
      </c>
      <c r="L90" s="0" t="n">
        <f aca="false">Summary!$O$23</f>
        <v>3.75</v>
      </c>
      <c r="M90" s="223" t="n">
        <f aca="false">Summary!$J$57</f>
        <v>1.75</v>
      </c>
      <c r="N90" s="164" t="n">
        <f aca="false">IF(C90&gt;0,C90-J90,0)</f>
        <v>7.77231162886009</v>
      </c>
      <c r="O90" s="223" t="n">
        <f aca="false">IF(N90&gt;0,IF(N90-SUM(K90:M90)&gt;0,N90-SUM(K90:M90),0),0)</f>
        <v>0</v>
      </c>
      <c r="P90" s="223" t="n">
        <f aca="false">O90*D90</f>
        <v>0</v>
      </c>
      <c r="Q90" s="164" t="n">
        <f aca="false">IF(A90&lt;=Summary!$J$61,0.5*(P90),$Q$2*(P90))</f>
        <v>0</v>
      </c>
      <c r="R90" s="223" t="n">
        <f aca="false">Summary!$J$58</f>
        <v>0.5</v>
      </c>
      <c r="S90" s="223" t="n">
        <f aca="false">J90+(K90+L90+R90)</f>
        <v>35.0871234609154</v>
      </c>
      <c r="T90" s="224" t="n">
        <f aca="false">IF(D90*(C90-S90)-Q90&gt;0,D90*(C90-S90)-Q90,0)</f>
        <v>0</v>
      </c>
      <c r="U90" s="225" t="n">
        <f aca="false">Summary!$J$59</f>
        <v>0.121048781448</v>
      </c>
      <c r="V90" s="224" t="n">
        <f aca="false">IF(A90&lt;=Summary!$J$61,(0.2*T90)+(R90*D90),(U90*T90)+(R90*D90))</f>
        <v>9461.52585</v>
      </c>
      <c r="W90" s="226" t="n">
        <f aca="false">C90*D90</f>
        <v>659646.892436615</v>
      </c>
    </row>
    <row r="91" customFormat="false" ht="12.75" hidden="false" customHeight="false" outlineLevel="0" collapsed="false">
      <c r="A91" s="220" t="n">
        <v>39142</v>
      </c>
      <c r="B91" s="221" t="n">
        <f aca="false">YEAR(A91)</f>
        <v>2007</v>
      </c>
      <c r="C91" s="164" t="n">
        <f aca="false">CALC!HH103</f>
        <v>32.9419139367795</v>
      </c>
      <c r="D91" s="222" t="n">
        <f aca="false">IF(Summary!$O$109=0,CALC!HE103,0)</f>
        <v>20950.521525</v>
      </c>
      <c r="E91" s="222" t="n">
        <f aca="false">SUM(CALC!GU103:HB103)*CALC!CY103/1000</f>
        <v>94767.7414799031</v>
      </c>
      <c r="F91" s="223" t="n">
        <f aca="false">Summary!$J$54</f>
        <v>0.15</v>
      </c>
      <c r="G91" s="164" t="n">
        <f aca="false">VLOOKUP(A91,CURVES!AW92:$BS$283,16)</f>
        <v>2.83584613655848</v>
      </c>
      <c r="H91" s="223" t="n">
        <f aca="false">Summary!$J$60</f>
        <v>0.04</v>
      </c>
      <c r="I91" s="165" t="n">
        <f aca="false">Summary!$J$55</f>
        <v>8.5</v>
      </c>
      <c r="J91" s="164" t="n">
        <f aca="false">I91*SUM(F91:H91)</f>
        <v>25.7196921607471</v>
      </c>
      <c r="K91" s="223" t="n">
        <f aca="false">Summary!$J$56</f>
        <v>3.75</v>
      </c>
      <c r="L91" s="0" t="n">
        <f aca="false">Summary!$O$23</f>
        <v>3.75</v>
      </c>
      <c r="M91" s="223" t="n">
        <f aca="false">Summary!$J$57</f>
        <v>1.75</v>
      </c>
      <c r="N91" s="164" t="n">
        <f aca="false">IF(C91&gt;0,C91-J91,0)</f>
        <v>7.22222177603247</v>
      </c>
      <c r="O91" s="223" t="n">
        <f aca="false">IF(N91&gt;0,IF(N91-SUM(K91:M91)&gt;0,N91-SUM(K91:M91),0),0)</f>
        <v>0</v>
      </c>
      <c r="P91" s="223" t="n">
        <f aca="false">O91*D91</f>
        <v>0</v>
      </c>
      <c r="Q91" s="164" t="n">
        <f aca="false">IF(A91&lt;=Summary!$J$61,0.5*(P91),$Q$2*(P91))</f>
        <v>0</v>
      </c>
      <c r="R91" s="223" t="n">
        <f aca="false">Summary!$J$58</f>
        <v>0.5</v>
      </c>
      <c r="S91" s="223" t="n">
        <f aca="false">J91+(K91+L91+R91)</f>
        <v>33.7196921607471</v>
      </c>
      <c r="T91" s="224" t="n">
        <f aca="false">IF(D91*(C91-S91)-Q91&gt;0,D91*(C91-S91)-Q91,0)</f>
        <v>0</v>
      </c>
      <c r="U91" s="225" t="n">
        <f aca="false">Summary!$J$59</f>
        <v>0.121048781448</v>
      </c>
      <c r="V91" s="224" t="n">
        <f aca="false">IF(A91&lt;=Summary!$J$61,(0.2*T91)+(R91*D91),(U91*T91)+(R91*D91))</f>
        <v>10475.2607625</v>
      </c>
      <c r="W91" s="226" t="n">
        <f aca="false">C91*D91</f>
        <v>690150.277007197</v>
      </c>
    </row>
    <row r="92" customFormat="false" ht="12.75" hidden="false" customHeight="false" outlineLevel="0" collapsed="false">
      <c r="A92" s="220" t="n">
        <v>39173</v>
      </c>
      <c r="B92" s="221" t="n">
        <f aca="false">YEAR(A92)</f>
        <v>2007</v>
      </c>
      <c r="C92" s="164" t="n">
        <f aca="false">CALC!HH104</f>
        <v>31.4352658014163</v>
      </c>
      <c r="D92" s="222" t="n">
        <f aca="false">IF(Summary!$O$109=0,CALC!HE104,0)</f>
        <v>20274.69825</v>
      </c>
      <c r="E92" s="222" t="n">
        <f aca="false">SUM(CALC!GU104:HB104)*CALC!CY104/1000</f>
        <v>91726.0987377456</v>
      </c>
      <c r="F92" s="223" t="n">
        <f aca="false">Summary!$J$54</f>
        <v>0.15</v>
      </c>
      <c r="G92" s="164" t="n">
        <f aca="false">VLOOKUP(A92,CURVES!AW93:$BS$283,16)</f>
        <v>2.75076872802954</v>
      </c>
      <c r="H92" s="223" t="n">
        <f aca="false">Summary!$J$60</f>
        <v>0.04</v>
      </c>
      <c r="I92" s="165" t="n">
        <f aca="false">Summary!$J$55</f>
        <v>8.5</v>
      </c>
      <c r="J92" s="164" t="n">
        <f aca="false">I92*SUM(F92:H92)</f>
        <v>24.9965341882511</v>
      </c>
      <c r="K92" s="223" t="n">
        <f aca="false">Summary!$J$56</f>
        <v>3.75</v>
      </c>
      <c r="L92" s="0" t="n">
        <f aca="false">Summary!$O$23</f>
        <v>3.75</v>
      </c>
      <c r="M92" s="223" t="n">
        <f aca="false">Summary!$J$57</f>
        <v>1.75</v>
      </c>
      <c r="N92" s="164" t="n">
        <f aca="false">IF(C92&gt;0,C92-J92,0)</f>
        <v>6.43873161316519</v>
      </c>
      <c r="O92" s="223" t="n">
        <f aca="false">IF(N92&gt;0,IF(N92-SUM(K92:M92)&gt;0,N92-SUM(K92:M92),0),0)</f>
        <v>0</v>
      </c>
      <c r="P92" s="223" t="n">
        <f aca="false">O92*D92</f>
        <v>0</v>
      </c>
      <c r="Q92" s="164" t="n">
        <f aca="false">IF(A92&lt;=Summary!$J$61,0.5*(P92),$Q$2*(P92))</f>
        <v>0</v>
      </c>
      <c r="R92" s="223" t="n">
        <f aca="false">Summary!$J$58</f>
        <v>0.5</v>
      </c>
      <c r="S92" s="223" t="n">
        <f aca="false">J92+(K92+L92+R92)</f>
        <v>32.9965341882511</v>
      </c>
      <c r="T92" s="224" t="n">
        <f aca="false">IF(D92*(C92-S92)-Q92&gt;0,D92*(C92-S92)-Q92,0)</f>
        <v>0</v>
      </c>
      <c r="U92" s="225" t="n">
        <f aca="false">Summary!$J$59</f>
        <v>0.121048781448</v>
      </c>
      <c r="V92" s="224" t="n">
        <f aca="false">IF(A92&lt;=Summary!$J$61,(0.2*T92)+(R92*D92),(U92*T92)+(R92*D92))</f>
        <v>10137.349125</v>
      </c>
      <c r="W92" s="226" t="n">
        <f aca="false">C92*D92</f>
        <v>637340.528532259</v>
      </c>
    </row>
    <row r="93" customFormat="false" ht="12.75" hidden="false" customHeight="false" outlineLevel="0" collapsed="false">
      <c r="A93" s="220" t="n">
        <v>39203</v>
      </c>
      <c r="B93" s="221" t="n">
        <f aca="false">YEAR(A93)</f>
        <v>2007</v>
      </c>
      <c r="C93" s="164" t="n">
        <f aca="false">CALC!HH105</f>
        <v>32.5831388276616</v>
      </c>
      <c r="D93" s="222" t="n">
        <f aca="false">IF(Summary!$O$109=0,CALC!HE105,0)</f>
        <v>22276.5039</v>
      </c>
      <c r="E93" s="222" t="n">
        <f aca="false">SUM(CALC!GU105:HB105)*CALC!CY105/1000</f>
        <v>74190.9359306905</v>
      </c>
      <c r="F93" s="223" t="n">
        <f aca="false">Summary!$J$54</f>
        <v>0.15</v>
      </c>
      <c r="G93" s="164" t="n">
        <f aca="false">VLOOKUP(A93,CURVES!AW94:$BS$283,16)</f>
        <v>2.7300232811897</v>
      </c>
      <c r="H93" s="223" t="n">
        <f aca="false">Summary!$J$60</f>
        <v>0.04</v>
      </c>
      <c r="I93" s="165" t="n">
        <f aca="false">Summary!$J$55</f>
        <v>8.5</v>
      </c>
      <c r="J93" s="164" t="n">
        <f aca="false">I93*SUM(F93:H93)</f>
        <v>24.8201978901125</v>
      </c>
      <c r="K93" s="223" t="n">
        <f aca="false">Summary!$J$56</f>
        <v>3.75</v>
      </c>
      <c r="L93" s="0" t="n">
        <f aca="false">Summary!$O$23</f>
        <v>3.75</v>
      </c>
      <c r="M93" s="223" t="n">
        <f aca="false">Summary!$J$57</f>
        <v>1.75</v>
      </c>
      <c r="N93" s="164" t="n">
        <f aca="false">IF(C93&gt;0,C93-J93,0)</f>
        <v>7.76294093754908</v>
      </c>
      <c r="O93" s="223" t="n">
        <f aca="false">IF(N93&gt;0,IF(N93-SUM(K93:M93)&gt;0,N93-SUM(K93:M93),0),0)</f>
        <v>0</v>
      </c>
      <c r="P93" s="223" t="n">
        <f aca="false">O93*D93</f>
        <v>0</v>
      </c>
      <c r="Q93" s="164" t="n">
        <f aca="false">IF(A93&lt;=Summary!$J$61,0.5*(P93),$Q$2*(P93))</f>
        <v>0</v>
      </c>
      <c r="R93" s="223" t="n">
        <f aca="false">Summary!$J$58</f>
        <v>0.5</v>
      </c>
      <c r="S93" s="223" t="n">
        <f aca="false">J93+(K93+L93+R93)</f>
        <v>32.8201978901125</v>
      </c>
      <c r="T93" s="224" t="n">
        <f aca="false">IF(D93*(C93-S93)-Q93&gt;0,D93*(C93-S93)-Q93,0)</f>
        <v>0</v>
      </c>
      <c r="U93" s="225" t="n">
        <f aca="false">Summary!$J$59</f>
        <v>0.121048781448</v>
      </c>
      <c r="V93" s="224" t="n">
        <f aca="false">IF(A93&lt;=Summary!$J$61,(0.2*T93)+(R93*D93),(U93*T93)+(R93*D93))</f>
        <v>11138.25195</v>
      </c>
      <c r="W93" s="226" t="n">
        <f aca="false">C93*D93</f>
        <v>725838.419168644</v>
      </c>
    </row>
    <row r="94" customFormat="false" ht="12.75" hidden="false" customHeight="false" outlineLevel="0" collapsed="false">
      <c r="A94" s="220" t="n">
        <v>39234</v>
      </c>
      <c r="B94" s="221" t="n">
        <f aca="false">YEAR(A94)</f>
        <v>2007</v>
      </c>
      <c r="C94" s="164" t="n">
        <f aca="false">CALC!HH106</f>
        <v>32.0424790787534</v>
      </c>
      <c r="D94" s="222" t="n">
        <f aca="false">IF(Summary!$O$109=0,CALC!HE106,0)</f>
        <v>16425.072</v>
      </c>
      <c r="E94" s="222" t="n">
        <f aca="false">SUM(CALC!GU106:HB106)*CALC!CY106/1000</f>
        <v>31915.4299446413</v>
      </c>
      <c r="F94" s="223" t="n">
        <f aca="false">Summary!$J$54</f>
        <v>0.15</v>
      </c>
      <c r="G94" s="164" t="n">
        <f aca="false">VLOOKUP(A94,CURVES!AW95:$BS$283,16)</f>
        <v>2.76300038633024</v>
      </c>
      <c r="H94" s="223" t="n">
        <f aca="false">Summary!$J$60</f>
        <v>0.04</v>
      </c>
      <c r="I94" s="165" t="n">
        <f aca="false">Summary!$J$55</f>
        <v>8.5</v>
      </c>
      <c r="J94" s="164" t="n">
        <f aca="false">I94*SUM(F94:H94)</f>
        <v>25.1005032838071</v>
      </c>
      <c r="K94" s="223" t="n">
        <f aca="false">Summary!$J$56</f>
        <v>3.75</v>
      </c>
      <c r="L94" s="0" t="n">
        <f aca="false">Summary!$O$23</f>
        <v>3.75</v>
      </c>
      <c r="M94" s="223" t="n">
        <f aca="false">Summary!$J$57</f>
        <v>1.75</v>
      </c>
      <c r="N94" s="164" t="n">
        <f aca="false">IF(C94&gt;0,C94-J94,0)</f>
        <v>6.94197579494632</v>
      </c>
      <c r="O94" s="223" t="n">
        <f aca="false">IF(N94&gt;0,IF(N94-SUM(K94:M94)&gt;0,N94-SUM(K94:M94),0),0)</f>
        <v>0</v>
      </c>
      <c r="P94" s="223" t="n">
        <f aca="false">O94*D94</f>
        <v>0</v>
      </c>
      <c r="Q94" s="164" t="n">
        <f aca="false">IF(A94&lt;=Summary!$J$61,0.5*(P94),$Q$2*(P94))</f>
        <v>0</v>
      </c>
      <c r="R94" s="223" t="n">
        <f aca="false">Summary!$J$58</f>
        <v>0.5</v>
      </c>
      <c r="S94" s="223" t="n">
        <f aca="false">J94+(K94+L94+R94)</f>
        <v>33.1005032838071</v>
      </c>
      <c r="T94" s="224" t="n">
        <f aca="false">IF(D94*(C94-S94)-Q94&gt;0,D94*(C94-S94)-Q94,0)</f>
        <v>0</v>
      </c>
      <c r="U94" s="225" t="n">
        <f aca="false">Summary!$J$59</f>
        <v>0.121048781448</v>
      </c>
      <c r="V94" s="224" t="n">
        <f aca="false">IF(A94&lt;=Summary!$J$61,(0.2*T94)+(R94*D94),(U94*T94)+(R94*D94))</f>
        <v>8212.536</v>
      </c>
      <c r="W94" s="226" t="n">
        <f aca="false">C94*D94</f>
        <v>526300.025927018</v>
      </c>
    </row>
    <row r="95" customFormat="false" ht="12.75" hidden="false" customHeight="false" outlineLevel="0" collapsed="false">
      <c r="A95" s="220" t="n">
        <v>39264</v>
      </c>
      <c r="B95" s="221" t="n">
        <f aca="false">YEAR(A95)</f>
        <v>2007</v>
      </c>
      <c r="C95" s="164" t="n">
        <f aca="false">CALC!HH107</f>
        <v>45.1191993965332</v>
      </c>
      <c r="D95" s="222" t="n">
        <f aca="false">IF(Summary!$O$109=0,CALC!HE107,0)</f>
        <v>22276.5039</v>
      </c>
      <c r="E95" s="222" t="n">
        <f aca="false">SUM(CALC!GU107:HB107)*CALC!CY107/1000</f>
        <v>74215.8133118915</v>
      </c>
      <c r="F95" s="223" t="n">
        <f aca="false">Summary!$J$54</f>
        <v>0.15</v>
      </c>
      <c r="G95" s="164" t="n">
        <f aca="false">VLOOKUP(A95,CURVES!AW96:$BS$283,16)</f>
        <v>2.8384194945953</v>
      </c>
      <c r="H95" s="223" t="n">
        <f aca="false">Summary!$J$60</f>
        <v>0.04</v>
      </c>
      <c r="I95" s="165" t="n">
        <f aca="false">Summary!$J$55</f>
        <v>8.5</v>
      </c>
      <c r="J95" s="164" t="n">
        <f aca="false">I95*SUM(F95:H95)</f>
        <v>25.7415657040601</v>
      </c>
      <c r="K95" s="223" t="n">
        <f aca="false">Summary!$J$56</f>
        <v>3.75</v>
      </c>
      <c r="L95" s="0" t="n">
        <f aca="false">Summary!$O$23</f>
        <v>3.75</v>
      </c>
      <c r="M95" s="223" t="n">
        <f aca="false">Summary!$J$57</f>
        <v>1.75</v>
      </c>
      <c r="N95" s="164" t="n">
        <f aca="false">IF(C95&gt;0,C95-J95,0)</f>
        <v>19.3776336924732</v>
      </c>
      <c r="O95" s="223" t="n">
        <f aca="false">IF(N95&gt;0,IF(N95-SUM(K95:M95)&gt;0,N95-SUM(K95:M95),0),0)</f>
        <v>10.1276336924732</v>
      </c>
      <c r="P95" s="223" t="n">
        <f aca="false">O95*D95</f>
        <v>225608.27144815</v>
      </c>
      <c r="Q95" s="164" t="n">
        <f aca="false">IF(A95&lt;=Summary!$J$61,0.5*(P95),$Q$2*(P95))</f>
        <v>0</v>
      </c>
      <c r="R95" s="223" t="n">
        <f aca="false">Summary!$J$58</f>
        <v>0.5</v>
      </c>
      <c r="S95" s="223" t="n">
        <f aca="false">J95+(K95+L95+R95)</f>
        <v>33.7415657040601</v>
      </c>
      <c r="T95" s="224" t="n">
        <f aca="false">IF(D95*(C95-S95)-Q95&gt;0,D95*(C95-S95)-Q95,0)</f>
        <v>253453.901323149</v>
      </c>
      <c r="U95" s="225" t="n">
        <f aca="false">Summary!$J$59</f>
        <v>0.121048781448</v>
      </c>
      <c r="V95" s="224" t="n">
        <f aca="false">IF(A95&lt;=Summary!$J$61,(0.2*T95)+(R95*D95),(U95*T95)+(R95*D95))</f>
        <v>41818.5378584089</v>
      </c>
      <c r="W95" s="226" t="n">
        <f aca="false">C95*D95</f>
        <v>1005098.02132175</v>
      </c>
    </row>
    <row r="96" customFormat="false" ht="12.75" hidden="false" customHeight="false" outlineLevel="0" collapsed="false">
      <c r="A96" s="220" t="n">
        <v>39295</v>
      </c>
      <c r="B96" s="221" t="n">
        <f aca="false">YEAR(A96)</f>
        <v>2007</v>
      </c>
      <c r="C96" s="164" t="n">
        <f aca="false">CALC!HH108</f>
        <v>63.8621124689369</v>
      </c>
      <c r="D96" s="222" t="n">
        <f aca="false">IF(Summary!$O$109=0,CALC!HE108,0)</f>
        <v>22276.5039</v>
      </c>
      <c r="E96" s="222" t="n">
        <f aca="false">SUM(CALC!GU108:HB108)*CALC!CY108/1000</f>
        <v>74228.252002492</v>
      </c>
      <c r="F96" s="223" t="n">
        <f aca="false">Summary!$J$54</f>
        <v>0.15</v>
      </c>
      <c r="G96" s="164" t="n">
        <f aca="false">VLOOKUP(A96,CURVES!AW97:$BS$283,16)</f>
        <v>2.94553029200488</v>
      </c>
      <c r="H96" s="223" t="n">
        <f aca="false">Summary!$J$60</f>
        <v>0.04</v>
      </c>
      <c r="I96" s="165" t="n">
        <f aca="false">Summary!$J$55</f>
        <v>8.5</v>
      </c>
      <c r="J96" s="164" t="n">
        <f aca="false">I96*SUM(F96:H96)</f>
        <v>26.6520074820415</v>
      </c>
      <c r="K96" s="223" t="n">
        <f aca="false">Summary!$J$56</f>
        <v>3.75</v>
      </c>
      <c r="L96" s="0" t="n">
        <f aca="false">Summary!$O$23</f>
        <v>3.75</v>
      </c>
      <c r="M96" s="223" t="n">
        <f aca="false">Summary!$J$57</f>
        <v>1.75</v>
      </c>
      <c r="N96" s="164" t="n">
        <f aca="false">IF(C96&gt;0,C96-J96,0)</f>
        <v>37.2101049868954</v>
      </c>
      <c r="O96" s="223" t="n">
        <f aca="false">IF(N96&gt;0,IF(N96-SUM(K96:M96)&gt;0,N96-SUM(K96:M96),0),0)</f>
        <v>27.9601049868954</v>
      </c>
      <c r="P96" s="223" t="n">
        <f aca="false">O96*D96</f>
        <v>622853.387784985</v>
      </c>
      <c r="Q96" s="164" t="n">
        <f aca="false">IF(A96&lt;=Summary!$J$61,0.5*(P96),$Q$2*(P96))</f>
        <v>0</v>
      </c>
      <c r="R96" s="223" t="n">
        <f aca="false">Summary!$J$58</f>
        <v>0.5</v>
      </c>
      <c r="S96" s="223" t="n">
        <f aca="false">J96+(K96+L96+R96)</f>
        <v>34.6520074820415</v>
      </c>
      <c r="T96" s="224" t="n">
        <f aca="false">IF(D96*(C96-S96)-Q96&gt;0,D96*(C96-S96)-Q96,0)</f>
        <v>650699.017659985</v>
      </c>
      <c r="U96" s="225" t="n">
        <f aca="false">Summary!$J$59</f>
        <v>0.121048781448</v>
      </c>
      <c r="V96" s="224" t="n">
        <f aca="false">IF(A96&lt;=Summary!$J$61,(0.2*T96)+(R96*D96),(U96*T96)+(R96*D96))</f>
        <v>89904.5751271518</v>
      </c>
      <c r="W96" s="226" t="n">
        <f aca="false">C96*D96</f>
        <v>1422624.59747651</v>
      </c>
    </row>
    <row r="97" customFormat="false" ht="12.75" hidden="false" customHeight="false" outlineLevel="0" collapsed="false">
      <c r="A97" s="220" t="n">
        <v>39326</v>
      </c>
      <c r="B97" s="221" t="n">
        <f aca="false">YEAR(A97)</f>
        <v>2007</v>
      </c>
      <c r="C97" s="164" t="n">
        <f aca="false">CALC!HH109</f>
        <v>51.0598536472946</v>
      </c>
      <c r="D97" s="222" t="n">
        <f aca="false">IF(Summary!$O$109=0,CALC!HE109,0)</f>
        <v>21557.907</v>
      </c>
      <c r="E97" s="222" t="n">
        <f aca="false">SUM(CALC!GU109:HB109)*CALC!CY109/1000</f>
        <v>71845.8297029928</v>
      </c>
      <c r="F97" s="223" t="n">
        <f aca="false">Summary!$J$54</f>
        <v>0.15</v>
      </c>
      <c r="G97" s="164" t="n">
        <f aca="false">VLOOKUP(A97,CURVES!AW98:$BS$283,16)</f>
        <v>3.07305620309471</v>
      </c>
      <c r="H97" s="223" t="n">
        <f aca="false">Summary!$J$60</f>
        <v>0.04</v>
      </c>
      <c r="I97" s="165" t="n">
        <f aca="false">Summary!$J$55</f>
        <v>8.5</v>
      </c>
      <c r="J97" s="164" t="n">
        <f aca="false">I97*SUM(F97:H97)</f>
        <v>27.735977726305</v>
      </c>
      <c r="K97" s="223" t="n">
        <f aca="false">Summary!$J$56</f>
        <v>3.75</v>
      </c>
      <c r="L97" s="0" t="n">
        <f aca="false">Summary!$O$23</f>
        <v>3.75</v>
      </c>
      <c r="M97" s="223" t="n">
        <f aca="false">Summary!$J$57</f>
        <v>1.75</v>
      </c>
      <c r="N97" s="164" t="n">
        <f aca="false">IF(C97&gt;0,C97-J97,0)</f>
        <v>23.3238759209896</v>
      </c>
      <c r="O97" s="223" t="n">
        <f aca="false">IF(N97&gt;0,IF(N97-SUM(K97:M97)&gt;0,N97-SUM(K97:M97),0),0)</f>
        <v>14.0738759209896</v>
      </c>
      <c r="P97" s="223" t="n">
        <f aca="false">O97*D97</f>
        <v>303403.308234234</v>
      </c>
      <c r="Q97" s="164" t="n">
        <f aca="false">IF(A97&lt;=Summary!$J$61,0.5*(P97),$Q$2*(P97))</f>
        <v>0</v>
      </c>
      <c r="R97" s="223" t="n">
        <f aca="false">Summary!$J$58</f>
        <v>0.5</v>
      </c>
      <c r="S97" s="223" t="n">
        <f aca="false">J97+(K97+L97+R97)</f>
        <v>35.735977726305</v>
      </c>
      <c r="T97" s="224" t="n">
        <f aca="false">IF(D97*(C97-S97)-Q97&gt;0,D97*(C97-S97)-Q97,0)</f>
        <v>330350.691984234</v>
      </c>
      <c r="U97" s="225" t="n">
        <f aca="false">Summary!$J$59</f>
        <v>0.121048781448</v>
      </c>
      <c r="V97" s="224" t="n">
        <f aca="false">IF(A97&lt;=Summary!$J$61,(0.2*T97)+(R97*D97),(U97*T97)+(R97*D97))</f>
        <v>50767.5022151951</v>
      </c>
      <c r="W97" s="226" t="n">
        <f aca="false">C97*D97</f>
        <v>1100743.57636199</v>
      </c>
    </row>
    <row r="98" customFormat="false" ht="12.75" hidden="false" customHeight="false" outlineLevel="0" collapsed="false">
      <c r="A98" s="220" t="n">
        <v>39356</v>
      </c>
      <c r="B98" s="221" t="n">
        <f aca="false">YEAR(A98)</f>
        <v>2007</v>
      </c>
      <c r="C98" s="164" t="n">
        <f aca="false">CALC!HH110</f>
        <v>43.728230729953</v>
      </c>
      <c r="D98" s="222" t="n">
        <f aca="false">IF(Summary!$O$109=0,CALC!HE110,0)</f>
        <v>20950.521525</v>
      </c>
      <c r="E98" s="222" t="n">
        <f aca="false">SUM(CALC!GU110:HB110)*CALC!CY110/1000</f>
        <v>94878.9986569412</v>
      </c>
      <c r="F98" s="223" t="n">
        <f aca="false">Summary!$J$54</f>
        <v>0.15</v>
      </c>
      <c r="G98" s="164" t="n">
        <f aca="false">VLOOKUP(A98,CURVES!AW99:$BS$283,16)</f>
        <v>3.20962102856149</v>
      </c>
      <c r="H98" s="223" t="n">
        <f aca="false">Summary!$J$60</f>
        <v>0.04</v>
      </c>
      <c r="I98" s="165" t="n">
        <f aca="false">Summary!$J$55</f>
        <v>8.5</v>
      </c>
      <c r="J98" s="164" t="n">
        <f aca="false">I98*SUM(F98:H98)</f>
        <v>28.8967787427727</v>
      </c>
      <c r="K98" s="223" t="n">
        <f aca="false">Summary!$J$56</f>
        <v>3.75</v>
      </c>
      <c r="L98" s="0" t="n">
        <f aca="false">Summary!$O$23</f>
        <v>3.75</v>
      </c>
      <c r="M98" s="223" t="n">
        <f aca="false">Summary!$J$57</f>
        <v>1.75</v>
      </c>
      <c r="N98" s="164" t="n">
        <f aca="false">IF(C98&gt;0,C98-J98,0)</f>
        <v>14.8314519871803</v>
      </c>
      <c r="O98" s="223" t="n">
        <f aca="false">IF(N98&gt;0,IF(N98-SUM(K98:M98)&gt;0,N98-SUM(K98:M98),0),0)</f>
        <v>5.58145198718029</v>
      </c>
      <c r="P98" s="223" t="n">
        <f aca="false">O98*D98</f>
        <v>116934.329998175</v>
      </c>
      <c r="Q98" s="164" t="n">
        <f aca="false">IF(A98&lt;=Summary!$J$61,0.5*(P98),$Q$2*(P98))</f>
        <v>0</v>
      </c>
      <c r="R98" s="223" t="n">
        <f aca="false">Summary!$J$58</f>
        <v>0.5</v>
      </c>
      <c r="S98" s="223" t="n">
        <f aca="false">J98+(K98+L98+R98)</f>
        <v>36.8967787427727</v>
      </c>
      <c r="T98" s="224" t="n">
        <f aca="false">IF(D98*(C98-S98)-Q98&gt;0,D98*(C98-S98)-Q98,0)</f>
        <v>143122.481904425</v>
      </c>
      <c r="U98" s="225" t="n">
        <f aca="false">Summary!$J$59</f>
        <v>0.121048781448</v>
      </c>
      <c r="V98" s="224" t="n">
        <f aca="false">IF(A98&lt;=Summary!$J$61,(0.2*T98)+(R98*D98),(U98*T98)+(R98*D98))</f>
        <v>27800.062794844</v>
      </c>
      <c r="W98" s="226" t="n">
        <f aca="false">C98*D98</f>
        <v>916129.239158046</v>
      </c>
    </row>
    <row r="99" customFormat="false" ht="12.75" hidden="false" customHeight="false" outlineLevel="0" collapsed="false">
      <c r="A99" s="220" t="n">
        <v>39387</v>
      </c>
      <c r="B99" s="221" t="n">
        <f aca="false">YEAR(A99)</f>
        <v>2007</v>
      </c>
      <c r="C99" s="164" t="n">
        <f aca="false">CALC!HH111</f>
        <v>45.9894301817312</v>
      </c>
      <c r="D99" s="222" t="n">
        <f aca="false">IF(Summary!$O$109=0,CALC!HE111,0)</f>
        <v>20274.69825</v>
      </c>
      <c r="E99" s="222" t="n">
        <f aca="false">SUM(CALC!GU111:HB111)*CALC!CY111/1000</f>
        <v>91833.7669735889</v>
      </c>
      <c r="F99" s="223" t="n">
        <f aca="false">Summary!$J$54</f>
        <v>0.15</v>
      </c>
      <c r="G99" s="164" t="n">
        <f aca="false">VLOOKUP(A99,CURVES!AW100:$BS$283,16)</f>
        <v>3.3442876078548</v>
      </c>
      <c r="H99" s="223" t="n">
        <f aca="false">Summary!$J$60</f>
        <v>0.04</v>
      </c>
      <c r="I99" s="165" t="n">
        <f aca="false">Summary!$J$55</f>
        <v>8.5</v>
      </c>
      <c r="J99" s="164" t="n">
        <f aca="false">I99*SUM(F99:H99)</f>
        <v>30.0414446667658</v>
      </c>
      <c r="K99" s="223" t="n">
        <f aca="false">Summary!$J$56</f>
        <v>3.75</v>
      </c>
      <c r="L99" s="0" t="n">
        <f aca="false">Summary!$O$23</f>
        <v>3.75</v>
      </c>
      <c r="M99" s="223" t="n">
        <f aca="false">Summary!$J$57</f>
        <v>1.75</v>
      </c>
      <c r="N99" s="164" t="n">
        <f aca="false">IF(C99&gt;0,C99-J99,0)</f>
        <v>15.9479855149654</v>
      </c>
      <c r="O99" s="223" t="n">
        <f aca="false">IF(N99&gt;0,IF(N99-SUM(K99:M99)&gt;0,N99-SUM(K99:M99),0),0)</f>
        <v>6.69798551496541</v>
      </c>
      <c r="P99" s="223" t="n">
        <f aca="false">O99*D99</f>
        <v>135799.635198795</v>
      </c>
      <c r="Q99" s="164" t="n">
        <f aca="false">IF(A99&lt;=Summary!$J$61,0.5*(P99),$Q$2*(P99))</f>
        <v>0</v>
      </c>
      <c r="R99" s="223" t="n">
        <f aca="false">Summary!$J$58</f>
        <v>0.5</v>
      </c>
      <c r="S99" s="223" t="n">
        <f aca="false">J99+(K99+L99+R99)</f>
        <v>38.0414446667658</v>
      </c>
      <c r="T99" s="224" t="n">
        <f aca="false">IF(D99*(C99-S99)-Q99&gt;0,D99*(C99-S99)-Q99,0)</f>
        <v>161143.008011295</v>
      </c>
      <c r="U99" s="225" t="n">
        <f aca="false">Summary!$J$59</f>
        <v>0.121048781448</v>
      </c>
      <c r="V99" s="224" t="n">
        <f aca="false">IF(A99&lt;=Summary!$J$61,(0.2*T99)+(R99*D99),(U99*T99)+(R99*D99))</f>
        <v>29643.5138836325</v>
      </c>
      <c r="W99" s="226" t="n">
        <f aca="false">C99*D99</f>
        <v>932421.819624043</v>
      </c>
    </row>
    <row r="100" customFormat="false" ht="12.75" hidden="false" customHeight="false" outlineLevel="0" collapsed="false">
      <c r="A100" s="220" t="n">
        <v>39417</v>
      </c>
      <c r="B100" s="221" t="n">
        <f aca="false">YEAR(A100)</f>
        <v>2007</v>
      </c>
      <c r="C100" s="164" t="n">
        <f aca="false">CALC!HH112</f>
        <v>46.3383802917193</v>
      </c>
      <c r="D100" s="222" t="n">
        <f aca="false">IF(Summary!$O$109=0,CALC!HE112,0)</f>
        <v>20950.521525</v>
      </c>
      <c r="E100" s="222" t="n">
        <f aca="false">SUM(CALC!GU112:HB112)*CALC!CY112/1000</f>
        <v>93493.4260824</v>
      </c>
      <c r="F100" s="223" t="n">
        <f aca="false">Summary!$J$54</f>
        <v>0.15</v>
      </c>
      <c r="G100" s="164" t="n">
        <f aca="false">VLOOKUP(A100,CURVES!AW101:$BS$283,16)</f>
        <v>3.48653721998445</v>
      </c>
      <c r="H100" s="223" t="n">
        <f aca="false">Summary!$J$60</f>
        <v>0.04</v>
      </c>
      <c r="I100" s="165" t="n">
        <f aca="false">Summary!$J$55</f>
        <v>8.5</v>
      </c>
      <c r="J100" s="164" t="n">
        <f aca="false">I100*SUM(F100:H100)</f>
        <v>31.2505663698678</v>
      </c>
      <c r="K100" s="223" t="n">
        <f aca="false">Summary!$J$56</f>
        <v>3.75</v>
      </c>
      <c r="L100" s="0" t="n">
        <f aca="false">Summary!$O$23</f>
        <v>3.75</v>
      </c>
      <c r="M100" s="223" t="n">
        <f aca="false">Summary!$J$57</f>
        <v>1.75</v>
      </c>
      <c r="N100" s="164" t="n">
        <f aca="false">IF(C100&gt;0,C100-J100,0)</f>
        <v>15.0878139218515</v>
      </c>
      <c r="O100" s="223" t="n">
        <f aca="false">IF(N100&gt;0,IF(N100-SUM(K100:M100)&gt;0,N100-SUM(K100:M100),0),0)</f>
        <v>5.83781392185152</v>
      </c>
      <c r="P100" s="223" t="n">
        <f aca="false">O100*D100</f>
        <v>122305.246228695</v>
      </c>
      <c r="Q100" s="164" t="n">
        <f aca="false">IF(A100&lt;=Summary!$J$61,0.5*(P100),$Q$2*(P100))</f>
        <v>0</v>
      </c>
      <c r="R100" s="223" t="n">
        <f aca="false">Summary!$J$58</f>
        <v>0.5</v>
      </c>
      <c r="S100" s="223" t="n">
        <f aca="false">J100+(K100+L100+R100)</f>
        <v>39.2505663698678</v>
      </c>
      <c r="T100" s="224" t="n">
        <f aca="false">IF(D100*(C100-S100)-Q100&gt;0,D100*(C100-S100)-Q100,0)</f>
        <v>148493.398134945</v>
      </c>
      <c r="U100" s="225" t="n">
        <f aca="false">Summary!$J$59</f>
        <v>0.121048781448</v>
      </c>
      <c r="V100" s="224" t="n">
        <f aca="false">IF(A100&lt;=Summary!$J$61,(0.2*T100)+(R100*D100),(U100*T100)+(R100*D100))</f>
        <v>28450.2056598078</v>
      </c>
      <c r="W100" s="226" t="n">
        <f aca="false">C100*D100</f>
        <v>970813.233735302</v>
      </c>
    </row>
    <row r="101" customFormat="false" ht="12.75" hidden="false" customHeight="false" outlineLevel="0" collapsed="false">
      <c r="A101" s="220" t="n">
        <v>39448</v>
      </c>
      <c r="B101" s="221" t="n">
        <f aca="false">YEAR(A101)</f>
        <v>2008</v>
      </c>
      <c r="C101" s="164" t="n">
        <f aca="false">CALC!HH113</f>
        <v>42.5546585870836</v>
      </c>
      <c r="D101" s="222" t="n">
        <f aca="false">IF(Summary!$O$109=0,CALC!HE113,0)</f>
        <v>20950.521525</v>
      </c>
      <c r="E101" s="222" t="n">
        <f aca="false">SUM(CALC!GU113:HB113)*CALC!CY113/1000</f>
        <v>93518.2018403118</v>
      </c>
      <c r="F101" s="223" t="n">
        <f aca="false">Summary!$J$54</f>
        <v>0.15</v>
      </c>
      <c r="G101" s="164" t="n">
        <f aca="false">VLOOKUP(A101,CURVES!AW102:$BS$283,16)</f>
        <v>3.3414363158302</v>
      </c>
      <c r="H101" s="223" t="n">
        <f aca="false">Summary!$J$60</f>
        <v>0.04</v>
      </c>
      <c r="I101" s="165" t="n">
        <f aca="false">Summary!$J$55</f>
        <v>8.5</v>
      </c>
      <c r="J101" s="164" t="n">
        <f aca="false">I101*SUM(F101:H101)</f>
        <v>30.0172086845567</v>
      </c>
      <c r="K101" s="223" t="n">
        <f aca="false">Summary!$J$56</f>
        <v>3.75</v>
      </c>
      <c r="L101" s="0" t="n">
        <f aca="false">Summary!$O$23</f>
        <v>3.75</v>
      </c>
      <c r="M101" s="223" t="n">
        <f aca="false">Summary!$J$57</f>
        <v>1.75</v>
      </c>
      <c r="N101" s="164" t="n">
        <f aca="false">IF(C101&gt;0,C101-J101,0)</f>
        <v>12.5374499025269</v>
      </c>
      <c r="O101" s="223" t="n">
        <f aca="false">IF(N101&gt;0,IF(N101-SUM(K101:M101)&gt;0,N101-SUM(K101:M101),0),0)</f>
        <v>3.28744990252686</v>
      </c>
      <c r="P101" s="223" t="n">
        <f aca="false">O101*D101</f>
        <v>68873.7899452481</v>
      </c>
      <c r="Q101" s="164" t="n">
        <f aca="false">IF(A101&lt;=Summary!$J$61,0.5*(P101),$Q$2*(P101))</f>
        <v>0</v>
      </c>
      <c r="R101" s="223" t="n">
        <f aca="false">Summary!$J$58</f>
        <v>0.5</v>
      </c>
      <c r="S101" s="223" t="n">
        <f aca="false">J101+(K101+L101+R101)</f>
        <v>38.0172086845567</v>
      </c>
      <c r="T101" s="224" t="n">
        <f aca="false">IF(D101*(C101-S101)-Q101&gt;0,D101*(C101-S101)-Q101,0)</f>
        <v>95061.9418514981</v>
      </c>
      <c r="U101" s="225" t="n">
        <f aca="false">Summary!$J$59</f>
        <v>0.121048781448</v>
      </c>
      <c r="V101" s="224" t="n">
        <f aca="false">IF(A101&lt;=Summary!$J$61,(0.2*T101)+(R101*D101),(U101*T101)+(R101*D101))</f>
        <v>21982.3929857045</v>
      </c>
      <c r="W101" s="226" t="n">
        <f aca="false">C101*D101</f>
        <v>891542.29071772</v>
      </c>
    </row>
    <row r="102" customFormat="false" ht="12.75" hidden="false" customHeight="false" outlineLevel="0" collapsed="false">
      <c r="A102" s="220" t="n">
        <v>39479</v>
      </c>
      <c r="B102" s="221" t="n">
        <f aca="false">YEAR(A102)</f>
        <v>2008</v>
      </c>
      <c r="C102" s="164" t="n">
        <f aca="false">CALC!HH114</f>
        <v>34.3992401833882</v>
      </c>
      <c r="D102" s="222" t="n">
        <f aca="false">IF(Summary!$O$109=0,CALC!HE114,0)</f>
        <v>19598.874975</v>
      </c>
      <c r="E102" s="222" t="n">
        <f aca="false">SUM(CALC!GU114:HB114)*CALC!CY114/1000</f>
        <v>87507.946785435</v>
      </c>
      <c r="F102" s="223" t="n">
        <f aca="false">Summary!$J$54</f>
        <v>0.15</v>
      </c>
      <c r="G102" s="164" t="n">
        <f aca="false">VLOOKUP(A102,CURVES!AW103:$BS$283,16)</f>
        <v>3.08620816586511</v>
      </c>
      <c r="H102" s="223" t="n">
        <f aca="false">Summary!$J$60</f>
        <v>0.04</v>
      </c>
      <c r="I102" s="165" t="n">
        <f aca="false">Summary!$J$55</f>
        <v>8.5</v>
      </c>
      <c r="J102" s="164" t="n">
        <f aca="false">I102*SUM(F102:H102)</f>
        <v>27.8477694098534</v>
      </c>
      <c r="K102" s="223" t="n">
        <f aca="false">Summary!$J$56</f>
        <v>3.75</v>
      </c>
      <c r="L102" s="0" t="n">
        <f aca="false">Summary!$O$23</f>
        <v>3.75</v>
      </c>
      <c r="M102" s="223" t="n">
        <f aca="false">Summary!$J$57</f>
        <v>1.75</v>
      </c>
      <c r="N102" s="164" t="n">
        <f aca="false">IF(C102&gt;0,C102-J102,0)</f>
        <v>6.55147077353476</v>
      </c>
      <c r="O102" s="223" t="n">
        <f aca="false">IF(N102&gt;0,IF(N102-SUM(K102:M102)&gt;0,N102-SUM(K102:M102),0),0)</f>
        <v>0</v>
      </c>
      <c r="P102" s="223" t="n">
        <f aca="false">O102*D102</f>
        <v>0</v>
      </c>
      <c r="Q102" s="164" t="n">
        <f aca="false">IF(A102&lt;=Summary!$J$61,0.5*(P102),$Q$2*(P102))</f>
        <v>0</v>
      </c>
      <c r="R102" s="223" t="n">
        <f aca="false">Summary!$J$58</f>
        <v>0.5</v>
      </c>
      <c r="S102" s="223" t="n">
        <f aca="false">J102+(K102+L102+R102)</f>
        <v>35.8477694098534</v>
      </c>
      <c r="T102" s="224" t="n">
        <f aca="false">IF(D102*(C102-S102)-Q102&gt;0,D102*(C102-S102)-Q102,0)</f>
        <v>0</v>
      </c>
      <c r="U102" s="225" t="n">
        <f aca="false">Summary!$J$59</f>
        <v>0.121048781448</v>
      </c>
      <c r="V102" s="224" t="n">
        <f aca="false">IF(A102&lt;=Summary!$J$61,(0.2*T102)+(R102*D102),(U102*T102)+(R102*D102))</f>
        <v>9799.4374875</v>
      </c>
      <c r="W102" s="226" t="n">
        <f aca="false">C102*D102</f>
        <v>674186.407589221</v>
      </c>
    </row>
    <row r="103" customFormat="false" ht="12.75" hidden="false" customHeight="false" outlineLevel="0" collapsed="false">
      <c r="A103" s="220" t="n">
        <v>39508</v>
      </c>
      <c r="B103" s="221" t="n">
        <f aca="false">YEAR(A103)</f>
        <v>2008</v>
      </c>
      <c r="C103" s="164" t="n">
        <f aca="false">CALC!HH115</f>
        <v>33.8472938115527</v>
      </c>
      <c r="D103" s="222" t="n">
        <f aca="false">IF(Summary!$O$109=0,CALC!HE115,0)</f>
        <v>20950.521525</v>
      </c>
      <c r="E103" s="222" t="n">
        <f aca="false">SUM(CALC!GU115:HB115)*CALC!CY115/1000</f>
        <v>93567.7533561355</v>
      </c>
      <c r="F103" s="223" t="n">
        <f aca="false">Summary!$J$54</f>
        <v>0.15</v>
      </c>
      <c r="G103" s="164" t="n">
        <f aca="false">VLOOKUP(A103,CURVES!AW104:$BS$283,16)</f>
        <v>2.92068822982677</v>
      </c>
      <c r="H103" s="223" t="n">
        <f aca="false">Summary!$J$60</f>
        <v>0.04</v>
      </c>
      <c r="I103" s="165" t="n">
        <f aca="false">Summary!$J$55</f>
        <v>8.5</v>
      </c>
      <c r="J103" s="164" t="n">
        <f aca="false">I103*SUM(F103:H103)</f>
        <v>26.4408499535275</v>
      </c>
      <c r="K103" s="223" t="n">
        <f aca="false">Summary!$J$56</f>
        <v>3.75</v>
      </c>
      <c r="L103" s="0" t="n">
        <f aca="false">Summary!$O$23</f>
        <v>3.75</v>
      </c>
      <c r="M103" s="223" t="n">
        <f aca="false">Summary!$J$57</f>
        <v>1.75</v>
      </c>
      <c r="N103" s="164" t="n">
        <f aca="false">IF(C103&gt;0,C103-J103,0)</f>
        <v>7.40644385802521</v>
      </c>
      <c r="O103" s="223" t="n">
        <f aca="false">IF(N103&gt;0,IF(N103-SUM(K103:M103)&gt;0,N103-SUM(K103:M103),0),0)</f>
        <v>0</v>
      </c>
      <c r="P103" s="223" t="n">
        <f aca="false">O103*D103</f>
        <v>0</v>
      </c>
      <c r="Q103" s="164" t="n">
        <f aca="false">IF(A103&lt;=Summary!$J$61,0.5*(P103),$Q$2*(P103))</f>
        <v>0</v>
      </c>
      <c r="R103" s="223" t="n">
        <f aca="false">Summary!$J$58</f>
        <v>0.5</v>
      </c>
      <c r="S103" s="223" t="n">
        <f aca="false">J103+(K103+L103+R103)</f>
        <v>34.4408499535275</v>
      </c>
      <c r="T103" s="224" t="n">
        <f aca="false">IF(D103*(C103-S103)-Q103&gt;0,D103*(C103-S103)-Q103,0)</f>
        <v>0</v>
      </c>
      <c r="U103" s="225" t="n">
        <f aca="false">Summary!$J$59</f>
        <v>0.121048781448</v>
      </c>
      <c r="V103" s="224" t="n">
        <f aca="false">IF(A103&lt;=Summary!$J$61,(0.2*T103)+(R103*D103),(U103*T103)+(R103*D103))</f>
        <v>10475.2607625</v>
      </c>
      <c r="W103" s="226" t="n">
        <f aca="false">C103*D103</f>
        <v>709118.457561935</v>
      </c>
    </row>
    <row r="104" customFormat="false" ht="12.75" hidden="false" customHeight="false" outlineLevel="0" collapsed="false">
      <c r="A104" s="220" t="n">
        <v>39539</v>
      </c>
      <c r="B104" s="221" t="n">
        <f aca="false">YEAR(A104)</f>
        <v>2008</v>
      </c>
      <c r="C104" s="164" t="n">
        <f aca="false">CALC!HH116</f>
        <v>32.3203405575948</v>
      </c>
      <c r="D104" s="222" t="n">
        <f aca="false">IF(Summary!$O$109=0,CALC!HE116,0)</f>
        <v>20274.69825</v>
      </c>
      <c r="E104" s="222" t="n">
        <f aca="false">SUM(CALC!GU116:HB116)*CALC!CY116/1000</f>
        <v>90573.4152716587</v>
      </c>
      <c r="F104" s="223" t="n">
        <f aca="false">Summary!$J$54</f>
        <v>0.15</v>
      </c>
      <c r="G104" s="164" t="n">
        <f aca="false">VLOOKUP(A104,CURVES!AW105:$BS$283,16)</f>
        <v>2.83306549793335</v>
      </c>
      <c r="H104" s="223" t="n">
        <f aca="false">Summary!$J$60</f>
        <v>0.04</v>
      </c>
      <c r="I104" s="165" t="n">
        <f aca="false">Summary!$J$55</f>
        <v>8.5</v>
      </c>
      <c r="J104" s="164" t="n">
        <f aca="false">I104*SUM(F104:H104)</f>
        <v>25.6960567324335</v>
      </c>
      <c r="K104" s="223" t="n">
        <f aca="false">Summary!$J$56</f>
        <v>3.75</v>
      </c>
      <c r="L104" s="0" t="n">
        <f aca="false">Summary!$O$23</f>
        <v>3.75</v>
      </c>
      <c r="M104" s="223" t="n">
        <f aca="false">Summary!$J$57</f>
        <v>1.75</v>
      </c>
      <c r="N104" s="164" t="n">
        <f aca="false">IF(C104&gt;0,C104-J104,0)</f>
        <v>6.62428382516134</v>
      </c>
      <c r="O104" s="223" t="n">
        <f aca="false">IF(N104&gt;0,IF(N104-SUM(K104:M104)&gt;0,N104-SUM(K104:M104),0),0)</f>
        <v>0</v>
      </c>
      <c r="P104" s="223" t="n">
        <f aca="false">O104*D104</f>
        <v>0</v>
      </c>
      <c r="Q104" s="164" t="n">
        <f aca="false">IF(A104&lt;=Summary!$J$61,0.5*(P104),$Q$2*(P104))</f>
        <v>0</v>
      </c>
      <c r="R104" s="223" t="n">
        <f aca="false">Summary!$J$58</f>
        <v>0.5</v>
      </c>
      <c r="S104" s="223" t="n">
        <f aca="false">J104+(K104+L104+R104)</f>
        <v>33.6960567324335</v>
      </c>
      <c r="T104" s="224" t="n">
        <f aca="false">IF(D104*(C104-S104)-Q104&gt;0,D104*(C104-S104)-Q104,0)</f>
        <v>0</v>
      </c>
      <c r="U104" s="225" t="n">
        <f aca="false">Summary!$J$59</f>
        <v>0.121048781448</v>
      </c>
      <c r="V104" s="224" t="n">
        <f aca="false">IF(A104&lt;=Summary!$J$61,(0.2*T104)+(R104*D104),(U104*T104)+(R104*D104))</f>
        <v>10137.349125</v>
      </c>
      <c r="W104" s="226" t="n">
        <f aca="false">C104*D104</f>
        <v>655285.152142472</v>
      </c>
    </row>
    <row r="105" customFormat="false" ht="12.75" hidden="false" customHeight="false" outlineLevel="0" collapsed="false">
      <c r="A105" s="220" t="n">
        <v>39569</v>
      </c>
      <c r="B105" s="221" t="n">
        <f aca="false">YEAR(A105)</f>
        <v>2008</v>
      </c>
      <c r="C105" s="164" t="n">
        <f aca="false">CALC!HH117</f>
        <v>33.9688123153461</v>
      </c>
      <c r="D105" s="222" t="n">
        <f aca="false">IF(Summary!$O$109=0,CALC!HE117,0)</f>
        <v>22276.5039</v>
      </c>
      <c r="E105" s="222" t="n">
        <f aca="false">SUM(CALC!GU117:HB117)*CALC!CY117/1000</f>
        <v>73265.7168563159</v>
      </c>
      <c r="F105" s="223" t="n">
        <f aca="false">Summary!$J$54</f>
        <v>0.15</v>
      </c>
      <c r="G105" s="164" t="n">
        <f aca="false">VLOOKUP(A105,CURVES!AW106:$BS$283,16)</f>
        <v>2.81169939431211</v>
      </c>
      <c r="H105" s="223" t="n">
        <f aca="false">Summary!$J$60</f>
        <v>0.04</v>
      </c>
      <c r="I105" s="165" t="n">
        <f aca="false">Summary!$J$55</f>
        <v>8.5</v>
      </c>
      <c r="J105" s="164" t="n">
        <f aca="false">I105*SUM(F105:H105)</f>
        <v>25.514444851653</v>
      </c>
      <c r="K105" s="223" t="n">
        <f aca="false">Summary!$J$56</f>
        <v>3.75</v>
      </c>
      <c r="L105" s="0" t="n">
        <f aca="false">Summary!$O$23</f>
        <v>3.75</v>
      </c>
      <c r="M105" s="223" t="n">
        <f aca="false">Summary!$J$57</f>
        <v>1.75</v>
      </c>
      <c r="N105" s="164" t="n">
        <f aca="false">IF(C105&gt;0,C105-J105,0)</f>
        <v>8.45436746369316</v>
      </c>
      <c r="O105" s="223" t="n">
        <f aca="false">IF(N105&gt;0,IF(N105-SUM(K105:M105)&gt;0,N105-SUM(K105:M105),0),0)</f>
        <v>0</v>
      </c>
      <c r="P105" s="223" t="n">
        <f aca="false">O105*D105</f>
        <v>0</v>
      </c>
      <c r="Q105" s="164" t="n">
        <f aca="false">IF(A105&lt;=Summary!$J$61,0.5*(P105),$Q$2*(P105))</f>
        <v>0</v>
      </c>
      <c r="R105" s="223" t="n">
        <f aca="false">Summary!$J$58</f>
        <v>0.5</v>
      </c>
      <c r="S105" s="223" t="n">
        <f aca="false">J105+(K105+L105+R105)</f>
        <v>33.514444851653</v>
      </c>
      <c r="T105" s="224" t="n">
        <f aca="false">IF(D105*(C105-S105)-Q105&gt;0,D105*(C105-S105)-Q105,0)</f>
        <v>10121.7185769939</v>
      </c>
      <c r="U105" s="225" t="n">
        <f aca="false">Summary!$J$59</f>
        <v>0.121048781448</v>
      </c>
      <c r="V105" s="224" t="n">
        <f aca="false">IF(A105&lt;=Summary!$J$61,(0.2*T105)+(R105*D105),(U105*T105)+(R105*D105))</f>
        <v>12363.4736499047</v>
      </c>
      <c r="W105" s="226" t="n">
        <f aca="false">C105*D105</f>
        <v>756706.380021176</v>
      </c>
    </row>
    <row r="106" customFormat="false" ht="12.75" hidden="false" customHeight="false" outlineLevel="0" collapsed="false">
      <c r="A106" s="220" t="n">
        <v>39600</v>
      </c>
      <c r="B106" s="221" t="n">
        <f aca="false">YEAR(A106)</f>
        <v>2008</v>
      </c>
      <c r="C106" s="164" t="n">
        <f aca="false">CALC!HH118</f>
        <v>33.6083521323744</v>
      </c>
      <c r="D106" s="222" t="n">
        <f aca="false">IF(Summary!$O$109=0,CALC!HE118,0)</f>
        <v>21557.907</v>
      </c>
      <c r="E106" s="222" t="n">
        <f aca="false">SUM(CALC!GU118:HB118)*CALC!CY118/1000</f>
        <v>70921.0708837733</v>
      </c>
      <c r="F106" s="223" t="n">
        <f aca="false">Summary!$J$54</f>
        <v>0.15</v>
      </c>
      <c r="G106" s="164" t="n">
        <f aca="false">VLOOKUP(A106,CURVES!AW107:$BS$283,16)</f>
        <v>2.84566309974594</v>
      </c>
      <c r="H106" s="223" t="n">
        <f aca="false">Summary!$J$60</f>
        <v>0.04</v>
      </c>
      <c r="I106" s="165" t="n">
        <f aca="false">Summary!$J$55</f>
        <v>8.5</v>
      </c>
      <c r="J106" s="164" t="n">
        <f aca="false">I106*SUM(F106:H106)</f>
        <v>25.8031363478405</v>
      </c>
      <c r="K106" s="223" t="n">
        <f aca="false">Summary!$J$56</f>
        <v>3.75</v>
      </c>
      <c r="L106" s="0" t="n">
        <f aca="false">Summary!$O$23</f>
        <v>3.75</v>
      </c>
      <c r="M106" s="223" t="n">
        <f aca="false">Summary!$J$57</f>
        <v>1.75</v>
      </c>
      <c r="N106" s="164" t="n">
        <f aca="false">IF(C106&gt;0,C106-J106,0)</f>
        <v>7.80521578453393</v>
      </c>
      <c r="O106" s="223" t="n">
        <f aca="false">IF(N106&gt;0,IF(N106-SUM(K106:M106)&gt;0,N106-SUM(K106:M106),0),0)</f>
        <v>0</v>
      </c>
      <c r="P106" s="223" t="n">
        <f aca="false">O106*D106</f>
        <v>0</v>
      </c>
      <c r="Q106" s="164" t="n">
        <f aca="false">IF(A106&lt;=Summary!$J$61,0.5*(P106),$Q$2*(P106))</f>
        <v>0</v>
      </c>
      <c r="R106" s="223" t="n">
        <f aca="false">Summary!$J$58</f>
        <v>0.5</v>
      </c>
      <c r="S106" s="223" t="n">
        <f aca="false">J106+(K106+L106+R106)</f>
        <v>33.8031363478405</v>
      </c>
      <c r="T106" s="224" t="n">
        <f aca="false">IF(D106*(C106-S106)-Q106&gt;0,D106*(C106-S106)-Q106,0)</f>
        <v>0</v>
      </c>
      <c r="U106" s="225" t="n">
        <f aca="false">Summary!$J$59</f>
        <v>0.121048781448</v>
      </c>
      <c r="V106" s="224" t="n">
        <f aca="false">IF(A106&lt;=Summary!$J$61,(0.2*T106)+(R106*D106),(U106*T106)+(R106*D106))</f>
        <v>10778.9535</v>
      </c>
      <c r="W106" s="226" t="n">
        <f aca="false">C106*D106</f>
        <v>724525.72969298</v>
      </c>
    </row>
    <row r="107" customFormat="false" ht="12.75" hidden="false" customHeight="false" outlineLevel="0" collapsed="false">
      <c r="A107" s="220" t="n">
        <v>39630</v>
      </c>
      <c r="B107" s="221" t="n">
        <f aca="false">YEAR(A107)</f>
        <v>2008</v>
      </c>
      <c r="C107" s="164" t="n">
        <f aca="false">CALC!HH119</f>
        <v>46.3057153419601</v>
      </c>
      <c r="D107" s="222" t="n">
        <f aca="false">IF(Summary!$O$109=0,CALC!HE119,0)</f>
        <v>22276.5039</v>
      </c>
      <c r="E107" s="222" t="n">
        <f aca="false">SUM(CALC!GU119:HB119)*CALC!CY119/1000</f>
        <v>73304.4963034822</v>
      </c>
      <c r="F107" s="223" t="n">
        <f aca="false">Summary!$J$54</f>
        <v>0.15</v>
      </c>
      <c r="G107" s="164" t="n">
        <f aca="false">VLOOKUP(A107,CURVES!AW108:$BS$283,16)</f>
        <v>2.92333857690745</v>
      </c>
      <c r="H107" s="223" t="n">
        <f aca="false">Summary!$J$60</f>
        <v>0.04</v>
      </c>
      <c r="I107" s="165" t="n">
        <f aca="false">Summary!$J$55</f>
        <v>8.5</v>
      </c>
      <c r="J107" s="164" t="n">
        <f aca="false">I107*SUM(F107:H107)</f>
        <v>26.4633779037133</v>
      </c>
      <c r="K107" s="223" t="n">
        <f aca="false">Summary!$J$56</f>
        <v>3.75</v>
      </c>
      <c r="L107" s="0" t="n">
        <f aca="false">Summary!$O$23</f>
        <v>3.75</v>
      </c>
      <c r="M107" s="223" t="n">
        <f aca="false">Summary!$J$57</f>
        <v>1.75</v>
      </c>
      <c r="N107" s="164" t="n">
        <f aca="false">IF(C107&gt;0,C107-J107,0)</f>
        <v>19.8423374382468</v>
      </c>
      <c r="O107" s="223" t="n">
        <f aca="false">IF(N107&gt;0,IF(N107-SUM(K107:M107)&gt;0,N107-SUM(K107:M107),0),0)</f>
        <v>10.5923374382468</v>
      </c>
      <c r="P107" s="223" t="n">
        <f aca="false">O107*D107</f>
        <v>235960.246253222</v>
      </c>
      <c r="Q107" s="164" t="n">
        <f aca="false">IF(A107&lt;=Summary!$J$61,0.5*(P107),$Q$2*(P107))</f>
        <v>0</v>
      </c>
      <c r="R107" s="223" t="n">
        <f aca="false">Summary!$J$58</f>
        <v>0.5</v>
      </c>
      <c r="S107" s="223" t="n">
        <f aca="false">J107+(K107+L107+R107)</f>
        <v>34.4633779037133</v>
      </c>
      <c r="T107" s="224" t="n">
        <f aca="false">IF(D107*(C107-S107)-Q107&gt;0,D107*(C107-S107)-Q107,0)</f>
        <v>263805.876128222</v>
      </c>
      <c r="U107" s="225" t="n">
        <f aca="false">Summary!$J$59</f>
        <v>0.121048781448</v>
      </c>
      <c r="V107" s="224" t="n">
        <f aca="false">IF(A107&lt;=Summary!$J$61,(0.2*T107)+(R107*D107),(U107*T107)+(R107*D107))</f>
        <v>43071.6317941433</v>
      </c>
      <c r="W107" s="226" t="n">
        <f aca="false">C107*D107</f>
        <v>1031529.44840747</v>
      </c>
    </row>
    <row r="108" customFormat="false" ht="12.75" hidden="false" customHeight="false" outlineLevel="0" collapsed="false">
      <c r="A108" s="220" t="n">
        <v>39661</v>
      </c>
      <c r="B108" s="221" t="n">
        <f aca="false">YEAR(A108)</f>
        <v>2008</v>
      </c>
      <c r="C108" s="164" t="n">
        <f aca="false">CALC!HH120</f>
        <v>79.3811855106569</v>
      </c>
      <c r="D108" s="222" t="n">
        <f aca="false">IF(Summary!$O$109=0,CALC!HE120,0)</f>
        <v>22276.5039</v>
      </c>
      <c r="E108" s="222" t="n">
        <f aca="false">SUM(CALC!GU120:HB120)*CALC!CY120/1000</f>
        <v>73323.8860270654</v>
      </c>
      <c r="F108" s="223" t="n">
        <f aca="false">Summary!$J$54</f>
        <v>0.15</v>
      </c>
      <c r="G108" s="164" t="n">
        <f aca="false">VLOOKUP(A108,CURVES!AW109:$BS$283,16)</f>
        <v>3.0336538867716</v>
      </c>
      <c r="H108" s="223" t="n">
        <f aca="false">Summary!$J$60</f>
        <v>0.04</v>
      </c>
      <c r="I108" s="165" t="n">
        <f aca="false">Summary!$J$55</f>
        <v>8.5</v>
      </c>
      <c r="J108" s="164" t="n">
        <f aca="false">I108*SUM(F108:H108)</f>
        <v>27.4010580375586</v>
      </c>
      <c r="K108" s="223" t="n">
        <f aca="false">Summary!$J$56</f>
        <v>3.75</v>
      </c>
      <c r="L108" s="0" t="n">
        <f aca="false">Summary!$O$23</f>
        <v>3.75</v>
      </c>
      <c r="M108" s="223" t="n">
        <f aca="false">Summary!$J$57</f>
        <v>1.75</v>
      </c>
      <c r="N108" s="164" t="n">
        <f aca="false">IF(C108&gt;0,C108-J108,0)</f>
        <v>51.9801274730983</v>
      </c>
      <c r="O108" s="223" t="n">
        <f aca="false">IF(N108&gt;0,IF(N108-SUM(K108:M108)&gt;0,N108-SUM(K108:M108),0),0)</f>
        <v>42.7301274730983</v>
      </c>
      <c r="P108" s="223" t="n">
        <f aca="false">O108*D108</f>
        <v>951877.851301971</v>
      </c>
      <c r="Q108" s="164" t="n">
        <f aca="false">IF(A108&lt;=Summary!$J$61,0.5*(P108),$Q$2*(P108))</f>
        <v>0</v>
      </c>
      <c r="R108" s="223" t="n">
        <f aca="false">Summary!$J$58</f>
        <v>0.5</v>
      </c>
      <c r="S108" s="223" t="n">
        <f aca="false">J108+(K108+L108+R108)</f>
        <v>35.4010580375586</v>
      </c>
      <c r="T108" s="224" t="n">
        <f aca="false">IF(D108*(C108-S108)-Q108&gt;0,D108*(C108-S108)-Q108,0)</f>
        <v>979723.481176971</v>
      </c>
      <c r="U108" s="225" t="n">
        <f aca="false">Summary!$J$59</f>
        <v>0.121048781448</v>
      </c>
      <c r="V108" s="224" t="n">
        <f aca="false">IF(A108&lt;=Summary!$J$61,(0.2*T108)+(R108*D108),(U108*T108)+(R108*D108))</f>
        <v>129732.585502465</v>
      </c>
      <c r="W108" s="226" t="n">
        <f aca="false">C108*D108</f>
        <v>1768335.28861477</v>
      </c>
    </row>
    <row r="109" customFormat="false" ht="12.75" hidden="false" customHeight="false" outlineLevel="0" collapsed="false">
      <c r="A109" s="220" t="n">
        <v>39692</v>
      </c>
      <c r="B109" s="221" t="n">
        <f aca="false">YEAR(A109)</f>
        <v>2008</v>
      </c>
      <c r="C109" s="164" t="n">
        <f aca="false">CALC!HH121</f>
        <v>52.0123083206277</v>
      </c>
      <c r="D109" s="222" t="n">
        <f aca="false">IF(Summary!$O$109=0,CALC!HE121,0)</f>
        <v>21557.907</v>
      </c>
      <c r="E109" s="222" t="n">
        <f aca="false">SUM(CALC!GU121:HB121)*CALC!CY121/1000</f>
        <v>70977.3636296599</v>
      </c>
      <c r="F109" s="223" t="n">
        <f aca="false">Summary!$J$54</f>
        <v>0.15</v>
      </c>
      <c r="G109" s="164" t="n">
        <f aca="false">VLOOKUP(A109,CURVES!AW110:$BS$283,16)</f>
        <v>3.16499508427747</v>
      </c>
      <c r="H109" s="223" t="n">
        <f aca="false">Summary!$J$60</f>
        <v>0.04</v>
      </c>
      <c r="I109" s="165" t="n">
        <f aca="false">Summary!$J$55</f>
        <v>8.5</v>
      </c>
      <c r="J109" s="164" t="n">
        <f aca="false">I109*SUM(F109:H109)</f>
        <v>28.5174582163585</v>
      </c>
      <c r="K109" s="223" t="n">
        <f aca="false">Summary!$J$56</f>
        <v>3.75</v>
      </c>
      <c r="L109" s="0" t="n">
        <f aca="false">Summary!$O$23</f>
        <v>3.75</v>
      </c>
      <c r="M109" s="223" t="n">
        <f aca="false">Summary!$J$57</f>
        <v>1.75</v>
      </c>
      <c r="N109" s="164" t="n">
        <f aca="false">IF(C109&gt;0,C109-J109,0)</f>
        <v>23.4948501042692</v>
      </c>
      <c r="O109" s="223" t="n">
        <f aca="false">IF(N109&gt;0,IF(N109-SUM(K109:M109)&gt;0,N109-SUM(K109:M109),0),0)</f>
        <v>14.2448501042692</v>
      </c>
      <c r="P109" s="223" t="n">
        <f aca="false">O109*D109</f>
        <v>307089.153776776</v>
      </c>
      <c r="Q109" s="164" t="n">
        <f aca="false">IF(A109&lt;=Summary!$J$61,0.5*(P109),$Q$2*(P109))</f>
        <v>0</v>
      </c>
      <c r="R109" s="223" t="n">
        <f aca="false">Summary!$J$58</f>
        <v>0.5</v>
      </c>
      <c r="S109" s="223" t="n">
        <f aca="false">J109+(K109+L109+R109)</f>
        <v>36.5174582163585</v>
      </c>
      <c r="T109" s="224" t="n">
        <f aca="false">IF(D109*(C109-S109)-Q109&gt;0,D109*(C109-S109)-Q109,0)</f>
        <v>334036.537526776</v>
      </c>
      <c r="U109" s="225" t="n">
        <f aca="false">Summary!$J$59</f>
        <v>0.121048781448</v>
      </c>
      <c r="V109" s="224" t="n">
        <f aca="false">IF(A109&lt;=Summary!$J$61,(0.2*T109)+(R109*D109),(U109*T109)+(R109*D109))</f>
        <v>51213.6693267254</v>
      </c>
      <c r="W109" s="226" t="n">
        <f aca="false">C109*D109</f>
        <v>1121276.50563142</v>
      </c>
    </row>
    <row r="110" customFormat="false" ht="12.75" hidden="false" customHeight="false" outlineLevel="0" collapsed="false">
      <c r="A110" s="220" t="n">
        <v>39722</v>
      </c>
      <c r="B110" s="221" t="n">
        <f aca="false">YEAR(A110)</f>
        <v>2008</v>
      </c>
      <c r="C110" s="164" t="n">
        <f aca="false">CALC!HH122</f>
        <v>43.469283272814</v>
      </c>
      <c r="D110" s="222" t="n">
        <f aca="false">IF(Summary!$O$109=0,CALC!HE122,0)</f>
        <v>20950.521525</v>
      </c>
      <c r="E110" s="222" t="n">
        <f aca="false">SUM(CALC!GU122:HB122)*CALC!CY122/1000</f>
        <v>93741.1836615184</v>
      </c>
      <c r="F110" s="223" t="n">
        <f aca="false">Summary!$J$54</f>
        <v>0.15</v>
      </c>
      <c r="G110" s="164" t="n">
        <f aca="false">VLOOKUP(A110,CURVES!AW111:$BS$283,16)</f>
        <v>3.30564562000549</v>
      </c>
      <c r="H110" s="223" t="n">
        <f aca="false">Summary!$J$60</f>
        <v>0.04</v>
      </c>
      <c r="I110" s="165" t="n">
        <f aca="false">Summary!$J$55</f>
        <v>8.5</v>
      </c>
      <c r="J110" s="164" t="n">
        <f aca="false">I110*SUM(F110:H110)</f>
        <v>29.7129877700467</v>
      </c>
      <c r="K110" s="223" t="n">
        <f aca="false">Summary!$J$56</f>
        <v>3.75</v>
      </c>
      <c r="L110" s="0" t="n">
        <f aca="false">Summary!$O$23</f>
        <v>3.75</v>
      </c>
      <c r="M110" s="223" t="n">
        <f aca="false">Summary!$J$57</f>
        <v>1.75</v>
      </c>
      <c r="N110" s="164" t="n">
        <f aca="false">IF(C110&gt;0,C110-J110,0)</f>
        <v>13.7562955027673</v>
      </c>
      <c r="O110" s="223" t="n">
        <f aca="false">IF(N110&gt;0,IF(N110-SUM(K110:M110)&gt;0,N110-SUM(K110:M110),0),0)</f>
        <v>4.5062955027673</v>
      </c>
      <c r="P110" s="223" t="n">
        <f aca="false">O110*D110</f>
        <v>94409.240928737</v>
      </c>
      <c r="Q110" s="164" t="n">
        <f aca="false">IF(A110&lt;=Summary!$J$61,0.5*(P110),$Q$2*(P110))</f>
        <v>0</v>
      </c>
      <c r="R110" s="223" t="n">
        <f aca="false">Summary!$J$58</f>
        <v>0.5</v>
      </c>
      <c r="S110" s="223" t="n">
        <f aca="false">J110+(K110+L110+R110)</f>
        <v>37.7129877700467</v>
      </c>
      <c r="T110" s="224" t="n">
        <f aca="false">IF(D110*(C110-S110)-Q110&gt;0,D110*(C110-S110)-Q110,0)</f>
        <v>120597.392834987</v>
      </c>
      <c r="U110" s="225" t="n">
        <f aca="false">Summary!$J$59</f>
        <v>0.121048781448</v>
      </c>
      <c r="V110" s="224" t="n">
        <f aca="false">IF(A110&lt;=Summary!$J$61,(0.2*T110)+(R110*D110),(U110*T110)+(R110*D110))</f>
        <v>25073.4282109809</v>
      </c>
      <c r="W110" s="226" t="n">
        <f aca="false">C110*D110</f>
        <v>910704.154883411</v>
      </c>
    </row>
    <row r="111" customFormat="false" ht="12.75" hidden="false" customHeight="false" outlineLevel="0" collapsed="false">
      <c r="A111" s="220" t="n">
        <v>39753</v>
      </c>
      <c r="B111" s="221" t="n">
        <f aca="false">YEAR(A111)</f>
        <v>2008</v>
      </c>
      <c r="C111" s="164" t="n">
        <f aca="false">CALC!HH123</f>
        <v>47.6926527861628</v>
      </c>
      <c r="D111" s="222" t="n">
        <f aca="false">IF(Summary!$O$109=0,CALC!HE123,0)</f>
        <v>20274.69825</v>
      </c>
      <c r="E111" s="222" t="n">
        <f aca="false">SUM(CALC!GU123:HB123)*CALC!CY123/1000</f>
        <v>90741.2510510615</v>
      </c>
      <c r="F111" s="223" t="n">
        <f aca="false">Summary!$J$54</f>
        <v>0.15</v>
      </c>
      <c r="G111" s="164" t="n">
        <f aca="false">VLOOKUP(A111,CURVES!AW112:$BS$283,16)</f>
        <v>3.44434111833402</v>
      </c>
      <c r="H111" s="223" t="n">
        <f aca="false">Summary!$J$60</f>
        <v>0.04</v>
      </c>
      <c r="I111" s="165" t="n">
        <f aca="false">Summary!$J$55</f>
        <v>8.5</v>
      </c>
      <c r="J111" s="164" t="n">
        <f aca="false">I111*SUM(F111:H111)</f>
        <v>30.8918995058392</v>
      </c>
      <c r="K111" s="223" t="n">
        <f aca="false">Summary!$J$56</f>
        <v>3.75</v>
      </c>
      <c r="L111" s="0" t="n">
        <f aca="false">Summary!$O$23</f>
        <v>3.75</v>
      </c>
      <c r="M111" s="223" t="n">
        <f aca="false">Summary!$J$57</f>
        <v>1.75</v>
      </c>
      <c r="N111" s="164" t="n">
        <f aca="false">IF(C111&gt;0,C111-J111,0)</f>
        <v>16.8007532803237</v>
      </c>
      <c r="O111" s="223" t="n">
        <f aca="false">IF(N111&gt;0,IF(N111-SUM(K111:M111)&gt;0,N111-SUM(K111:M111),0),0)</f>
        <v>7.55075328032366</v>
      </c>
      <c r="P111" s="223" t="n">
        <f aca="false">O111*D111</f>
        <v>153089.24431876</v>
      </c>
      <c r="Q111" s="164" t="n">
        <f aca="false">IF(A111&lt;=Summary!$J$61,0.5*(P111),$Q$2*(P111))</f>
        <v>0</v>
      </c>
      <c r="R111" s="223" t="n">
        <f aca="false">Summary!$J$58</f>
        <v>0.5</v>
      </c>
      <c r="S111" s="223" t="n">
        <f aca="false">J111+(K111+L111+R111)</f>
        <v>38.8918995058392</v>
      </c>
      <c r="T111" s="224" t="n">
        <f aca="false">IF(D111*(C111-S111)-Q111&gt;0,D111*(C111-S111)-Q111,0)</f>
        <v>178432.61713126</v>
      </c>
      <c r="U111" s="225" t="n">
        <f aca="false">Summary!$J$59</f>
        <v>0.121048781448</v>
      </c>
      <c r="V111" s="224" t="n">
        <f aca="false">IF(A111&lt;=Summary!$J$61,(0.2*T111)+(R111*D111),(U111*T111)+(R111*D111))</f>
        <v>31736.3999993165</v>
      </c>
      <c r="W111" s="226" t="n">
        <f aca="false">C111*D111</f>
        <v>966954.143981473</v>
      </c>
    </row>
    <row r="112" customFormat="false" ht="12.75" hidden="false" customHeight="false" outlineLevel="0" collapsed="false">
      <c r="A112" s="220" t="n">
        <v>39783</v>
      </c>
      <c r="B112" s="221" t="n">
        <f aca="false">YEAR(A112)</f>
        <v>2008</v>
      </c>
      <c r="C112" s="164" t="n">
        <f aca="false">CALC!HH124</f>
        <v>46.1174230128515</v>
      </c>
      <c r="D112" s="222" t="n">
        <f aca="false">IF(Summary!$O$109=0,CALC!HE124,0)</f>
        <v>20950.521525</v>
      </c>
      <c r="E112" s="222" t="n">
        <f aca="false">SUM(CALC!GU124:HB124)*CALC!CY124/1000</f>
        <v>93790.735177342</v>
      </c>
      <c r="F112" s="223" t="n">
        <f aca="false">Summary!$J$54</f>
        <v>0.15</v>
      </c>
      <c r="G112" s="164" t="n">
        <f aca="false">VLOOKUP(A112,CURVES!AW113:$BS$283,16)</f>
        <v>3.59084651666592</v>
      </c>
      <c r="H112" s="223" t="n">
        <f aca="false">Summary!$J$60</f>
        <v>0.04</v>
      </c>
      <c r="I112" s="165" t="n">
        <f aca="false">Summary!$J$55</f>
        <v>8.5</v>
      </c>
      <c r="J112" s="164" t="n">
        <f aca="false">I112*SUM(F112:H112)</f>
        <v>32.1371953916603</v>
      </c>
      <c r="K112" s="223" t="n">
        <f aca="false">Summary!$J$56</f>
        <v>3.75</v>
      </c>
      <c r="L112" s="0" t="n">
        <f aca="false">Summary!$O$23</f>
        <v>3.75</v>
      </c>
      <c r="M112" s="223" t="n">
        <f aca="false">Summary!$J$57</f>
        <v>1.75</v>
      </c>
      <c r="N112" s="164" t="n">
        <f aca="false">IF(C112&gt;0,C112-J112,0)</f>
        <v>13.9802276211911</v>
      </c>
      <c r="O112" s="223" t="n">
        <f aca="false">IF(N112&gt;0,IF(N112-SUM(K112:M112)&gt;0,N112-SUM(K112:M112),0),0)</f>
        <v>4.73022762119115</v>
      </c>
      <c r="P112" s="223" t="n">
        <f aca="false">O112*D112</f>
        <v>99100.7355959147</v>
      </c>
      <c r="Q112" s="164" t="n">
        <f aca="false">IF(A112&lt;=Summary!$J$61,0.5*(P112),$Q$2*(P112))</f>
        <v>0</v>
      </c>
      <c r="R112" s="223" t="n">
        <f aca="false">Summary!$J$58</f>
        <v>0.5</v>
      </c>
      <c r="S112" s="223" t="n">
        <f aca="false">J112+(K112+L112+R112)</f>
        <v>40.1371953916603</v>
      </c>
      <c r="T112" s="224" t="n">
        <f aca="false">IF(D112*(C112-S112)-Q112&gt;0,D112*(C112-S112)-Q112,0)</f>
        <v>125288.887502165</v>
      </c>
      <c r="U112" s="225" t="n">
        <f aca="false">Summary!$J$59</f>
        <v>0.121048781448</v>
      </c>
      <c r="V112" s="224" t="n">
        <f aca="false">IF(A112&lt;=Summary!$J$61,(0.2*T112)+(R112*D112),(U112*T112)+(R112*D112))</f>
        <v>25641.3279236126</v>
      </c>
      <c r="W112" s="226" t="n">
        <f aca="false">C112*D112</f>
        <v>966184.063508275</v>
      </c>
    </row>
    <row r="113" customFormat="false" ht="12.75" hidden="false" customHeight="false" outlineLevel="0" collapsed="false">
      <c r="A113" s="220" t="n">
        <v>39814</v>
      </c>
      <c r="B113" s="221" t="n">
        <f aca="false">YEAR(A113)</f>
        <v>2009</v>
      </c>
      <c r="C113" s="164" t="n">
        <f aca="false">CALC!HH125</f>
        <v>41.8678669982806</v>
      </c>
      <c r="D113" s="222" t="n">
        <f aca="false">IF(Summary!$O$109=0,CALC!HE125,0)</f>
        <v>20950.521525</v>
      </c>
      <c r="E113" s="222" t="n">
        <f aca="false">SUM(CALC!GU125:HB125)*CALC!CY125/1000</f>
        <v>93815.5109352539</v>
      </c>
      <c r="F113" s="223" t="n">
        <f aca="false">Summary!$J$54</f>
        <v>0.15</v>
      </c>
      <c r="G113" s="164" t="n">
        <f aca="false">VLOOKUP(A113,CURVES!AW114:$BS$283,16)</f>
        <v>3.43176765382936</v>
      </c>
      <c r="H113" s="223" t="n">
        <f aca="false">Summary!$J$60</f>
        <v>0.04</v>
      </c>
      <c r="I113" s="165" t="n">
        <f aca="false">Summary!$J$55</f>
        <v>8.5</v>
      </c>
      <c r="J113" s="164" t="n">
        <f aca="false">I113*SUM(F113:H113)</f>
        <v>30.7850250575496</v>
      </c>
      <c r="K113" s="223" t="n">
        <f aca="false">Summary!$J$56</f>
        <v>3.75</v>
      </c>
      <c r="L113" s="0" t="n">
        <f aca="false">Summary!$O$23</f>
        <v>3.75</v>
      </c>
      <c r="M113" s="223" t="n">
        <f aca="false">Summary!$J$57</f>
        <v>1.75</v>
      </c>
      <c r="N113" s="164" t="n">
        <f aca="false">IF(C113&gt;0,C113-J113,0)</f>
        <v>11.082841940731</v>
      </c>
      <c r="O113" s="223" t="n">
        <f aca="false">IF(N113&gt;0,IF(N113-SUM(K113:M113)&gt;0,N113-SUM(K113:M113),0),0)</f>
        <v>1.83284194073099</v>
      </c>
      <c r="P113" s="223" t="n">
        <f aca="false">O113*D113</f>
        <v>38398.9945312073</v>
      </c>
      <c r="Q113" s="164" t="n">
        <f aca="false">IF(A113&lt;=Summary!$J$61,0.5*(P113),$Q$2*(P113))</f>
        <v>0</v>
      </c>
      <c r="R113" s="223" t="n">
        <f aca="false">Summary!$J$58</f>
        <v>0.5</v>
      </c>
      <c r="S113" s="223" t="n">
        <f aca="false">J113+(K113+L113+R113)</f>
        <v>38.7850250575496</v>
      </c>
      <c r="T113" s="224" t="n">
        <f aca="false">IF(D113*(C113-S113)-Q113&gt;0,D113*(C113-S113)-Q113,0)</f>
        <v>64587.1464374573</v>
      </c>
      <c r="U113" s="225" t="n">
        <f aca="false">Summary!$J$59</f>
        <v>0.121048781448</v>
      </c>
      <c r="V113" s="224" t="n">
        <f aca="false">IF(A113&lt;=Summary!$J$61,(0.2*T113)+(R113*D113),(U113*T113)+(R113*D113))</f>
        <v>18293.4561359577</v>
      </c>
      <c r="W113" s="226" t="n">
        <f aca="false">C113*D113</f>
        <v>877153.648753314</v>
      </c>
    </row>
    <row r="114" customFormat="false" ht="12.75" hidden="false" customHeight="false" outlineLevel="0" collapsed="false">
      <c r="A114" s="220" t="n">
        <v>39845</v>
      </c>
      <c r="B114" s="221" t="n">
        <f aca="false">YEAR(A114)</f>
        <v>2009</v>
      </c>
      <c r="C114" s="164" t="n">
        <f aca="false">CALC!HH126</f>
        <v>36.7244030874887</v>
      </c>
      <c r="D114" s="222" t="n">
        <f aca="false">IF(Summary!$O$109=0,CALC!HE126,0)</f>
        <v>18923.0517</v>
      </c>
      <c r="E114" s="222" t="n">
        <f aca="false">SUM(CALC!GU126:HB126)*CALC!CY126/1000</f>
        <v>84758.9686260852</v>
      </c>
      <c r="F114" s="223" t="n">
        <f aca="false">Summary!$J$54</f>
        <v>0.15</v>
      </c>
      <c r="G114" s="164" t="n">
        <f aca="false">VLOOKUP(A114,CURVES!AW115:$BS$283,16)</f>
        <v>3.16963974636413</v>
      </c>
      <c r="H114" s="223" t="n">
        <f aca="false">Summary!$J$60</f>
        <v>0.04</v>
      </c>
      <c r="I114" s="165" t="n">
        <f aca="false">Summary!$J$55</f>
        <v>8.5</v>
      </c>
      <c r="J114" s="164" t="n">
        <f aca="false">I114*SUM(F114:H114)</f>
        <v>28.5569378440951</v>
      </c>
      <c r="K114" s="223" t="n">
        <f aca="false">Summary!$J$56</f>
        <v>3.75</v>
      </c>
      <c r="L114" s="0" t="n">
        <f aca="false">Summary!$O$23</f>
        <v>3.75</v>
      </c>
      <c r="M114" s="223" t="n">
        <f aca="false">Summary!$J$57</f>
        <v>1.75</v>
      </c>
      <c r="N114" s="164" t="n">
        <f aca="false">IF(C114&gt;0,C114-J114,0)</f>
        <v>8.16746524339365</v>
      </c>
      <c r="O114" s="223" t="n">
        <f aca="false">IF(N114&gt;0,IF(N114-SUM(K114:M114)&gt;0,N114-SUM(K114:M114),0),0)</f>
        <v>0</v>
      </c>
      <c r="P114" s="223" t="n">
        <f aca="false">O114*D114</f>
        <v>0</v>
      </c>
      <c r="Q114" s="164" t="n">
        <f aca="false">IF(A114&lt;=Summary!$J$61,0.5*(P114),$Q$2*(P114))</f>
        <v>0</v>
      </c>
      <c r="R114" s="223" t="n">
        <f aca="false">Summary!$J$58</f>
        <v>0.5</v>
      </c>
      <c r="S114" s="223" t="n">
        <f aca="false">J114+(K114+L114+R114)</f>
        <v>36.5569378440951</v>
      </c>
      <c r="T114" s="224" t="n">
        <f aca="false">IF(D114*(C114-S114)-Q114&gt;0,D114*(C114-S114)-Q114,0)</f>
        <v>3168.95345869126</v>
      </c>
      <c r="U114" s="225" t="n">
        <f aca="false">Summary!$J$59</f>
        <v>0.121048781448</v>
      </c>
      <c r="V114" s="224" t="n">
        <f aca="false">IF(A114&lt;=Summary!$J$61,(0.2*T114)+(R114*D114),(U114*T114)+(R114*D114))</f>
        <v>9845.12380464</v>
      </c>
      <c r="W114" s="226" t="n">
        <f aca="false">C114*D114</f>
        <v>694937.778276189</v>
      </c>
    </row>
    <row r="115" customFormat="false" ht="12.75" hidden="false" customHeight="false" outlineLevel="0" collapsed="false">
      <c r="A115" s="220" t="n">
        <v>39873</v>
      </c>
      <c r="B115" s="221" t="n">
        <f aca="false">YEAR(A115)</f>
        <v>2009</v>
      </c>
      <c r="C115" s="164" t="n">
        <f aca="false">CALC!HH127</f>
        <v>34.4697109798379</v>
      </c>
      <c r="D115" s="222" t="n">
        <f aca="false">IF(Summary!$O$109=0,CALC!HE127,0)</f>
        <v>20950.521525</v>
      </c>
      <c r="E115" s="222" t="n">
        <f aca="false">SUM(CALC!GU127:HB127)*CALC!CY127/1000</f>
        <v>93865.0624510776</v>
      </c>
      <c r="F115" s="223" t="n">
        <f aca="false">Summary!$J$54</f>
        <v>0.15</v>
      </c>
      <c r="G115" s="164" t="n">
        <f aca="false">VLOOKUP(A115,CURVES!AW116:$BS$283,16)</f>
        <v>2.99948257018341</v>
      </c>
      <c r="H115" s="223" t="n">
        <f aca="false">Summary!$J$60</f>
        <v>0.04</v>
      </c>
      <c r="I115" s="165" t="n">
        <f aca="false">Summary!$J$55</f>
        <v>8.5</v>
      </c>
      <c r="J115" s="164" t="n">
        <f aca="false">I115*SUM(F115:H115)</f>
        <v>27.110601846559</v>
      </c>
      <c r="K115" s="223" t="n">
        <f aca="false">Summary!$J$56</f>
        <v>3.75</v>
      </c>
      <c r="L115" s="0" t="n">
        <f aca="false">Summary!$O$23</f>
        <v>3.75</v>
      </c>
      <c r="M115" s="223" t="n">
        <f aca="false">Summary!$J$57</f>
        <v>1.75</v>
      </c>
      <c r="N115" s="164" t="n">
        <f aca="false">IF(C115&gt;0,C115-J115,0)</f>
        <v>7.35910913327887</v>
      </c>
      <c r="O115" s="223" t="n">
        <f aca="false">IF(N115&gt;0,IF(N115-SUM(K115:M115)&gt;0,N115-SUM(K115:M115),0),0)</f>
        <v>0</v>
      </c>
      <c r="P115" s="223" t="n">
        <f aca="false">O115*D115</f>
        <v>0</v>
      </c>
      <c r="Q115" s="164" t="n">
        <f aca="false">IF(A115&lt;=Summary!$J$61,0.5*(P115),$Q$2*(P115))</f>
        <v>0</v>
      </c>
      <c r="R115" s="223" t="n">
        <f aca="false">Summary!$J$58</f>
        <v>0.5</v>
      </c>
      <c r="S115" s="223" t="n">
        <f aca="false">J115+(K115+L115+R115)</f>
        <v>35.110601846559</v>
      </c>
      <c r="T115" s="224" t="n">
        <f aca="false">IF(D115*(C115-S115)-Q115&gt;0,D115*(C115-S115)-Q115,0)</f>
        <v>0</v>
      </c>
      <c r="U115" s="225" t="n">
        <f aca="false">Summary!$J$59</f>
        <v>0.121048781448</v>
      </c>
      <c r="V115" s="224" t="n">
        <f aca="false">IF(A115&lt;=Summary!$J$61,(0.2*T115)+(R115*D115),(U115*T115)+(R115*D115))</f>
        <v>10475.2607625</v>
      </c>
      <c r="W115" s="226" t="n">
        <f aca="false">C115*D115</f>
        <v>722158.421843622</v>
      </c>
    </row>
    <row r="116" customFormat="false" ht="12.75" hidden="false" customHeight="false" outlineLevel="0" collapsed="false">
      <c r="A116" s="220" t="n">
        <v>39904</v>
      </c>
      <c r="B116" s="221" t="n">
        <f aca="false">YEAR(A116)</f>
        <v>2009</v>
      </c>
      <c r="C116" s="164" t="n">
        <f aca="false">CALC!HH128</f>
        <v>34.0111100961771</v>
      </c>
      <c r="D116" s="222" t="n">
        <f aca="false">IF(Summary!$O$109=0,CALC!HE128,0)</f>
        <v>20274.69825</v>
      </c>
      <c r="E116" s="222" t="n">
        <f aca="false">SUM(CALC!GU128:HB128)*CALC!CY128/1000</f>
        <v>90861.1337506349</v>
      </c>
      <c r="F116" s="223" t="n">
        <f aca="false">Summary!$J$54</f>
        <v>0.15</v>
      </c>
      <c r="G116" s="164" t="n">
        <f aca="false">VLOOKUP(A116,CURVES!AW117:$BS$283,16)</f>
        <v>2.9094959518302</v>
      </c>
      <c r="H116" s="223" t="n">
        <f aca="false">Summary!$J$60</f>
        <v>0.04</v>
      </c>
      <c r="I116" s="165" t="n">
        <f aca="false">Summary!$J$55</f>
        <v>8.5</v>
      </c>
      <c r="J116" s="164" t="n">
        <f aca="false">I116*SUM(F116:H116)</f>
        <v>26.3457155905567</v>
      </c>
      <c r="K116" s="223" t="n">
        <f aca="false">Summary!$J$56</f>
        <v>3.75</v>
      </c>
      <c r="L116" s="0" t="n">
        <f aca="false">Summary!$O$23</f>
        <v>3.75</v>
      </c>
      <c r="M116" s="223" t="n">
        <f aca="false">Summary!$J$57</f>
        <v>1.75</v>
      </c>
      <c r="N116" s="164" t="n">
        <f aca="false">IF(C116&gt;0,C116-J116,0)</f>
        <v>7.6653945056204</v>
      </c>
      <c r="O116" s="223" t="n">
        <f aca="false">IF(N116&gt;0,IF(N116-SUM(K116:M116)&gt;0,N116-SUM(K116:M116),0),0)</f>
        <v>0</v>
      </c>
      <c r="P116" s="223" t="n">
        <f aca="false">O116*D116</f>
        <v>0</v>
      </c>
      <c r="Q116" s="164" t="n">
        <f aca="false">IF(A116&lt;=Summary!$J$61,0.5*(P116),$Q$2*(P116))</f>
        <v>0</v>
      </c>
      <c r="R116" s="223" t="n">
        <f aca="false">Summary!$J$58</f>
        <v>0.5</v>
      </c>
      <c r="S116" s="223" t="n">
        <f aca="false">J116+(K116+L116+R116)</f>
        <v>34.3457155905567</v>
      </c>
      <c r="T116" s="224" t="n">
        <f aca="false">IF(D116*(C116-S116)-Q116&gt;0,D116*(C116-S116)-Q116,0)</f>
        <v>0</v>
      </c>
      <c r="U116" s="225" t="n">
        <f aca="false">Summary!$J$59</f>
        <v>0.121048781448</v>
      </c>
      <c r="V116" s="224" t="n">
        <f aca="false">IF(A116&lt;=Summary!$J$61,(0.2*T116)+(R116*D116),(U116*T116)+(R116*D116))</f>
        <v>10137.349125</v>
      </c>
      <c r="W116" s="226" t="n">
        <f aca="false">C116*D116</f>
        <v>689564.994347519</v>
      </c>
    </row>
    <row r="117" customFormat="false" ht="12.75" hidden="false" customHeight="false" outlineLevel="0" collapsed="false">
      <c r="A117" s="220" t="n">
        <v>39934</v>
      </c>
      <c r="B117" s="221" t="n">
        <f aca="false">YEAR(A117)</f>
        <v>2009</v>
      </c>
      <c r="C117" s="164" t="n">
        <f aca="false">CALC!HH129</f>
        <v>34.7873433218338</v>
      </c>
      <c r="D117" s="222" t="n">
        <f aca="false">IF(Summary!$O$109=0,CALC!HE129,0)</f>
        <v>22276.5039</v>
      </c>
      <c r="E117" s="222" t="n">
        <f aca="false">SUM(CALC!GU129:HB129)*CALC!CY129/1000</f>
        <v>73498.393539314</v>
      </c>
      <c r="F117" s="223" t="n">
        <f aca="false">Summary!$J$54</f>
        <v>0.15</v>
      </c>
      <c r="G117" s="164" t="n">
        <f aca="false">VLOOKUP(A117,CURVES!AW118:$BS$283,16)</f>
        <v>2.88755343336822</v>
      </c>
      <c r="H117" s="223" t="n">
        <f aca="false">Summary!$J$60</f>
        <v>0.04</v>
      </c>
      <c r="I117" s="165" t="n">
        <f aca="false">Summary!$J$55</f>
        <v>8.5</v>
      </c>
      <c r="J117" s="164" t="n">
        <f aca="false">I117*SUM(F117:H117)</f>
        <v>26.1592041836299</v>
      </c>
      <c r="K117" s="223" t="n">
        <f aca="false">Summary!$J$56</f>
        <v>3.75</v>
      </c>
      <c r="L117" s="0" t="n">
        <f aca="false">Summary!$O$23</f>
        <v>3.75</v>
      </c>
      <c r="M117" s="223" t="n">
        <f aca="false">Summary!$J$57</f>
        <v>1.75</v>
      </c>
      <c r="N117" s="164" t="n">
        <f aca="false">IF(C117&gt;0,C117-J117,0)</f>
        <v>8.62813913820389</v>
      </c>
      <c r="O117" s="223" t="n">
        <f aca="false">IF(N117&gt;0,IF(N117-SUM(K117:M117)&gt;0,N117-SUM(K117:M117),0),0)</f>
        <v>0</v>
      </c>
      <c r="P117" s="223" t="n">
        <f aca="false">O117*D117</f>
        <v>0</v>
      </c>
      <c r="Q117" s="164" t="n">
        <f aca="false">IF(A117&lt;=Summary!$J$61,0.5*(P117),$Q$2*(P117))</f>
        <v>0</v>
      </c>
      <c r="R117" s="223" t="n">
        <f aca="false">Summary!$J$58</f>
        <v>0.5</v>
      </c>
      <c r="S117" s="223" t="n">
        <f aca="false">J117+(K117+L117+R117)</f>
        <v>34.1592041836299</v>
      </c>
      <c r="T117" s="224" t="n">
        <f aca="false">IF(D117*(C117-S117)-Q117&gt;0,D117*(C117-S117)-Q117,0)</f>
        <v>13992.7439619415</v>
      </c>
      <c r="U117" s="225" t="n">
        <f aca="false">Summary!$J$59</f>
        <v>0.121048781448</v>
      </c>
      <c r="V117" s="224" t="n">
        <f aca="false">IF(A117&lt;=Summary!$J$61,(0.2*T117)+(R117*D117),(U117*T117)+(R117*D117))</f>
        <v>12832.0565557069</v>
      </c>
      <c r="W117" s="226" t="n">
        <f aca="false">C117*D117</f>
        <v>774940.389179469</v>
      </c>
    </row>
    <row r="118" customFormat="false" ht="12.75" hidden="false" customHeight="false" outlineLevel="0" collapsed="false">
      <c r="A118" s="220" t="n">
        <v>39965</v>
      </c>
      <c r="B118" s="221" t="n">
        <f aca="false">YEAR(A118)</f>
        <v>2009</v>
      </c>
      <c r="C118" s="164" t="n">
        <f aca="false">CALC!HH130</f>
        <v>33.7709629787874</v>
      </c>
      <c r="D118" s="222" t="n">
        <f aca="false">IF(Summary!$O$109=0,CALC!HE130,0)</f>
        <v>21557.907</v>
      </c>
      <c r="E118" s="222" t="n">
        <f aca="false">SUM(CALC!GU130:HB130)*CALC!CY130/1000</f>
        <v>71146.2418673198</v>
      </c>
      <c r="F118" s="223" t="n">
        <f aca="false">Summary!$J$54</f>
        <v>0.15</v>
      </c>
      <c r="G118" s="164" t="n">
        <f aca="false">VLOOKUP(A118,CURVES!AW119:$BS$283,16)</f>
        <v>2.92243341180182</v>
      </c>
      <c r="H118" s="223" t="n">
        <f aca="false">Summary!$J$60</f>
        <v>0.04</v>
      </c>
      <c r="I118" s="165" t="n">
        <f aca="false">Summary!$J$55</f>
        <v>8.5</v>
      </c>
      <c r="J118" s="164" t="n">
        <f aca="false">I118*SUM(F118:H118)</f>
        <v>26.4556840003155</v>
      </c>
      <c r="K118" s="223" t="n">
        <f aca="false">Summary!$J$56</f>
        <v>3.75</v>
      </c>
      <c r="L118" s="0" t="n">
        <f aca="false">Summary!$O$23</f>
        <v>3.75</v>
      </c>
      <c r="M118" s="223" t="n">
        <f aca="false">Summary!$J$57</f>
        <v>1.75</v>
      </c>
      <c r="N118" s="164" t="n">
        <f aca="false">IF(C118&gt;0,C118-J118,0)</f>
        <v>7.3152789784719</v>
      </c>
      <c r="O118" s="223" t="n">
        <f aca="false">IF(N118&gt;0,IF(N118-SUM(K118:M118)&gt;0,N118-SUM(K118:M118),0),0)</f>
        <v>0</v>
      </c>
      <c r="P118" s="223" t="n">
        <f aca="false">O118*D118</f>
        <v>0</v>
      </c>
      <c r="Q118" s="164" t="n">
        <f aca="false">IF(A118&lt;=Summary!$J$61,0.5*(P118),$Q$2*(P118))</f>
        <v>0</v>
      </c>
      <c r="R118" s="223" t="n">
        <f aca="false">Summary!$J$58</f>
        <v>0.5</v>
      </c>
      <c r="S118" s="223" t="n">
        <f aca="false">J118+(K118+L118+R118)</f>
        <v>34.4556840003155</v>
      </c>
      <c r="T118" s="224" t="n">
        <f aca="false">IF(D118*(C118-S118)-Q118&gt;0,D118*(C118-S118)-Q118,0)</f>
        <v>0</v>
      </c>
      <c r="U118" s="225" t="n">
        <f aca="false">Summary!$J$59</f>
        <v>0.121048781448</v>
      </c>
      <c r="V118" s="224" t="n">
        <f aca="false">IF(A118&lt;=Summary!$J$61,(0.2*T118)+(R118*D118),(U118*T118)+(R118*D118))</f>
        <v>10778.9535</v>
      </c>
      <c r="W118" s="226" t="n">
        <f aca="false">C118*D118</f>
        <v>728031.279197141</v>
      </c>
    </row>
    <row r="119" customFormat="false" ht="12.75" hidden="false" customHeight="false" outlineLevel="0" collapsed="false">
      <c r="A119" s="220" t="n">
        <v>39995</v>
      </c>
      <c r="B119" s="221" t="n">
        <f aca="false">YEAR(A119)</f>
        <v>2009</v>
      </c>
      <c r="C119" s="164" t="n">
        <f aca="false">CALC!HH131</f>
        <v>47.90719893713</v>
      </c>
      <c r="D119" s="222" t="n">
        <f aca="false">IF(Summary!$O$109=0,CALC!HE131,0)</f>
        <v>22276.5039</v>
      </c>
      <c r="E119" s="222" t="n">
        <f aca="false">SUM(CALC!GU131:HB131)*CALC!CY131/1000</f>
        <v>73537.1729864803</v>
      </c>
      <c r="F119" s="223" t="n">
        <f aca="false">Summary!$J$54</f>
        <v>0.15</v>
      </c>
      <c r="G119" s="164" t="n">
        <f aca="false">VLOOKUP(A119,CURVES!AW120:$BS$283,16)</f>
        <v>3.0022044183397</v>
      </c>
      <c r="H119" s="223" t="n">
        <f aca="false">Summary!$J$60</f>
        <v>0.04</v>
      </c>
      <c r="I119" s="165" t="n">
        <f aca="false">Summary!$J$55</f>
        <v>8.5</v>
      </c>
      <c r="J119" s="164" t="n">
        <f aca="false">I119*SUM(F119:H119)</f>
        <v>27.1337375558874</v>
      </c>
      <c r="K119" s="223" t="n">
        <f aca="false">Summary!$J$56</f>
        <v>3.75</v>
      </c>
      <c r="L119" s="0" t="n">
        <f aca="false">Summary!$O$23</f>
        <v>3.75</v>
      </c>
      <c r="M119" s="223" t="n">
        <f aca="false">Summary!$J$57</f>
        <v>1.75</v>
      </c>
      <c r="N119" s="164" t="n">
        <f aca="false">IF(C119&gt;0,C119-J119,0)</f>
        <v>20.7734613812426</v>
      </c>
      <c r="O119" s="223" t="n">
        <f aca="false">IF(N119&gt;0,IF(N119-SUM(K119:M119)&gt;0,N119-SUM(K119:M119),0),0)</f>
        <v>11.5234613812426</v>
      </c>
      <c r="P119" s="223" t="n">
        <f aca="false">O119*D119</f>
        <v>256702.432400749</v>
      </c>
      <c r="Q119" s="164" t="n">
        <f aca="false">IF(A119&lt;=Summary!$J$61,0.5*(P119),$Q$2*(P119))</f>
        <v>0</v>
      </c>
      <c r="R119" s="223" t="n">
        <f aca="false">Summary!$J$58</f>
        <v>0.5</v>
      </c>
      <c r="S119" s="223" t="n">
        <f aca="false">J119+(K119+L119+R119)</f>
        <v>35.1337375558874</v>
      </c>
      <c r="T119" s="224" t="n">
        <f aca="false">IF(D119*(C119-S119)-Q119&gt;0,D119*(C119-S119)-Q119,0)</f>
        <v>284548.062275749</v>
      </c>
      <c r="U119" s="225" t="n">
        <f aca="false">Summary!$J$59</f>
        <v>0.121048781448</v>
      </c>
      <c r="V119" s="224" t="n">
        <f aca="false">IF(A119&lt;=Summary!$J$61,(0.2*T119)+(R119*D119),(U119*T119)+(R119*D119))</f>
        <v>45582.4481518691</v>
      </c>
      <c r="W119" s="226" t="n">
        <f aca="false">C119*D119</f>
        <v>1067204.90396105</v>
      </c>
    </row>
    <row r="120" customFormat="false" ht="12.75" hidden="false" customHeight="false" outlineLevel="0" collapsed="false">
      <c r="A120" s="220" t="n">
        <v>40026</v>
      </c>
      <c r="B120" s="221" t="n">
        <f aca="false">YEAR(A120)</f>
        <v>2009</v>
      </c>
      <c r="C120" s="164" t="n">
        <f aca="false">CALC!HH132</f>
        <v>81.2933610127107</v>
      </c>
      <c r="D120" s="222" t="n">
        <f aca="false">IF(Summary!$O$109=0,CALC!HE132,0)</f>
        <v>22276.5039</v>
      </c>
      <c r="E120" s="222" t="n">
        <f aca="false">SUM(CALC!GU132:HB132)*CALC!CY132/1000</f>
        <v>73556.5627100636</v>
      </c>
      <c r="F120" s="223" t="n">
        <f aca="false">Summary!$J$54</f>
        <v>0.15</v>
      </c>
      <c r="G120" s="164" t="n">
        <f aca="false">VLOOKUP(A120,CURVES!AW121:$BS$283,16)</f>
        <v>3.11549581513542</v>
      </c>
      <c r="H120" s="223" t="n">
        <f aca="false">Summary!$J$60</f>
        <v>0.04</v>
      </c>
      <c r="I120" s="165" t="n">
        <f aca="false">Summary!$J$55</f>
        <v>8.5</v>
      </c>
      <c r="J120" s="164" t="n">
        <f aca="false">I120*SUM(F120:H120)</f>
        <v>28.0967144286511</v>
      </c>
      <c r="K120" s="223" t="n">
        <f aca="false">Summary!$J$56</f>
        <v>3.75</v>
      </c>
      <c r="L120" s="0" t="n">
        <f aca="false">Summary!$O$23</f>
        <v>3.75</v>
      </c>
      <c r="M120" s="223" t="n">
        <f aca="false">Summary!$J$57</f>
        <v>1.75</v>
      </c>
      <c r="N120" s="164" t="n">
        <f aca="false">IF(C120&gt;0,C120-J120,0)</f>
        <v>53.1966465840595</v>
      </c>
      <c r="O120" s="223" t="n">
        <f aca="false">IF(N120&gt;0,IF(N120-SUM(K120:M120)&gt;0,N120-SUM(K120:M120),0),0)</f>
        <v>43.9466465840595</v>
      </c>
      <c r="P120" s="223" t="n">
        <f aca="false">O120*D120</f>
        <v>978977.644021724</v>
      </c>
      <c r="Q120" s="164" t="n">
        <f aca="false">IF(A120&lt;=Summary!$J$61,0.5*(P120),$Q$2*(P120))</f>
        <v>0</v>
      </c>
      <c r="R120" s="223" t="n">
        <f aca="false">Summary!$J$58</f>
        <v>0.5</v>
      </c>
      <c r="S120" s="223" t="n">
        <f aca="false">J120+(K120+L120+R120)</f>
        <v>36.0967144286511</v>
      </c>
      <c r="T120" s="224" t="n">
        <f aca="false">IF(D120*(C120-S120)-Q120&gt;0,D120*(C120-S120)-Q120,0)</f>
        <v>1006823.27389672</v>
      </c>
      <c r="U120" s="225" t="n">
        <f aca="false">Summary!$J$59</f>
        <v>0.121048781448</v>
      </c>
      <c r="V120" s="224" t="n">
        <f aca="false">IF(A120&lt;=Summary!$J$61,(0.2*T120)+(R120*D120),(U120*T120)+(R120*D120))</f>
        <v>133012.982388684</v>
      </c>
      <c r="W120" s="226" t="n">
        <f aca="false">C120*D120</f>
        <v>1810931.87364376</v>
      </c>
    </row>
    <row r="121" customFormat="false" ht="12.75" hidden="false" customHeight="false" outlineLevel="0" collapsed="false">
      <c r="A121" s="220" t="n">
        <v>40057</v>
      </c>
      <c r="B121" s="221" t="n">
        <f aca="false">YEAR(A121)</f>
        <v>2009</v>
      </c>
      <c r="C121" s="164" t="n">
        <f aca="false">CALC!HH133</f>
        <v>53.1426259751589</v>
      </c>
      <c r="D121" s="222" t="n">
        <f aca="false">IF(Summary!$O$109=0,CALC!HE133,0)</f>
        <v>21557.907</v>
      </c>
      <c r="E121" s="222" t="n">
        <f aca="false">SUM(CALC!GU133:HB133)*CALC!CY133/1000</f>
        <v>71202.5346132065</v>
      </c>
      <c r="F121" s="223" t="n">
        <f aca="false">Summary!$J$54</f>
        <v>0.15</v>
      </c>
      <c r="G121" s="164" t="n">
        <f aca="false">VLOOKUP(A121,CURVES!AW122:$BS$283,16)</f>
        <v>3.25038033606536</v>
      </c>
      <c r="H121" s="223" t="n">
        <f aca="false">Summary!$J$60</f>
        <v>0.04</v>
      </c>
      <c r="I121" s="165" t="n">
        <f aca="false">Summary!$J$55</f>
        <v>8.5</v>
      </c>
      <c r="J121" s="164" t="n">
        <f aca="false">I121*SUM(F121:H121)</f>
        <v>29.2432328565555</v>
      </c>
      <c r="K121" s="223" t="n">
        <f aca="false">Summary!$J$56</f>
        <v>3.75</v>
      </c>
      <c r="L121" s="0" t="n">
        <f aca="false">Summary!$O$23</f>
        <v>3.75</v>
      </c>
      <c r="M121" s="223" t="n">
        <f aca="false">Summary!$J$57</f>
        <v>1.75</v>
      </c>
      <c r="N121" s="164" t="n">
        <f aca="false">IF(C121&gt;0,C121-J121,0)</f>
        <v>23.8993931186033</v>
      </c>
      <c r="O121" s="223" t="n">
        <f aca="false">IF(N121&gt;0,IF(N121-SUM(K121:M121)&gt;0,N121-SUM(K121:M121),0),0)</f>
        <v>14.6493931186033</v>
      </c>
      <c r="P121" s="223" t="n">
        <f aca="false">O121*D121</f>
        <v>315810.25445729</v>
      </c>
      <c r="Q121" s="164" t="n">
        <f aca="false">IF(A121&lt;=Summary!$J$61,0.5*(P121),$Q$2*(P121))</f>
        <v>0</v>
      </c>
      <c r="R121" s="223" t="n">
        <f aca="false">Summary!$J$58</f>
        <v>0.5</v>
      </c>
      <c r="S121" s="223" t="n">
        <f aca="false">J121+(K121+L121+R121)</f>
        <v>37.2432328565555</v>
      </c>
      <c r="T121" s="224" t="n">
        <f aca="false">IF(D121*(C121-S121)-Q121&gt;0,D121*(C121-S121)-Q121,0)</f>
        <v>342757.63820729</v>
      </c>
      <c r="U121" s="225" t="n">
        <f aca="false">Summary!$J$59</f>
        <v>0.121048781448</v>
      </c>
      <c r="V121" s="224" t="n">
        <f aca="false">IF(A121&lt;=Summary!$J$61,(0.2*T121)+(R121*D121),(U121*T121)+(R121*D121))</f>
        <v>52269.3479369869</v>
      </c>
      <c r="W121" s="226" t="n">
        <f aca="false">C121*D121</f>
        <v>1145643.78850826</v>
      </c>
    </row>
    <row r="122" customFormat="false" ht="12.75" hidden="false" customHeight="false" outlineLevel="0" collapsed="false">
      <c r="A122" s="220" t="n">
        <v>40087</v>
      </c>
      <c r="B122" s="221" t="n">
        <f aca="false">YEAR(A122)</f>
        <v>2009</v>
      </c>
      <c r="C122" s="164" t="n">
        <f aca="false">CALC!HH134</f>
        <v>45.7373279962345</v>
      </c>
      <c r="D122" s="222" t="n">
        <f aca="false">IF(Summary!$O$109=0,CALC!HE134,0)</f>
        <v>20950.521525</v>
      </c>
      <c r="E122" s="222" t="n">
        <f aca="false">SUM(CALC!GU134:HB134)*CALC!CY134/1000</f>
        <v>94038.4927564604</v>
      </c>
      <c r="F122" s="223" t="n">
        <f aca="false">Summary!$J$54</f>
        <v>0.15</v>
      </c>
      <c r="G122" s="164" t="n">
        <f aca="false">VLOOKUP(A122,CURVES!AW123:$BS$283,16)</f>
        <v>3.39482534258636</v>
      </c>
      <c r="H122" s="223" t="n">
        <f aca="false">Summary!$J$60</f>
        <v>0.04</v>
      </c>
      <c r="I122" s="165" t="n">
        <f aca="false">Summary!$J$55</f>
        <v>8.5</v>
      </c>
      <c r="J122" s="164" t="n">
        <f aca="false">I122*SUM(F122:H122)</f>
        <v>30.4710154119841</v>
      </c>
      <c r="K122" s="223" t="n">
        <f aca="false">Summary!$J$56</f>
        <v>3.75</v>
      </c>
      <c r="L122" s="0" t="n">
        <f aca="false">Summary!$O$23</f>
        <v>3.75</v>
      </c>
      <c r="M122" s="223" t="n">
        <f aca="false">Summary!$J$57</f>
        <v>1.75</v>
      </c>
      <c r="N122" s="164" t="n">
        <f aca="false">IF(C122&gt;0,C122-J122,0)</f>
        <v>15.2663125842504</v>
      </c>
      <c r="O122" s="223" t="n">
        <f aca="false">IF(N122&gt;0,IF(N122-SUM(K122:M122)&gt;0,N122-SUM(K122:M122),0),0)</f>
        <v>6.01631258425043</v>
      </c>
      <c r="P122" s="223" t="n">
        <f aca="false">O122*D122</f>
        <v>126044.886297467</v>
      </c>
      <c r="Q122" s="164" t="n">
        <f aca="false">IF(A122&lt;=Summary!$J$61,0.5*(P122),$Q$2*(P122))</f>
        <v>0</v>
      </c>
      <c r="R122" s="223" t="n">
        <f aca="false">Summary!$J$58</f>
        <v>0.5</v>
      </c>
      <c r="S122" s="223" t="n">
        <f aca="false">J122+(K122+L122+R122)</f>
        <v>38.4710154119841</v>
      </c>
      <c r="T122" s="224" t="n">
        <f aca="false">IF(D122*(C122-S122)-Q122&gt;0,D122*(C122-S122)-Q122,0)</f>
        <v>152233.038203717</v>
      </c>
      <c r="U122" s="225" t="n">
        <f aca="false">Summary!$J$59</f>
        <v>0.121048781448</v>
      </c>
      <c r="V122" s="224" t="n">
        <f aca="false">IF(A122&lt;=Summary!$J$61,(0.2*T122)+(R122*D122),(U122*T122)+(R122*D122))</f>
        <v>28902.8845331868</v>
      </c>
      <c r="W122" s="226" t="n">
        <f aca="false">C122*D122</f>
        <v>958220.874681096</v>
      </c>
    </row>
    <row r="123" customFormat="false" ht="12.75" hidden="false" customHeight="false" outlineLevel="0" collapsed="false">
      <c r="A123" s="220" t="n">
        <v>40118</v>
      </c>
      <c r="B123" s="221" t="n">
        <f aca="false">YEAR(A123)</f>
        <v>2009</v>
      </c>
      <c r="C123" s="164" t="n">
        <f aca="false">CALC!HH135</f>
        <v>50.2185528036858</v>
      </c>
      <c r="D123" s="222" t="n">
        <f aca="false">IF(Summary!$O$109=0,CALC!HE135,0)</f>
        <v>20274.69825</v>
      </c>
      <c r="E123" s="222" t="n">
        <f aca="false">SUM(CALC!GU135:HB135)*CALC!CY135/1000</f>
        <v>91028.9695300377</v>
      </c>
      <c r="F123" s="223" t="n">
        <f aca="false">Summary!$J$54</f>
        <v>0.15</v>
      </c>
      <c r="G123" s="164" t="n">
        <f aca="false">VLOOKUP(A123,CURVES!AW124:$BS$283,16)</f>
        <v>3.53726256870002</v>
      </c>
      <c r="H123" s="223" t="n">
        <f aca="false">Summary!$J$60</f>
        <v>0.04</v>
      </c>
      <c r="I123" s="165" t="n">
        <f aca="false">Summary!$J$55</f>
        <v>8.5</v>
      </c>
      <c r="J123" s="164" t="n">
        <f aca="false">I123*SUM(F123:H123)</f>
        <v>31.6817318339501</v>
      </c>
      <c r="K123" s="223" t="n">
        <f aca="false">Summary!$J$56</f>
        <v>3.75</v>
      </c>
      <c r="L123" s="0" t="n">
        <f aca="false">Summary!$O$23</f>
        <v>3.75</v>
      </c>
      <c r="M123" s="223" t="n">
        <f aca="false">Summary!$J$57</f>
        <v>1.75</v>
      </c>
      <c r="N123" s="164" t="n">
        <f aca="false">IF(C123&gt;0,C123-J123,0)</f>
        <v>18.5368209697357</v>
      </c>
      <c r="O123" s="223" t="n">
        <f aca="false">IF(N123&gt;0,IF(N123-SUM(K123:M123)&gt;0,N123-SUM(K123:M123),0),0)</f>
        <v>9.28682096973569</v>
      </c>
      <c r="P123" s="223" t="n">
        <f aca="false">O123*D123</f>
        <v>188287.492863163</v>
      </c>
      <c r="Q123" s="164" t="n">
        <f aca="false">IF(A123&lt;=Summary!$J$61,0.5*(P123),$Q$2*(P123))</f>
        <v>0</v>
      </c>
      <c r="R123" s="223" t="n">
        <f aca="false">Summary!$J$58</f>
        <v>0.5</v>
      </c>
      <c r="S123" s="223" t="n">
        <f aca="false">J123+(K123+L123+R123)</f>
        <v>39.6817318339501</v>
      </c>
      <c r="T123" s="224" t="n">
        <f aca="false">IF(D123*(C123-S123)-Q123&gt;0,D123*(C123-S123)-Q123,0)</f>
        <v>213630.865675663</v>
      </c>
      <c r="U123" s="225" t="n">
        <f aca="false">Summary!$J$59</f>
        <v>0.121048781448</v>
      </c>
      <c r="V123" s="224" t="n">
        <f aca="false">IF(A123&lt;=Summary!$J$61,(0.2*T123)+(R123*D123),(U123*T123)+(R123*D123))</f>
        <v>35997.1050947204</v>
      </c>
      <c r="W123" s="226" t="n">
        <f aca="false">C123*D123</f>
        <v>1018166.00464642</v>
      </c>
    </row>
    <row r="124" customFormat="false" ht="12.75" hidden="false" customHeight="false" outlineLevel="0" collapsed="false">
      <c r="A124" s="220" t="n">
        <v>40148</v>
      </c>
      <c r="B124" s="221" t="n">
        <f aca="false">YEAR(A124)</f>
        <v>2009</v>
      </c>
      <c r="C124" s="164" t="n">
        <f aca="false">CALC!HH136</f>
        <v>46.3287978105559</v>
      </c>
      <c r="D124" s="222" t="n">
        <f aca="false">IF(Summary!$O$109=0,CALC!HE136,0)</f>
        <v>20950.521525</v>
      </c>
      <c r="E124" s="222" t="n">
        <f aca="false">SUM(CALC!GU136:HB136)*CALC!CY136/1000</f>
        <v>94088.0442722841</v>
      </c>
      <c r="F124" s="223" t="n">
        <f aca="false">Summary!$J$54</f>
        <v>0.15</v>
      </c>
      <c r="G124" s="164" t="n">
        <f aca="false">VLOOKUP(A124,CURVES!AW125:$BS$283,16)</f>
        <v>3.68772039033488</v>
      </c>
      <c r="H124" s="223" t="n">
        <f aca="false">Summary!$J$60</f>
        <v>0.04</v>
      </c>
      <c r="I124" s="165" t="n">
        <f aca="false">Summary!$J$55</f>
        <v>8.5</v>
      </c>
      <c r="J124" s="164" t="n">
        <f aca="false">I124*SUM(F124:H124)</f>
        <v>32.9606233178465</v>
      </c>
      <c r="K124" s="223" t="n">
        <f aca="false">Summary!$J$56</f>
        <v>3.75</v>
      </c>
      <c r="L124" s="0" t="n">
        <f aca="false">Summary!$O$23</f>
        <v>3.75</v>
      </c>
      <c r="M124" s="223" t="n">
        <f aca="false">Summary!$J$57</f>
        <v>1.75</v>
      </c>
      <c r="N124" s="164" t="n">
        <f aca="false">IF(C124&gt;0,C124-J124,0)</f>
        <v>13.3681744927095</v>
      </c>
      <c r="O124" s="223" t="n">
        <f aca="false">IF(N124&gt;0,IF(N124-SUM(K124:M124)&gt;0,N124-SUM(K124:M124),0),0)</f>
        <v>4.11817449270945</v>
      </c>
      <c r="P124" s="223" t="n">
        <f aca="false">O124*D124</f>
        <v>86277.9033532153</v>
      </c>
      <c r="Q124" s="164" t="n">
        <f aca="false">IF(A124&lt;=Summary!$J$61,0.5*(P124),$Q$2*(P124))</f>
        <v>0</v>
      </c>
      <c r="R124" s="223" t="n">
        <f aca="false">Summary!$J$58</f>
        <v>0.5</v>
      </c>
      <c r="S124" s="223" t="n">
        <f aca="false">J124+(K124+L124+R124)</f>
        <v>40.9606233178465</v>
      </c>
      <c r="T124" s="224" t="n">
        <f aca="false">IF(D124*(C124-S124)-Q124&gt;0,D124*(C124-S124)-Q124,0)</f>
        <v>112466.055259465</v>
      </c>
      <c r="U124" s="225" t="n">
        <f aca="false">Summary!$J$59</f>
        <v>0.121048781448</v>
      </c>
      <c r="V124" s="224" t="n">
        <f aca="false">IF(A124&lt;=Summary!$J$61,(0.2*T124)+(R124*D124),(U124*T124)+(R124*D124))</f>
        <v>24089.1397059217</v>
      </c>
      <c r="W124" s="226" t="n">
        <f aca="false">C124*D124</f>
        <v>970612.475757424</v>
      </c>
    </row>
    <row r="125" customFormat="false" ht="12.75" hidden="false" customHeight="false" outlineLevel="0" collapsed="false">
      <c r="A125" s="220" t="n">
        <v>40179</v>
      </c>
      <c r="B125" s="221" t="n">
        <f aca="false">YEAR(A125)</f>
        <v>2010</v>
      </c>
      <c r="C125" s="164" t="n">
        <f aca="false">CALC!HH137</f>
        <v>43.525308220853</v>
      </c>
      <c r="D125" s="222" t="n">
        <f aca="false">IF(Summary!$O$109=0,CALC!HE137,0)</f>
        <v>20950.521525</v>
      </c>
      <c r="E125" s="222" t="n">
        <f aca="false">SUM(CALC!GU137:HB137)*CALC!CY137/1000</f>
        <v>94112.8200301959</v>
      </c>
      <c r="F125" s="223" t="n">
        <f aca="false">Summary!$J$54</f>
        <v>0.15</v>
      </c>
      <c r="G125" s="164" t="n">
        <f aca="false">VLOOKUP(A125,CURVES!AW126:$BS$283,16)</f>
        <v>3.52196714475325</v>
      </c>
      <c r="H125" s="223" t="n">
        <f aca="false">Summary!$J$60</f>
        <v>0.04</v>
      </c>
      <c r="I125" s="165" t="n">
        <f aca="false">Summary!$J$55</f>
        <v>8.5</v>
      </c>
      <c r="J125" s="164" t="n">
        <f aca="false">I125*SUM(F125:H125)</f>
        <v>31.5517207304026</v>
      </c>
      <c r="K125" s="223" t="n">
        <f aca="false">Summary!$J$56</f>
        <v>3.75</v>
      </c>
      <c r="L125" s="0" t="n">
        <f aca="false">Summary!$O$23</f>
        <v>3.75</v>
      </c>
      <c r="M125" s="223" t="n">
        <f aca="false">Summary!$J$57</f>
        <v>1.75</v>
      </c>
      <c r="N125" s="164" t="n">
        <f aca="false">IF(C125&gt;0,C125-J125,0)</f>
        <v>11.9735874904504</v>
      </c>
      <c r="O125" s="223" t="n">
        <f aca="false">IF(N125&gt;0,IF(N125-SUM(K125:M125)&gt;0,N125-SUM(K125:M125),0),0)</f>
        <v>2.72358749045037</v>
      </c>
      <c r="P125" s="223" t="n">
        <f aca="false">O125*D125</f>
        <v>57060.5783439011</v>
      </c>
      <c r="Q125" s="164" t="n">
        <f aca="false">IF(A125&lt;=Summary!$J$61,0.5*(P125),$Q$2*(P125))</f>
        <v>0</v>
      </c>
      <c r="R125" s="223" t="n">
        <f aca="false">Summary!$J$58</f>
        <v>0.5</v>
      </c>
      <c r="S125" s="223" t="n">
        <f aca="false">J125+(K125+L125+R125)</f>
        <v>39.5517207304026</v>
      </c>
      <c r="T125" s="224" t="n">
        <f aca="false">IF(D125*(C125-S125)-Q125&gt;0,D125*(C125-S125)-Q125,0)</f>
        <v>83248.7302501511</v>
      </c>
      <c r="U125" s="225" t="n">
        <f aca="false">Summary!$J$59</f>
        <v>0.121048781448</v>
      </c>
      <c r="V125" s="224" t="n">
        <f aca="false">IF(A125&lt;=Summary!$J$61,(0.2*T125)+(R125*D125),(U125*T125)+(R125*D125))</f>
        <v>20552.418116374</v>
      </c>
      <c r="W125" s="226" t="n">
        <f aca="false">C125*D125</f>
        <v>911877.90676324</v>
      </c>
    </row>
    <row r="126" customFormat="false" ht="12.75" hidden="false" customHeight="false" outlineLevel="0" collapsed="false">
      <c r="A126" s="220" t="n">
        <v>40210</v>
      </c>
      <c r="B126" s="221" t="n">
        <f aca="false">YEAR(A126)</f>
        <v>2010</v>
      </c>
      <c r="C126" s="164" t="n">
        <f aca="false">CALC!HH138</f>
        <v>38.4472923201935</v>
      </c>
      <c r="D126" s="222" t="n">
        <f aca="false">IF(Summary!$O$109=0,CALC!HE138,0)</f>
        <v>18923.0517</v>
      </c>
      <c r="E126" s="222" t="n">
        <f aca="false">SUM(CALC!GU138:HB138)*CALC!CY138/1000</f>
        <v>85027.5058731296</v>
      </c>
      <c r="F126" s="223" t="n">
        <f aca="false">Summary!$J$54</f>
        <v>0.15</v>
      </c>
      <c r="G126" s="164" t="n">
        <f aca="false">VLOOKUP(A126,CURVES!AW127:$BS$283,16)</f>
        <v>3.25294955063224</v>
      </c>
      <c r="H126" s="223" t="n">
        <f aca="false">Summary!$J$60</f>
        <v>0.04</v>
      </c>
      <c r="I126" s="165" t="n">
        <f aca="false">Summary!$J$55</f>
        <v>8.5</v>
      </c>
      <c r="J126" s="164" t="n">
        <f aca="false">I126*SUM(F126:H126)</f>
        <v>29.2650711803741</v>
      </c>
      <c r="K126" s="223" t="n">
        <f aca="false">Summary!$J$56</f>
        <v>3.75</v>
      </c>
      <c r="L126" s="0" t="n">
        <f aca="false">Summary!$O$23</f>
        <v>3.75</v>
      </c>
      <c r="M126" s="223" t="n">
        <f aca="false">Summary!$J$57</f>
        <v>1.75</v>
      </c>
      <c r="N126" s="164" t="n">
        <f aca="false">IF(C126&gt;0,C126-J126,0)</f>
        <v>9.18222113981943</v>
      </c>
      <c r="O126" s="223" t="n">
        <f aca="false">IF(N126&gt;0,IF(N126-SUM(K126:M126)&gt;0,N126-SUM(K126:M126),0),0)</f>
        <v>0</v>
      </c>
      <c r="P126" s="223" t="n">
        <f aca="false">O126*D126</f>
        <v>0</v>
      </c>
      <c r="Q126" s="164" t="n">
        <f aca="false">IF(A126&lt;=Summary!$J$61,0.5*(P126),$Q$2*(P126))</f>
        <v>0</v>
      </c>
      <c r="R126" s="223" t="n">
        <f aca="false">Summary!$J$58</f>
        <v>0.5</v>
      </c>
      <c r="S126" s="223" t="n">
        <f aca="false">J126+(K126+L126+R126)</f>
        <v>37.2650711803741</v>
      </c>
      <c r="T126" s="224" t="n">
        <f aca="false">IF(D126*(C126-S126)-Q126&gt;0,D126*(C126-S126)-Q126,0)</f>
        <v>22371.2317496361</v>
      </c>
      <c r="U126" s="225" t="n">
        <f aca="false">Summary!$J$59</f>
        <v>0.121048781448</v>
      </c>
      <c r="V126" s="224" t="n">
        <f aca="false">IF(A126&lt;=Summary!$J$61,(0.2*T126)+(R126*D126),(U126*T126)+(R126*D126))</f>
        <v>12169.5361927843</v>
      </c>
      <c r="W126" s="226" t="n">
        <f aca="false">C126*D126</f>
        <v>727540.100300034</v>
      </c>
    </row>
    <row r="127" customFormat="false" ht="12.75" hidden="false" customHeight="false" outlineLevel="0" collapsed="false">
      <c r="A127" s="220" t="n">
        <v>40238</v>
      </c>
      <c r="B127" s="221" t="n">
        <f aca="false">YEAR(A127)</f>
        <v>2010</v>
      </c>
      <c r="C127" s="164" t="n">
        <f aca="false">CALC!HH139</f>
        <v>35.5749027210021</v>
      </c>
      <c r="D127" s="222" t="n">
        <f aca="false">IF(Summary!$O$109=0,CALC!HE139,0)</f>
        <v>20950.521525</v>
      </c>
      <c r="E127" s="222" t="n">
        <f aca="false">SUM(CALC!GU139:HB139)*CALC!CY139/1000</f>
        <v>94162.3715460196</v>
      </c>
      <c r="F127" s="223" t="n">
        <f aca="false">Summary!$J$54</f>
        <v>0.15</v>
      </c>
      <c r="G127" s="164" t="n">
        <f aca="false">VLOOKUP(A127,CURVES!AW128:$BS$283,16)</f>
        <v>3.07832001728265</v>
      </c>
      <c r="H127" s="223" t="n">
        <f aca="false">Summary!$J$60</f>
        <v>0.04</v>
      </c>
      <c r="I127" s="165" t="n">
        <f aca="false">Summary!$J$55</f>
        <v>8.5</v>
      </c>
      <c r="J127" s="164" t="n">
        <f aca="false">I127*SUM(F127:H127)</f>
        <v>27.7807201469025</v>
      </c>
      <c r="K127" s="223" t="n">
        <f aca="false">Summary!$J$56</f>
        <v>3.75</v>
      </c>
      <c r="L127" s="0" t="n">
        <f aca="false">Summary!$O$23</f>
        <v>3.75</v>
      </c>
      <c r="M127" s="223" t="n">
        <f aca="false">Summary!$J$57</f>
        <v>1.75</v>
      </c>
      <c r="N127" s="164" t="n">
        <f aca="false">IF(C127&gt;0,C127-J127,0)</f>
        <v>7.79418257409958</v>
      </c>
      <c r="O127" s="223" t="n">
        <f aca="false">IF(N127&gt;0,IF(N127-SUM(K127:M127)&gt;0,N127-SUM(K127:M127),0),0)</f>
        <v>0</v>
      </c>
      <c r="P127" s="223" t="n">
        <f aca="false">O127*D127</f>
        <v>0</v>
      </c>
      <c r="Q127" s="164" t="n">
        <f aca="false">IF(A127&lt;=Summary!$J$61,0.5*(P127),$Q$2*(P127))</f>
        <v>0</v>
      </c>
      <c r="R127" s="223" t="n">
        <f aca="false">Summary!$J$58</f>
        <v>0.5</v>
      </c>
      <c r="S127" s="223" t="n">
        <f aca="false">J127+(K127+L127+R127)</f>
        <v>35.7807201469025</v>
      </c>
      <c r="T127" s="224" t="n">
        <f aca="false">IF(D127*(C127-S127)-Q127&gt;0,D127*(C127-S127)-Q127,0)</f>
        <v>0</v>
      </c>
      <c r="U127" s="225" t="n">
        <f aca="false">Summary!$J$59</f>
        <v>0.121048781448</v>
      </c>
      <c r="V127" s="224" t="n">
        <f aca="false">IF(A127&lt;=Summary!$J$61,(0.2*T127)+(R127*D127),(U127*T127)+(R127*D127))</f>
        <v>10475.2607625</v>
      </c>
      <c r="W127" s="226" t="n">
        <f aca="false">C127*D127</f>
        <v>745312.765206135</v>
      </c>
    </row>
    <row r="128" customFormat="false" ht="12.75" hidden="false" customHeight="false" outlineLevel="0" collapsed="false">
      <c r="A128" s="220" t="n">
        <v>40269</v>
      </c>
      <c r="B128" s="221" t="n">
        <f aca="false">YEAR(A128)</f>
        <v>2010</v>
      </c>
      <c r="C128" s="164" t="n">
        <f aca="false">CALC!HH140</f>
        <v>34.4129030542229</v>
      </c>
      <c r="D128" s="222" t="n">
        <f aca="false">IF(Summary!$O$109=0,CALC!HE140,0)</f>
        <v>20274.69825</v>
      </c>
      <c r="E128" s="222" t="n">
        <f aca="false">SUM(CALC!GU140:HB140)*CALC!CY140/1000</f>
        <v>91148.852229611</v>
      </c>
      <c r="F128" s="223" t="n">
        <f aca="false">Summary!$J$54</f>
        <v>0.15</v>
      </c>
      <c r="G128" s="164" t="n">
        <f aca="false">VLOOKUP(A128,CURVES!AW129:$BS$283,16)</f>
        <v>2.98596821923658</v>
      </c>
      <c r="H128" s="223" t="n">
        <f aca="false">Summary!$J$60</f>
        <v>0.04</v>
      </c>
      <c r="I128" s="165" t="n">
        <f aca="false">Summary!$J$55</f>
        <v>8.5</v>
      </c>
      <c r="J128" s="164" t="n">
        <f aca="false">I128*SUM(F128:H128)</f>
        <v>26.9957298635109</v>
      </c>
      <c r="K128" s="223" t="n">
        <f aca="false">Summary!$J$56</f>
        <v>3.75</v>
      </c>
      <c r="L128" s="0" t="n">
        <f aca="false">Summary!$O$23</f>
        <v>3.75</v>
      </c>
      <c r="M128" s="223" t="n">
        <f aca="false">Summary!$J$57</f>
        <v>1.75</v>
      </c>
      <c r="N128" s="164" t="n">
        <f aca="false">IF(C128&gt;0,C128-J128,0)</f>
        <v>7.41717319071202</v>
      </c>
      <c r="O128" s="223" t="n">
        <f aca="false">IF(N128&gt;0,IF(N128-SUM(K128:M128)&gt;0,N128-SUM(K128:M128),0),0)</f>
        <v>0</v>
      </c>
      <c r="P128" s="223" t="n">
        <f aca="false">O128*D128</f>
        <v>0</v>
      </c>
      <c r="Q128" s="164" t="n">
        <f aca="false">IF(A128&lt;=Summary!$J$61,0.5*(P128),$Q$2*(P128))</f>
        <v>0</v>
      </c>
      <c r="R128" s="223" t="n">
        <f aca="false">Summary!$J$58</f>
        <v>0.5</v>
      </c>
      <c r="S128" s="223" t="n">
        <f aca="false">J128+(K128+L128+R128)</f>
        <v>34.9957298635109</v>
      </c>
      <c r="T128" s="224" t="n">
        <f aca="false">IF(D128*(C128-S128)-Q128&gt;0,D128*(C128-S128)-Q128,0)</f>
        <v>0</v>
      </c>
      <c r="U128" s="225" t="n">
        <f aca="false">Summary!$J$59</f>
        <v>0.121048781448</v>
      </c>
      <c r="V128" s="224" t="n">
        <f aca="false">IF(A128&lt;=Summary!$J$61,(0.2*T128)+(R128*D128),(U128*T128)+(R128*D128))</f>
        <v>10137.349125</v>
      </c>
      <c r="W128" s="226" t="n">
        <f aca="false">C128*D128</f>
        <v>697711.225330873</v>
      </c>
    </row>
    <row r="129" customFormat="false" ht="12.75" hidden="false" customHeight="false" outlineLevel="0" collapsed="false">
      <c r="A129" s="220" t="n">
        <v>40299</v>
      </c>
      <c r="B129" s="221" t="n">
        <f aca="false">YEAR(A129)</f>
        <v>2010</v>
      </c>
      <c r="C129" s="164" t="n">
        <f aca="false">CALC!HH141</f>
        <v>35.5972508289202</v>
      </c>
      <c r="D129" s="222" t="n">
        <f aca="false">IF(Summary!$O$109=0,CALC!HE141,0)</f>
        <v>22276.5039</v>
      </c>
      <c r="E129" s="222" t="n">
        <f aca="false">SUM(CALC!GU141:HB141)*CALC!CY141/1000</f>
        <v>73731.0702223121</v>
      </c>
      <c r="F129" s="223" t="n">
        <f aca="false">Summary!$J$54</f>
        <v>0.15</v>
      </c>
      <c r="G129" s="164" t="n">
        <f aca="false">VLOOKUP(A129,CURVES!AW130:$BS$283,16)</f>
        <v>2.96344897058932</v>
      </c>
      <c r="H129" s="223" t="n">
        <f aca="false">Summary!$J$60</f>
        <v>0.04</v>
      </c>
      <c r="I129" s="165" t="n">
        <f aca="false">Summary!$J$55</f>
        <v>8.5</v>
      </c>
      <c r="J129" s="164" t="n">
        <f aca="false">I129*SUM(F129:H129)</f>
        <v>26.8043162500092</v>
      </c>
      <c r="K129" s="223" t="n">
        <f aca="false">Summary!$J$56</f>
        <v>3.75</v>
      </c>
      <c r="L129" s="0" t="n">
        <f aca="false">Summary!$O$23</f>
        <v>3.75</v>
      </c>
      <c r="M129" s="223" t="n">
        <f aca="false">Summary!$J$57</f>
        <v>1.75</v>
      </c>
      <c r="N129" s="164" t="n">
        <f aca="false">IF(C129&gt;0,C129-J129,0)</f>
        <v>8.79293457891097</v>
      </c>
      <c r="O129" s="223" t="n">
        <f aca="false">IF(N129&gt;0,IF(N129-SUM(K129:M129)&gt;0,N129-SUM(K129:M129),0),0)</f>
        <v>0</v>
      </c>
      <c r="P129" s="223" t="n">
        <f aca="false">O129*D129</f>
        <v>0</v>
      </c>
      <c r="Q129" s="164" t="n">
        <f aca="false">IF(A129&lt;=Summary!$J$61,0.5*(P129),$Q$2*(P129))</f>
        <v>0</v>
      </c>
      <c r="R129" s="223" t="n">
        <f aca="false">Summary!$J$58</f>
        <v>0.5</v>
      </c>
      <c r="S129" s="223" t="n">
        <f aca="false">J129+(K129+L129+R129)</f>
        <v>34.8043162500092</v>
      </c>
      <c r="T129" s="224" t="n">
        <f aca="false">IF(D129*(C129-S129)-Q129&gt;0,D129*(C129-S129)-Q129,0)</f>
        <v>17663.8102395552</v>
      </c>
      <c r="U129" s="225" t="n">
        <f aca="false">Summary!$J$59</f>
        <v>0.121048781448</v>
      </c>
      <c r="V129" s="224" t="n">
        <f aca="false">IF(A129&lt;=Summary!$J$61,(0.2*T129)+(R129*D129),(U129*T129)+(R129*D129))</f>
        <v>13276.4346552269</v>
      </c>
      <c r="W129" s="226" t="n">
        <f aca="false">C129*D129</f>
        <v>792982.296919719</v>
      </c>
    </row>
    <row r="130" customFormat="false" ht="12.75" hidden="false" customHeight="false" outlineLevel="0" collapsed="false">
      <c r="A130" s="220" t="n">
        <v>40330</v>
      </c>
      <c r="B130" s="221" t="n">
        <f aca="false">YEAR(A130)</f>
        <v>2010</v>
      </c>
      <c r="C130" s="164" t="n">
        <f aca="false">CALC!HH142</f>
        <v>37.4594952910378</v>
      </c>
      <c r="D130" s="222" t="n">
        <f aca="false">IF(Summary!$O$109=0,CALC!HE142,0)</f>
        <v>21557.907</v>
      </c>
      <c r="E130" s="222" t="n">
        <f aca="false">SUM(CALC!GU142:HB142)*CALC!CY142/1000</f>
        <v>71371.4128508664</v>
      </c>
      <c r="F130" s="223" t="n">
        <f aca="false">Summary!$J$54</f>
        <v>0.15</v>
      </c>
      <c r="G130" s="164" t="n">
        <f aca="false">VLOOKUP(A130,CURVES!AW131:$BS$283,16)</f>
        <v>2.99924572329655</v>
      </c>
      <c r="H130" s="223" t="n">
        <f aca="false">Summary!$J$60</f>
        <v>0.04</v>
      </c>
      <c r="I130" s="165" t="n">
        <f aca="false">Summary!$J$55</f>
        <v>8.5</v>
      </c>
      <c r="J130" s="164" t="n">
        <f aca="false">I130*SUM(F130:H130)</f>
        <v>27.1085886480207</v>
      </c>
      <c r="K130" s="223" t="n">
        <f aca="false">Summary!$J$56</f>
        <v>3.75</v>
      </c>
      <c r="L130" s="0" t="n">
        <f aca="false">Summary!$O$23</f>
        <v>3.75</v>
      </c>
      <c r="M130" s="223" t="n">
        <f aca="false">Summary!$J$57</f>
        <v>1.75</v>
      </c>
      <c r="N130" s="164" t="n">
        <f aca="false">IF(C130&gt;0,C130-J130,0)</f>
        <v>10.350906643017</v>
      </c>
      <c r="O130" s="223" t="n">
        <f aca="false">IF(N130&gt;0,IF(N130-SUM(K130:M130)&gt;0,N130-SUM(K130:M130),0),0)</f>
        <v>1.10090664301704</v>
      </c>
      <c r="P130" s="223" t="n">
        <f aca="false">O130*D130</f>
        <v>23733.2430258436</v>
      </c>
      <c r="Q130" s="164" t="n">
        <f aca="false">IF(A130&lt;=Summary!$J$61,0.5*(P130),$Q$2*(P130))</f>
        <v>0</v>
      </c>
      <c r="R130" s="223" t="n">
        <f aca="false">Summary!$J$58</f>
        <v>0.5</v>
      </c>
      <c r="S130" s="223" t="n">
        <f aca="false">J130+(K130+L130+R130)</f>
        <v>35.1085886480207</v>
      </c>
      <c r="T130" s="224" t="n">
        <f aca="false">IF(D130*(C130-S130)-Q130&gt;0,D130*(C130-S130)-Q130,0)</f>
        <v>50680.6267758436</v>
      </c>
      <c r="U130" s="225" t="n">
        <f aca="false">Summary!$J$59</f>
        <v>0.121048781448</v>
      </c>
      <c r="V130" s="224" t="n">
        <f aca="false">IF(A130&lt;=Summary!$J$61,(0.2*T130)+(R130*D130),(U130*T130)+(R130*D130))</f>
        <v>16913.7816142367</v>
      </c>
      <c r="W130" s="226" t="n">
        <f aca="false">C130*D130</f>
        <v>807548.31575113</v>
      </c>
    </row>
    <row r="131" customFormat="false" ht="12.75" hidden="false" customHeight="false" outlineLevel="0" collapsed="false">
      <c r="A131" s="220" t="n">
        <v>40360</v>
      </c>
      <c r="B131" s="221" t="n">
        <f aca="false">YEAR(A131)</f>
        <v>2010</v>
      </c>
      <c r="C131" s="164" t="n">
        <f aca="false">CALC!HH143</f>
        <v>50.6237605469639</v>
      </c>
      <c r="D131" s="222" t="n">
        <f aca="false">IF(Summary!$O$109=0,CALC!HE143,0)</f>
        <v>22276.5039</v>
      </c>
      <c r="E131" s="222" t="n">
        <f aca="false">SUM(CALC!GU143:HB143)*CALC!CY143/1000</f>
        <v>73769.8496694785</v>
      </c>
      <c r="F131" s="223" t="n">
        <f aca="false">Summary!$J$54</f>
        <v>0.15</v>
      </c>
      <c r="G131" s="164" t="n">
        <f aca="false">VLOOKUP(A131,CURVES!AW132:$BS$283,16)</f>
        <v>3.08111340563128</v>
      </c>
      <c r="H131" s="223" t="n">
        <f aca="false">Summary!$J$60</f>
        <v>0.04</v>
      </c>
      <c r="I131" s="165" t="n">
        <f aca="false">Summary!$J$55</f>
        <v>8.5</v>
      </c>
      <c r="J131" s="164" t="n">
        <f aca="false">I131*SUM(F131:H131)</f>
        <v>27.8044639478659</v>
      </c>
      <c r="K131" s="223" t="n">
        <f aca="false">Summary!$J$56</f>
        <v>3.75</v>
      </c>
      <c r="L131" s="0" t="n">
        <f aca="false">Summary!$O$23</f>
        <v>3.75</v>
      </c>
      <c r="M131" s="223" t="n">
        <f aca="false">Summary!$J$57</f>
        <v>1.75</v>
      </c>
      <c r="N131" s="164" t="n">
        <f aca="false">IF(C131&gt;0,C131-J131,0)</f>
        <v>22.819296599098</v>
      </c>
      <c r="O131" s="223" t="n">
        <f aca="false">IF(N131&gt;0,IF(N131-SUM(K131:M131)&gt;0,N131-SUM(K131:M131),0),0)</f>
        <v>13.569296599098</v>
      </c>
      <c r="P131" s="223" t="n">
        <f aca="false">O131*D131</f>
        <v>302276.488610063</v>
      </c>
      <c r="Q131" s="164" t="n">
        <f aca="false">IF(A131&lt;=Summary!$J$61,0.5*(P131),$Q$2*(P131))</f>
        <v>0</v>
      </c>
      <c r="R131" s="223" t="n">
        <f aca="false">Summary!$J$58</f>
        <v>0.5</v>
      </c>
      <c r="S131" s="223" t="n">
        <f aca="false">J131+(K131+L131+R131)</f>
        <v>35.8044639478659</v>
      </c>
      <c r="T131" s="224" t="n">
        <f aca="false">IF(D131*(C131-S131)-Q131&gt;0,D131*(C131-S131)-Q131,0)</f>
        <v>330122.118485063</v>
      </c>
      <c r="U131" s="225" t="n">
        <f aca="false">Summary!$J$59</f>
        <v>0.121048781448</v>
      </c>
      <c r="V131" s="224" t="n">
        <f aca="false">IF(A131&lt;=Summary!$J$61,(0.2*T131)+(R131*D131),(U131*T131)+(R131*D131))</f>
        <v>51099.1321216491</v>
      </c>
      <c r="W131" s="226" t="n">
        <f aca="false">C131*D131</f>
        <v>1127720.39925711</v>
      </c>
    </row>
    <row r="132" customFormat="false" ht="12.75" hidden="false" customHeight="false" outlineLevel="0" collapsed="false">
      <c r="A132" s="220" t="n">
        <v>40391</v>
      </c>
      <c r="B132" s="221" t="n">
        <f aca="false">YEAR(A132)</f>
        <v>2010</v>
      </c>
      <c r="C132" s="164" t="n">
        <f aca="false">CALC!HH144</f>
        <v>71.8384423762627</v>
      </c>
      <c r="D132" s="222" t="n">
        <f aca="false">IF(Summary!$O$109=0,CALC!HE144,0)</f>
        <v>22276.5039</v>
      </c>
      <c r="E132" s="222" t="n">
        <f aca="false">SUM(CALC!GU144:HB144)*CALC!CY144/1000</f>
        <v>73789.2393930617</v>
      </c>
      <c r="F132" s="223" t="n">
        <f aca="false">Summary!$J$54</f>
        <v>0.15</v>
      </c>
      <c r="G132" s="164" t="n">
        <f aca="false">VLOOKUP(A132,CURVES!AW133:$BS$283,16)</f>
        <v>3.19738251751376</v>
      </c>
      <c r="H132" s="223" t="n">
        <f aca="false">Summary!$J$60</f>
        <v>0.04</v>
      </c>
      <c r="I132" s="165" t="n">
        <f aca="false">Summary!$J$55</f>
        <v>8.5</v>
      </c>
      <c r="J132" s="164" t="n">
        <f aca="false">I132*SUM(F132:H132)</f>
        <v>28.792751398867</v>
      </c>
      <c r="K132" s="223" t="n">
        <f aca="false">Summary!$J$56</f>
        <v>3.75</v>
      </c>
      <c r="L132" s="0" t="n">
        <f aca="false">Summary!$O$23</f>
        <v>3.75</v>
      </c>
      <c r="M132" s="223" t="n">
        <f aca="false">Summary!$J$57</f>
        <v>1.75</v>
      </c>
      <c r="N132" s="164" t="n">
        <f aca="false">IF(C132&gt;0,C132-J132,0)</f>
        <v>43.0456909773957</v>
      </c>
      <c r="O132" s="223" t="n">
        <f aca="false">IF(N132&gt;0,IF(N132-SUM(K132:M132)&gt;0,N132-SUM(K132:M132),0),0)</f>
        <v>33.7956909773957</v>
      </c>
      <c r="P132" s="223" t="n">
        <f aca="false">O132*D132</f>
        <v>752849.841861151</v>
      </c>
      <c r="Q132" s="164" t="n">
        <f aca="false">IF(A132&lt;=Summary!$J$61,0.5*(P132),$Q$2*(P132))</f>
        <v>0</v>
      </c>
      <c r="R132" s="223" t="n">
        <f aca="false">Summary!$J$58</f>
        <v>0.5</v>
      </c>
      <c r="S132" s="223" t="n">
        <f aca="false">J132+(K132+L132+R132)</f>
        <v>36.792751398867</v>
      </c>
      <c r="T132" s="224" t="n">
        <f aca="false">IF(D132*(C132-S132)-Q132&gt;0,D132*(C132-S132)-Q132,0)</f>
        <v>780695.471736151</v>
      </c>
      <c r="U132" s="225" t="n">
        <f aca="false">Summary!$J$59</f>
        <v>0.121048781448</v>
      </c>
      <c r="V132" s="224" t="n">
        <f aca="false">IF(A132&lt;=Summary!$J$61,(0.2*T132)+(R132*D132),(U132*T132)+(R132*D132))</f>
        <v>105640.487485633</v>
      </c>
      <c r="W132" s="226" t="n">
        <f aca="false">C132*D132</f>
        <v>1600309.34176474</v>
      </c>
    </row>
    <row r="133" customFormat="false" ht="12.75" hidden="false" customHeight="false" outlineLevel="0" collapsed="false">
      <c r="A133" s="220" t="n">
        <v>40422</v>
      </c>
      <c r="B133" s="221" t="n">
        <f aca="false">YEAR(A133)</f>
        <v>2010</v>
      </c>
      <c r="C133" s="164" t="n">
        <f aca="false">CALC!HH145</f>
        <v>58.1343483334854</v>
      </c>
      <c r="D133" s="222" t="n">
        <f aca="false">IF(Summary!$O$109=0,CALC!HE145,0)</f>
        <v>21557.907</v>
      </c>
      <c r="E133" s="222" t="n">
        <f aca="false">SUM(CALC!GU145:HB145)*CALC!CY145/1000</f>
        <v>71427.7055967531</v>
      </c>
      <c r="F133" s="223" t="n">
        <f aca="false">Summary!$J$54</f>
        <v>0.15</v>
      </c>
      <c r="G133" s="164" t="n">
        <f aca="false">VLOOKUP(A133,CURVES!AW134:$BS$283,16)</f>
        <v>3.33581230034621</v>
      </c>
      <c r="H133" s="223" t="n">
        <f aca="false">Summary!$J$60</f>
        <v>0.04</v>
      </c>
      <c r="I133" s="165" t="n">
        <f aca="false">Summary!$J$55</f>
        <v>8.5</v>
      </c>
      <c r="J133" s="164" t="n">
        <f aca="false">I133*SUM(F133:H133)</f>
        <v>29.9694045529428</v>
      </c>
      <c r="K133" s="223" t="n">
        <f aca="false">Summary!$J$56</f>
        <v>3.75</v>
      </c>
      <c r="L133" s="0" t="n">
        <f aca="false">Summary!$O$23</f>
        <v>3.75</v>
      </c>
      <c r="M133" s="223" t="n">
        <f aca="false">Summary!$J$57</f>
        <v>1.75</v>
      </c>
      <c r="N133" s="164" t="n">
        <f aca="false">IF(C133&gt;0,C133-J133,0)</f>
        <v>28.1649437805427</v>
      </c>
      <c r="O133" s="223" t="n">
        <f aca="false">IF(N133&gt;0,IF(N133-SUM(K133:M133)&gt;0,N133-SUM(K133:M133),0),0)</f>
        <v>18.9149437805427</v>
      </c>
      <c r="P133" s="223" t="n">
        <f aca="false">O133*D133</f>
        <v>407766.598931167</v>
      </c>
      <c r="Q133" s="164" t="n">
        <f aca="false">IF(A133&lt;=Summary!$J$61,0.5*(P133),$Q$2*(P133))</f>
        <v>0</v>
      </c>
      <c r="R133" s="223" t="n">
        <f aca="false">Summary!$J$58</f>
        <v>0.5</v>
      </c>
      <c r="S133" s="223" t="n">
        <f aca="false">J133+(K133+L133+R133)</f>
        <v>37.9694045529428</v>
      </c>
      <c r="T133" s="224" t="n">
        <f aca="false">IF(D133*(C133-S133)-Q133&gt;0,D133*(C133-S133)-Q133,0)</f>
        <v>434713.982681167</v>
      </c>
      <c r="U133" s="225" t="n">
        <f aca="false">Summary!$J$59</f>
        <v>0.121048781448</v>
      </c>
      <c r="V133" s="224" t="n">
        <f aca="false">IF(A133&lt;=Summary!$J$61,(0.2*T133)+(R133*D133),(U133*T133)+(R133*D133))</f>
        <v>63400.5513819623</v>
      </c>
      <c r="W133" s="226" t="n">
        <f aca="false">C133*D133</f>
        <v>1253254.87487888</v>
      </c>
    </row>
    <row r="134" customFormat="false" ht="12.75" hidden="false" customHeight="false" outlineLevel="0" collapsed="false">
      <c r="A134" s="220" t="n">
        <v>40452</v>
      </c>
      <c r="B134" s="221" t="n">
        <f aca="false">YEAR(A134)</f>
        <v>2010</v>
      </c>
      <c r="C134" s="164" t="n">
        <f aca="false">CALC!HH146</f>
        <v>49.0656252785685</v>
      </c>
      <c r="D134" s="222" t="n">
        <f aca="false">IF(Summary!$O$109=0,CALC!HE146,0)</f>
        <v>20950.521525</v>
      </c>
      <c r="E134" s="222" t="n">
        <f aca="false">SUM(CALC!GU146:HB146)*CALC!CY146/1000</f>
        <v>94335.8018514024</v>
      </c>
      <c r="F134" s="223" t="n">
        <f aca="false">Summary!$J$54</f>
        <v>0.15</v>
      </c>
      <c r="G134" s="164" t="n">
        <f aca="false">VLOOKUP(A134,CURVES!AW135:$BS$283,16)</f>
        <v>3.48405385353614</v>
      </c>
      <c r="H134" s="223" t="n">
        <f aca="false">Summary!$J$60</f>
        <v>0.04</v>
      </c>
      <c r="I134" s="165" t="n">
        <f aca="false">Summary!$J$55</f>
        <v>8.5</v>
      </c>
      <c r="J134" s="164" t="n">
        <f aca="false">I134*SUM(F134:H134)</f>
        <v>31.2294577550572</v>
      </c>
      <c r="K134" s="223" t="n">
        <f aca="false">Summary!$J$56</f>
        <v>3.75</v>
      </c>
      <c r="L134" s="0" t="n">
        <f aca="false">Summary!$O$23</f>
        <v>3.75</v>
      </c>
      <c r="M134" s="223" t="n">
        <f aca="false">Summary!$J$57</f>
        <v>1.75</v>
      </c>
      <c r="N134" s="164" t="n">
        <f aca="false">IF(C134&gt;0,C134-J134,0)</f>
        <v>17.8361675235113</v>
      </c>
      <c r="O134" s="223" t="n">
        <f aca="false">IF(N134&gt;0,IF(N134-SUM(K134:M134)&gt;0,N134-SUM(K134:M134),0),0)</f>
        <v>8.58616752351132</v>
      </c>
      <c r="P134" s="223" t="n">
        <f aca="false">O134*D134</f>
        <v>179884.68751858</v>
      </c>
      <c r="Q134" s="164" t="n">
        <f aca="false">IF(A134&lt;=Summary!$J$61,0.5*(P134),$Q$2*(P134))</f>
        <v>0</v>
      </c>
      <c r="R134" s="223" t="n">
        <f aca="false">Summary!$J$58</f>
        <v>0.5</v>
      </c>
      <c r="S134" s="223" t="n">
        <f aca="false">J134+(K134+L134+R134)</f>
        <v>39.2294577550572</v>
      </c>
      <c r="T134" s="224" t="n">
        <f aca="false">IF(D134*(C134-S134)-Q134&gt;0,D134*(C134-S134)-Q134,0)</f>
        <v>206072.83942483</v>
      </c>
      <c r="U134" s="225" t="n">
        <f aca="false">Summary!$J$59</f>
        <v>0.121048781448</v>
      </c>
      <c r="V134" s="224" t="n">
        <f aca="false">IF(A134&lt;=Summary!$J$61,(0.2*T134)+(R134*D134),(U134*T134)+(R134*D134))</f>
        <v>35420.126864405</v>
      </c>
      <c r="W134" s="226" t="n">
        <f aca="false">C134*D134</f>
        <v>1027950.43853623</v>
      </c>
    </row>
    <row r="135" customFormat="false" ht="12.75" hidden="false" customHeight="false" outlineLevel="0" collapsed="false">
      <c r="A135" s="220" t="n">
        <v>40483</v>
      </c>
      <c r="B135" s="221" t="n">
        <f aca="false">YEAR(A135)</f>
        <v>2010</v>
      </c>
      <c r="C135" s="164" t="n">
        <f aca="false">CALC!HH147</f>
        <v>48.8687669612646</v>
      </c>
      <c r="D135" s="222" t="n">
        <f aca="false">IF(Summary!$O$109=0,CALC!HE147,0)</f>
        <v>20274.69825</v>
      </c>
      <c r="E135" s="222" t="n">
        <f aca="false">SUM(CALC!GU147:HB147)*CALC!CY147/1000</f>
        <v>91316.6880090138</v>
      </c>
      <c r="F135" s="223" t="n">
        <f aca="false">Summary!$J$54</f>
        <v>0.15</v>
      </c>
      <c r="G135" s="164" t="n">
        <f aca="false">VLOOKUP(A135,CURVES!AW136:$BS$283,16)</f>
        <v>3.63023485445627</v>
      </c>
      <c r="H135" s="223" t="n">
        <f aca="false">Summary!$J$60</f>
        <v>0.04</v>
      </c>
      <c r="I135" s="165" t="n">
        <f aca="false">Summary!$J$55</f>
        <v>8.5</v>
      </c>
      <c r="J135" s="164" t="n">
        <f aca="false">I135*SUM(F135:H135)</f>
        <v>32.4719962628783</v>
      </c>
      <c r="K135" s="223" t="n">
        <f aca="false">Summary!$J$56</f>
        <v>3.75</v>
      </c>
      <c r="L135" s="0" t="n">
        <f aca="false">Summary!$O$23</f>
        <v>3.75</v>
      </c>
      <c r="M135" s="223" t="n">
        <f aca="false">Summary!$J$57</f>
        <v>1.75</v>
      </c>
      <c r="N135" s="164" t="n">
        <f aca="false">IF(C135&gt;0,C135-J135,0)</f>
        <v>16.3967706983864</v>
      </c>
      <c r="O135" s="223" t="n">
        <f aca="false">IF(N135&gt;0,IF(N135-SUM(K135:M135)&gt;0,N135-SUM(K135:M135),0),0)</f>
        <v>7.14677069838638</v>
      </c>
      <c r="P135" s="223" t="n">
        <f aca="false">O135*D135</f>
        <v>144898.619371726</v>
      </c>
      <c r="Q135" s="164" t="n">
        <f aca="false">IF(A135&lt;=Summary!$J$61,0.5*(P135),$Q$2*(P135))</f>
        <v>0</v>
      </c>
      <c r="R135" s="223" t="n">
        <f aca="false">Summary!$J$58</f>
        <v>0.5</v>
      </c>
      <c r="S135" s="223" t="n">
        <f aca="false">J135+(K135+L135+R135)</f>
        <v>40.4719962628783</v>
      </c>
      <c r="T135" s="224" t="n">
        <f aca="false">IF(D135*(C135-S135)-Q135&gt;0,D135*(C135-S135)-Q135,0)</f>
        <v>170241.992184226</v>
      </c>
      <c r="U135" s="225" t="n">
        <f aca="false">Summary!$J$59</f>
        <v>0.121048781448</v>
      </c>
      <c r="V135" s="224" t="n">
        <f aca="false">IF(A135&lt;=Summary!$J$61,(0.2*T135)+(R135*D135),(U135*T135)+(R135*D135))</f>
        <v>30744.9348301804</v>
      </c>
      <c r="W135" s="226" t="n">
        <f aca="false">C135*D135</f>
        <v>990799.50398921</v>
      </c>
    </row>
    <row r="136" customFormat="false" ht="12.75" hidden="false" customHeight="false" outlineLevel="0" collapsed="false">
      <c r="A136" s="220" t="n">
        <v>40513</v>
      </c>
      <c r="B136" s="221" t="n">
        <f aca="false">YEAR(A136)</f>
        <v>2010</v>
      </c>
      <c r="C136" s="164" t="n">
        <f aca="false">CALC!HH148</f>
        <v>46.6074311144169</v>
      </c>
      <c r="D136" s="222" t="n">
        <f aca="false">IF(Summary!$O$109=0,CALC!HE148,0)</f>
        <v>20950.521525</v>
      </c>
      <c r="E136" s="222" t="n">
        <f aca="false">SUM(CALC!GU148:HB148)*CALC!CY148/1000</f>
        <v>94385.3533672261</v>
      </c>
      <c r="F136" s="223" t="n">
        <f aca="false">Summary!$J$54</f>
        <v>0.15</v>
      </c>
      <c r="G136" s="164" t="n">
        <f aca="false">VLOOKUP(A136,CURVES!AW137:$BS$283,16)</f>
        <v>3.78464726168256</v>
      </c>
      <c r="H136" s="223" t="n">
        <f aca="false">Summary!$J$60</f>
        <v>0.04</v>
      </c>
      <c r="I136" s="165" t="n">
        <f aca="false">Summary!$J$55</f>
        <v>8.5</v>
      </c>
      <c r="J136" s="164" t="n">
        <f aca="false">I136*SUM(F136:H136)</f>
        <v>33.7845017243018</v>
      </c>
      <c r="K136" s="223" t="n">
        <f aca="false">Summary!$J$56</f>
        <v>3.75</v>
      </c>
      <c r="L136" s="0" t="n">
        <f aca="false">Summary!$O$23</f>
        <v>3.75</v>
      </c>
      <c r="M136" s="223" t="n">
        <f aca="false">Summary!$J$57</f>
        <v>1.75</v>
      </c>
      <c r="N136" s="164" t="n">
        <f aca="false">IF(C136&gt;0,C136-J136,0)</f>
        <v>12.8229293901151</v>
      </c>
      <c r="O136" s="223" t="n">
        <f aca="false">IF(N136&gt;0,IF(N136-SUM(K136:M136)&gt;0,N136-SUM(K136:M136),0),0)</f>
        <v>3.57292939011514</v>
      </c>
      <c r="P136" s="223" t="n">
        <f aca="false">O136*D136</f>
        <v>74854.7340949124</v>
      </c>
      <c r="Q136" s="164" t="n">
        <f aca="false">IF(A136&lt;=Summary!$J$61,0.5*(P136),$Q$2*(P136))</f>
        <v>0</v>
      </c>
      <c r="R136" s="223" t="n">
        <f aca="false">Summary!$J$58</f>
        <v>0.5</v>
      </c>
      <c r="S136" s="223" t="n">
        <f aca="false">J136+(K136+L136+R136)</f>
        <v>41.7845017243018</v>
      </c>
      <c r="T136" s="224" t="n">
        <f aca="false">IF(D136*(C136-S136)-Q136&gt;0,D136*(C136-S136)-Q136,0)</f>
        <v>101042.886001162</v>
      </c>
      <c r="U136" s="225" t="n">
        <f aca="false">Summary!$J$59</f>
        <v>0.121048781448</v>
      </c>
      <c r="V136" s="224" t="n">
        <f aca="false">IF(A136&lt;=Summary!$J$61,(0.2*T136)+(R136*D136),(U136*T136)+(R136*D136))</f>
        <v>22706.3789869299</v>
      </c>
      <c r="W136" s="226" t="n">
        <f aca="false">C136*D136</f>
        <v>976449.988787546</v>
      </c>
    </row>
    <row r="137" customFormat="false" ht="12.75" hidden="false" customHeight="false" outlineLevel="0" collapsed="false">
      <c r="A137" s="220" t="n">
        <v>40544</v>
      </c>
      <c r="B137" s="221" t="n">
        <f aca="false">YEAR(A137)</f>
        <v>2011</v>
      </c>
      <c r="C137" s="164" t="n">
        <f aca="false">CALC!HH149</f>
        <v>46.4986800897685</v>
      </c>
      <c r="D137" s="222" t="n">
        <f aca="false">IF(Summary!$O$109=0,CALC!HE149,0)</f>
        <v>20950.521525</v>
      </c>
      <c r="E137" s="222" t="n">
        <f aca="false">SUM(CALC!GU149:HB149)*CALC!CY149/1000</f>
        <v>94410.1291251379</v>
      </c>
      <c r="F137" s="223" t="n">
        <f aca="false">Summary!$J$54</f>
        <v>0.15</v>
      </c>
      <c r="G137" s="164" t="n">
        <f aca="false">VLOOKUP(A137,CURVES!AW138:$BS$283,16)</f>
        <v>3.60772730179545</v>
      </c>
      <c r="H137" s="223" t="n">
        <f aca="false">Summary!$J$60</f>
        <v>0.04</v>
      </c>
      <c r="I137" s="165" t="n">
        <f aca="false">Summary!$J$55</f>
        <v>8.5</v>
      </c>
      <c r="J137" s="164" t="n">
        <f aca="false">I137*SUM(F137:H137)</f>
        <v>32.2806820652613</v>
      </c>
      <c r="K137" s="223" t="n">
        <f aca="false">Summary!$J$56</f>
        <v>3.75</v>
      </c>
      <c r="L137" s="0" t="n">
        <f aca="false">Summary!$O$23</f>
        <v>3.75</v>
      </c>
      <c r="M137" s="223" t="n">
        <f aca="false">Summary!$J$57</f>
        <v>1.75</v>
      </c>
      <c r="N137" s="164" t="n">
        <f aca="false">IF(C137&gt;0,C137-J137,0)</f>
        <v>14.2179980245072</v>
      </c>
      <c r="O137" s="223" t="n">
        <f aca="false">IF(N137&gt;0,IF(N137-SUM(K137:M137)&gt;0,N137-SUM(K137:M137),0),0)</f>
        <v>4.96799802450724</v>
      </c>
      <c r="P137" s="223" t="n">
        <f aca="false">O137*D137</f>
        <v>104082.149548596</v>
      </c>
      <c r="Q137" s="164" t="n">
        <f aca="false">IF(A137&lt;=Summary!$J$61,0.5*(P137),$Q$2*(P137))</f>
        <v>0</v>
      </c>
      <c r="R137" s="223" t="n">
        <f aca="false">Summary!$J$58</f>
        <v>0.5</v>
      </c>
      <c r="S137" s="223" t="n">
        <f aca="false">J137+(K137+L137+R137)</f>
        <v>40.2806820652613</v>
      </c>
      <c r="T137" s="224" t="n">
        <f aca="false">IF(D137*(C137-S137)-Q137&gt;0,D137*(C137-S137)-Q137,0)</f>
        <v>130270.301454846</v>
      </c>
      <c r="U137" s="225" t="n">
        <f aca="false">Summary!$J$59</f>
        <v>0.121048781448</v>
      </c>
      <c r="V137" s="224" t="n">
        <f aca="false">IF(A137&lt;=Summary!$J$61,(0.2*T137)+(R137*D137),(U137*T137)+(R137*D137))</f>
        <v>26244.3220124728</v>
      </c>
      <c r="W137" s="226" t="n">
        <f aca="false">C137*D137</f>
        <v>974171.598104784</v>
      </c>
    </row>
    <row r="138" customFormat="false" ht="12.75" hidden="false" customHeight="false" outlineLevel="0" collapsed="false">
      <c r="A138" s="220" t="n">
        <v>40575</v>
      </c>
      <c r="B138" s="221" t="n">
        <f aca="false">YEAR(A138)</f>
        <v>2011</v>
      </c>
      <c r="C138" s="164" t="n">
        <f aca="false">CALC!HH150</f>
        <v>38.5745802091127</v>
      </c>
      <c r="D138" s="222" t="n">
        <f aca="false">IF(Summary!$O$109=0,CALC!HE150,0)</f>
        <v>18923.0517</v>
      </c>
      <c r="E138" s="222" t="n">
        <f aca="false">SUM(CALC!GU150:HB150)*CALC!CY150/1000</f>
        <v>85296.043120174</v>
      </c>
      <c r="F138" s="223" t="n">
        <f aca="false">Summary!$J$54</f>
        <v>0.15</v>
      </c>
      <c r="G138" s="164" t="n">
        <f aca="false">VLOOKUP(A138,CURVES!AW139:$BS$283,16)</f>
        <v>3.33215910962207</v>
      </c>
      <c r="H138" s="223" t="n">
        <f aca="false">Summary!$J$60</f>
        <v>0.04</v>
      </c>
      <c r="I138" s="165" t="n">
        <f aca="false">Summary!$J$55</f>
        <v>8.5</v>
      </c>
      <c r="J138" s="164" t="n">
        <f aca="false">I138*SUM(F138:H138)</f>
        <v>29.9383524317876</v>
      </c>
      <c r="K138" s="223" t="n">
        <f aca="false">Summary!$J$56</f>
        <v>3.75</v>
      </c>
      <c r="L138" s="0" t="n">
        <f aca="false">Summary!$O$23</f>
        <v>3.75</v>
      </c>
      <c r="M138" s="223" t="n">
        <f aca="false">Summary!$J$57</f>
        <v>1.75</v>
      </c>
      <c r="N138" s="164" t="n">
        <f aca="false">IF(C138&gt;0,C138-J138,0)</f>
        <v>8.63622777732517</v>
      </c>
      <c r="O138" s="223" t="n">
        <f aca="false">IF(N138&gt;0,IF(N138-SUM(K138:M138)&gt;0,N138-SUM(K138:M138),0),0)</f>
        <v>0</v>
      </c>
      <c r="P138" s="223" t="n">
        <f aca="false">O138*D138</f>
        <v>0</v>
      </c>
      <c r="Q138" s="164" t="n">
        <f aca="false">IF(A138&lt;=Summary!$J$61,0.5*(P138),$Q$2*(P138))</f>
        <v>0</v>
      </c>
      <c r="R138" s="223" t="n">
        <f aca="false">Summary!$J$58</f>
        <v>0.5</v>
      </c>
      <c r="S138" s="223" t="n">
        <f aca="false">J138+(K138+L138+R138)</f>
        <v>37.9383524317876</v>
      </c>
      <c r="T138" s="224" t="n">
        <f aca="false">IF(D138*(C138-S138)-Q138&gt;0,D138*(C138-S138)-Q138,0)</f>
        <v>12039.3711233002</v>
      </c>
      <c r="U138" s="225" t="n">
        <f aca="false">Summary!$J$59</f>
        <v>0.121048781448</v>
      </c>
      <c r="V138" s="224" t="n">
        <f aca="false">IF(A138&lt;=Summary!$J$61,(0.2*T138)+(R138*D138),(U138*T138)+(R138*D138))</f>
        <v>10918.8770538757</v>
      </c>
      <c r="W138" s="226" t="n">
        <f aca="false">C138*D138</f>
        <v>729948.775602837</v>
      </c>
    </row>
    <row r="139" customFormat="false" ht="12.75" hidden="false" customHeight="false" outlineLevel="0" collapsed="false">
      <c r="A139" s="220" t="n">
        <v>40603</v>
      </c>
      <c r="B139" s="221" t="n">
        <f aca="false">YEAR(A139)</f>
        <v>2011</v>
      </c>
      <c r="C139" s="164" t="n">
        <f aca="false">CALC!HH151</f>
        <v>37.3089953914276</v>
      </c>
      <c r="D139" s="222" t="n">
        <f aca="false">IF(Summary!$O$109=0,CALC!HE151,0)</f>
        <v>20950.521525</v>
      </c>
      <c r="E139" s="222" t="n">
        <f aca="false">SUM(CALC!GU151:HB151)*CALC!CY151/1000</f>
        <v>94459.6806409616</v>
      </c>
      <c r="F139" s="223" t="n">
        <f aca="false">Summary!$J$54</f>
        <v>0.15</v>
      </c>
      <c r="G139" s="164" t="n">
        <f aca="false">VLOOKUP(A139,CURVES!AW140:$BS$283,16)</f>
        <v>3.15327733438925</v>
      </c>
      <c r="H139" s="223" t="n">
        <f aca="false">Summary!$J$60</f>
        <v>0.04</v>
      </c>
      <c r="I139" s="165" t="n">
        <f aca="false">Summary!$J$55</f>
        <v>8.5</v>
      </c>
      <c r="J139" s="164" t="n">
        <f aca="false">I139*SUM(F139:H139)</f>
        <v>28.4178573423086</v>
      </c>
      <c r="K139" s="223" t="n">
        <f aca="false">Summary!$J$56</f>
        <v>3.75</v>
      </c>
      <c r="L139" s="0" t="n">
        <f aca="false">Summary!$O$23</f>
        <v>3.75</v>
      </c>
      <c r="M139" s="223" t="n">
        <f aca="false">Summary!$J$57</f>
        <v>1.75</v>
      </c>
      <c r="N139" s="164" t="n">
        <f aca="false">IF(C139&gt;0,C139-J139,0)</f>
        <v>8.89113804911901</v>
      </c>
      <c r="O139" s="223" t="n">
        <f aca="false">IF(N139&gt;0,IF(N139-SUM(K139:M139)&gt;0,N139-SUM(K139:M139),0),0)</f>
        <v>0</v>
      </c>
      <c r="P139" s="223" t="n">
        <f aca="false">O139*D139</f>
        <v>0</v>
      </c>
      <c r="Q139" s="164" t="n">
        <f aca="false">IF(A139&lt;=Summary!$J$61,0.5*(P139),$Q$2*(P139))</f>
        <v>0</v>
      </c>
      <c r="R139" s="223" t="n">
        <f aca="false">Summary!$J$58</f>
        <v>0.5</v>
      </c>
      <c r="S139" s="223" t="n">
        <f aca="false">J139+(K139+L139+R139)</f>
        <v>36.4178573423086</v>
      </c>
      <c r="T139" s="224" t="n">
        <f aca="false">IF(D139*(C139-S139)-Q139&gt;0,D139*(C139-S139)-Q139,0)</f>
        <v>18669.8068798143</v>
      </c>
      <c r="U139" s="225" t="n">
        <f aca="false">Summary!$J$59</f>
        <v>0.121048781448</v>
      </c>
      <c r="V139" s="224" t="n">
        <f aca="false">IF(A139&lt;=Summary!$J$61,(0.2*T139)+(R139*D139),(U139*T139)+(R139*D139))</f>
        <v>12735.218135171</v>
      </c>
      <c r="W139" s="226" t="n">
        <f aca="false">C139*D139</f>
        <v>781642.911024229</v>
      </c>
    </row>
    <row r="140" customFormat="false" ht="12.75" hidden="false" customHeight="false" outlineLevel="0" collapsed="false">
      <c r="A140" s="220" t="n">
        <v>40634</v>
      </c>
      <c r="B140" s="221" t="n">
        <f aca="false">YEAR(A140)</f>
        <v>2011</v>
      </c>
      <c r="C140" s="164" t="n">
        <f aca="false">CALC!HH152</f>
        <v>35.9005788444819</v>
      </c>
      <c r="D140" s="222" t="n">
        <f aca="false">IF(Summary!$O$109=0,CALC!HE152,0)</f>
        <v>20274.69825</v>
      </c>
      <c r="E140" s="222" t="n">
        <f aca="false">SUM(CALC!GU152:HB152)*CALC!CY152/1000</f>
        <v>91436.5707085872</v>
      </c>
      <c r="F140" s="223" t="n">
        <f aca="false">Summary!$J$54</f>
        <v>0.15</v>
      </c>
      <c r="G140" s="164" t="n">
        <f aca="false">VLOOKUP(A140,CURVES!AW141:$BS$283,16)</f>
        <v>3.05867676332002</v>
      </c>
      <c r="H140" s="223" t="n">
        <f aca="false">Summary!$J$60</f>
        <v>0.04</v>
      </c>
      <c r="I140" s="165" t="n">
        <f aca="false">Summary!$J$55</f>
        <v>8.5</v>
      </c>
      <c r="J140" s="164" t="n">
        <f aca="false">I140*SUM(F140:H140)</f>
        <v>27.6137524882202</v>
      </c>
      <c r="K140" s="223" t="n">
        <f aca="false">Summary!$J$56</f>
        <v>3.75</v>
      </c>
      <c r="L140" s="0" t="n">
        <f aca="false">Summary!$O$23</f>
        <v>3.75</v>
      </c>
      <c r="M140" s="223" t="n">
        <f aca="false">Summary!$J$57</f>
        <v>1.75</v>
      </c>
      <c r="N140" s="164" t="n">
        <f aca="false">IF(C140&gt;0,C140-J140,0)</f>
        <v>8.2868263562617</v>
      </c>
      <c r="O140" s="223" t="n">
        <f aca="false">IF(N140&gt;0,IF(N140-SUM(K140:M140)&gt;0,N140-SUM(K140:M140),0),0)</f>
        <v>0</v>
      </c>
      <c r="P140" s="223" t="n">
        <f aca="false">O140*D140</f>
        <v>0</v>
      </c>
      <c r="Q140" s="164" t="n">
        <f aca="false">IF(A140&lt;=Summary!$J$61,0.5*(P140),$Q$2*(P140))</f>
        <v>0</v>
      </c>
      <c r="R140" s="223" t="n">
        <f aca="false">Summary!$J$58</f>
        <v>0.5</v>
      </c>
      <c r="S140" s="223" t="n">
        <f aca="false">J140+(K140+L140+R140)</f>
        <v>35.6137524882202</v>
      </c>
      <c r="T140" s="224" t="n">
        <f aca="false">IF(D140*(C140-S140)-Q140&gt;0,D140*(C140-S140)-Q140,0)</f>
        <v>5815.31782335309</v>
      </c>
      <c r="U140" s="225" t="n">
        <f aca="false">Summary!$J$59</f>
        <v>0.121048781448</v>
      </c>
      <c r="V140" s="224" t="n">
        <f aca="false">IF(A140&lt;=Summary!$J$61,(0.2*T140)+(R140*D140),(U140*T140)+(R140*D140))</f>
        <v>10841.2862612497</v>
      </c>
      <c r="W140" s="226" t="n">
        <f aca="false">C140*D140</f>
        <v>727873.403072204</v>
      </c>
    </row>
    <row r="141" customFormat="false" ht="12.75" hidden="false" customHeight="false" outlineLevel="0" collapsed="false">
      <c r="A141" s="220" t="n">
        <v>40664</v>
      </c>
      <c r="B141" s="221" t="n">
        <f aca="false">YEAR(A141)</f>
        <v>2011</v>
      </c>
      <c r="C141" s="164" t="n">
        <f aca="false">CALC!HH153</f>
        <v>37.7247515140738</v>
      </c>
      <c r="D141" s="222" t="n">
        <f aca="false">IF(Summary!$O$109=0,CALC!HE153,0)</f>
        <v>22276.5039</v>
      </c>
      <c r="E141" s="222" t="n">
        <f aca="false">SUM(CALC!GU153:HB153)*CALC!CY153/1000</f>
        <v>73963.7469053102</v>
      </c>
      <c r="F141" s="223" t="n">
        <f aca="false">Summary!$J$54</f>
        <v>0.15</v>
      </c>
      <c r="G141" s="164" t="n">
        <f aca="false">VLOOKUP(A141,CURVES!AW142:$BS$283,16)</f>
        <v>3.03560916932453</v>
      </c>
      <c r="H141" s="223" t="n">
        <f aca="false">Summary!$J$60</f>
        <v>0.04</v>
      </c>
      <c r="I141" s="165" t="n">
        <f aca="false">Summary!$J$55</f>
        <v>8.5</v>
      </c>
      <c r="J141" s="164" t="n">
        <f aca="false">I141*SUM(F141:H141)</f>
        <v>27.4176779392585</v>
      </c>
      <c r="K141" s="223" t="n">
        <f aca="false">Summary!$J$56</f>
        <v>3.75</v>
      </c>
      <c r="L141" s="0" t="n">
        <f aca="false">Summary!$O$23</f>
        <v>3.75</v>
      </c>
      <c r="M141" s="223" t="n">
        <f aca="false">Summary!$J$57</f>
        <v>1.75</v>
      </c>
      <c r="N141" s="164" t="n">
        <f aca="false">IF(C141&gt;0,C141-J141,0)</f>
        <v>10.3070735748153</v>
      </c>
      <c r="O141" s="223" t="n">
        <f aca="false">IF(N141&gt;0,IF(N141-SUM(K141:M141)&gt;0,N141-SUM(K141:M141),0),0)</f>
        <v>1.0570735748153</v>
      </c>
      <c r="P141" s="223" t="n">
        <f aca="false">O141*D141</f>
        <v>23547.90361196</v>
      </c>
      <c r="Q141" s="164" t="n">
        <f aca="false">IF(A141&lt;=Summary!$J$61,0.5*(P141),$Q$2*(P141))</f>
        <v>0</v>
      </c>
      <c r="R141" s="223" t="n">
        <f aca="false">Summary!$J$58</f>
        <v>0.5</v>
      </c>
      <c r="S141" s="223" t="n">
        <f aca="false">J141+(K141+L141+R141)</f>
        <v>35.4176779392585</v>
      </c>
      <c r="T141" s="224" t="n">
        <f aca="false">IF(D141*(C141-S141)-Q141&gt;0,D141*(C141-S141)-Q141,0)</f>
        <v>51393.5334869601</v>
      </c>
      <c r="U141" s="225" t="n">
        <f aca="false">Summary!$J$59</f>
        <v>0.121048781448</v>
      </c>
      <c r="V141" s="224" t="n">
        <f aca="false">IF(A141&lt;=Summary!$J$61,(0.2*T141)+(R141*D141),(U141*T141)+(R141*D141))</f>
        <v>17359.3765529035</v>
      </c>
      <c r="W141" s="226" t="n">
        <f aca="false">C141*D141</f>
        <v>840375.574229795</v>
      </c>
    </row>
    <row r="142" customFormat="false" ht="12.75" hidden="false" customHeight="false" outlineLevel="0" collapsed="false">
      <c r="A142" s="220" t="n">
        <v>40695</v>
      </c>
      <c r="B142" s="221" t="n">
        <f aca="false">YEAR(A142)</f>
        <v>2011</v>
      </c>
      <c r="C142" s="164" t="n">
        <f aca="false">CALC!HH154</f>
        <v>37.9390965801616</v>
      </c>
      <c r="D142" s="222" t="n">
        <f aca="false">IF(Summary!$O$109=0,CALC!HE154,0)</f>
        <v>21557.907</v>
      </c>
      <c r="E142" s="222" t="n">
        <f aca="false">SUM(CALC!GU154:HB154)*CALC!CY154/1000</f>
        <v>71596.583834413</v>
      </c>
      <c r="F142" s="223" t="n">
        <f aca="false">Summary!$J$54</f>
        <v>0.15</v>
      </c>
      <c r="G142" s="164" t="n">
        <f aca="false">VLOOKUP(A142,CURVES!AW143:$BS$283,16)</f>
        <v>3.07227757557298</v>
      </c>
      <c r="H142" s="223" t="n">
        <f aca="false">Summary!$J$60</f>
        <v>0.04</v>
      </c>
      <c r="I142" s="165" t="n">
        <f aca="false">Summary!$J$55</f>
        <v>8.5</v>
      </c>
      <c r="J142" s="164" t="n">
        <f aca="false">I142*SUM(F142:H142)</f>
        <v>27.7293593923703</v>
      </c>
      <c r="K142" s="223" t="n">
        <f aca="false">Summary!$J$56</f>
        <v>3.75</v>
      </c>
      <c r="L142" s="0" t="n">
        <f aca="false">Summary!$O$23</f>
        <v>3.75</v>
      </c>
      <c r="M142" s="223" t="n">
        <f aca="false">Summary!$J$57</f>
        <v>1.75</v>
      </c>
      <c r="N142" s="164" t="n">
        <f aca="false">IF(C142&gt;0,C142-J142,0)</f>
        <v>10.2097371877913</v>
      </c>
      <c r="O142" s="223" t="n">
        <f aca="false">IF(N142&gt;0,IF(N142-SUM(K142:M142)&gt;0,N142-SUM(K142:M142),0),0)</f>
        <v>0.959737187791262</v>
      </c>
      <c r="P142" s="223" t="n">
        <f aca="false">O142*D142</f>
        <v>20689.9250388456</v>
      </c>
      <c r="Q142" s="164" t="n">
        <f aca="false">IF(A142&lt;=Summary!$J$61,0.5*(P142),$Q$2*(P142))</f>
        <v>0</v>
      </c>
      <c r="R142" s="223" t="n">
        <f aca="false">Summary!$J$58</f>
        <v>0.5</v>
      </c>
      <c r="S142" s="223" t="n">
        <f aca="false">J142+(K142+L142+R142)</f>
        <v>35.7293593923703</v>
      </c>
      <c r="T142" s="224" t="n">
        <f aca="false">IF(D142*(C142-S142)-Q142&gt;0,D142*(C142-S142)-Q142,0)</f>
        <v>47637.3087888456</v>
      </c>
      <c r="U142" s="225" t="n">
        <f aca="false">Summary!$J$59</f>
        <v>0.121048781448</v>
      </c>
      <c r="V142" s="224" t="n">
        <f aca="false">IF(A142&lt;=Summary!$J$61,(0.2*T142)+(R142*D142),(U142*T142)+(R142*D142))</f>
        <v>16545.3916803519</v>
      </c>
      <c r="W142" s="226" t="n">
        <f aca="false">C142*D142</f>
        <v>817887.515739141</v>
      </c>
    </row>
    <row r="143" customFormat="false" ht="12.75" hidden="false" customHeight="false" outlineLevel="0" collapsed="false">
      <c r="A143" s="220" t="n">
        <v>40725</v>
      </c>
      <c r="B143" s="221" t="n">
        <f aca="false">YEAR(A143)</f>
        <v>2011</v>
      </c>
      <c r="C143" s="164" t="n">
        <f aca="false">CALC!HH155</f>
        <v>52.5659080793896</v>
      </c>
      <c r="D143" s="222" t="n">
        <f aca="false">IF(Summary!$O$109=0,CALC!HE155,0)</f>
        <v>22276.5039</v>
      </c>
      <c r="E143" s="222" t="n">
        <f aca="false">SUM(CALC!GU155:HB155)*CALC!CY155/1000</f>
        <v>74002.5263524766</v>
      </c>
      <c r="F143" s="223" t="n">
        <f aca="false">Summary!$J$54</f>
        <v>0.15</v>
      </c>
      <c r="G143" s="164" t="n">
        <f aca="false">VLOOKUP(A143,CURVES!AW144:$BS$283,16)</f>
        <v>3.15613874194806</v>
      </c>
      <c r="H143" s="223" t="n">
        <f aca="false">Summary!$J$60</f>
        <v>0.04</v>
      </c>
      <c r="I143" s="165" t="n">
        <f aca="false">Summary!$J$55</f>
        <v>8.5</v>
      </c>
      <c r="J143" s="164" t="n">
        <f aca="false">I143*SUM(F143:H143)</f>
        <v>28.4421793065585</v>
      </c>
      <c r="K143" s="223" t="n">
        <f aca="false">Summary!$J$56</f>
        <v>3.75</v>
      </c>
      <c r="L143" s="0" t="n">
        <f aca="false">Summary!$O$23</f>
        <v>3.75</v>
      </c>
      <c r="M143" s="223" t="n">
        <f aca="false">Summary!$J$57</f>
        <v>1.75</v>
      </c>
      <c r="N143" s="164" t="n">
        <f aca="false">IF(C143&gt;0,C143-J143,0)</f>
        <v>24.1237287728311</v>
      </c>
      <c r="O143" s="223" t="n">
        <f aca="false">IF(N143&gt;0,IF(N143-SUM(K143:M143)&gt;0,N143-SUM(K143:M143),0),0)</f>
        <v>14.8737287728311</v>
      </c>
      <c r="P143" s="223" t="n">
        <f aca="false">O143*D143</f>
        <v>331334.677015514</v>
      </c>
      <c r="Q143" s="164" t="n">
        <f aca="false">IF(A143&lt;=Summary!$J$61,0.5*(P143),$Q$2*(P143))</f>
        <v>0</v>
      </c>
      <c r="R143" s="223" t="n">
        <f aca="false">Summary!$J$58</f>
        <v>0.5</v>
      </c>
      <c r="S143" s="223" t="n">
        <f aca="false">J143+(K143+L143+R143)</f>
        <v>36.4421793065585</v>
      </c>
      <c r="T143" s="224" t="n">
        <f aca="false">IF(D143*(C143-S143)-Q143&gt;0,D143*(C143-S143)-Q143,0)</f>
        <v>359180.306890513</v>
      </c>
      <c r="U143" s="225" t="n">
        <f aca="false">Summary!$J$59</f>
        <v>0.121048781448</v>
      </c>
      <c r="V143" s="224" t="n">
        <f aca="false">IF(A143&lt;=Summary!$J$61,(0.2*T143)+(R143*D143),(U143*T143)+(R143*D143))</f>
        <v>54616.5904192153</v>
      </c>
      <c r="W143" s="226" t="n">
        <f aca="false">C143*D143</f>
        <v>1170984.65633756</v>
      </c>
    </row>
    <row r="144" customFormat="false" ht="12.75" hidden="false" customHeight="false" outlineLevel="0" collapsed="false">
      <c r="A144" s="220" t="n">
        <v>40756</v>
      </c>
      <c r="B144" s="221" t="n">
        <f aca="false">YEAR(A144)</f>
        <v>2011</v>
      </c>
      <c r="C144" s="164" t="n">
        <f aca="false">CALC!HH156</f>
        <v>71.6338142331305</v>
      </c>
      <c r="D144" s="222" t="n">
        <f aca="false">IF(Summary!$O$109=0,CALC!HE156,0)</f>
        <v>22276.5039</v>
      </c>
      <c r="E144" s="222" t="n">
        <f aca="false">SUM(CALC!GU156:HB156)*CALC!CY156/1000</f>
        <v>74021.9160760597</v>
      </c>
      <c r="F144" s="223" t="n">
        <f aca="false">Summary!$J$54</f>
        <v>0.15</v>
      </c>
      <c r="G144" s="164" t="n">
        <f aca="false">VLOOKUP(A144,CURVES!AW145:$BS$283,16)</f>
        <v>3.27523901519133</v>
      </c>
      <c r="H144" s="223" t="n">
        <f aca="false">Summary!$J$60</f>
        <v>0.04</v>
      </c>
      <c r="I144" s="165" t="n">
        <f aca="false">Summary!$J$55</f>
        <v>8.5</v>
      </c>
      <c r="J144" s="164" t="n">
        <f aca="false">I144*SUM(F144:H144)</f>
        <v>29.4545316291263</v>
      </c>
      <c r="K144" s="223" t="n">
        <f aca="false">Summary!$J$56</f>
        <v>3.75</v>
      </c>
      <c r="L144" s="0" t="n">
        <f aca="false">Summary!$O$23</f>
        <v>3.75</v>
      </c>
      <c r="M144" s="223" t="n">
        <f aca="false">Summary!$J$57</f>
        <v>1.75</v>
      </c>
      <c r="N144" s="164" t="n">
        <f aca="false">IF(C144&gt;0,C144-J144,0)</f>
        <v>42.1792826040042</v>
      </c>
      <c r="O144" s="223" t="n">
        <f aca="false">IF(N144&gt;0,IF(N144-SUM(K144:M144)&gt;0,N144-SUM(K144:M144),0),0)</f>
        <v>32.9292826040042</v>
      </c>
      <c r="P144" s="223" t="n">
        <f aca="false">O144*D144</f>
        <v>733549.292352301</v>
      </c>
      <c r="Q144" s="164" t="n">
        <f aca="false">IF(A144&lt;=Summary!$J$61,0.5*(P144),$Q$2*(P144))</f>
        <v>0</v>
      </c>
      <c r="R144" s="223" t="n">
        <f aca="false">Summary!$J$58</f>
        <v>0.5</v>
      </c>
      <c r="S144" s="223" t="n">
        <f aca="false">J144+(K144+L144+R144)</f>
        <v>37.4545316291263</v>
      </c>
      <c r="T144" s="224" t="n">
        <f aca="false">IF(D144*(C144-S144)-Q144&gt;0,D144*(C144-S144)-Q144,0)</f>
        <v>761394.922227301</v>
      </c>
      <c r="U144" s="225" t="n">
        <f aca="false">Summary!$J$59</f>
        <v>0.121048781448</v>
      </c>
      <c r="V144" s="224" t="n">
        <f aca="false">IF(A144&lt;=Summary!$J$61,(0.2*T144)+(R144*D144),(U144*T144)+(R144*D144))</f>
        <v>103304.17948631</v>
      </c>
      <c r="W144" s="226" t="n">
        <f aca="false">C144*D144</f>
        <v>1595750.94213621</v>
      </c>
    </row>
    <row r="145" customFormat="false" ht="12.75" hidden="false" customHeight="false" outlineLevel="0" collapsed="false">
      <c r="A145" s="220" t="n">
        <v>40787</v>
      </c>
      <c r="B145" s="221" t="n">
        <f aca="false">YEAR(A145)</f>
        <v>2011</v>
      </c>
      <c r="C145" s="164" t="n">
        <f aca="false">CALC!HH157</f>
        <v>59.2194321104249</v>
      </c>
      <c r="D145" s="222" t="n">
        <f aca="false">IF(Summary!$O$109=0,CALC!HE157,0)</f>
        <v>21557.907</v>
      </c>
      <c r="E145" s="222" t="n">
        <f aca="false">SUM(CALC!GU157:HB157)*CALC!CY157/1000</f>
        <v>71652.8765802996</v>
      </c>
      <c r="F145" s="223" t="n">
        <f aca="false">Summary!$J$54</f>
        <v>0.15</v>
      </c>
      <c r="G145" s="164" t="n">
        <f aca="false">VLOOKUP(A145,CURVES!AW146:$BS$283,16)</f>
        <v>3.4170395733397</v>
      </c>
      <c r="H145" s="223" t="n">
        <f aca="false">Summary!$J$60</f>
        <v>0.04</v>
      </c>
      <c r="I145" s="165" t="n">
        <f aca="false">Summary!$J$55</f>
        <v>8.5</v>
      </c>
      <c r="J145" s="164" t="n">
        <f aca="false">I145*SUM(F145:H145)</f>
        <v>30.6598363733874</v>
      </c>
      <c r="K145" s="223" t="n">
        <f aca="false">Summary!$J$56</f>
        <v>3.75</v>
      </c>
      <c r="L145" s="0" t="n">
        <f aca="false">Summary!$O$23</f>
        <v>3.75</v>
      </c>
      <c r="M145" s="223" t="n">
        <f aca="false">Summary!$J$57</f>
        <v>1.75</v>
      </c>
      <c r="N145" s="164" t="n">
        <f aca="false">IF(C145&gt;0,C145-J145,0)</f>
        <v>28.5595957370374</v>
      </c>
      <c r="O145" s="223" t="n">
        <f aca="false">IF(N145&gt;0,IF(N145-SUM(K145:M145)&gt;0,N145-SUM(K145:M145),0),0)</f>
        <v>19.3095957370374</v>
      </c>
      <c r="P145" s="223" t="n">
        <f aca="false">O145*D145</f>
        <v>416274.469106649</v>
      </c>
      <c r="Q145" s="164" t="n">
        <f aca="false">IF(A145&lt;=Summary!$J$61,0.5*(P145),$Q$2*(P145))</f>
        <v>0</v>
      </c>
      <c r="R145" s="223" t="n">
        <f aca="false">Summary!$J$58</f>
        <v>0.5</v>
      </c>
      <c r="S145" s="223" t="n">
        <f aca="false">J145+(K145+L145+R145)</f>
        <v>38.6598363733874</v>
      </c>
      <c r="T145" s="224" t="n">
        <f aca="false">IF(D145*(C145-S145)-Q145&gt;0,D145*(C145-S145)-Q145,0)</f>
        <v>443221.852856649</v>
      </c>
      <c r="U145" s="225" t="n">
        <f aca="false">Summary!$J$59</f>
        <v>0.121048781448</v>
      </c>
      <c r="V145" s="224" t="n">
        <f aca="false">IF(A145&lt;=Summary!$J$61,(0.2*T145)+(R145*D145),(U145*T145)+(R145*D145))</f>
        <v>64430.4186994222</v>
      </c>
      <c r="W145" s="226" t="n">
        <f aca="false">C145*D145</f>
        <v>1276647.01002935</v>
      </c>
    </row>
    <row r="146" customFormat="false" ht="12.75" hidden="false" customHeight="false" outlineLevel="0" collapsed="false">
      <c r="A146" s="220" t="n">
        <v>40817</v>
      </c>
      <c r="B146" s="221" t="n">
        <f aca="false">YEAR(A146)</f>
        <v>2011</v>
      </c>
      <c r="C146" s="164" t="n">
        <f aca="false">CALC!HH158</f>
        <v>48.2802504293234</v>
      </c>
      <c r="D146" s="222" t="n">
        <f aca="false">IF(Summary!$O$109=0,CALC!HE158,0)</f>
        <v>20950.521525</v>
      </c>
      <c r="E146" s="222" t="n">
        <f aca="false">SUM(CALC!GU158:HB158)*CALC!CY158/1000</f>
        <v>94633.1109463444</v>
      </c>
      <c r="F146" s="223" t="n">
        <f aca="false">Summary!$J$54</f>
        <v>0.15</v>
      </c>
      <c r="G146" s="164" t="n">
        <f aca="false">VLOOKUP(A146,CURVES!AW147:$BS$283,16)</f>
        <v>3.56889081916992</v>
      </c>
      <c r="H146" s="223" t="n">
        <f aca="false">Summary!$J$60</f>
        <v>0.04</v>
      </c>
      <c r="I146" s="165" t="n">
        <f aca="false">Summary!$J$55</f>
        <v>8.5</v>
      </c>
      <c r="J146" s="164" t="n">
        <f aca="false">I146*SUM(F146:H146)</f>
        <v>31.9505719629443</v>
      </c>
      <c r="K146" s="223" t="n">
        <f aca="false">Summary!$J$56</f>
        <v>3.75</v>
      </c>
      <c r="L146" s="0" t="n">
        <f aca="false">Summary!$O$23</f>
        <v>3.75</v>
      </c>
      <c r="M146" s="223" t="n">
        <f aca="false">Summary!$J$57</f>
        <v>1.75</v>
      </c>
      <c r="N146" s="164" t="n">
        <f aca="false">IF(C146&gt;0,C146-J146,0)</f>
        <v>16.3296784663791</v>
      </c>
      <c r="O146" s="223" t="n">
        <f aca="false">IF(N146&gt;0,IF(N146-SUM(K146:M146)&gt;0,N146-SUM(K146:M146),0),0)</f>
        <v>7.0796784663791</v>
      </c>
      <c r="P146" s="223" t="n">
        <f aca="false">O146*D146</f>
        <v>148322.956099954</v>
      </c>
      <c r="Q146" s="164" t="n">
        <f aca="false">IF(A146&lt;=Summary!$J$61,0.5*(P146),$Q$2*(P146))</f>
        <v>0</v>
      </c>
      <c r="R146" s="223" t="n">
        <f aca="false">Summary!$J$58</f>
        <v>0.5</v>
      </c>
      <c r="S146" s="223" t="n">
        <f aca="false">J146+(K146+L146+R146)</f>
        <v>39.9505719629443</v>
      </c>
      <c r="T146" s="224" t="n">
        <f aca="false">IF(D146*(C146-S146)-Q146&gt;0,D146*(C146-S146)-Q146,0)</f>
        <v>174511.108006204</v>
      </c>
      <c r="U146" s="225" t="n">
        <f aca="false">Summary!$J$59</f>
        <v>0.121048781448</v>
      </c>
      <c r="V146" s="224" t="n">
        <f aca="false">IF(A146&lt;=Summary!$J$61,(0.2*T146)+(R146*D146),(U146*T146)+(R146*D146))</f>
        <v>31599.6177357914</v>
      </c>
      <c r="W146" s="226" t="n">
        <f aca="false">C146*D146</f>
        <v>1011496.42585193</v>
      </c>
    </row>
    <row r="147" customFormat="false" ht="12.75" hidden="false" customHeight="false" outlineLevel="0" collapsed="false">
      <c r="A147" s="220" t="n">
        <v>40848</v>
      </c>
      <c r="B147" s="221" t="n">
        <f aca="false">YEAR(A147)</f>
        <v>2011</v>
      </c>
      <c r="C147" s="164" t="n">
        <f aca="false">CALC!HH159</f>
        <v>48.4886305209419</v>
      </c>
      <c r="D147" s="222" t="n">
        <f aca="false">IF(Summary!$O$109=0,CALC!HE159,0)</f>
        <v>20274.69825</v>
      </c>
      <c r="E147" s="222" t="n">
        <f aca="false">SUM(CALC!GU159:HB159)*CALC!CY159/1000</f>
        <v>91604.40648799</v>
      </c>
      <c r="F147" s="223" t="n">
        <f aca="false">Summary!$J$54</f>
        <v>0.15</v>
      </c>
      <c r="G147" s="164" t="n">
        <f aca="false">VLOOKUP(A147,CURVES!AW148:$BS$283,16)</f>
        <v>3.71863133813216</v>
      </c>
      <c r="H147" s="223" t="n">
        <f aca="false">Summary!$J$60</f>
        <v>0.04</v>
      </c>
      <c r="I147" s="165" t="n">
        <f aca="false">Summary!$J$55</f>
        <v>8.5</v>
      </c>
      <c r="J147" s="164" t="n">
        <f aca="false">I147*SUM(F147:H147)</f>
        <v>33.2233663741234</v>
      </c>
      <c r="K147" s="223" t="n">
        <f aca="false">Summary!$J$56</f>
        <v>3.75</v>
      </c>
      <c r="L147" s="0" t="n">
        <f aca="false">Summary!$O$23</f>
        <v>3.75</v>
      </c>
      <c r="M147" s="223" t="n">
        <f aca="false">Summary!$J$57</f>
        <v>1.75</v>
      </c>
      <c r="N147" s="164" t="n">
        <f aca="false">IF(C147&gt;0,C147-J147,0)</f>
        <v>15.2652641468186</v>
      </c>
      <c r="O147" s="223" t="n">
        <f aca="false">IF(N147&gt;0,IF(N147-SUM(K147:M147)&gt;0,N147-SUM(K147:M147),0),0)</f>
        <v>6.01526414681855</v>
      </c>
      <c r="P147" s="223" t="n">
        <f aca="false">O147*D147</f>
        <v>121957.66547079</v>
      </c>
      <c r="Q147" s="164" t="n">
        <f aca="false">IF(A147&lt;=Summary!$J$61,0.5*(P147),$Q$2*(P147))</f>
        <v>0</v>
      </c>
      <c r="R147" s="223" t="n">
        <f aca="false">Summary!$J$58</f>
        <v>0.5</v>
      </c>
      <c r="S147" s="223" t="n">
        <f aca="false">J147+(K147+L147+R147)</f>
        <v>41.2233663741234</v>
      </c>
      <c r="T147" s="224" t="n">
        <f aca="false">IF(D147*(C147-S147)-Q147&gt;0,D147*(C147-S147)-Q147,0)</f>
        <v>147301.03828329</v>
      </c>
      <c r="U147" s="225" t="n">
        <f aca="false">Summary!$J$59</f>
        <v>0.121048781448</v>
      </c>
      <c r="V147" s="224" t="n">
        <f aca="false">IF(A147&lt;=Summary!$J$61,(0.2*T147)+(R147*D147),(U147*T147)+(R147*D147))</f>
        <v>27967.9603152174</v>
      </c>
      <c r="W147" s="226" t="n">
        <f aca="false">C147*D147</f>
        <v>983092.352367838</v>
      </c>
    </row>
    <row r="148" customFormat="false" ht="12.75" hidden="false" customHeight="false" outlineLevel="0" collapsed="false">
      <c r="A148" s="220" t="n">
        <v>40878</v>
      </c>
      <c r="B148" s="221" t="n">
        <f aca="false">YEAR(A148)</f>
        <v>2011</v>
      </c>
      <c r="C148" s="164" t="n">
        <f aca="false">CALC!HH160</f>
        <v>48.019398050337</v>
      </c>
      <c r="D148" s="222" t="n">
        <f aca="false">IF(Summary!$O$109=0,CALC!HE160,0)</f>
        <v>20950.521525</v>
      </c>
      <c r="E148" s="222" t="n">
        <f aca="false">SUM(CALC!GU160:HB160)*CALC!CY160/1000</f>
        <v>94147.8800649768</v>
      </c>
      <c r="F148" s="223" t="n">
        <f aca="false">Summary!$J$54</f>
        <v>0.15</v>
      </c>
      <c r="G148" s="164" t="n">
        <f aca="false">VLOOKUP(A148,CURVES!AW149:$BS$283,16)</f>
        <v>3.87680369874494</v>
      </c>
      <c r="H148" s="223" t="n">
        <f aca="false">Summary!$J$60</f>
        <v>0.04</v>
      </c>
      <c r="I148" s="165" t="n">
        <f aca="false">Summary!$J$55</f>
        <v>8.5</v>
      </c>
      <c r="J148" s="164" t="n">
        <f aca="false">I148*SUM(F148:H148)</f>
        <v>34.567831439332</v>
      </c>
      <c r="K148" s="223" t="n">
        <f aca="false">Summary!$J$56</f>
        <v>3.75</v>
      </c>
      <c r="L148" s="0" t="n">
        <f aca="false">Summary!$O$23</f>
        <v>3.75</v>
      </c>
      <c r="M148" s="223" t="n">
        <f aca="false">Summary!$J$57</f>
        <v>1.75</v>
      </c>
      <c r="N148" s="164" t="n">
        <f aca="false">IF(C148&gt;0,C148-J148,0)</f>
        <v>13.4515666110051</v>
      </c>
      <c r="O148" s="223" t="n">
        <f aca="false">IF(N148&gt;0,IF(N148-SUM(K148:M148)&gt;0,N148-SUM(K148:M148),0),0)</f>
        <v>4.20156661100506</v>
      </c>
      <c r="P148" s="223" t="n">
        <f aca="false">O148*D148</f>
        <v>88025.0117225827</v>
      </c>
      <c r="Q148" s="164" t="n">
        <f aca="false">IF(A148&lt;=Summary!$J$61,0.5*(P148),$Q$2*(P148))</f>
        <v>0</v>
      </c>
      <c r="R148" s="223" t="n">
        <f aca="false">Summary!$J$58</f>
        <v>0.5</v>
      </c>
      <c r="S148" s="223" t="n">
        <f aca="false">J148+(K148+L148+R148)</f>
        <v>42.567831439332</v>
      </c>
      <c r="T148" s="224" t="n">
        <f aca="false">IF(D148*(C148-S148)-Q148&gt;0,D148*(C148-S148)-Q148,0)</f>
        <v>114213.163628833</v>
      </c>
      <c r="U148" s="225" t="n">
        <f aca="false">Summary!$J$59</f>
        <v>0.121048781448</v>
      </c>
      <c r="V148" s="224" t="n">
        <f aca="false">IF(A148&lt;=Summary!$J$61,(0.2*T148)+(R148*D148),(U148*T148)+(R148*D148))</f>
        <v>24300.6250450912</v>
      </c>
      <c r="W148" s="226" t="n">
        <f aca="false">C148*D148</f>
        <v>1006031.43247113</v>
      </c>
    </row>
    <row r="149" customFormat="false" ht="12.75" hidden="false" customHeight="false" outlineLevel="0" collapsed="false">
      <c r="A149" s="220" t="n">
        <v>40909</v>
      </c>
      <c r="B149" s="221" t="n">
        <f aca="false">YEAR(A149)</f>
        <v>2012</v>
      </c>
      <c r="C149" s="164" t="n">
        <f aca="false">CALC!HH161</f>
        <v>47.5321951778929</v>
      </c>
      <c r="D149" s="222" t="n">
        <f aca="false">IF(Summary!$O$109=0,CALC!HE161,0)</f>
        <v>20950.521525</v>
      </c>
      <c r="E149" s="222" t="n">
        <f aca="false">SUM(CALC!GU161:HB161)*CALC!CY161/1000</f>
        <v>94163.7739474108</v>
      </c>
      <c r="F149" s="223" t="n">
        <f aca="false">Summary!$J$54</f>
        <v>0.15</v>
      </c>
      <c r="G149" s="164" t="n">
        <f aca="false">VLOOKUP(A149,CURVES!AW150:$BS$283,16)</f>
        <v>3.69328518608478</v>
      </c>
      <c r="H149" s="223" t="n">
        <f aca="false">Summary!$J$60</f>
        <v>0.04</v>
      </c>
      <c r="I149" s="165" t="n">
        <f aca="false">Summary!$J$55</f>
        <v>8.5</v>
      </c>
      <c r="J149" s="164" t="n">
        <f aca="false">I149*SUM(F149:H149)</f>
        <v>33.0079240817206</v>
      </c>
      <c r="K149" s="223" t="n">
        <f aca="false">Summary!$J$56</f>
        <v>3.75</v>
      </c>
      <c r="L149" s="0" t="n">
        <f aca="false">Summary!$O$23</f>
        <v>3.75</v>
      </c>
      <c r="M149" s="223" t="n">
        <f aca="false">Summary!$J$57</f>
        <v>1.75</v>
      </c>
      <c r="N149" s="164" t="n">
        <f aca="false">IF(C149&gt;0,C149-J149,0)</f>
        <v>14.5242710961723</v>
      </c>
      <c r="O149" s="223" t="n">
        <f aca="false">IF(N149&gt;0,IF(N149-SUM(K149:M149)&gt;0,N149-SUM(K149:M149),0),0)</f>
        <v>5.27427109617226</v>
      </c>
      <c r="P149" s="223" t="n">
        <f aca="false">O149*D149</f>
        <v>110498.730129042</v>
      </c>
      <c r="Q149" s="164" t="n">
        <f aca="false">IF(A149&lt;=Summary!$J$61,0.5*(P149),$Q$2*(P149))</f>
        <v>0</v>
      </c>
      <c r="R149" s="223" t="n">
        <f aca="false">Summary!$J$58</f>
        <v>0.5</v>
      </c>
      <c r="S149" s="223" t="n">
        <f aca="false">J149+(K149+L149+R149)</f>
        <v>41.0079240817206</v>
      </c>
      <c r="T149" s="224" t="n">
        <f aca="false">IF(D149*(C149-S149)-Q149&gt;0,D149*(C149-S149)-Q149,0)</f>
        <v>136686.882035292</v>
      </c>
      <c r="U149" s="225" t="n">
        <f aca="false">Summary!$J$59</f>
        <v>0.121048781448</v>
      </c>
      <c r="V149" s="224" t="n">
        <f aca="false">IF(A149&lt;=Summary!$J$61,(0.2*T149)+(R149*D149),(U149*T149)+(R149*D149))</f>
        <v>27021.0412727987</v>
      </c>
      <c r="W149" s="226" t="n">
        <f aca="false">C149*D149</f>
        <v>995824.278204946</v>
      </c>
    </row>
    <row r="150" customFormat="false" ht="12.75" hidden="false" customHeight="false" outlineLevel="0" collapsed="false">
      <c r="A150" s="220" t="n">
        <v>40940</v>
      </c>
      <c r="B150" s="221" t="n">
        <f aca="false">YEAR(A150)</f>
        <v>2012</v>
      </c>
      <c r="C150" s="164" t="n">
        <f aca="false">CALC!HH162</f>
        <v>38.8882110845975</v>
      </c>
      <c r="D150" s="222" t="n">
        <f aca="false">IF(Summary!$O$109=0,CALC!HE162,0)</f>
        <v>19598.874975</v>
      </c>
      <c r="E150" s="222" t="n">
        <f aca="false">SUM(CALC!GU162:HB162)*CALC!CY162/1000</f>
        <v>88103.5602279193</v>
      </c>
      <c r="F150" s="223" t="n">
        <f aca="false">Summary!$J$54</f>
        <v>0.15</v>
      </c>
      <c r="G150" s="164" t="n">
        <f aca="false">VLOOKUP(A150,CURVES!AW151:$BS$283,16)</f>
        <v>3.41118184601149</v>
      </c>
      <c r="H150" s="223" t="n">
        <f aca="false">Summary!$J$60</f>
        <v>0.04</v>
      </c>
      <c r="I150" s="165" t="n">
        <f aca="false">Summary!$J$55</f>
        <v>8.5</v>
      </c>
      <c r="J150" s="164" t="n">
        <f aca="false">I150*SUM(F150:H150)</f>
        <v>30.6100456910976</v>
      </c>
      <c r="K150" s="223" t="n">
        <f aca="false">Summary!$J$56</f>
        <v>3.75</v>
      </c>
      <c r="L150" s="0" t="n">
        <f aca="false">Summary!$O$23</f>
        <v>3.75</v>
      </c>
      <c r="M150" s="223" t="n">
        <f aca="false">Summary!$J$57</f>
        <v>1.75</v>
      </c>
      <c r="N150" s="164" t="n">
        <f aca="false">IF(C150&gt;0,C150-J150,0)</f>
        <v>8.27816539349982</v>
      </c>
      <c r="O150" s="223" t="n">
        <f aca="false">IF(N150&gt;0,IF(N150-SUM(K150:M150)&gt;0,N150-SUM(K150:M150),0),0)</f>
        <v>0</v>
      </c>
      <c r="P150" s="223" t="n">
        <f aca="false">O150*D150</f>
        <v>0</v>
      </c>
      <c r="Q150" s="164" t="n">
        <f aca="false">IF(A150&lt;=Summary!$J$61,0.5*(P150),$Q$2*(P150))</f>
        <v>0</v>
      </c>
      <c r="R150" s="223" t="n">
        <f aca="false">Summary!$J$58</f>
        <v>0.5</v>
      </c>
      <c r="S150" s="223" t="n">
        <f aca="false">J150+(K150+L150+R150)</f>
        <v>38.6100456910976</v>
      </c>
      <c r="T150" s="224" t="n">
        <f aca="false">IF(D150*(C150-S150)-Q150&gt;0,D150*(C150-S150)-Q150,0)</f>
        <v>5451.72876957463</v>
      </c>
      <c r="U150" s="225" t="n">
        <f aca="false">Summary!$J$59</f>
        <v>0.121048781448</v>
      </c>
      <c r="V150" s="224" t="n">
        <f aca="false">IF(A150&lt;=Summary!$J$61,(0.2*T150)+(R150*D150),(U150*T150)+(R150*D150))</f>
        <v>10459.362611842</v>
      </c>
      <c r="W150" s="226" t="n">
        <f aca="false">C150*D150</f>
        <v>762165.187048435</v>
      </c>
    </row>
    <row r="151" customFormat="false" ht="12.75" hidden="false" customHeight="false" outlineLevel="0" collapsed="false">
      <c r="A151" s="220" t="n">
        <v>40969</v>
      </c>
      <c r="B151" s="221" t="n">
        <f aca="false">YEAR(A151)</f>
        <v>2012</v>
      </c>
      <c r="C151" s="164" t="n">
        <f aca="false">CALC!HH163</f>
        <v>37.4286602188861</v>
      </c>
      <c r="D151" s="222" t="n">
        <f aca="false">IF(Summary!$O$109=0,CALC!HE163,0)</f>
        <v>20950.521525</v>
      </c>
      <c r="E151" s="222" t="n">
        <f aca="false">SUM(CALC!GU163:HB163)*CALC!CY163/1000</f>
        <v>94195.5617122788</v>
      </c>
      <c r="F151" s="223" t="n">
        <f aca="false">Summary!$J$54</f>
        <v>0.15</v>
      </c>
      <c r="G151" s="164" t="n">
        <f aca="false">VLOOKUP(A151,CURVES!AW152:$BS$283,16)</f>
        <v>3.22823287736708</v>
      </c>
      <c r="H151" s="223" t="n">
        <f aca="false">Summary!$J$60</f>
        <v>0.04</v>
      </c>
      <c r="I151" s="165" t="n">
        <f aca="false">Summary!$J$55</f>
        <v>8.5</v>
      </c>
      <c r="J151" s="164" t="n">
        <f aca="false">I151*SUM(F151:H151)</f>
        <v>29.0549794576202</v>
      </c>
      <c r="K151" s="223" t="n">
        <f aca="false">Summary!$J$56</f>
        <v>3.75</v>
      </c>
      <c r="L151" s="0" t="n">
        <f aca="false">Summary!$O$23</f>
        <v>3.75</v>
      </c>
      <c r="M151" s="223" t="n">
        <f aca="false">Summary!$J$57</f>
        <v>1.75</v>
      </c>
      <c r="N151" s="164" t="n">
        <f aca="false">IF(C151&gt;0,C151-J151,0)</f>
        <v>8.37368076126588</v>
      </c>
      <c r="O151" s="223" t="n">
        <f aca="false">IF(N151&gt;0,IF(N151-SUM(K151:M151)&gt;0,N151-SUM(K151:M151),0),0)</f>
        <v>0</v>
      </c>
      <c r="P151" s="223" t="n">
        <f aca="false">O151*D151</f>
        <v>0</v>
      </c>
      <c r="Q151" s="164" t="n">
        <f aca="false">IF(A151&lt;=Summary!$J$61,0.5*(P151),$Q$2*(P151))</f>
        <v>0</v>
      </c>
      <c r="R151" s="223" t="n">
        <f aca="false">Summary!$J$58</f>
        <v>0.5</v>
      </c>
      <c r="S151" s="223" t="n">
        <f aca="false">J151+(K151+L151+R151)</f>
        <v>37.0549794576202</v>
      </c>
      <c r="T151" s="224" t="n">
        <f aca="false">IF(D151*(C151-S151)-Q151&gt;0,D151*(C151-S151)-Q151,0)</f>
        <v>7828.80683237922</v>
      </c>
      <c r="U151" s="225" t="n">
        <f aca="false">Summary!$J$59</f>
        <v>0.121048781448</v>
      </c>
      <c r="V151" s="224" t="n">
        <f aca="false">IF(A151&lt;=Summary!$J$61,(0.2*T151)+(R151*D151),(U151*T151)+(R151*D151))</f>
        <v>11422.9282897513</v>
      </c>
      <c r="W151" s="226" t="n">
        <f aca="false">C151*D151</f>
        <v>784149.951567683</v>
      </c>
    </row>
    <row r="152" customFormat="false" ht="12.75" hidden="false" customHeight="false" outlineLevel="0" collapsed="false">
      <c r="A152" s="220" t="n">
        <v>41000</v>
      </c>
      <c r="B152" s="221" t="n">
        <f aca="false">YEAR(A152)</f>
        <v>2012</v>
      </c>
      <c r="C152" s="164" t="n">
        <f aca="false">CALC!HH164</f>
        <v>36.9372504296989</v>
      </c>
      <c r="D152" s="222" t="n">
        <f aca="false">IF(Summary!$O$109=0,CALC!HE164,0)</f>
        <v>20274.69825</v>
      </c>
      <c r="E152" s="222" t="n">
        <f aca="false">SUM(CALC!GU164:HB164)*CALC!CY164/1000</f>
        <v>91172.3763819802</v>
      </c>
      <c r="F152" s="223" t="n">
        <f aca="false">Summary!$J$54</f>
        <v>0.15</v>
      </c>
      <c r="G152" s="164" t="n">
        <f aca="false">VLOOKUP(A152,CURVES!AW153:$BS$283,16)</f>
        <v>3.13138358649983</v>
      </c>
      <c r="H152" s="223" t="n">
        <f aca="false">Summary!$J$60</f>
        <v>0.04</v>
      </c>
      <c r="I152" s="165" t="n">
        <f aca="false">Summary!$J$55</f>
        <v>8.5</v>
      </c>
      <c r="J152" s="164" t="n">
        <f aca="false">I152*SUM(F152:H152)</f>
        <v>28.2317604852485</v>
      </c>
      <c r="K152" s="223" t="n">
        <f aca="false">Summary!$J$56</f>
        <v>3.75</v>
      </c>
      <c r="L152" s="0" t="n">
        <f aca="false">Summary!$O$23</f>
        <v>3.75</v>
      </c>
      <c r="M152" s="223" t="n">
        <f aca="false">Summary!$J$57</f>
        <v>1.75</v>
      </c>
      <c r="N152" s="164" t="n">
        <f aca="false">IF(C152&gt;0,C152-J152,0)</f>
        <v>8.7054899444503</v>
      </c>
      <c r="O152" s="223" t="n">
        <f aca="false">IF(N152&gt;0,IF(N152-SUM(K152:M152)&gt;0,N152-SUM(K152:M152),0),0)</f>
        <v>0</v>
      </c>
      <c r="P152" s="223" t="n">
        <f aca="false">O152*D152</f>
        <v>0</v>
      </c>
      <c r="Q152" s="164" t="n">
        <f aca="false">IF(A152&lt;=Summary!$J$61,0.5*(P152),$Q$2*(P152))</f>
        <v>0</v>
      </c>
      <c r="R152" s="223" t="n">
        <f aca="false">Summary!$J$58</f>
        <v>0.5</v>
      </c>
      <c r="S152" s="223" t="n">
        <f aca="false">J152+(K152+L152+R152)</f>
        <v>36.2317604852485</v>
      </c>
      <c r="T152" s="224" t="n">
        <f aca="false">IF(D152*(C152-S152)-Q152&gt;0,D152*(C152-S152)-Q152,0)</f>
        <v>14303.5957421392</v>
      </c>
      <c r="U152" s="225" t="n">
        <f aca="false">Summary!$J$59</f>
        <v>0.121048781448</v>
      </c>
      <c r="V152" s="224" t="n">
        <f aca="false">IF(A152&lt;=Summary!$J$61,(0.2*T152)+(R152*D152),(U152*T152)+(R152*D152))</f>
        <v>11868.7819599108</v>
      </c>
      <c r="W152" s="226" t="n">
        <f aca="false">C152*D152</f>
        <v>748891.606646827</v>
      </c>
    </row>
    <row r="153" customFormat="false" ht="12.75" hidden="false" customHeight="false" outlineLevel="0" collapsed="false">
      <c r="A153" s="220" t="n">
        <v>41030</v>
      </c>
      <c r="B153" s="221" t="n">
        <f aca="false">YEAR(A153)</f>
        <v>2012</v>
      </c>
      <c r="C153" s="164" t="n">
        <f aca="false">CALC!HH165</f>
        <v>39.6887228000925</v>
      </c>
      <c r="D153" s="222" t="n">
        <f aca="false">IF(Summary!$O$109=0,CALC!HE165,0)</f>
        <v>22276.5039</v>
      </c>
      <c r="E153" s="222" t="n">
        <f aca="false">SUM(CALC!GU165:HB165)*CALC!CY165/1000</f>
        <v>73743.1430690715</v>
      </c>
      <c r="F153" s="223" t="n">
        <f aca="false">Summary!$J$54</f>
        <v>0.15</v>
      </c>
      <c r="G153" s="164" t="n">
        <f aca="false">VLOOKUP(A153,CURVES!AW154:$BS$283,16)</f>
        <v>3.10776766013462</v>
      </c>
      <c r="H153" s="223" t="n">
        <f aca="false">Summary!$J$60</f>
        <v>0.04</v>
      </c>
      <c r="I153" s="165" t="n">
        <f aca="false">Summary!$J$55</f>
        <v>8.5</v>
      </c>
      <c r="J153" s="164" t="n">
        <f aca="false">I153*SUM(F153:H153)</f>
        <v>28.0310251111443</v>
      </c>
      <c r="K153" s="223" t="n">
        <f aca="false">Summary!$J$56</f>
        <v>3.75</v>
      </c>
      <c r="L153" s="0" t="n">
        <f aca="false">Summary!$O$23</f>
        <v>3.75</v>
      </c>
      <c r="M153" s="223" t="n">
        <f aca="false">Summary!$J$57</f>
        <v>1.75</v>
      </c>
      <c r="N153" s="164" t="n">
        <f aca="false">IF(C153&gt;0,C153-J153,0)</f>
        <v>11.6576976889482</v>
      </c>
      <c r="O153" s="223" t="n">
        <f aca="false">IF(N153&gt;0,IF(N153-SUM(K153:M153)&gt;0,N153-SUM(K153:M153),0),0)</f>
        <v>2.40769768894823</v>
      </c>
      <c r="P153" s="223" t="n">
        <f aca="false">O153*D153</f>
        <v>53635.0869578762</v>
      </c>
      <c r="Q153" s="164" t="n">
        <f aca="false">IF(A153&lt;=Summary!$J$61,0.5*(P153),$Q$2*(P153))</f>
        <v>0</v>
      </c>
      <c r="R153" s="223" t="n">
        <f aca="false">Summary!$J$58</f>
        <v>0.5</v>
      </c>
      <c r="S153" s="223" t="n">
        <f aca="false">J153+(K153+L153+R153)</f>
        <v>36.0310251111443</v>
      </c>
      <c r="T153" s="224" t="n">
        <f aca="false">IF(D153*(C153-S153)-Q153&gt;0,D153*(C153-S153)-Q153,0)</f>
        <v>81480.7168328761</v>
      </c>
      <c r="U153" s="225" t="n">
        <f aca="false">Summary!$J$59</f>
        <v>0.121048781448</v>
      </c>
      <c r="V153" s="224" t="n">
        <f aca="false">IF(A153&lt;=Summary!$J$61,(0.2*T153)+(R153*D153),(U153*T153)+(R153*D153))</f>
        <v>21001.3934341292</v>
      </c>
      <c r="W153" s="226" t="n">
        <f aca="false">C153*D153</f>
        <v>884125.98824228</v>
      </c>
    </row>
    <row r="154" customFormat="false" ht="12.75" hidden="false" customHeight="false" outlineLevel="0" collapsed="false">
      <c r="A154" s="220" t="n">
        <v>41061</v>
      </c>
      <c r="B154" s="221" t="n">
        <f aca="false">YEAR(A154)</f>
        <v>2012</v>
      </c>
      <c r="C154" s="164" t="n">
        <f aca="false">CALC!HH166</f>
        <v>39.8529516656567</v>
      </c>
      <c r="D154" s="222" t="n">
        <f aca="false">IF(Summary!$O$109=0,CALC!HE166,0)</f>
        <v>21557.907</v>
      </c>
      <c r="E154" s="222" t="n">
        <f aca="false">SUM(CALC!GU166:HB166)*CALC!CY166/1000</f>
        <v>71376.3694448439</v>
      </c>
      <c r="F154" s="223" t="n">
        <f aca="false">Summary!$J$54</f>
        <v>0.15</v>
      </c>
      <c r="G154" s="164" t="n">
        <f aca="false">VLOOKUP(A154,CURVES!AW155:$BS$283,16)</f>
        <v>3.14530769929354</v>
      </c>
      <c r="H154" s="223" t="n">
        <f aca="false">Summary!$J$60</f>
        <v>0.04</v>
      </c>
      <c r="I154" s="165" t="n">
        <f aca="false">Summary!$J$55</f>
        <v>8.5</v>
      </c>
      <c r="J154" s="164" t="n">
        <f aca="false">I154*SUM(F154:H154)</f>
        <v>28.3501154439951</v>
      </c>
      <c r="K154" s="223" t="n">
        <f aca="false">Summary!$J$56</f>
        <v>3.75</v>
      </c>
      <c r="L154" s="0" t="n">
        <f aca="false">Summary!$O$23</f>
        <v>3.75</v>
      </c>
      <c r="M154" s="223" t="n">
        <f aca="false">Summary!$J$57</f>
        <v>1.75</v>
      </c>
      <c r="N154" s="164" t="n">
        <f aca="false">IF(C154&gt;0,C154-J154,0)</f>
        <v>11.5028362216616</v>
      </c>
      <c r="O154" s="223" t="n">
        <f aca="false">IF(N154&gt;0,IF(N154-SUM(K154:M154)&gt;0,N154-SUM(K154:M154),0),0)</f>
        <v>2.25283622166159</v>
      </c>
      <c r="P154" s="223" t="n">
        <f aca="false">O154*D154</f>
        <v>48566.4337528118</v>
      </c>
      <c r="Q154" s="164" t="n">
        <f aca="false">IF(A154&lt;=Summary!$J$61,0.5*(P154),$Q$2*(P154))</f>
        <v>0</v>
      </c>
      <c r="R154" s="223" t="n">
        <f aca="false">Summary!$J$58</f>
        <v>0.5</v>
      </c>
      <c r="S154" s="223" t="n">
        <f aca="false">J154+(K154+L154+R154)</f>
        <v>36.3501154439951</v>
      </c>
      <c r="T154" s="224" t="n">
        <f aca="false">IF(D154*(C154-S154)-Q154&gt;0,D154*(C154-S154)-Q154,0)</f>
        <v>75513.8175028119</v>
      </c>
      <c r="U154" s="225" t="n">
        <f aca="false">Summary!$J$59</f>
        <v>0.121048781448</v>
      </c>
      <c r="V154" s="224" t="n">
        <f aca="false">IF(A154&lt;=Summary!$J$61,(0.2*T154)+(R154*D154),(U154*T154)+(R154*D154))</f>
        <v>19919.809091202</v>
      </c>
      <c r="W154" s="226" t="n">
        <f aca="false">C154*D154</f>
        <v>859146.225683722</v>
      </c>
    </row>
    <row r="155" customFormat="false" ht="12.75" hidden="false" customHeight="false" outlineLevel="0" collapsed="false">
      <c r="A155" s="220" t="n">
        <v>41091</v>
      </c>
      <c r="B155" s="221" t="n">
        <f aca="false">YEAR(A155)</f>
        <v>2012</v>
      </c>
      <c r="C155" s="164" t="n">
        <f aca="false">CALC!HH167</f>
        <v>54.180077455685</v>
      </c>
      <c r="D155" s="222" t="n">
        <f aca="false">IF(Summary!$O$109=0,CALC!HE167,0)</f>
        <v>22276.5039</v>
      </c>
      <c r="E155" s="222" t="n">
        <f aca="false">SUM(CALC!GU167:HB167)*CALC!CY167/1000</f>
        <v>73768.0204502725</v>
      </c>
      <c r="F155" s="223" t="n">
        <f aca="false">Summary!$J$54</f>
        <v>0.15</v>
      </c>
      <c r="G155" s="164" t="n">
        <f aca="false">VLOOKUP(A155,CURVES!AW156:$BS$283,16)</f>
        <v>3.23116230252616</v>
      </c>
      <c r="H155" s="223" t="n">
        <f aca="false">Summary!$J$60</f>
        <v>0.04</v>
      </c>
      <c r="I155" s="165" t="n">
        <f aca="false">Summary!$J$55</f>
        <v>8.5</v>
      </c>
      <c r="J155" s="164" t="n">
        <f aca="false">I155*SUM(F155:H155)</f>
        <v>29.0798795714723</v>
      </c>
      <c r="K155" s="223" t="n">
        <f aca="false">Summary!$J$56</f>
        <v>3.75</v>
      </c>
      <c r="L155" s="0" t="n">
        <f aca="false">Summary!$O$23</f>
        <v>3.75</v>
      </c>
      <c r="M155" s="223" t="n">
        <f aca="false">Summary!$J$57</f>
        <v>1.75</v>
      </c>
      <c r="N155" s="164" t="n">
        <f aca="false">IF(C155&gt;0,C155-J155,0)</f>
        <v>25.1001978842127</v>
      </c>
      <c r="O155" s="223" t="n">
        <f aca="false">IF(N155&gt;0,IF(N155-SUM(K155:M155)&gt;0,N155-SUM(K155:M155),0),0)</f>
        <v>15.8501978842127</v>
      </c>
      <c r="P155" s="223" t="n">
        <f aca="false">O155*D155</f>
        <v>353086.994983436</v>
      </c>
      <c r="Q155" s="164" t="n">
        <f aca="false">IF(A155&lt;=Summary!$J$61,0.5*(P155),$Q$2*(P155))</f>
        <v>0</v>
      </c>
      <c r="R155" s="223" t="n">
        <f aca="false">Summary!$J$58</f>
        <v>0.5</v>
      </c>
      <c r="S155" s="223" t="n">
        <f aca="false">J155+(K155+L155+R155)</f>
        <v>37.0798795714724</v>
      </c>
      <c r="T155" s="224" t="n">
        <f aca="false">IF(D155*(C155-S155)-Q155&gt;0,D155*(C155-S155)-Q155,0)</f>
        <v>380932.624858436</v>
      </c>
      <c r="U155" s="225" t="n">
        <f aca="false">Summary!$J$59</f>
        <v>0.121048781448</v>
      </c>
      <c r="V155" s="224" t="n">
        <f aca="false">IF(A155&lt;=Summary!$J$61,(0.2*T155)+(R155*D155),(U155*T155)+(R155*D155))</f>
        <v>57249.6820029017</v>
      </c>
      <c r="W155" s="226" t="n">
        <f aca="false">C155*D155</f>
        <v>1206942.70674387</v>
      </c>
    </row>
    <row r="156" customFormat="false" ht="12.75" hidden="false" customHeight="false" outlineLevel="0" collapsed="false">
      <c r="A156" s="220" t="n">
        <v>41122</v>
      </c>
      <c r="B156" s="221" t="n">
        <f aca="false">YEAR(A156)</f>
        <v>2012</v>
      </c>
      <c r="C156" s="164" t="n">
        <f aca="false">CALC!HH168</f>
        <v>68.238225317523</v>
      </c>
      <c r="D156" s="222" t="n">
        <f aca="false">IF(Summary!$O$109=0,CALC!HE168,0)</f>
        <v>22276.5039</v>
      </c>
      <c r="E156" s="222" t="n">
        <f aca="false">SUM(CALC!GU168:HB168)*CALC!CY168/1000</f>
        <v>73780.459140873</v>
      </c>
      <c r="F156" s="223" t="n">
        <f aca="false">Summary!$J$54</f>
        <v>0.15</v>
      </c>
      <c r="G156" s="164" t="n">
        <f aca="false">VLOOKUP(A156,CURVES!AW157:$BS$283,16)</f>
        <v>3.35309367012082</v>
      </c>
      <c r="H156" s="223" t="n">
        <f aca="false">Summary!$J$60</f>
        <v>0.04</v>
      </c>
      <c r="I156" s="165" t="n">
        <f aca="false">Summary!$J$55</f>
        <v>8.5</v>
      </c>
      <c r="J156" s="164" t="n">
        <f aca="false">I156*SUM(F156:H156)</f>
        <v>30.1162961960269</v>
      </c>
      <c r="K156" s="223" t="n">
        <f aca="false">Summary!$J$56</f>
        <v>3.75</v>
      </c>
      <c r="L156" s="0" t="n">
        <f aca="false">Summary!$O$23</f>
        <v>3.75</v>
      </c>
      <c r="M156" s="223" t="n">
        <f aca="false">Summary!$J$57</f>
        <v>1.75</v>
      </c>
      <c r="N156" s="164" t="n">
        <f aca="false">IF(C156&gt;0,C156-J156,0)</f>
        <v>38.1219291214961</v>
      </c>
      <c r="O156" s="223" t="n">
        <f aca="false">IF(N156&gt;0,IF(N156-SUM(K156:M156)&gt;0,N156-SUM(K156:M156),0),0)</f>
        <v>28.8719291214961</v>
      </c>
      <c r="P156" s="223" t="n">
        <f aca="false">O156*D156</f>
        <v>643165.641675531</v>
      </c>
      <c r="Q156" s="164" t="n">
        <f aca="false">IF(A156&lt;=Summary!$J$61,0.5*(P156),$Q$2*(P156))</f>
        <v>0</v>
      </c>
      <c r="R156" s="223" t="n">
        <f aca="false">Summary!$J$58</f>
        <v>0.5</v>
      </c>
      <c r="S156" s="223" t="n">
        <f aca="false">J156+(K156+L156+R156)</f>
        <v>38.116296196027</v>
      </c>
      <c r="T156" s="224" t="n">
        <f aca="false">IF(D156*(C156-S156)-Q156&gt;0,D156*(C156-S156)-Q156,0)</f>
        <v>671011.271550531</v>
      </c>
      <c r="U156" s="225" t="n">
        <f aca="false">Summary!$J$59</f>
        <v>0.121048781448</v>
      </c>
      <c r="V156" s="224" t="n">
        <f aca="false">IF(A156&lt;=Summary!$J$61,(0.2*T156)+(R156*D156),(U156*T156)+(R156*D156))</f>
        <v>92363.3487090648</v>
      </c>
      <c r="W156" s="226" t="n">
        <f aca="false">C156*D156</f>
        <v>1520109.09241488</v>
      </c>
    </row>
    <row r="157" customFormat="false" ht="12.75" hidden="false" customHeight="false" outlineLevel="0" collapsed="false">
      <c r="A157" s="220" t="n">
        <v>41153</v>
      </c>
      <c r="B157" s="221" t="n">
        <f aca="false">YEAR(A157)</f>
        <v>2012</v>
      </c>
      <c r="C157" s="164" t="n">
        <f aca="false">CALC!HH169</f>
        <v>60.6581697322607</v>
      </c>
      <c r="D157" s="222" t="n">
        <f aca="false">IF(Summary!$O$109=0,CALC!HE169,0)</f>
        <v>21557.907</v>
      </c>
      <c r="E157" s="222" t="n">
        <f aca="false">SUM(CALC!GU169:HB169)*CALC!CY169/1000</f>
        <v>71412.4817723937</v>
      </c>
      <c r="F157" s="223" t="n">
        <f aca="false">Summary!$J$54</f>
        <v>0.15</v>
      </c>
      <c r="G157" s="164" t="n">
        <f aca="false">VLOOKUP(A157,CURVES!AW158:$BS$283,16)</f>
        <v>3.49826492380385</v>
      </c>
      <c r="H157" s="223" t="n">
        <f aca="false">Summary!$J$60</f>
        <v>0.04</v>
      </c>
      <c r="I157" s="165" t="n">
        <f aca="false">Summary!$J$55</f>
        <v>8.5</v>
      </c>
      <c r="J157" s="164" t="n">
        <f aca="false">I157*SUM(F157:H157)</f>
        <v>31.3502518523327</v>
      </c>
      <c r="K157" s="223" t="n">
        <f aca="false">Summary!$J$56</f>
        <v>3.75</v>
      </c>
      <c r="L157" s="0" t="n">
        <f aca="false">Summary!$O$23</f>
        <v>3.75</v>
      </c>
      <c r="M157" s="223" t="n">
        <f aca="false">Summary!$J$57</f>
        <v>1.75</v>
      </c>
      <c r="N157" s="164" t="n">
        <f aca="false">IF(C157&gt;0,C157-J157,0)</f>
        <v>29.307917879928</v>
      </c>
      <c r="O157" s="223" t="n">
        <f aca="false">IF(N157&gt;0,IF(N157-SUM(K157:M157)&gt;0,N157-SUM(K157:M157),0),0)</f>
        <v>20.057917879928</v>
      </c>
      <c r="P157" s="223" t="n">
        <f aca="false">O157*D157</f>
        <v>432406.728269126</v>
      </c>
      <c r="Q157" s="164" t="n">
        <f aca="false">IF(A157&lt;=Summary!$J$61,0.5*(P157),$Q$2*(P157))</f>
        <v>0</v>
      </c>
      <c r="R157" s="223" t="n">
        <f aca="false">Summary!$J$58</f>
        <v>0.5</v>
      </c>
      <c r="S157" s="223" t="n">
        <f aca="false">J157+(K157+L157+R157)</f>
        <v>39.3502518523327</v>
      </c>
      <c r="T157" s="224" t="n">
        <f aca="false">IF(D157*(C157-S157)-Q157&gt;0,D157*(C157-S157)-Q157,0)</f>
        <v>459354.112019126</v>
      </c>
      <c r="U157" s="225" t="n">
        <f aca="false">Summary!$J$59</f>
        <v>0.121048781448</v>
      </c>
      <c r="V157" s="224" t="n">
        <f aca="false">IF(A157&lt;=Summary!$J$61,(0.2*T157)+(R157*D157),(U157*T157)+(R157*D157))</f>
        <v>66383.2090130433</v>
      </c>
      <c r="W157" s="226" t="n">
        <f aca="false">C157*D157</f>
        <v>1307663.18187829</v>
      </c>
    </row>
    <row r="158" customFormat="false" ht="12.75" hidden="false" customHeight="false" outlineLevel="0" collapsed="false">
      <c r="A158" s="220" t="n">
        <v>41183</v>
      </c>
      <c r="B158" s="221" t="n">
        <f aca="false">YEAR(A158)</f>
        <v>2012</v>
      </c>
      <c r="C158" s="164" t="n">
        <f aca="false">CALC!HH170</f>
        <v>50.1161589167319</v>
      </c>
      <c r="D158" s="222" t="n">
        <f aca="false">IF(Summary!$O$109=0,CALC!HE170,0)</f>
        <v>20950.521525</v>
      </c>
      <c r="E158" s="222" t="n">
        <f aca="false">SUM(CALC!GU170:HB170)*CALC!CY170/1000</f>
        <v>94306.8188893169</v>
      </c>
      <c r="F158" s="223" t="n">
        <f aca="false">Summary!$J$54</f>
        <v>0.15</v>
      </c>
      <c r="G158" s="164" t="n">
        <f aca="false">VLOOKUP(A158,CURVES!AW159:$BS$283,16)</f>
        <v>3.65372577683827</v>
      </c>
      <c r="H158" s="223" t="n">
        <f aca="false">Summary!$J$60</f>
        <v>0.04</v>
      </c>
      <c r="I158" s="165" t="n">
        <f aca="false">Summary!$J$55</f>
        <v>8.5</v>
      </c>
      <c r="J158" s="164" t="n">
        <f aca="false">I158*SUM(F158:H158)</f>
        <v>32.6716691031253</v>
      </c>
      <c r="K158" s="223" t="n">
        <f aca="false">Summary!$J$56</f>
        <v>3.75</v>
      </c>
      <c r="L158" s="0" t="n">
        <f aca="false">Summary!$O$23</f>
        <v>3.75</v>
      </c>
      <c r="M158" s="223" t="n">
        <f aca="false">Summary!$J$57</f>
        <v>1.75</v>
      </c>
      <c r="N158" s="164" t="n">
        <f aca="false">IF(C158&gt;0,C158-J158,0)</f>
        <v>17.4444898136065</v>
      </c>
      <c r="O158" s="223" t="n">
        <f aca="false">IF(N158&gt;0,IF(N158-SUM(K158:M158)&gt;0,N158-SUM(K158:M158),0),0)</f>
        <v>8.19448981360653</v>
      </c>
      <c r="P158" s="223" t="n">
        <f aca="false">O158*D158</f>
        <v>171678.835226357</v>
      </c>
      <c r="Q158" s="164" t="n">
        <f aca="false">IF(A158&lt;=Summary!$J$61,0.5*(P158),$Q$2*(P158))</f>
        <v>0</v>
      </c>
      <c r="R158" s="223" t="n">
        <f aca="false">Summary!$J$58</f>
        <v>0.5</v>
      </c>
      <c r="S158" s="223" t="n">
        <f aca="false">J158+(K158+L158+R158)</f>
        <v>40.6716691031253</v>
      </c>
      <c r="T158" s="224" t="n">
        <f aca="false">IF(D158*(C158-S158)-Q158&gt;0,D158*(C158-S158)-Q158,0)</f>
        <v>197866.987132607</v>
      </c>
      <c r="U158" s="225" t="n">
        <f aca="false">Summary!$J$59</f>
        <v>0.121048781448</v>
      </c>
      <c r="V158" s="224" t="n">
        <f aca="false">IF(A158&lt;=Summary!$J$61,(0.2*T158)+(R158*D158),(U158*T158)+(R158*D158))</f>
        <v>34426.8184436891</v>
      </c>
      <c r="W158" s="226" t="n">
        <f aca="false">C158*D158</f>
        <v>1049959.66613531</v>
      </c>
    </row>
    <row r="159" customFormat="false" ht="12.75" hidden="false" customHeight="false" outlineLevel="0" collapsed="false">
      <c r="A159" s="220" t="n">
        <v>41214</v>
      </c>
      <c r="B159" s="221" t="n">
        <f aca="false">YEAR(A159)</f>
        <v>2012</v>
      </c>
      <c r="C159" s="164" t="n">
        <f aca="false">CALC!HH171</f>
        <v>52.7893341779133</v>
      </c>
      <c r="D159" s="222" t="n">
        <f aca="false">IF(Summary!$O$109=0,CALC!HE171,0)</f>
        <v>20274.69825</v>
      </c>
      <c r="E159" s="222" t="n">
        <f aca="false">SUM(CALC!GU171:HB171)*CALC!CY171/1000</f>
        <v>91280.0446178234</v>
      </c>
      <c r="F159" s="223" t="n">
        <f aca="false">Summary!$J$54</f>
        <v>0.15</v>
      </c>
      <c r="G159" s="164" t="n">
        <f aca="false">VLOOKUP(A159,CURVES!AW160:$BS$283,16)</f>
        <v>3.80702572959411</v>
      </c>
      <c r="H159" s="223" t="n">
        <f aca="false">Summary!$J$60</f>
        <v>0.04</v>
      </c>
      <c r="I159" s="165" t="n">
        <f aca="false">Summary!$J$55</f>
        <v>8.5</v>
      </c>
      <c r="J159" s="164" t="n">
        <f aca="false">I159*SUM(F159:H159)</f>
        <v>33.9747187015499</v>
      </c>
      <c r="K159" s="223" t="n">
        <f aca="false">Summary!$J$56</f>
        <v>3.75</v>
      </c>
      <c r="L159" s="0" t="n">
        <f aca="false">Summary!$O$23</f>
        <v>3.75</v>
      </c>
      <c r="M159" s="223" t="n">
        <f aca="false">Summary!$J$57</f>
        <v>1.75</v>
      </c>
      <c r="N159" s="164" t="n">
        <f aca="false">IF(C159&gt;0,C159-J159,0)</f>
        <v>18.8146154763634</v>
      </c>
      <c r="O159" s="223" t="n">
        <f aca="false">IF(N159&gt;0,IF(N159-SUM(K159:M159)&gt;0,N159-SUM(K159:M159),0),0)</f>
        <v>9.56461547636337</v>
      </c>
      <c r="P159" s="223" t="n">
        <f aca="false">O159*D159</f>
        <v>193919.692660547</v>
      </c>
      <c r="Q159" s="164" t="n">
        <f aca="false">IF(A159&lt;=Summary!$J$61,0.5*(P159),$Q$2*(P159))</f>
        <v>0</v>
      </c>
      <c r="R159" s="223" t="n">
        <f aca="false">Summary!$J$58</f>
        <v>0.5</v>
      </c>
      <c r="S159" s="223" t="n">
        <f aca="false">J159+(K159+L159+R159)</f>
        <v>41.9747187015499</v>
      </c>
      <c r="T159" s="224" t="n">
        <f aca="false">IF(D159*(C159-S159)-Q159&gt;0,D159*(C159-S159)-Q159,0)</f>
        <v>219263.065473047</v>
      </c>
      <c r="U159" s="225" t="n">
        <f aca="false">Summary!$J$59</f>
        <v>0.121048781448</v>
      </c>
      <c r="V159" s="224" t="n">
        <f aca="false">IF(A159&lt;=Summary!$J$61,(0.2*T159)+(R159*D159),(U159*T159)+(R159*D159))</f>
        <v>36678.8760170654</v>
      </c>
      <c r="W159" s="226" t="n">
        <f aca="false">C159*D159</f>
        <v>1070287.8212756</v>
      </c>
    </row>
    <row r="160" customFormat="false" ht="12.75" hidden="false" customHeight="false" outlineLevel="0" collapsed="false">
      <c r="A160" s="220" t="n">
        <v>41244</v>
      </c>
      <c r="B160" s="221" t="n">
        <f aca="false">YEAR(A160)</f>
        <v>2012</v>
      </c>
      <c r="C160" s="164" t="n">
        <f aca="false">CALC!HH172</f>
        <v>48.7718629057396</v>
      </c>
      <c r="D160" s="222" t="n">
        <f aca="false">IF(Summary!$O$109=0,CALC!HE172,0)</f>
        <v>20950.521525</v>
      </c>
      <c r="E160" s="222" t="n">
        <f aca="false">SUM(CALC!GU172:HB172)*CALC!CY172/1000</f>
        <v>94338.6066541849</v>
      </c>
      <c r="F160" s="223" t="n">
        <f aca="false">Summary!$J$54</f>
        <v>0.15</v>
      </c>
      <c r="G160" s="164" t="n">
        <f aca="false">VLOOKUP(A160,CURVES!AW161:$BS$283,16)</f>
        <v>3.96895795460083</v>
      </c>
      <c r="H160" s="223" t="n">
        <f aca="false">Summary!$J$60</f>
        <v>0.04</v>
      </c>
      <c r="I160" s="165" t="n">
        <f aca="false">Summary!$J$55</f>
        <v>8.5</v>
      </c>
      <c r="J160" s="164" t="n">
        <f aca="false">I160*SUM(F160:H160)</f>
        <v>35.3511426141071</v>
      </c>
      <c r="K160" s="223" t="n">
        <f aca="false">Summary!$J$56</f>
        <v>3.75</v>
      </c>
      <c r="L160" s="0" t="n">
        <f aca="false">Summary!$O$23</f>
        <v>3.75</v>
      </c>
      <c r="M160" s="223" t="n">
        <f aca="false">Summary!$J$57</f>
        <v>1.75</v>
      </c>
      <c r="N160" s="164" t="n">
        <f aca="false">IF(C160&gt;0,C160-J160,0)</f>
        <v>13.4207202916325</v>
      </c>
      <c r="O160" s="223" t="n">
        <f aca="false">IF(N160&gt;0,IF(N160-SUM(K160:M160)&gt;0,N160-SUM(K160:M160),0),0)</f>
        <v>4.17072029163253</v>
      </c>
      <c r="P160" s="223" t="n">
        <f aca="false">O160*D160</f>
        <v>87378.7652446015</v>
      </c>
      <c r="Q160" s="164" t="n">
        <f aca="false">IF(A160&lt;=Summary!$J$61,0.5*(P160),$Q$2*(P160))</f>
        <v>0</v>
      </c>
      <c r="R160" s="223" t="n">
        <f aca="false">Summary!$J$58</f>
        <v>0.5</v>
      </c>
      <c r="S160" s="223" t="n">
        <f aca="false">J160+(K160+L160+R160)</f>
        <v>43.3511426141071</v>
      </c>
      <c r="T160" s="224" t="n">
        <f aca="false">IF(D160*(C160-S160)-Q160&gt;0,D160*(C160-S160)-Q160,0)</f>
        <v>113566.917150852</v>
      </c>
      <c r="U160" s="225" t="n">
        <f aca="false">Summary!$J$59</f>
        <v>0.121048781448</v>
      </c>
      <c r="V160" s="224" t="n">
        <f aca="false">IF(A160&lt;=Summary!$J$61,(0.2*T160)+(R160*D160),(U160*T160)+(R160*D160))</f>
        <v>24222.3976964166</v>
      </c>
      <c r="W160" s="226" t="n">
        <f aca="false">C160*D160</f>
        <v>1021795.96362105</v>
      </c>
    </row>
    <row r="161" customFormat="false" ht="12.75" hidden="false" customHeight="false" outlineLevel="0" collapsed="false">
      <c r="A161" s="220" t="n">
        <v>41275</v>
      </c>
      <c r="B161" s="221" t="n">
        <f aca="false">YEAR(A161)</f>
        <v>2013</v>
      </c>
      <c r="C161" s="164" t="n">
        <f aca="false">CALC!HH173</f>
        <v>49.8470059610042</v>
      </c>
      <c r="D161" s="222" t="n">
        <f aca="false">IF(Summary!$O$109=0,CALC!HE173,0)</f>
        <v>20950.521525</v>
      </c>
      <c r="E161" s="222" t="n">
        <f aca="false">SUM(CALC!GU173:HB173)*CALC!CY173/1000</f>
        <v>94354.5005366189</v>
      </c>
      <c r="F161" s="223" t="n">
        <f aca="false">Summary!$J$54</f>
        <v>0.15</v>
      </c>
      <c r="G161" s="164" t="n">
        <f aca="false">VLOOKUP(A161,CURVES!AW162:$BS$283,16)</f>
        <v>3.77390085998912</v>
      </c>
      <c r="H161" s="223" t="n">
        <f aca="false">Summary!$J$60</f>
        <v>0.04</v>
      </c>
      <c r="I161" s="165" t="n">
        <f aca="false">Summary!$J$55</f>
        <v>8.5</v>
      </c>
      <c r="J161" s="164" t="n">
        <f aca="false">I161*SUM(F161:H161)</f>
        <v>33.6931573099075</v>
      </c>
      <c r="K161" s="223" t="n">
        <f aca="false">Summary!$J$56</f>
        <v>3.75</v>
      </c>
      <c r="L161" s="0" t="n">
        <f aca="false">Summary!$O$23</f>
        <v>3.75</v>
      </c>
      <c r="M161" s="223" t="n">
        <f aca="false">Summary!$J$57</f>
        <v>1.75</v>
      </c>
      <c r="N161" s="164" t="n">
        <f aca="false">IF(C161&gt;0,C161-J161,0)</f>
        <v>16.1538486510967</v>
      </c>
      <c r="O161" s="223" t="n">
        <f aca="false">IF(N161&gt;0,IF(N161-SUM(K161:M161)&gt;0,N161-SUM(K161:M161),0),0)</f>
        <v>6.90384865109668</v>
      </c>
      <c r="P161" s="223" t="n">
        <f aca="false">O161*D161</f>
        <v>144639.229770143</v>
      </c>
      <c r="Q161" s="164" t="n">
        <f aca="false">IF(A161&lt;=Summary!$J$61,0.5*(P161),$Q$2*(P161))</f>
        <v>0</v>
      </c>
      <c r="R161" s="223" t="n">
        <f aca="false">Summary!$J$58</f>
        <v>0.5</v>
      </c>
      <c r="S161" s="223" t="n">
        <f aca="false">J161+(K161+L161+R161)</f>
        <v>41.6931573099075</v>
      </c>
      <c r="T161" s="224" t="n">
        <f aca="false">IF(D161*(C161-S161)-Q161&gt;0,D161*(C161-S161)-Q161,0)</f>
        <v>170827.381676393</v>
      </c>
      <c r="U161" s="225" t="n">
        <f aca="false">Summary!$J$59</f>
        <v>0.121048781448</v>
      </c>
      <c r="V161" s="224" t="n">
        <f aca="false">IF(A161&lt;=Summary!$J$61,(0.2*T161)+(R161*D161),(U161*T161)+(R161*D161))</f>
        <v>31153.7071523798</v>
      </c>
      <c r="W161" s="226" t="n">
        <f aca="false">C161*D161</f>
        <v>1044320.77134282</v>
      </c>
    </row>
    <row r="162" customFormat="false" ht="12.75" hidden="false" customHeight="false" outlineLevel="0" collapsed="false">
      <c r="A162" s="220" t="n">
        <v>41306</v>
      </c>
      <c r="B162" s="221" t="n">
        <f aca="false">YEAR(A162)</f>
        <v>2013</v>
      </c>
      <c r="C162" s="164" t="n">
        <f aca="false">CALC!HH174</f>
        <v>40.878938785433</v>
      </c>
      <c r="D162" s="222" t="n">
        <f aca="false">IF(Summary!$O$109=0,CALC!HE174,0)</f>
        <v>18923.0517</v>
      </c>
      <c r="E162" s="222" t="n">
        <f aca="false">SUM(CALC!GU174:HB174)*CALC!CY174/1000</f>
        <v>85237.7756043059</v>
      </c>
      <c r="F162" s="223" t="n">
        <f aca="false">Summary!$J$54</f>
        <v>0.15</v>
      </c>
      <c r="G162" s="164" t="n">
        <f aca="false">VLOOKUP(A162,CURVES!AW163:$BS$283,16)</f>
        <v>3.48563987171786</v>
      </c>
      <c r="H162" s="223" t="n">
        <f aca="false">Summary!$J$60</f>
        <v>0.04</v>
      </c>
      <c r="I162" s="165" t="n">
        <f aca="false">Summary!$J$55</f>
        <v>8.5</v>
      </c>
      <c r="J162" s="164" t="n">
        <f aca="false">I162*SUM(F162:H162)</f>
        <v>31.2429389096018</v>
      </c>
      <c r="K162" s="223" t="n">
        <f aca="false">Summary!$J$56</f>
        <v>3.75</v>
      </c>
      <c r="L162" s="0" t="n">
        <f aca="false">Summary!$O$23</f>
        <v>3.75</v>
      </c>
      <c r="M162" s="223" t="n">
        <f aca="false">Summary!$J$57</f>
        <v>1.75</v>
      </c>
      <c r="N162" s="164" t="n">
        <f aca="false">IF(C162&gt;0,C162-J162,0)</f>
        <v>9.63599987583119</v>
      </c>
      <c r="O162" s="223" t="n">
        <f aca="false">IF(N162&gt;0,IF(N162-SUM(K162:M162)&gt;0,N162-SUM(K162:M162),0),0)</f>
        <v>0.385999875831189</v>
      </c>
      <c r="P162" s="223" t="n">
        <f aca="false">O162*D162</f>
        <v>7304.29560654717</v>
      </c>
      <c r="Q162" s="164" t="n">
        <f aca="false">IF(A162&lt;=Summary!$J$61,0.5*(P162),$Q$2*(P162))</f>
        <v>0</v>
      </c>
      <c r="R162" s="223" t="n">
        <f aca="false">Summary!$J$58</f>
        <v>0.5</v>
      </c>
      <c r="S162" s="223" t="n">
        <f aca="false">J162+(K162+L162+R162)</f>
        <v>39.2429389096018</v>
      </c>
      <c r="T162" s="224" t="n">
        <f aca="false">IF(D162*(C162-S162)-Q162&gt;0,D162*(C162-S162)-Q162,0)</f>
        <v>30958.1102315472</v>
      </c>
      <c r="U162" s="225" t="n">
        <f aca="false">Summary!$J$59</f>
        <v>0.121048781448</v>
      </c>
      <c r="V162" s="224" t="n">
        <f aca="false">IF(A162&lt;=Summary!$J$61,(0.2*T162)+(R162*D162),(U162*T162)+(R162*D162))</f>
        <v>13208.9673694616</v>
      </c>
      <c r="W162" s="226" t="n">
        <f aca="false">C162*D162</f>
        <v>773554.272077883</v>
      </c>
    </row>
    <row r="163" customFormat="false" ht="12.75" hidden="false" customHeight="false" outlineLevel="0" collapsed="false">
      <c r="A163" s="220" t="n">
        <v>41334</v>
      </c>
      <c r="B163" s="221" t="n">
        <f aca="false">YEAR(A163)</f>
        <v>2013</v>
      </c>
      <c r="C163" s="164" t="n">
        <f aca="false">CALC!HH175</f>
        <v>37.7032011495028</v>
      </c>
      <c r="D163" s="222" t="n">
        <f aca="false">IF(Summary!$O$109=0,CALC!HE175,0)</f>
        <v>20950.521525</v>
      </c>
      <c r="E163" s="222" t="n">
        <f aca="false">SUM(CALC!GU175:HB175)*CALC!CY175/1000</f>
        <v>94386.2883014869</v>
      </c>
      <c r="F163" s="223" t="n">
        <f aca="false">Summary!$J$54</f>
        <v>0.15</v>
      </c>
      <c r="G163" s="164" t="n">
        <f aca="false">VLOOKUP(A163,CURVES!AW164:$BS$283,16)</f>
        <v>3.29851872066756</v>
      </c>
      <c r="H163" s="223" t="n">
        <f aca="false">Summary!$J$60</f>
        <v>0.04</v>
      </c>
      <c r="I163" s="165" t="n">
        <f aca="false">Summary!$J$55</f>
        <v>8.5</v>
      </c>
      <c r="J163" s="164" t="n">
        <f aca="false">I163*SUM(F163:H163)</f>
        <v>29.6524091256743</v>
      </c>
      <c r="K163" s="223" t="n">
        <f aca="false">Summary!$J$56</f>
        <v>3.75</v>
      </c>
      <c r="L163" s="0" t="n">
        <f aca="false">Summary!$O$23</f>
        <v>3.75</v>
      </c>
      <c r="M163" s="223" t="n">
        <f aca="false">Summary!$J$57</f>
        <v>1.75</v>
      </c>
      <c r="N163" s="164" t="n">
        <f aca="false">IF(C163&gt;0,C163-J163,0)</f>
        <v>8.05079202382849</v>
      </c>
      <c r="O163" s="223" t="n">
        <f aca="false">IF(N163&gt;0,IF(N163-SUM(K163:M163)&gt;0,N163-SUM(K163:M163),0),0)</f>
        <v>0</v>
      </c>
      <c r="P163" s="223" t="n">
        <f aca="false">O163*D163</f>
        <v>0</v>
      </c>
      <c r="Q163" s="164" t="n">
        <f aca="false">IF(A163&lt;=Summary!$J$61,0.5*(P163),$Q$2*(P163))</f>
        <v>0</v>
      </c>
      <c r="R163" s="223" t="n">
        <f aca="false">Summary!$J$58</f>
        <v>0.5</v>
      </c>
      <c r="S163" s="223" t="n">
        <f aca="false">J163+(K163+L163+R163)</f>
        <v>37.6524091256743</v>
      </c>
      <c r="T163" s="224" t="n">
        <f aca="false">IF(D163*(C163-S163)-Q163&gt;0,D163*(C163-S163)-Q163,0)</f>
        <v>1064.11938851714</v>
      </c>
      <c r="U163" s="225" t="n">
        <f aca="false">Summary!$J$59</f>
        <v>0.121048781448</v>
      </c>
      <c r="V163" s="224" t="n">
        <f aca="false">IF(A163&lt;=Summary!$J$61,(0.2*T163)+(R163*D163),(U163*T163)+(R163*D163))</f>
        <v>10604.0711177952</v>
      </c>
      <c r="W163" s="226" t="n">
        <f aca="false">C163*D163</f>
        <v>789901.727244063</v>
      </c>
    </row>
    <row r="164" customFormat="false" ht="12.75" hidden="false" customHeight="false" outlineLevel="0" collapsed="false">
      <c r="A164" s="220" t="n">
        <v>41365</v>
      </c>
      <c r="B164" s="221" t="n">
        <f aca="false">YEAR(A164)</f>
        <v>2013</v>
      </c>
      <c r="C164" s="164" t="n">
        <f aca="false">CALC!HH176</f>
        <v>37.5725322453081</v>
      </c>
      <c r="D164" s="222" t="n">
        <f aca="false">IF(Summary!$O$109=0,CALC!HE176,0)</f>
        <v>20274.69825</v>
      </c>
      <c r="E164" s="222" t="n">
        <f aca="false">SUM(CALC!GU176:HB176)*CALC!CY176/1000</f>
        <v>91356.9505005686</v>
      </c>
      <c r="F164" s="223" t="n">
        <f aca="false">Summary!$J$54</f>
        <v>0.15</v>
      </c>
      <c r="G164" s="164" t="n">
        <f aca="false">VLOOKUP(A164,CURVES!AW165:$BS$283,16)</f>
        <v>3.19956080432618</v>
      </c>
      <c r="H164" s="223" t="n">
        <f aca="false">Summary!$J$60</f>
        <v>0.04</v>
      </c>
      <c r="I164" s="165" t="n">
        <f aca="false">Summary!$J$55</f>
        <v>8.5</v>
      </c>
      <c r="J164" s="164" t="n">
        <f aca="false">I164*SUM(F164:H164)</f>
        <v>28.8112668367725</v>
      </c>
      <c r="K164" s="223" t="n">
        <f aca="false">Summary!$J$56</f>
        <v>3.75</v>
      </c>
      <c r="L164" s="0" t="n">
        <f aca="false">Summary!$O$23</f>
        <v>3.75</v>
      </c>
      <c r="M164" s="223" t="n">
        <f aca="false">Summary!$J$57</f>
        <v>1.75</v>
      </c>
      <c r="N164" s="164" t="n">
        <f aca="false">IF(C164&gt;0,C164-J164,0)</f>
        <v>8.76126540853561</v>
      </c>
      <c r="O164" s="223" t="n">
        <f aca="false">IF(N164&gt;0,IF(N164-SUM(K164:M164)&gt;0,N164-SUM(K164:M164),0),0)</f>
        <v>0</v>
      </c>
      <c r="P164" s="223" t="n">
        <f aca="false">O164*D164</f>
        <v>0</v>
      </c>
      <c r="Q164" s="164" t="n">
        <f aca="false">IF(A164&lt;=Summary!$J$61,0.5*(P164),$Q$2*(P164))</f>
        <v>0</v>
      </c>
      <c r="R164" s="223" t="n">
        <f aca="false">Summary!$J$58</f>
        <v>0.5</v>
      </c>
      <c r="S164" s="223" t="n">
        <f aca="false">J164+(K164+L164+R164)</f>
        <v>36.8112668367725</v>
      </c>
      <c r="T164" s="224" t="n">
        <f aca="false">IF(D164*(C164-S164)-Q164&gt;0,D164*(C164-S164)-Q164,0)</f>
        <v>15434.4264462225</v>
      </c>
      <c r="U164" s="225" t="n">
        <f aca="false">Summary!$J$59</f>
        <v>0.121048781448</v>
      </c>
      <c r="V164" s="224" t="n">
        <f aca="false">IF(A164&lt;=Summary!$J$61,(0.2*T164)+(R164*D164),(U164*T164)+(R164*D164))</f>
        <v>12005.667638664</v>
      </c>
      <c r="W164" s="226" t="n">
        <f aca="false">C164*D164</f>
        <v>761771.753762017</v>
      </c>
    </row>
    <row r="165" customFormat="false" ht="12.75" hidden="false" customHeight="false" outlineLevel="0" collapsed="false">
      <c r="A165" s="220" t="n">
        <v>41395</v>
      </c>
      <c r="B165" s="221" t="n">
        <f aca="false">YEAR(A165)</f>
        <v>2013</v>
      </c>
      <c r="C165" s="164" t="n">
        <f aca="false">CALC!HH177</f>
        <v>40.3844386079977</v>
      </c>
      <c r="D165" s="222" t="n">
        <f aca="false">IF(Summary!$O$109=0,CALC!HE177,0)</f>
        <v>22276.5039</v>
      </c>
      <c r="E165" s="222" t="n">
        <f aca="false">SUM(CALC!GU177:HB177)*CALC!CY177/1000</f>
        <v>73892.4073562778</v>
      </c>
      <c r="F165" s="223" t="n">
        <f aca="false">Summary!$J$54</f>
        <v>0.15</v>
      </c>
      <c r="G165" s="164" t="n">
        <f aca="false">VLOOKUP(A165,CURVES!AW166:$BS$283,16)</f>
        <v>3.17543070647367</v>
      </c>
      <c r="H165" s="223" t="n">
        <f aca="false">Summary!$J$60</f>
        <v>0.04</v>
      </c>
      <c r="I165" s="165" t="n">
        <f aca="false">Summary!$J$55</f>
        <v>8.5</v>
      </c>
      <c r="J165" s="164" t="n">
        <f aca="false">I165*SUM(F165:H165)</f>
        <v>28.6061610050262</v>
      </c>
      <c r="K165" s="223" t="n">
        <f aca="false">Summary!$J$56</f>
        <v>3.75</v>
      </c>
      <c r="L165" s="0" t="n">
        <f aca="false">Summary!$O$23</f>
        <v>3.75</v>
      </c>
      <c r="M165" s="223" t="n">
        <f aca="false">Summary!$J$57</f>
        <v>1.75</v>
      </c>
      <c r="N165" s="164" t="n">
        <f aca="false">IF(C165&gt;0,C165-J165,0)</f>
        <v>11.7782776029715</v>
      </c>
      <c r="O165" s="223" t="n">
        <f aca="false">IF(N165&gt;0,IF(N165-SUM(K165:M165)&gt;0,N165-SUM(K165:M165),0),0)</f>
        <v>2.52827760297147</v>
      </c>
      <c r="P165" s="223" t="n">
        <f aca="false">O165*D165</f>
        <v>56321.1858828767</v>
      </c>
      <c r="Q165" s="164" t="n">
        <f aca="false">IF(A165&lt;=Summary!$J$61,0.5*(P165),$Q$2*(P165))</f>
        <v>0</v>
      </c>
      <c r="R165" s="223" t="n">
        <f aca="false">Summary!$J$58</f>
        <v>0.5</v>
      </c>
      <c r="S165" s="223" t="n">
        <f aca="false">J165+(K165+L165+R165)</f>
        <v>36.6061610050262</v>
      </c>
      <c r="T165" s="224" t="n">
        <f aca="false">IF(D165*(C165-S165)-Q165&gt;0,D165*(C165-S165)-Q165,0)</f>
        <v>84166.8157578768</v>
      </c>
      <c r="U165" s="225" t="n">
        <f aca="false">Summary!$J$59</f>
        <v>0.121048781448</v>
      </c>
      <c r="V165" s="224" t="n">
        <f aca="false">IF(A165&lt;=Summary!$J$61,(0.2*T165)+(R165*D165),(U165*T165)+(R165*D165))</f>
        <v>21326.5424358493</v>
      </c>
      <c r="W165" s="226" t="n">
        <f aca="false">C165*D165</f>
        <v>899624.104150371</v>
      </c>
    </row>
    <row r="166" customFormat="false" ht="12.75" hidden="false" customHeight="false" outlineLevel="0" collapsed="false">
      <c r="A166" s="220" t="n">
        <v>41426</v>
      </c>
      <c r="B166" s="221" t="n">
        <f aca="false">YEAR(A166)</f>
        <v>2013</v>
      </c>
      <c r="C166" s="164" t="n">
        <f aca="false">CALC!HH178</f>
        <v>41.4175571797284</v>
      </c>
      <c r="D166" s="222" t="n">
        <f aca="false">IF(Summary!$O$109=0,CALC!HE178,0)</f>
        <v>21557.907</v>
      </c>
      <c r="E166" s="222" t="n">
        <f aca="false">SUM(CALC!GU178:HB178)*CALC!CY178/1000</f>
        <v>71520.8187550435</v>
      </c>
      <c r="F166" s="223" t="n">
        <f aca="false">Summary!$J$54</f>
        <v>0.15</v>
      </c>
      <c r="G166" s="164" t="n">
        <f aca="false">VLOOKUP(A166,CURVES!AW167:$BS$283,16)</f>
        <v>3.21378807616916</v>
      </c>
      <c r="H166" s="223" t="n">
        <f aca="false">Summary!$J$60</f>
        <v>0.04</v>
      </c>
      <c r="I166" s="165" t="n">
        <f aca="false">Summary!$J$55</f>
        <v>8.5</v>
      </c>
      <c r="J166" s="164" t="n">
        <f aca="false">I166*SUM(F166:H166)</f>
        <v>28.9321986474379</v>
      </c>
      <c r="K166" s="223" t="n">
        <f aca="false">Summary!$J$56</f>
        <v>3.75</v>
      </c>
      <c r="L166" s="0" t="n">
        <f aca="false">Summary!$O$23</f>
        <v>3.75</v>
      </c>
      <c r="M166" s="223" t="n">
        <f aca="false">Summary!$J$57</f>
        <v>1.75</v>
      </c>
      <c r="N166" s="164" t="n">
        <f aca="false">IF(C166&gt;0,C166-J166,0)</f>
        <v>12.4853585322905</v>
      </c>
      <c r="O166" s="223" t="n">
        <f aca="false">IF(N166&gt;0,IF(N166-SUM(K166:M166)&gt;0,N166-SUM(K166:M166),0),0)</f>
        <v>3.23535853229048</v>
      </c>
      <c r="P166" s="223" t="n">
        <f aca="false">O166*D166</f>
        <v>69747.5583507747</v>
      </c>
      <c r="Q166" s="164" t="n">
        <f aca="false">IF(A166&lt;=Summary!$J$61,0.5*(P166),$Q$2*(P166))</f>
        <v>0</v>
      </c>
      <c r="R166" s="223" t="n">
        <f aca="false">Summary!$J$58</f>
        <v>0.5</v>
      </c>
      <c r="S166" s="223" t="n">
        <f aca="false">J166+(K166+L166+R166)</f>
        <v>36.9321986474379</v>
      </c>
      <c r="T166" s="224" t="n">
        <f aca="false">IF(D166*(C166-S166)-Q166&gt;0,D166*(C166-S166)-Q166,0)</f>
        <v>96694.9421007746</v>
      </c>
      <c r="U166" s="225" t="n">
        <f aca="false">Summary!$J$59</f>
        <v>0.121048781448</v>
      </c>
      <c r="V166" s="224" t="n">
        <f aca="false">IF(A166&lt;=Summary!$J$61,(0.2*T166)+(R166*D166),(U166*T166)+(R166*D166))</f>
        <v>22483.7584134837</v>
      </c>
      <c r="W166" s="226" t="n">
        <f aca="false">C166*D166</f>
        <v>892875.845847766</v>
      </c>
    </row>
    <row r="167" customFormat="false" ht="12.75" hidden="false" customHeight="false" outlineLevel="0" collapsed="false">
      <c r="A167" s="220" t="n">
        <v>41456</v>
      </c>
      <c r="B167" s="221" t="n">
        <f aca="false">YEAR(A167)</f>
        <v>2013</v>
      </c>
      <c r="C167" s="164" t="n">
        <f aca="false">CALC!HH179</f>
        <v>57.0747775500207</v>
      </c>
      <c r="D167" s="222" t="n">
        <f aca="false">IF(Summary!$O$109=0,CALC!HE179,0)</f>
        <v>22276.5039</v>
      </c>
      <c r="E167" s="222" t="n">
        <f aca="false">SUM(CALC!GU179:HB179)*CALC!CY179/1000</f>
        <v>73917.2847374788</v>
      </c>
      <c r="F167" s="223" t="n">
        <f aca="false">Summary!$J$54</f>
        <v>0.15</v>
      </c>
      <c r="G167" s="164" t="n">
        <f aca="false">VLOOKUP(A167,CURVES!AW168:$BS$283,16)</f>
        <v>3.30151192595823</v>
      </c>
      <c r="H167" s="223" t="n">
        <f aca="false">Summary!$J$60</f>
        <v>0.04</v>
      </c>
      <c r="I167" s="165" t="n">
        <f aca="false">Summary!$J$55</f>
        <v>8.5</v>
      </c>
      <c r="J167" s="164" t="n">
        <f aca="false">I167*SUM(F167:H167)</f>
        <v>29.6778513706449</v>
      </c>
      <c r="K167" s="223" t="n">
        <f aca="false">Summary!$J$56</f>
        <v>3.75</v>
      </c>
      <c r="L167" s="0" t="n">
        <f aca="false">Summary!$O$23</f>
        <v>3.75</v>
      </c>
      <c r="M167" s="223" t="n">
        <f aca="false">Summary!$J$57</f>
        <v>1.75</v>
      </c>
      <c r="N167" s="164" t="n">
        <f aca="false">IF(C167&gt;0,C167-J167,0)</f>
        <v>27.3969261793757</v>
      </c>
      <c r="O167" s="223" t="n">
        <f aca="false">IF(N167&gt;0,IF(N167-SUM(K167:M167)&gt;0,N167-SUM(K167:M167),0),0)</f>
        <v>18.1469261793757</v>
      </c>
      <c r="P167" s="223" t="n">
        <f aca="false">O167*D167</f>
        <v>404250.071807876</v>
      </c>
      <c r="Q167" s="164" t="n">
        <f aca="false">IF(A167&lt;=Summary!$J$61,0.5*(P167),$Q$2*(P167))</f>
        <v>0</v>
      </c>
      <c r="R167" s="223" t="n">
        <f aca="false">Summary!$J$58</f>
        <v>0.5</v>
      </c>
      <c r="S167" s="223" t="n">
        <f aca="false">J167+(K167+L167+R167)</f>
        <v>37.6778513706449</v>
      </c>
      <c r="T167" s="224" t="n">
        <f aca="false">IF(D167*(C167-S167)-Q167&gt;0,D167*(C167-S167)-Q167,0)</f>
        <v>432095.701682876</v>
      </c>
      <c r="U167" s="225" t="n">
        <f aca="false">Summary!$J$59</f>
        <v>0.121048781448</v>
      </c>
      <c r="V167" s="224" t="n">
        <f aca="false">IF(A167&lt;=Summary!$J$61,(0.2*T167)+(R167*D167),(U167*T167)+(R167*D167))</f>
        <v>63442.9101076306</v>
      </c>
      <c r="W167" s="226" t="n">
        <f aca="false">C167*D167</f>
        <v>1271426.50468467</v>
      </c>
    </row>
    <row r="168" customFormat="false" ht="12.75" hidden="false" customHeight="false" outlineLevel="0" collapsed="false">
      <c r="A168" s="220" t="n">
        <v>41487</v>
      </c>
      <c r="B168" s="221" t="n">
        <f aca="false">YEAR(A168)</f>
        <v>2013</v>
      </c>
      <c r="C168" s="164" t="n">
        <f aca="false">CALC!HH180</f>
        <v>68.8517285404624</v>
      </c>
      <c r="D168" s="222" t="n">
        <f aca="false">IF(Summary!$O$109=0,CALC!HE180,0)</f>
        <v>22276.5039</v>
      </c>
      <c r="E168" s="222" t="n">
        <f aca="false">SUM(CALC!GU180:HB180)*CALC!CY180/1000</f>
        <v>73929.7234280794</v>
      </c>
      <c r="F168" s="223" t="n">
        <f aca="false">Summary!$J$54</f>
        <v>0.15</v>
      </c>
      <c r="G168" s="164" t="n">
        <f aca="false">VLOOKUP(A168,CURVES!AW169:$BS$283,16)</f>
        <v>3.42609801188385</v>
      </c>
      <c r="H168" s="223" t="n">
        <f aca="false">Summary!$J$60</f>
        <v>0.04</v>
      </c>
      <c r="I168" s="165" t="n">
        <f aca="false">Summary!$J$55</f>
        <v>8.5</v>
      </c>
      <c r="J168" s="164" t="n">
        <f aca="false">I168*SUM(F168:H168)</f>
        <v>30.7368331010127</v>
      </c>
      <c r="K168" s="223" t="n">
        <f aca="false">Summary!$J$56</f>
        <v>3.75</v>
      </c>
      <c r="L168" s="0" t="n">
        <f aca="false">Summary!$O$23</f>
        <v>3.75</v>
      </c>
      <c r="M168" s="223" t="n">
        <f aca="false">Summary!$J$57</f>
        <v>1.75</v>
      </c>
      <c r="N168" s="164" t="n">
        <f aca="false">IF(C168&gt;0,C168-J168,0)</f>
        <v>38.1148954394497</v>
      </c>
      <c r="O168" s="223" t="n">
        <f aca="false">IF(N168&gt;0,IF(N168-SUM(K168:M168)&gt;0,N168-SUM(K168:M168),0),0)</f>
        <v>28.8648954394497</v>
      </c>
      <c r="P168" s="223" t="n">
        <f aca="false">O168*D168</f>
        <v>643008.955829993</v>
      </c>
      <c r="Q168" s="164" t="n">
        <f aca="false">IF(A168&lt;=Summary!$J$61,0.5*(P168),$Q$2*(P168))</f>
        <v>0</v>
      </c>
      <c r="R168" s="223" t="n">
        <f aca="false">Summary!$J$58</f>
        <v>0.5</v>
      </c>
      <c r="S168" s="223" t="n">
        <f aca="false">J168+(K168+L168+R168)</f>
        <v>38.7368331010127</v>
      </c>
      <c r="T168" s="224" t="n">
        <f aca="false">IF(D168*(C168-S168)-Q168&gt;0,D168*(C168-S168)-Q168,0)</f>
        <v>670854.585704993</v>
      </c>
      <c r="U168" s="225" t="n">
        <f aca="false">Summary!$J$59</f>
        <v>0.121048781448</v>
      </c>
      <c r="V168" s="224" t="n">
        <f aca="false">IF(A168&lt;=Summary!$J$61,(0.2*T168)+(R168*D168),(U168*T168)+(R168*D168))</f>
        <v>92344.3820783923</v>
      </c>
      <c r="W168" s="226" t="n">
        <f aca="false">C168*D168</f>
        <v>1533775.79935335</v>
      </c>
    </row>
    <row r="169" customFormat="false" ht="12.75" hidden="false" customHeight="false" outlineLevel="0" collapsed="false">
      <c r="A169" s="220" t="n">
        <v>41518</v>
      </c>
      <c r="B169" s="221" t="n">
        <f aca="false">YEAR(A169)</f>
        <v>2013</v>
      </c>
      <c r="C169" s="164" t="n">
        <f aca="false">CALC!HH181</f>
        <v>61.6171643651763</v>
      </c>
      <c r="D169" s="222" t="n">
        <f aca="false">IF(Summary!$O$109=0,CALC!HE181,0)</f>
        <v>21557.907</v>
      </c>
      <c r="E169" s="222" t="n">
        <f aca="false">SUM(CALC!GU181:HB181)*CALC!CY181/1000</f>
        <v>71556.9310825934</v>
      </c>
      <c r="F169" s="223" t="n">
        <f aca="false">Summary!$J$54</f>
        <v>0.15</v>
      </c>
      <c r="G169" s="164" t="n">
        <f aca="false">VLOOKUP(A169,CURVES!AW170:$BS$283,16)</f>
        <v>3.57442996814804</v>
      </c>
      <c r="H169" s="223" t="n">
        <f aca="false">Summary!$J$60</f>
        <v>0.04</v>
      </c>
      <c r="I169" s="165" t="n">
        <f aca="false">Summary!$J$55</f>
        <v>8.5</v>
      </c>
      <c r="J169" s="164" t="n">
        <f aca="false">I169*SUM(F169:H169)</f>
        <v>31.9976547292584</v>
      </c>
      <c r="K169" s="223" t="n">
        <f aca="false">Summary!$J$56</f>
        <v>3.75</v>
      </c>
      <c r="L169" s="0" t="n">
        <f aca="false">Summary!$O$23</f>
        <v>3.75</v>
      </c>
      <c r="M169" s="223" t="n">
        <f aca="false">Summary!$J$57</f>
        <v>1.75</v>
      </c>
      <c r="N169" s="164" t="n">
        <f aca="false">IF(C169&gt;0,C169-J169,0)</f>
        <v>29.6195096359179</v>
      </c>
      <c r="O169" s="223" t="n">
        <f aca="false">IF(N169&gt;0,IF(N169-SUM(K169:M169)&gt;0,N169-SUM(K169:M169),0),0)</f>
        <v>20.3695096359179</v>
      </c>
      <c r="P169" s="223" t="n">
        <f aca="false">O169*D169</f>
        <v>439123.994366723</v>
      </c>
      <c r="Q169" s="164" t="n">
        <f aca="false">IF(A169&lt;=Summary!$J$61,0.5*(P169),$Q$2*(P169))</f>
        <v>0</v>
      </c>
      <c r="R169" s="223" t="n">
        <f aca="false">Summary!$J$58</f>
        <v>0.5</v>
      </c>
      <c r="S169" s="223" t="n">
        <f aca="false">J169+(K169+L169+R169)</f>
        <v>39.9976547292584</v>
      </c>
      <c r="T169" s="224" t="n">
        <f aca="false">IF(D169*(C169-S169)-Q169&gt;0,D169*(C169-S169)-Q169,0)</f>
        <v>466071.378116723</v>
      </c>
      <c r="U169" s="225" t="n">
        <f aca="false">Summary!$J$59</f>
        <v>0.121048781448</v>
      </c>
      <c r="V169" s="224" t="n">
        <f aca="false">IF(A169&lt;=Summary!$J$61,(0.2*T169)+(R169*D169),(U169*T169)+(R169*D169))</f>
        <v>67196.3258888194</v>
      </c>
      <c r="W169" s="226" t="n">
        <f aca="false">C169*D169</f>
        <v>1328337.09898819</v>
      </c>
    </row>
    <row r="170" customFormat="false" ht="12.75" hidden="false" customHeight="false" outlineLevel="0" collapsed="false">
      <c r="A170" s="220" t="n">
        <v>41548</v>
      </c>
      <c r="B170" s="221" t="n">
        <f aca="false">YEAR(A170)</f>
        <v>2013</v>
      </c>
      <c r="C170" s="164" t="n">
        <f aca="false">CALC!HH182</f>
        <v>50.9784420156844</v>
      </c>
      <c r="D170" s="222" t="n">
        <f aca="false">IF(Summary!$O$109=0,CALC!HE182,0)</f>
        <v>20950.521525</v>
      </c>
      <c r="E170" s="222" t="n">
        <f aca="false">SUM(CALC!GU182:HB182)*CALC!CY182/1000</f>
        <v>94497.545478525</v>
      </c>
      <c r="F170" s="223" t="n">
        <f aca="false">Summary!$J$54</f>
        <v>0.15</v>
      </c>
      <c r="G170" s="164" t="n">
        <f aca="false">VLOOKUP(A170,CURVES!AW171:$BS$283,16)</f>
        <v>3.73327555133386</v>
      </c>
      <c r="H170" s="223" t="n">
        <f aca="false">Summary!$J$60</f>
        <v>0.04</v>
      </c>
      <c r="I170" s="165" t="n">
        <f aca="false">Summary!$J$55</f>
        <v>8.5</v>
      </c>
      <c r="J170" s="164" t="n">
        <f aca="false">I170*SUM(F170:H170)</f>
        <v>33.3478421863378</v>
      </c>
      <c r="K170" s="223" t="n">
        <f aca="false">Summary!$J$56</f>
        <v>3.75</v>
      </c>
      <c r="L170" s="0" t="n">
        <f aca="false">Summary!$O$23</f>
        <v>3.75</v>
      </c>
      <c r="M170" s="223" t="n">
        <f aca="false">Summary!$J$57</f>
        <v>1.75</v>
      </c>
      <c r="N170" s="164" t="n">
        <f aca="false">IF(C170&gt;0,C170-J170,0)</f>
        <v>17.6305998293465</v>
      </c>
      <c r="O170" s="223" t="n">
        <f aca="false">IF(N170&gt;0,IF(N170-SUM(K170:M170)&gt;0,N170-SUM(K170:M170),0),0)</f>
        <v>8.38059982934652</v>
      </c>
      <c r="P170" s="223" t="n">
        <f aca="false">O170*D170</f>
        <v>175577.937117136</v>
      </c>
      <c r="Q170" s="164" t="n">
        <f aca="false">IF(A170&lt;=Summary!$J$61,0.5*(P170),$Q$2*(P170))</f>
        <v>0</v>
      </c>
      <c r="R170" s="223" t="n">
        <f aca="false">Summary!$J$58</f>
        <v>0.5</v>
      </c>
      <c r="S170" s="223" t="n">
        <f aca="false">J170+(K170+L170+R170)</f>
        <v>41.3478421863378</v>
      </c>
      <c r="T170" s="224" t="n">
        <f aca="false">IF(D170*(C170-S170)-Q170&gt;0,D170*(C170-S170)-Q170,0)</f>
        <v>201766.089023386</v>
      </c>
      <c r="U170" s="225" t="n">
        <f aca="false">Summary!$J$59</f>
        <v>0.121048781448</v>
      </c>
      <c r="V170" s="224" t="n">
        <f aca="false">IF(A170&lt;=Summary!$J$61,(0.2*T170)+(R170*D170),(U170*T170)+(R170*D170))</f>
        <v>34898.7999763095</v>
      </c>
      <c r="W170" s="226" t="n">
        <f aca="false">C170*D170</f>
        <v>1068024.94676056</v>
      </c>
    </row>
    <row r="171" customFormat="false" ht="12.75" hidden="false" customHeight="false" outlineLevel="0" collapsed="false">
      <c r="A171" s="220" t="n">
        <v>41579</v>
      </c>
      <c r="B171" s="221" t="n">
        <f aca="false">YEAR(A171)</f>
        <v>2013</v>
      </c>
      <c r="C171" s="164" t="n">
        <f aca="false">CALC!HH183</f>
        <v>51.7823162332838</v>
      </c>
      <c r="D171" s="222" t="n">
        <f aca="false">IF(Summary!$O$109=0,CALC!HE183,0)</f>
        <v>20274.69825</v>
      </c>
      <c r="E171" s="222" t="n">
        <f aca="false">SUM(CALC!GU183:HB183)*CALC!CY183/1000</f>
        <v>91464.6187364119</v>
      </c>
      <c r="F171" s="223" t="n">
        <f aca="false">Summary!$J$54</f>
        <v>0.15</v>
      </c>
      <c r="G171" s="164" t="n">
        <f aca="false">VLOOKUP(A171,CURVES!AW172:$BS$283,16)</f>
        <v>3.88991318661344</v>
      </c>
      <c r="H171" s="223" t="n">
        <f aca="false">Summary!$J$60</f>
        <v>0.04</v>
      </c>
      <c r="I171" s="165" t="n">
        <f aca="false">Summary!$J$55</f>
        <v>8.5</v>
      </c>
      <c r="J171" s="164" t="n">
        <f aca="false">I171*SUM(F171:H171)</f>
        <v>34.6792620862143</v>
      </c>
      <c r="K171" s="223" t="n">
        <f aca="false">Summary!$J$56</f>
        <v>3.75</v>
      </c>
      <c r="L171" s="0" t="n">
        <f aca="false">Summary!$O$23</f>
        <v>3.75</v>
      </c>
      <c r="M171" s="223" t="n">
        <f aca="false">Summary!$J$57</f>
        <v>1.75</v>
      </c>
      <c r="N171" s="164" t="n">
        <f aca="false">IF(C171&gt;0,C171-J171,0)</f>
        <v>17.1030541470695</v>
      </c>
      <c r="O171" s="223" t="n">
        <f aca="false">IF(N171&gt;0,IF(N171-SUM(K171:M171)&gt;0,N171-SUM(K171:M171),0),0)</f>
        <v>7.8530541470695</v>
      </c>
      <c r="P171" s="223" t="n">
        <f aca="false">O171*D171</f>
        <v>159218.303172745</v>
      </c>
      <c r="Q171" s="164" t="n">
        <f aca="false">IF(A171&lt;=Summary!$J$61,0.5*(P171),$Q$2*(P171))</f>
        <v>0</v>
      </c>
      <c r="R171" s="223" t="n">
        <f aca="false">Summary!$J$58</f>
        <v>0.5</v>
      </c>
      <c r="S171" s="223" t="n">
        <f aca="false">J171+(K171+L171+R171)</f>
        <v>42.6792620862143</v>
      </c>
      <c r="T171" s="224" t="n">
        <f aca="false">IF(D171*(C171-S171)-Q171&gt;0,D171*(C171-S171)-Q171,0)</f>
        <v>184561.675985245</v>
      </c>
      <c r="U171" s="225" t="n">
        <f aca="false">Summary!$J$59</f>
        <v>0.121048781448</v>
      </c>
      <c r="V171" s="224" t="n">
        <f aca="false">IF(A171&lt;=Summary!$J$61,(0.2*T171)+(R171*D171),(U171*T171)+(R171*D171))</f>
        <v>32478.3151050145</v>
      </c>
      <c r="W171" s="226" t="n">
        <f aca="false">C171*D171</f>
        <v>1049870.8363159</v>
      </c>
    </row>
    <row r="172" customFormat="false" ht="12.75" hidden="false" customHeight="false" outlineLevel="0" collapsed="false">
      <c r="A172" s="220" t="n">
        <v>41609</v>
      </c>
      <c r="B172" s="221" t="n">
        <f aca="false">YEAR(A172)</f>
        <v>2013</v>
      </c>
      <c r="C172" s="164" t="n">
        <f aca="false">CALC!HH184</f>
        <v>49.8706446006643</v>
      </c>
      <c r="D172" s="222" t="n">
        <f aca="false">IF(Summary!$O$109=0,CALC!HE184,0)</f>
        <v>20950.521525</v>
      </c>
      <c r="E172" s="222" t="n">
        <f aca="false">SUM(CALC!GU184:HB184)*CALC!CY184/1000</f>
        <v>94529.333243393</v>
      </c>
      <c r="F172" s="223" t="n">
        <f aca="false">Summary!$J$54</f>
        <v>0.15</v>
      </c>
      <c r="G172" s="164" t="n">
        <f aca="false">VLOOKUP(A172,CURVES!AW173:$BS$283,16)</f>
        <v>4.05537103799982</v>
      </c>
      <c r="H172" s="223" t="n">
        <f aca="false">Summary!$J$60</f>
        <v>0.04</v>
      </c>
      <c r="I172" s="165" t="n">
        <f aca="false">Summary!$J$55</f>
        <v>8.5</v>
      </c>
      <c r="J172" s="164" t="n">
        <f aca="false">I172*SUM(F172:H172)</f>
        <v>36.0856538229985</v>
      </c>
      <c r="K172" s="223" t="n">
        <f aca="false">Summary!$J$56</f>
        <v>3.75</v>
      </c>
      <c r="L172" s="0" t="n">
        <f aca="false">Summary!$O$23</f>
        <v>3.75</v>
      </c>
      <c r="M172" s="223" t="n">
        <f aca="false">Summary!$J$57</f>
        <v>1.75</v>
      </c>
      <c r="N172" s="164" t="n">
        <f aca="false">IF(C172&gt;0,C172-J172,0)</f>
        <v>13.7849907776658</v>
      </c>
      <c r="O172" s="223" t="n">
        <f aca="false">IF(N172&gt;0,IF(N172-SUM(K172:M172)&gt;0,N172-SUM(K172:M172),0),0)</f>
        <v>4.53499077766577</v>
      </c>
      <c r="P172" s="223" t="n">
        <f aca="false">O172*D172</f>
        <v>95010.4219031632</v>
      </c>
      <c r="Q172" s="164" t="n">
        <f aca="false">IF(A172&lt;=Summary!$J$61,0.5*(P172),$Q$2*(P172))</f>
        <v>0</v>
      </c>
      <c r="R172" s="223" t="n">
        <f aca="false">Summary!$J$58</f>
        <v>0.5</v>
      </c>
      <c r="S172" s="223" t="n">
        <f aca="false">J172+(K172+L172+R172)</f>
        <v>44.0856538229985</v>
      </c>
      <c r="T172" s="224" t="n">
        <f aca="false">IF(D172*(C172-S172)-Q172&gt;0,D172*(C172-S172)-Q172,0)</f>
        <v>121198.573809413</v>
      </c>
      <c r="U172" s="225" t="n">
        <f aca="false">Summary!$J$59</f>
        <v>0.121048781448</v>
      </c>
      <c r="V172" s="224" t="n">
        <f aca="false">IF(A172&lt;=Summary!$J$61,(0.2*T172)+(R172*D172),(U172*T172)+(R172*D172))</f>
        <v>25146.2004353649</v>
      </c>
      <c r="W172" s="226" t="n">
        <f aca="false">C172*D172</f>
        <v>1044816.01317184</v>
      </c>
    </row>
    <row r="173" customFormat="false" ht="12.75" hidden="false" customHeight="false" outlineLevel="0" collapsed="false">
      <c r="A173" s="220" t="n">
        <v>41640</v>
      </c>
      <c r="B173" s="221" t="n">
        <f aca="false">YEAR(A173)</f>
        <v>2014</v>
      </c>
      <c r="C173" s="164" t="n">
        <f aca="false">CALC!HH185</f>
        <v>49.8010634479173</v>
      </c>
      <c r="D173" s="222" t="n">
        <f aca="false">IF(Summary!$O$109=0,CALC!HE185,0)</f>
        <v>20950.521525</v>
      </c>
      <c r="E173" s="222" t="n">
        <f aca="false">SUM(CALC!GU185:HB185)*CALC!CY185/1000</f>
        <v>94545.227125827</v>
      </c>
      <c r="F173" s="223" t="n">
        <f aca="false">Summary!$J$54</f>
        <v>0.15</v>
      </c>
      <c r="G173" s="164" t="n">
        <f aca="false">VLOOKUP(A173,CURVES!AW174:$BS$283,16)</f>
        <v>3.84983075650993</v>
      </c>
      <c r="H173" s="223" t="n">
        <f aca="false">Summary!$J$60</f>
        <v>0.04</v>
      </c>
      <c r="I173" s="165" t="n">
        <f aca="false">Summary!$J$55</f>
        <v>8.5</v>
      </c>
      <c r="J173" s="164" t="n">
        <f aca="false">I173*SUM(F173:H173)</f>
        <v>34.3385614303344</v>
      </c>
      <c r="K173" s="223" t="n">
        <f aca="false">Summary!$J$56</f>
        <v>3.75</v>
      </c>
      <c r="L173" s="0" t="n">
        <f aca="false">Summary!$O$23</f>
        <v>3.75</v>
      </c>
      <c r="M173" s="223" t="n">
        <f aca="false">Summary!$J$57</f>
        <v>1.75</v>
      </c>
      <c r="N173" s="164" t="n">
        <f aca="false">IF(C173&gt;0,C173-J173,0)</f>
        <v>15.4625020175828</v>
      </c>
      <c r="O173" s="223" t="n">
        <f aca="false">IF(N173&gt;0,IF(N173-SUM(K173:M173)&gt;0,N173-SUM(K173:M173),0),0)</f>
        <v>6.21250201758283</v>
      </c>
      <c r="P173" s="223" t="n">
        <f aca="false">O173*D173</f>
        <v>130155.157243475</v>
      </c>
      <c r="Q173" s="164" t="n">
        <f aca="false">IF(A173&lt;=Summary!$J$61,0.5*(P173),$Q$2*(P173))</f>
        <v>0</v>
      </c>
      <c r="R173" s="223" t="n">
        <f aca="false">Summary!$J$58</f>
        <v>0.5</v>
      </c>
      <c r="S173" s="223" t="n">
        <f aca="false">J173+(K173+L173+R173)</f>
        <v>42.3385614303344</v>
      </c>
      <c r="T173" s="224" t="n">
        <f aca="false">IF(D173*(C173-S173)-Q173&gt;0,D173*(C173-S173)-Q173,0)</f>
        <v>156343.309149725</v>
      </c>
      <c r="U173" s="225" t="n">
        <f aca="false">Summary!$J$59</f>
        <v>0.121048781448</v>
      </c>
      <c r="V173" s="224" t="n">
        <f aca="false">IF(A173&lt;=Summary!$J$61,(0.2*T173)+(R173*D173),(U173*T173)+(R173*D173))</f>
        <v>29400.4278226222</v>
      </c>
      <c r="W173" s="226" t="n">
        <f aca="false">C173*D173</f>
        <v>1043358.25173348</v>
      </c>
    </row>
    <row r="174" customFormat="false" ht="12.75" hidden="false" customHeight="false" outlineLevel="0" collapsed="false">
      <c r="A174" s="220" t="n">
        <v>41671</v>
      </c>
      <c r="B174" s="221" t="n">
        <f aca="false">YEAR(A174)</f>
        <v>2014</v>
      </c>
      <c r="C174" s="164" t="n">
        <f aca="false">CALC!HH186</f>
        <v>42.3968118464612</v>
      </c>
      <c r="D174" s="222" t="n">
        <f aca="false">IF(Summary!$O$109=0,CALC!HE186,0)</f>
        <v>18923.0517</v>
      </c>
      <c r="E174" s="222" t="n">
        <f aca="false">SUM(CALC!GU186:HB186)*CALC!CY186/1000</f>
        <v>85410.0447816551</v>
      </c>
      <c r="F174" s="223" t="n">
        <f aca="false">Summary!$J$54</f>
        <v>0.15</v>
      </c>
      <c r="G174" s="164" t="n">
        <f aca="false">VLOOKUP(A174,CURVES!AW175:$BS$283,16)</f>
        <v>3.55577003268057</v>
      </c>
      <c r="H174" s="223" t="n">
        <f aca="false">Summary!$J$60</f>
        <v>0.04</v>
      </c>
      <c r="I174" s="165" t="n">
        <f aca="false">Summary!$J$55</f>
        <v>8.5</v>
      </c>
      <c r="J174" s="164" t="n">
        <f aca="false">I174*SUM(F174:H174)</f>
        <v>31.8390452777849</v>
      </c>
      <c r="K174" s="223" t="n">
        <f aca="false">Summary!$J$56</f>
        <v>3.75</v>
      </c>
      <c r="L174" s="0" t="n">
        <f aca="false">Summary!$O$23</f>
        <v>3.75</v>
      </c>
      <c r="M174" s="223" t="n">
        <f aca="false">Summary!$J$57</f>
        <v>1.75</v>
      </c>
      <c r="N174" s="164" t="n">
        <f aca="false">IF(C174&gt;0,C174-J174,0)</f>
        <v>10.5577665686764</v>
      </c>
      <c r="O174" s="223" t="n">
        <f aca="false">IF(N174&gt;0,IF(N174-SUM(K174:M174)&gt;0,N174-SUM(K174:M174),0),0)</f>
        <v>1.30776656867635</v>
      </c>
      <c r="P174" s="223" t="n">
        <f aca="false">O174*D174</f>
        <v>24746.9343905942</v>
      </c>
      <c r="Q174" s="164" t="n">
        <f aca="false">IF(A174&lt;=Summary!$J$61,0.5*(P174),$Q$2*(P174))</f>
        <v>0</v>
      </c>
      <c r="R174" s="223" t="n">
        <f aca="false">Summary!$J$58</f>
        <v>0.5</v>
      </c>
      <c r="S174" s="223" t="n">
        <f aca="false">J174+(K174+L174+R174)</f>
        <v>39.8390452777849</v>
      </c>
      <c r="T174" s="224" t="n">
        <f aca="false">IF(D174*(C174-S174)-Q174&gt;0,D174*(C174-S174)-Q174,0)</f>
        <v>48400.7490155943</v>
      </c>
      <c r="U174" s="225" t="n">
        <f aca="false">Summary!$J$59</f>
        <v>0.121048781448</v>
      </c>
      <c r="V174" s="224" t="n">
        <f aca="false">IF(A174&lt;=Summary!$J$61,(0.2*T174)+(R174*D174),(U174*T174)+(R174*D174))</f>
        <v>15320.3775395082</v>
      </c>
      <c r="W174" s="226" t="n">
        <f aca="false">C174*D174</f>
        <v>802277.062485758</v>
      </c>
    </row>
    <row r="175" customFormat="false" ht="12.75" hidden="false" customHeight="false" outlineLevel="0" collapsed="false">
      <c r="A175" s="220" t="n">
        <v>41699</v>
      </c>
      <c r="B175" s="221" t="n">
        <f aca="false">YEAR(A175)</f>
        <v>2014</v>
      </c>
      <c r="C175" s="164" t="n">
        <f aca="false">CALC!HH187</f>
        <v>38.9440324633826</v>
      </c>
      <c r="D175" s="222" t="n">
        <f aca="false">IF(Summary!$O$109=0,CALC!HE187,0)</f>
        <v>20950.521525</v>
      </c>
      <c r="E175" s="222" t="n">
        <f aca="false">SUM(CALC!GU187:HB187)*CALC!CY187/1000</f>
        <v>94577.014890695</v>
      </c>
      <c r="F175" s="223" t="n">
        <f aca="false">Summary!$J$54</f>
        <v>0.15</v>
      </c>
      <c r="G175" s="164" t="n">
        <f aca="false">VLOOKUP(A175,CURVES!AW176:$BS$283,16)</f>
        <v>3.36488405309789</v>
      </c>
      <c r="H175" s="223" t="n">
        <f aca="false">Summary!$J$60</f>
        <v>0.04</v>
      </c>
      <c r="I175" s="165" t="n">
        <f aca="false">Summary!$J$55</f>
        <v>8.5</v>
      </c>
      <c r="J175" s="164" t="n">
        <f aca="false">I175*SUM(F175:H175)</f>
        <v>30.2165144513321</v>
      </c>
      <c r="K175" s="223" t="n">
        <f aca="false">Summary!$J$56</f>
        <v>3.75</v>
      </c>
      <c r="L175" s="0" t="n">
        <f aca="false">Summary!$O$23</f>
        <v>3.75</v>
      </c>
      <c r="M175" s="223" t="n">
        <f aca="false">Summary!$J$57</f>
        <v>1.75</v>
      </c>
      <c r="N175" s="164" t="n">
        <f aca="false">IF(C175&gt;0,C175-J175,0)</f>
        <v>8.72751801205058</v>
      </c>
      <c r="O175" s="223" t="n">
        <f aca="false">IF(N175&gt;0,IF(N175-SUM(K175:M175)&gt;0,N175-SUM(K175:M175),0),0)</f>
        <v>0</v>
      </c>
      <c r="P175" s="223" t="n">
        <f aca="false">O175*D175</f>
        <v>0</v>
      </c>
      <c r="Q175" s="164" t="n">
        <f aca="false">IF(A175&lt;=Summary!$J$61,0.5*(P175),$Q$2*(P175))</f>
        <v>0</v>
      </c>
      <c r="R175" s="223" t="n">
        <f aca="false">Summary!$J$58</f>
        <v>0.5</v>
      </c>
      <c r="S175" s="223" t="n">
        <f aca="false">J175+(K175+L175+R175)</f>
        <v>38.216514451332</v>
      </c>
      <c r="T175" s="224" t="n">
        <f aca="false">IF(D175*(C175-S175)-Q175&gt;0,D175*(C175-S175)-Q175,0)</f>
        <v>15241.8817712909</v>
      </c>
      <c r="U175" s="225" t="n">
        <f aca="false">Summary!$J$59</f>
        <v>0.121048781448</v>
      </c>
      <c r="V175" s="224" t="n">
        <f aca="false">IF(A175&lt;=Summary!$J$61,(0.2*T175)+(R175*D175),(U175*T175)+(R175*D175))</f>
        <v>12320.2719778892</v>
      </c>
      <c r="W175" s="226" t="n">
        <f aca="false">C175*D175</f>
        <v>815897.790394397</v>
      </c>
    </row>
    <row r="176" customFormat="false" ht="12.75" hidden="false" customHeight="false" outlineLevel="0" collapsed="false">
      <c r="A176" s="220" t="n">
        <v>41730</v>
      </c>
      <c r="B176" s="221" t="n">
        <f aca="false">YEAR(A176)</f>
        <v>2014</v>
      </c>
      <c r="C176" s="164" t="n">
        <f aca="false">CALC!HH188</f>
        <v>38.9739758042615</v>
      </c>
      <c r="D176" s="222" t="n">
        <f aca="false">IF(Summary!$O$109=0,CALC!HE188,0)</f>
        <v>20274.69825</v>
      </c>
      <c r="E176" s="222" t="n">
        <f aca="false">SUM(CALC!GU188:HB188)*CALC!CY188/1000</f>
        <v>91541.5246191571</v>
      </c>
      <c r="F176" s="223" t="n">
        <f aca="false">Summary!$J$54</f>
        <v>0.15</v>
      </c>
      <c r="G176" s="164" t="n">
        <f aca="false">VLOOKUP(A176,CURVES!AW177:$BS$283,16)</f>
        <v>3.26393512940722</v>
      </c>
      <c r="H176" s="223" t="n">
        <f aca="false">Summary!$J$60</f>
        <v>0.04</v>
      </c>
      <c r="I176" s="165" t="n">
        <f aca="false">Summary!$J$55</f>
        <v>8.5</v>
      </c>
      <c r="J176" s="164" t="n">
        <f aca="false">I176*SUM(F176:H176)</f>
        <v>29.3584485999613</v>
      </c>
      <c r="K176" s="223" t="n">
        <f aca="false">Summary!$J$56</f>
        <v>3.75</v>
      </c>
      <c r="L176" s="0" t="n">
        <f aca="false">Summary!$O$23</f>
        <v>3.75</v>
      </c>
      <c r="M176" s="223" t="n">
        <f aca="false">Summary!$J$57</f>
        <v>1.75</v>
      </c>
      <c r="N176" s="164" t="n">
        <f aca="false">IF(C176&gt;0,C176-J176,0)</f>
        <v>9.61552720430014</v>
      </c>
      <c r="O176" s="223" t="n">
        <f aca="false">IF(N176&gt;0,IF(N176-SUM(K176:M176)&gt;0,N176-SUM(K176:M176),0),0)</f>
        <v>0.365527204300143</v>
      </c>
      <c r="P176" s="223" t="n">
        <f aca="false">O176*D176</f>
        <v>7410.95376935151</v>
      </c>
      <c r="Q176" s="164" t="n">
        <f aca="false">IF(A176&lt;=Summary!$J$61,0.5*(P176),$Q$2*(P176))</f>
        <v>0</v>
      </c>
      <c r="R176" s="223" t="n">
        <f aca="false">Summary!$J$58</f>
        <v>0.5</v>
      </c>
      <c r="S176" s="223" t="n">
        <f aca="false">J176+(K176+L176+R176)</f>
        <v>37.3584485999613</v>
      </c>
      <c r="T176" s="224" t="n">
        <f aca="false">IF(D176*(C176-S176)-Q176&gt;0,D176*(C176-S176)-Q176,0)</f>
        <v>32754.3265818515</v>
      </c>
      <c r="U176" s="225" t="n">
        <f aca="false">Summary!$J$59</f>
        <v>0.121048781448</v>
      </c>
      <c r="V176" s="224" t="n">
        <f aca="false">IF(A176&lt;=Summary!$J$61,(0.2*T176)+(R176*D176),(U176*T176)+(R176*D176))</f>
        <v>14102.220444883</v>
      </c>
      <c r="W176" s="226" t="n">
        <f aca="false">C176*D176</f>
        <v>790185.599034203</v>
      </c>
    </row>
    <row r="177" customFormat="false" ht="12.75" hidden="false" customHeight="false" outlineLevel="0" collapsed="false">
      <c r="A177" s="220" t="n">
        <v>41760</v>
      </c>
      <c r="B177" s="221" t="n">
        <f aca="false">YEAR(A177)</f>
        <v>2014</v>
      </c>
      <c r="C177" s="164" t="n">
        <f aca="false">CALC!HH189</f>
        <v>39.2152393405539</v>
      </c>
      <c r="D177" s="222" t="n">
        <f aca="false">IF(Summary!$O$109=0,CALC!HE189,0)</f>
        <v>22276.5039</v>
      </c>
      <c r="E177" s="222" t="n">
        <f aca="false">SUM(CALC!GU189:HB189)*CALC!CY189/1000</f>
        <v>74041.6716434841</v>
      </c>
      <c r="F177" s="223" t="n">
        <f aca="false">Summary!$J$54</f>
        <v>0.15</v>
      </c>
      <c r="G177" s="164" t="n">
        <f aca="false">VLOOKUP(A177,CURVES!AW178:$BS$283,16)</f>
        <v>3.23931954030813</v>
      </c>
      <c r="H177" s="223" t="n">
        <f aca="false">Summary!$J$60</f>
        <v>0.04</v>
      </c>
      <c r="I177" s="165" t="n">
        <f aca="false">Summary!$J$55</f>
        <v>8.5</v>
      </c>
      <c r="J177" s="164" t="n">
        <f aca="false">I177*SUM(F177:H177)</f>
        <v>29.1492160926191</v>
      </c>
      <c r="K177" s="223" t="n">
        <f aca="false">Summary!$J$56</f>
        <v>3.75</v>
      </c>
      <c r="L177" s="0" t="n">
        <f aca="false">Summary!$O$23</f>
        <v>3.75</v>
      </c>
      <c r="M177" s="223" t="n">
        <f aca="false">Summary!$J$57</f>
        <v>1.75</v>
      </c>
      <c r="N177" s="164" t="n">
        <f aca="false">IF(C177&gt;0,C177-J177,0)</f>
        <v>10.0660232479348</v>
      </c>
      <c r="O177" s="223" t="n">
        <f aca="false">IF(N177&gt;0,IF(N177-SUM(K177:M177)&gt;0,N177-SUM(K177:M177),0),0)</f>
        <v>0.816023247934787</v>
      </c>
      <c r="P177" s="223" t="n">
        <f aca="false">O177*D177</f>
        <v>18178.1450651099</v>
      </c>
      <c r="Q177" s="164" t="n">
        <f aca="false">IF(A177&lt;=Summary!$J$61,0.5*(P177),$Q$2*(P177))</f>
        <v>0</v>
      </c>
      <c r="R177" s="223" t="n">
        <f aca="false">Summary!$J$58</f>
        <v>0.5</v>
      </c>
      <c r="S177" s="223" t="n">
        <f aca="false">J177+(K177+L177+R177)</f>
        <v>37.1492160926191</v>
      </c>
      <c r="T177" s="224" t="n">
        <f aca="false">IF(D177*(C177-S177)-Q177&gt;0,D177*(C177-S177)-Q177,0)</f>
        <v>46023.77494011</v>
      </c>
      <c r="U177" s="225" t="n">
        <f aca="false">Summary!$J$59</f>
        <v>0.121048781448</v>
      </c>
      <c r="V177" s="224" t="n">
        <f aca="false">IF(A177&lt;=Summary!$J$61,(0.2*T177)+(R177*D177),(U177*T177)+(R177*D177))</f>
        <v>16709.3738241373</v>
      </c>
      <c r="W177" s="226" t="n">
        <f aca="false">C177*D177</f>
        <v>873578.432109283</v>
      </c>
    </row>
    <row r="178" customFormat="false" ht="12.75" hidden="false" customHeight="false" outlineLevel="0" collapsed="false">
      <c r="A178" s="220" t="n">
        <v>41791</v>
      </c>
      <c r="B178" s="221" t="n">
        <f aca="false">YEAR(A178)</f>
        <v>2014</v>
      </c>
      <c r="C178" s="164" t="n">
        <f aca="false">CALC!HH190</f>
        <v>42.5222544805199</v>
      </c>
      <c r="D178" s="222" t="n">
        <f aca="false">IF(Summary!$O$109=0,CALC!HE190,0)</f>
        <v>21557.907</v>
      </c>
      <c r="E178" s="222" t="n">
        <f aca="false">SUM(CALC!GU190:HB190)*CALC!CY190/1000</f>
        <v>71665.2680652432</v>
      </c>
      <c r="F178" s="223" t="n">
        <f aca="false">Summary!$J$54</f>
        <v>0.15</v>
      </c>
      <c r="G178" s="164" t="n">
        <f aca="false">VLOOKUP(A178,CURVES!AW179:$BS$283,16)</f>
        <v>3.27844865023206</v>
      </c>
      <c r="H178" s="223" t="n">
        <f aca="false">Summary!$J$60</f>
        <v>0.04</v>
      </c>
      <c r="I178" s="165" t="n">
        <f aca="false">Summary!$J$55</f>
        <v>8.5</v>
      </c>
      <c r="J178" s="164" t="n">
        <f aca="false">I178*SUM(F178:H178)</f>
        <v>29.4818135269725</v>
      </c>
      <c r="K178" s="223" t="n">
        <f aca="false">Summary!$J$56</f>
        <v>3.75</v>
      </c>
      <c r="L178" s="0" t="n">
        <f aca="false">Summary!$O$23</f>
        <v>3.75</v>
      </c>
      <c r="M178" s="223" t="n">
        <f aca="false">Summary!$J$57</f>
        <v>1.75</v>
      </c>
      <c r="N178" s="164" t="n">
        <f aca="false">IF(C178&gt;0,C178-J178,0)</f>
        <v>13.0404409535474</v>
      </c>
      <c r="O178" s="223" t="n">
        <f aca="false">IF(N178&gt;0,IF(N178-SUM(K178:M178)&gt;0,N178-SUM(K178:M178),0),0)</f>
        <v>3.79044095354742</v>
      </c>
      <c r="P178" s="223" t="n">
        <f aca="false">O178*D178</f>
        <v>81713.9735655665</v>
      </c>
      <c r="Q178" s="164" t="n">
        <f aca="false">IF(A178&lt;=Summary!$J$61,0.5*(P178),$Q$2*(P178))</f>
        <v>0</v>
      </c>
      <c r="R178" s="223" t="n">
        <f aca="false">Summary!$J$58</f>
        <v>0.5</v>
      </c>
      <c r="S178" s="223" t="n">
        <f aca="false">J178+(K178+L178+R178)</f>
        <v>37.4818135269725</v>
      </c>
      <c r="T178" s="224" t="n">
        <f aca="false">IF(D178*(C178-S178)-Q178&gt;0,D178*(C178-S178)-Q178,0)</f>
        <v>108661.357315567</v>
      </c>
      <c r="U178" s="225" t="n">
        <f aca="false">Summary!$J$59</f>
        <v>0.121048781448</v>
      </c>
      <c r="V178" s="224" t="n">
        <f aca="false">IF(A178&lt;=Summary!$J$61,(0.2*T178)+(R178*D178),(U178*T178)+(R178*D178))</f>
        <v>23932.2783935351</v>
      </c>
      <c r="W178" s="226" t="n">
        <f aca="false">C178*D178</f>
        <v>916690.807521381</v>
      </c>
    </row>
    <row r="179" customFormat="false" ht="12.75" hidden="false" customHeight="false" outlineLevel="0" collapsed="false">
      <c r="A179" s="220" t="n">
        <v>41821</v>
      </c>
      <c r="B179" s="221" t="n">
        <f aca="false">YEAR(A179)</f>
        <v>2014</v>
      </c>
      <c r="C179" s="164" t="n">
        <f aca="false">CALC!HH191</f>
        <v>57.7129313713539</v>
      </c>
      <c r="D179" s="222" t="n">
        <f aca="false">IF(Summary!$O$109=0,CALC!HE191,0)</f>
        <v>22276.5039</v>
      </c>
      <c r="E179" s="222" t="n">
        <f aca="false">SUM(CALC!GU191:HB191)*CALC!CY191/1000</f>
        <v>74066.5490246852</v>
      </c>
      <c r="F179" s="223" t="n">
        <f aca="false">Summary!$J$54</f>
        <v>0.15</v>
      </c>
      <c r="G179" s="164" t="n">
        <f aca="false">VLOOKUP(A179,CURVES!AW180:$BS$283,16)</f>
        <v>3.36793748089476</v>
      </c>
      <c r="H179" s="223" t="n">
        <f aca="false">Summary!$J$60</f>
        <v>0.04</v>
      </c>
      <c r="I179" s="165" t="n">
        <f aca="false">Summary!$J$55</f>
        <v>8.5</v>
      </c>
      <c r="J179" s="164" t="n">
        <f aca="false">I179*SUM(F179:H179)</f>
        <v>30.2424685876055</v>
      </c>
      <c r="K179" s="223" t="n">
        <f aca="false">Summary!$J$56</f>
        <v>3.75</v>
      </c>
      <c r="L179" s="0" t="n">
        <f aca="false">Summary!$O$23</f>
        <v>3.75</v>
      </c>
      <c r="M179" s="223" t="n">
        <f aca="false">Summary!$J$57</f>
        <v>1.75</v>
      </c>
      <c r="N179" s="164" t="n">
        <f aca="false">IF(C179&gt;0,C179-J179,0)</f>
        <v>27.4704627837485</v>
      </c>
      <c r="O179" s="223" t="n">
        <f aca="false">IF(N179&gt;0,IF(N179-SUM(K179:M179)&gt;0,N179-SUM(K179:M179),0),0)</f>
        <v>18.2204627837485</v>
      </c>
      <c r="P179" s="223" t="n">
        <f aca="false">O179*D179</f>
        <v>405888.210261977</v>
      </c>
      <c r="Q179" s="164" t="n">
        <f aca="false">IF(A179&lt;=Summary!$J$61,0.5*(P179),$Q$2*(P179))</f>
        <v>0</v>
      </c>
      <c r="R179" s="223" t="n">
        <f aca="false">Summary!$J$58</f>
        <v>0.5</v>
      </c>
      <c r="S179" s="223" t="n">
        <f aca="false">J179+(K179+L179+R179)</f>
        <v>38.2424685876055</v>
      </c>
      <c r="T179" s="224" t="n">
        <f aca="false">IF(D179*(C179-S179)-Q179&gt;0,D179*(C179-S179)-Q179,0)</f>
        <v>433733.840136977</v>
      </c>
      <c r="U179" s="225" t="n">
        <f aca="false">Summary!$J$59</f>
        <v>0.121048781448</v>
      </c>
      <c r="V179" s="224" t="n">
        <f aca="false">IF(A179&lt;=Summary!$J$61,(0.2*T179)+(R179*D179),(U179*T179)+(R179*D179))</f>
        <v>63641.2047713427</v>
      </c>
      <c r="W179" s="226" t="n">
        <f aca="false">C179*D179</f>
        <v>1285642.3407744</v>
      </c>
    </row>
    <row r="180" customFormat="false" ht="12.75" hidden="false" customHeight="false" outlineLevel="0" collapsed="false">
      <c r="A180" s="220" t="n">
        <v>41852</v>
      </c>
      <c r="B180" s="221" t="n">
        <f aca="false">YEAR(A180)</f>
        <v>2014</v>
      </c>
      <c r="C180" s="164" t="n">
        <f aca="false">CALC!HH192</f>
        <v>67.7820188735506</v>
      </c>
      <c r="D180" s="222" t="n">
        <f aca="false">IF(Summary!$O$109=0,CALC!HE192,0)</f>
        <v>22276.5039</v>
      </c>
      <c r="E180" s="222" t="n">
        <f aca="false">SUM(CALC!GU192:HB192)*CALC!CY192/1000</f>
        <v>74078.9877152857</v>
      </c>
      <c r="F180" s="223" t="n">
        <f aca="false">Summary!$J$54</f>
        <v>0.15</v>
      </c>
      <c r="G180" s="164" t="n">
        <f aca="false">VLOOKUP(A180,CURVES!AW181:$BS$283,16)</f>
        <v>3.49503020622699</v>
      </c>
      <c r="H180" s="223" t="n">
        <f aca="false">Summary!$J$60</f>
        <v>0.04</v>
      </c>
      <c r="I180" s="165" t="n">
        <f aca="false">Summary!$J$55</f>
        <v>8.5</v>
      </c>
      <c r="J180" s="164" t="n">
        <f aca="false">I180*SUM(F180:H180)</f>
        <v>31.3227567529294</v>
      </c>
      <c r="K180" s="223" t="n">
        <f aca="false">Summary!$J$56</f>
        <v>3.75</v>
      </c>
      <c r="L180" s="0" t="n">
        <f aca="false">Summary!$O$23</f>
        <v>3.75</v>
      </c>
      <c r="M180" s="223" t="n">
        <f aca="false">Summary!$J$57</f>
        <v>1.75</v>
      </c>
      <c r="N180" s="164" t="n">
        <f aca="false">IF(C180&gt;0,C180-J180,0)</f>
        <v>36.4592621206212</v>
      </c>
      <c r="O180" s="223" t="n">
        <f aca="false">IF(N180&gt;0,IF(N180-SUM(K180:M180)&gt;0,N180-SUM(K180:M180),0),0)</f>
        <v>27.2092621206212</v>
      </c>
      <c r="P180" s="223" t="n">
        <f aca="false">O180*D180</f>
        <v>606127.23374614</v>
      </c>
      <c r="Q180" s="164" t="n">
        <f aca="false">IF(A180&lt;=Summary!$J$61,0.5*(P180),$Q$2*(P180))</f>
        <v>0</v>
      </c>
      <c r="R180" s="223" t="n">
        <f aca="false">Summary!$J$58</f>
        <v>0.5</v>
      </c>
      <c r="S180" s="223" t="n">
        <f aca="false">J180+(K180+L180+R180)</f>
        <v>39.3227567529294</v>
      </c>
      <c r="T180" s="224" t="n">
        <f aca="false">IF(D180*(C180-S180)-Q180&gt;0,D180*(C180-S180)-Q180,0)</f>
        <v>633972.86362114</v>
      </c>
      <c r="U180" s="225" t="n">
        <f aca="false">Summary!$J$59</f>
        <v>0.121048781448</v>
      </c>
      <c r="V180" s="224" t="n">
        <f aca="false">IF(A180&lt;=Summary!$J$61,(0.2*T180)+(R180*D180),(U180*T180)+(R180*D180))</f>
        <v>87879.8945624381</v>
      </c>
      <c r="W180" s="226" t="n">
        <f aca="false">C180*D180</f>
        <v>1509946.40778652</v>
      </c>
    </row>
    <row r="181" customFormat="false" ht="12.75" hidden="false" customHeight="false" outlineLevel="0" collapsed="false">
      <c r="A181" s="220" t="n">
        <v>41883</v>
      </c>
      <c r="B181" s="221" t="n">
        <f aca="false">YEAR(A181)</f>
        <v>2014</v>
      </c>
      <c r="C181" s="164" t="n">
        <f aca="false">CALC!HH193</f>
        <v>61.1048944131475</v>
      </c>
      <c r="D181" s="222" t="n">
        <f aca="false">IF(Summary!$O$109=0,CALC!HE193,0)</f>
        <v>21557.907</v>
      </c>
      <c r="E181" s="222" t="n">
        <f aca="false">SUM(CALC!GU193:HB193)*CALC!CY193/1000</f>
        <v>71701.3803927931</v>
      </c>
      <c r="F181" s="223" t="n">
        <f aca="false">Summary!$J$54</f>
        <v>0.15</v>
      </c>
      <c r="G181" s="164" t="n">
        <f aca="false">VLOOKUP(A181,CURVES!AW182:$BS$283,16)</f>
        <v>3.64634656258746</v>
      </c>
      <c r="H181" s="223" t="n">
        <f aca="false">Summary!$J$60</f>
        <v>0.04</v>
      </c>
      <c r="I181" s="165" t="n">
        <f aca="false">Summary!$J$55</f>
        <v>8.5</v>
      </c>
      <c r="J181" s="164" t="n">
        <f aca="false">I181*SUM(F181:H181)</f>
        <v>32.6089457819934</v>
      </c>
      <c r="K181" s="223" t="n">
        <f aca="false">Summary!$J$56</f>
        <v>3.75</v>
      </c>
      <c r="L181" s="0" t="n">
        <f aca="false">Summary!$O$23</f>
        <v>3.75</v>
      </c>
      <c r="M181" s="223" t="n">
        <f aca="false">Summary!$J$57</f>
        <v>1.75</v>
      </c>
      <c r="N181" s="164" t="n">
        <f aca="false">IF(C181&gt;0,C181-J181,0)</f>
        <v>28.4959486311541</v>
      </c>
      <c r="O181" s="223" t="n">
        <f aca="false">IF(N181&gt;0,IF(N181-SUM(K181:M181)&gt;0,N181-SUM(K181:M181),0),0)</f>
        <v>19.2459486311541</v>
      </c>
      <c r="P181" s="223" t="n">
        <f aca="false">O181*D181</f>
        <v>414902.370717198</v>
      </c>
      <c r="Q181" s="164" t="n">
        <f aca="false">IF(A181&lt;=Summary!$J$61,0.5*(P181),$Q$2*(P181))</f>
        <v>0</v>
      </c>
      <c r="R181" s="223" t="n">
        <f aca="false">Summary!$J$58</f>
        <v>0.5</v>
      </c>
      <c r="S181" s="223" t="n">
        <f aca="false">J181+(K181+L181+R181)</f>
        <v>40.6089457819934</v>
      </c>
      <c r="T181" s="224" t="n">
        <f aca="false">IF(D181*(C181-S181)-Q181&gt;0,D181*(C181-S181)-Q181,0)</f>
        <v>441849.754467198</v>
      </c>
      <c r="U181" s="225" t="n">
        <f aca="false">Summary!$J$59</f>
        <v>0.121048781448</v>
      </c>
      <c r="V181" s="224" t="n">
        <f aca="false">IF(A181&lt;=Summary!$J$61,(0.2*T181)+(R181*D181),(U181*T181)+(R181*D181))</f>
        <v>64264.3278613523</v>
      </c>
      <c r="W181" s="226" t="n">
        <f aca="false">C181*D181</f>
        <v>1317293.63100345</v>
      </c>
    </row>
    <row r="182" customFormat="false" ht="12.75" hidden="false" customHeight="false" outlineLevel="0" collapsed="false">
      <c r="A182" s="220" t="n">
        <v>41913</v>
      </c>
      <c r="B182" s="221" t="n">
        <f aca="false">YEAR(A182)</f>
        <v>2014</v>
      </c>
      <c r="C182" s="164" t="n">
        <f aca="false">CALC!HH194</f>
        <v>52.5723377887035</v>
      </c>
      <c r="D182" s="222" t="n">
        <f aca="false">IF(Summary!$O$109=0,CALC!HE194,0)</f>
        <v>20950.521525</v>
      </c>
      <c r="E182" s="222" t="n">
        <f aca="false">SUM(CALC!GU194:HB194)*CALC!CY194/1000</f>
        <v>94688.2720677331</v>
      </c>
      <c r="F182" s="223" t="n">
        <f aca="false">Summary!$J$54</f>
        <v>0.15</v>
      </c>
      <c r="G182" s="164" t="n">
        <f aca="false">VLOOKUP(A182,CURVES!AW183:$BS$283,16)</f>
        <v>3.80838807728858</v>
      </c>
      <c r="H182" s="223" t="n">
        <f aca="false">Summary!$J$60</f>
        <v>0.04</v>
      </c>
      <c r="I182" s="165" t="n">
        <f aca="false">Summary!$J$55</f>
        <v>8.5</v>
      </c>
      <c r="J182" s="164" t="n">
        <f aca="false">I182*SUM(F182:H182)</f>
        <v>33.986298656953</v>
      </c>
      <c r="K182" s="223" t="n">
        <f aca="false">Summary!$J$56</f>
        <v>3.75</v>
      </c>
      <c r="L182" s="0" t="n">
        <f aca="false">Summary!$O$23</f>
        <v>3.75</v>
      </c>
      <c r="M182" s="223" t="n">
        <f aca="false">Summary!$J$57</f>
        <v>1.75</v>
      </c>
      <c r="N182" s="164" t="n">
        <f aca="false">IF(C182&gt;0,C182-J182,0)</f>
        <v>18.5860391317505</v>
      </c>
      <c r="O182" s="223" t="n">
        <f aca="false">IF(N182&gt;0,IF(N182-SUM(K182:M182)&gt;0,N182-SUM(K182:M182),0),0)</f>
        <v>9.3360391317505</v>
      </c>
      <c r="P182" s="223" t="n">
        <f aca="false">O182*D182</f>
        <v>195594.888787981</v>
      </c>
      <c r="Q182" s="164" t="n">
        <f aca="false">IF(A182&lt;=Summary!$J$61,0.5*(P182),$Q$2*(P182))</f>
        <v>0</v>
      </c>
      <c r="R182" s="223" t="n">
        <f aca="false">Summary!$J$58</f>
        <v>0.5</v>
      </c>
      <c r="S182" s="223" t="n">
        <f aca="false">J182+(K182+L182+R182)</f>
        <v>41.986298656953</v>
      </c>
      <c r="T182" s="224" t="n">
        <f aca="false">IF(D182*(C182-S182)-Q182&gt;0,D182*(C182-S182)-Q182,0)</f>
        <v>221783.040694231</v>
      </c>
      <c r="U182" s="225" t="n">
        <f aca="false">Summary!$J$59</f>
        <v>0.121048781448</v>
      </c>
      <c r="V182" s="224" t="n">
        <f aca="false">IF(A182&lt;=Summary!$J$61,(0.2*T182)+(R182*D182),(U182*T182)+(R182*D182))</f>
        <v>37321.8275843689</v>
      </c>
      <c r="W182" s="226" t="n">
        <f aca="false">C182*D182</f>
        <v>1101417.8944618</v>
      </c>
    </row>
    <row r="183" customFormat="false" ht="12.75" hidden="false" customHeight="false" outlineLevel="0" collapsed="false">
      <c r="A183" s="220" t="n">
        <v>41944</v>
      </c>
      <c r="B183" s="221" t="n">
        <f aca="false">YEAR(A183)</f>
        <v>2014</v>
      </c>
      <c r="C183" s="164" t="n">
        <f aca="false">CALC!HH195</f>
        <v>53.2521251784814</v>
      </c>
      <c r="D183" s="222" t="n">
        <f aca="false">IF(Summary!$O$109=0,CALC!HE195,0)</f>
        <v>20274.69825</v>
      </c>
      <c r="E183" s="222" t="n">
        <f aca="false">SUM(CALC!GU195:HB195)*CALC!CY195/1000</f>
        <v>91649.1928550004</v>
      </c>
      <c r="F183" s="223" t="n">
        <f aca="false">Summary!$J$54</f>
        <v>0.15</v>
      </c>
      <c r="G183" s="164" t="n">
        <f aca="false">VLOOKUP(A183,CURVES!AW184:$BS$283,16)</f>
        <v>3.96817722075009</v>
      </c>
      <c r="H183" s="223" t="n">
        <f aca="false">Summary!$J$60</f>
        <v>0.04</v>
      </c>
      <c r="I183" s="165" t="n">
        <f aca="false">Summary!$J$55</f>
        <v>8.5</v>
      </c>
      <c r="J183" s="164" t="n">
        <f aca="false">I183*SUM(F183:H183)</f>
        <v>35.3445063763758</v>
      </c>
      <c r="K183" s="223" t="n">
        <f aca="false">Summary!$J$56</f>
        <v>3.75</v>
      </c>
      <c r="L183" s="0" t="n">
        <f aca="false">Summary!$O$23</f>
        <v>3.75</v>
      </c>
      <c r="M183" s="223" t="n">
        <f aca="false">Summary!$J$57</f>
        <v>1.75</v>
      </c>
      <c r="N183" s="164" t="n">
        <f aca="false">IF(C183&gt;0,C183-J183,0)</f>
        <v>17.9076188021057</v>
      </c>
      <c r="O183" s="223" t="n">
        <f aca="false">IF(N183&gt;0,IF(N183-SUM(K183:M183)&gt;0,N183-SUM(K183:M183),0),0)</f>
        <v>8.65761880210566</v>
      </c>
      <c r="P183" s="223" t="n">
        <f aca="false">O183*D183</f>
        <v>175530.608776219</v>
      </c>
      <c r="Q183" s="164" t="n">
        <f aca="false">IF(A183&lt;=Summary!$J$61,0.5*(P183),$Q$2*(P183))</f>
        <v>0</v>
      </c>
      <c r="R183" s="223" t="n">
        <f aca="false">Summary!$J$58</f>
        <v>0.5</v>
      </c>
      <c r="S183" s="223" t="n">
        <f aca="false">J183+(K183+L183+R183)</f>
        <v>43.3445063763758</v>
      </c>
      <c r="T183" s="224" t="n">
        <f aca="false">IF(D183*(C183-S183)-Q183&gt;0,D183*(C183-S183)-Q183,0)</f>
        <v>200873.981588719</v>
      </c>
      <c r="U183" s="225" t="n">
        <f aca="false">Summary!$J$59</f>
        <v>0.121048781448</v>
      </c>
      <c r="V183" s="224" t="n">
        <f aca="false">IF(A183&lt;=Summary!$J$61,(0.2*T183)+(R183*D183),(U183*T183)+(R183*D183))</f>
        <v>34452.8998209224</v>
      </c>
      <c r="W183" s="226" t="n">
        <f aca="false">C183*D183</f>
        <v>1079670.76916494</v>
      </c>
    </row>
    <row r="184" customFormat="false" ht="12.75" hidden="false" customHeight="false" outlineLevel="0" collapsed="false">
      <c r="A184" s="220" t="n">
        <v>41974</v>
      </c>
      <c r="B184" s="221" t="n">
        <f aca="false">YEAR(A184)</f>
        <v>2014</v>
      </c>
      <c r="C184" s="164" t="n">
        <f aca="false">CALC!HH196</f>
        <v>51.3141266823745</v>
      </c>
      <c r="D184" s="222" t="n">
        <f aca="false">IF(Summary!$O$109=0,CALC!HE196,0)</f>
        <v>20950.521525</v>
      </c>
      <c r="E184" s="222" t="n">
        <f aca="false">SUM(CALC!GU196:HB196)*CALC!CY196/1000</f>
        <v>94720.0598326011</v>
      </c>
      <c r="F184" s="223" t="n">
        <f aca="false">Summary!$J$54</f>
        <v>0.15</v>
      </c>
      <c r="G184" s="164" t="n">
        <f aca="false">VLOOKUP(A184,CURVES!AW185:$BS$283,16)</f>
        <v>4.13696404075553</v>
      </c>
      <c r="H184" s="223" t="n">
        <f aca="false">Summary!$J$60</f>
        <v>0.04</v>
      </c>
      <c r="I184" s="165" t="n">
        <f aca="false">Summary!$J$55</f>
        <v>8.5</v>
      </c>
      <c r="J184" s="164" t="n">
        <f aca="false">I184*SUM(F184:H184)</f>
        <v>36.779194346422</v>
      </c>
      <c r="K184" s="223" t="n">
        <f aca="false">Summary!$J$56</f>
        <v>3.75</v>
      </c>
      <c r="L184" s="0" t="n">
        <f aca="false">Summary!$O$23</f>
        <v>3.75</v>
      </c>
      <c r="M184" s="223" t="n">
        <f aca="false">Summary!$J$57</f>
        <v>1.75</v>
      </c>
      <c r="N184" s="164" t="n">
        <f aca="false">IF(C184&gt;0,C184-J184,0)</f>
        <v>14.5349323359526</v>
      </c>
      <c r="O184" s="223" t="n">
        <f aca="false">IF(N184&gt;0,IF(N184-SUM(K184:M184)&gt;0,N184-SUM(K184:M184),0),0)</f>
        <v>5.28493233595256</v>
      </c>
      <c r="P184" s="223" t="n">
        <f aca="false">O184*D184</f>
        <v>110722.088662543</v>
      </c>
      <c r="Q184" s="164" t="n">
        <f aca="false">IF(A184&lt;=Summary!$J$61,0.5*(P184),$Q$2*(P184))</f>
        <v>0</v>
      </c>
      <c r="R184" s="223" t="n">
        <f aca="false">Summary!$J$58</f>
        <v>0.5</v>
      </c>
      <c r="S184" s="223" t="n">
        <f aca="false">J184+(K184+L184+R184)</f>
        <v>44.779194346422</v>
      </c>
      <c r="T184" s="224" t="n">
        <f aca="false">IF(D184*(C184-S184)-Q184&gt;0,D184*(C184-S184)-Q184,0)</f>
        <v>136910.240568793</v>
      </c>
      <c r="U184" s="225" t="n">
        <f aca="false">Summary!$J$59</f>
        <v>0.121048781448</v>
      </c>
      <c r="V184" s="224" t="n">
        <f aca="false">IF(A184&lt;=Summary!$J$61,(0.2*T184)+(R184*D184),(U184*T184)+(R184*D184))</f>
        <v>27048.0785511049</v>
      </c>
      <c r="W184" s="226" t="n">
        <f aca="false">C184*D184</f>
        <v>1075057.71559566</v>
      </c>
    </row>
    <row r="185" customFormat="false" ht="12.75" hidden="false" customHeight="false" outlineLevel="0" collapsed="false">
      <c r="A185" s="220" t="n">
        <v>42005</v>
      </c>
      <c r="B185" s="221" t="n">
        <f aca="false">YEAR(A185)</f>
        <v>2015</v>
      </c>
      <c r="C185" s="164" t="n">
        <f aca="false">CALC!HH197</f>
        <v>50.9870712141693</v>
      </c>
      <c r="D185" s="222" t="n">
        <f aca="false">IF(Summary!$O$109=0,CALC!HE197,0)</f>
        <v>20950.521525</v>
      </c>
      <c r="E185" s="222" t="n">
        <f aca="false">SUM(CALC!GU197:HB197)*CALC!CY197/1000</f>
        <v>94735.9537150351</v>
      </c>
      <c r="F185" s="223" t="n">
        <f aca="false">Summary!$J$54</f>
        <v>0.15</v>
      </c>
      <c r="G185" s="164" t="n">
        <f aca="false">VLOOKUP(A185,CURVES!AW186:$BS$283,16)</f>
        <v>3.91776204499126</v>
      </c>
      <c r="H185" s="223" t="n">
        <f aca="false">Summary!$J$60</f>
        <v>0.04</v>
      </c>
      <c r="I185" s="165" t="n">
        <f aca="false">Summary!$J$55</f>
        <v>8.5</v>
      </c>
      <c r="J185" s="164" t="n">
        <f aca="false">I185*SUM(F185:H185)</f>
        <v>34.9159773824257</v>
      </c>
      <c r="K185" s="223" t="n">
        <f aca="false">Summary!$J$56</f>
        <v>3.75</v>
      </c>
      <c r="L185" s="0" t="n">
        <f aca="false">Summary!$O$23</f>
        <v>3.75</v>
      </c>
      <c r="M185" s="223" t="n">
        <f aca="false">Summary!$J$57</f>
        <v>1.75</v>
      </c>
      <c r="N185" s="164" t="n">
        <f aca="false">IF(C185&gt;0,C185-J185,0)</f>
        <v>16.0710938317435</v>
      </c>
      <c r="O185" s="223" t="n">
        <f aca="false">IF(N185&gt;0,IF(N185-SUM(K185:M185)&gt;0,N185-SUM(K185:M185),0),0)</f>
        <v>6.82109383174354</v>
      </c>
      <c r="P185" s="223" t="n">
        <f aca="false">O185*D185</f>
        <v>142905.473145988</v>
      </c>
      <c r="Q185" s="164" t="n">
        <f aca="false">IF(A185&lt;=Summary!$J$61,0.5*(P185),$Q$2*(P185))</f>
        <v>0</v>
      </c>
      <c r="R185" s="223" t="n">
        <f aca="false">Summary!$J$58</f>
        <v>0.5</v>
      </c>
      <c r="S185" s="223" t="n">
        <f aca="false">J185+(K185+L185+R185)</f>
        <v>42.9159773824257</v>
      </c>
      <c r="T185" s="224" t="n">
        <f aca="false">IF(D185*(C185-S185)-Q185&gt;0,D185*(C185-S185)-Q185,0)</f>
        <v>169093.625052238</v>
      </c>
      <c r="U185" s="225" t="n">
        <f aca="false">Summary!$J$59</f>
        <v>0.121048781448</v>
      </c>
      <c r="V185" s="224" t="n">
        <f aca="false">IF(A185&lt;=Summary!$J$61,(0.2*T185)+(R185*D185),(U185*T185)+(R185*D185))</f>
        <v>30943.8380256984</v>
      </c>
      <c r="W185" s="226" t="n">
        <f aca="false">C185*D185</f>
        <v>1068205.73296916</v>
      </c>
    </row>
    <row r="186" customFormat="false" ht="12.75" hidden="false" customHeight="false" outlineLevel="0" collapsed="false">
      <c r="A186" s="220" t="n">
        <v>42036</v>
      </c>
      <c r="B186" s="221" t="n">
        <f aca="false">YEAR(A186)</f>
        <v>2015</v>
      </c>
      <c r="C186" s="164" t="n">
        <f aca="false">CALC!HH198</f>
        <v>42.77189276678</v>
      </c>
      <c r="D186" s="222" t="n">
        <f aca="false">IF(Summary!$O$109=0,CALC!HE198,0)</f>
        <v>18923.0517</v>
      </c>
      <c r="E186" s="222" t="n">
        <f aca="false">SUM(CALC!GU198:HB198)*CALC!CY198/1000</f>
        <v>85582.3139590044</v>
      </c>
      <c r="F186" s="223" t="n">
        <f aca="false">Summary!$J$54</f>
        <v>0.15</v>
      </c>
      <c r="G186" s="164" t="n">
        <f aca="false">VLOOKUP(A186,CURVES!AW187:$BS$283,16)</f>
        <v>3.61851254141419</v>
      </c>
      <c r="H186" s="223" t="n">
        <f aca="false">Summary!$J$60</f>
        <v>0.04</v>
      </c>
      <c r="I186" s="165" t="n">
        <f aca="false">Summary!$J$55</f>
        <v>8.5</v>
      </c>
      <c r="J186" s="164" t="n">
        <f aca="false">I186*SUM(F186:H186)</f>
        <v>32.3723566020206</v>
      </c>
      <c r="K186" s="223" t="n">
        <f aca="false">Summary!$J$56</f>
        <v>3.75</v>
      </c>
      <c r="L186" s="0" t="n">
        <f aca="false">Summary!$O$23</f>
        <v>3.75</v>
      </c>
      <c r="M186" s="223" t="n">
        <f aca="false">Summary!$J$57</f>
        <v>1.75</v>
      </c>
      <c r="N186" s="164" t="n">
        <f aca="false">IF(C186&gt;0,C186-J186,0)</f>
        <v>10.3995361647593</v>
      </c>
      <c r="O186" s="223" t="n">
        <f aca="false">IF(N186&gt;0,IF(N186-SUM(K186:M186)&gt;0,N186-SUM(K186:M186),0),0)</f>
        <v>1.14953616475935</v>
      </c>
      <c r="P186" s="223" t="n">
        <f aca="false">O186*D186</f>
        <v>21752.7322767608</v>
      </c>
      <c r="Q186" s="164" t="n">
        <f aca="false">IF(A186&lt;=Summary!$J$61,0.5*(P186),$Q$2*(P186))</f>
        <v>0</v>
      </c>
      <c r="R186" s="223" t="n">
        <f aca="false">Summary!$J$58</f>
        <v>0.5</v>
      </c>
      <c r="S186" s="223" t="n">
        <f aca="false">J186+(K186+L186+R186)</f>
        <v>40.3723566020206</v>
      </c>
      <c r="T186" s="224" t="n">
        <f aca="false">IF(D186*(C186-S186)-Q186&gt;0,D186*(C186-S186)-Q186,0)</f>
        <v>45406.5469017608</v>
      </c>
      <c r="U186" s="225" t="n">
        <f aca="false">Summary!$J$59</f>
        <v>0.121048781448</v>
      </c>
      <c r="V186" s="224" t="n">
        <f aca="false">IF(A186&lt;=Summary!$J$61,(0.2*T186)+(R186*D186),(U186*T186)+(R186*D186))</f>
        <v>14957.9330222196</v>
      </c>
      <c r="W186" s="226" t="n">
        <f aca="false">C186*D186</f>
        <v>809374.738132634</v>
      </c>
    </row>
    <row r="187" customFormat="false" ht="12.75" hidden="false" customHeight="false" outlineLevel="0" collapsed="false">
      <c r="A187" s="220" t="n">
        <v>42064</v>
      </c>
      <c r="B187" s="221" t="n">
        <f aca="false">YEAR(A187)</f>
        <v>2015</v>
      </c>
      <c r="C187" s="164" t="n">
        <f aca="false">CALC!HH199</f>
        <v>41.2630136580071</v>
      </c>
      <c r="D187" s="222" t="n">
        <f aca="false">IF(Summary!$O$109=0,CALC!HE199,0)</f>
        <v>20950.521525</v>
      </c>
      <c r="E187" s="222" t="n">
        <f aca="false">SUM(CALC!GU199:HB199)*CALC!CY199/1000</f>
        <v>94767.7414799031</v>
      </c>
      <c r="F187" s="223" t="n">
        <f aca="false">Summary!$J$54</f>
        <v>0.15</v>
      </c>
      <c r="G187" s="164" t="n">
        <f aca="false">VLOOKUP(A187,CURVES!AW188:$BS$283,16)</f>
        <v>3.42425832791002</v>
      </c>
      <c r="H187" s="223" t="n">
        <f aca="false">Summary!$J$60</f>
        <v>0.04</v>
      </c>
      <c r="I187" s="165" t="n">
        <f aca="false">Summary!$J$55</f>
        <v>8.5</v>
      </c>
      <c r="J187" s="164" t="n">
        <f aca="false">I187*SUM(F187:H187)</f>
        <v>30.7211957872352</v>
      </c>
      <c r="K187" s="223" t="n">
        <f aca="false">Summary!$J$56</f>
        <v>3.75</v>
      </c>
      <c r="L187" s="0" t="n">
        <f aca="false">Summary!$O$23</f>
        <v>3.75</v>
      </c>
      <c r="M187" s="223" t="n">
        <f aca="false">Summary!$J$57</f>
        <v>1.75</v>
      </c>
      <c r="N187" s="164" t="n">
        <f aca="false">IF(C187&gt;0,C187-J187,0)</f>
        <v>10.5418178707719</v>
      </c>
      <c r="O187" s="223" t="n">
        <f aca="false">IF(N187&gt;0,IF(N187-SUM(K187:M187)&gt;0,N187-SUM(K187:M187),0),0)</f>
        <v>1.29181787077192</v>
      </c>
      <c r="P187" s="223" t="n">
        <f aca="false">O187*D187</f>
        <v>27064.2581079868</v>
      </c>
      <c r="Q187" s="164" t="n">
        <f aca="false">IF(A187&lt;=Summary!$J$61,0.5*(P187),$Q$2*(P187))</f>
        <v>0</v>
      </c>
      <c r="R187" s="223" t="n">
        <f aca="false">Summary!$J$58</f>
        <v>0.5</v>
      </c>
      <c r="S187" s="223" t="n">
        <f aca="false">J187+(K187+L187+R187)</f>
        <v>38.7211957872352</v>
      </c>
      <c r="T187" s="224" t="n">
        <f aca="false">IF(D187*(C187-S187)-Q187&gt;0,D187*(C187-S187)-Q187,0)</f>
        <v>53252.4100142368</v>
      </c>
      <c r="U187" s="225" t="n">
        <f aca="false">Summary!$J$59</f>
        <v>0.121048781448</v>
      </c>
      <c r="V187" s="224" t="n">
        <f aca="false">IF(A187&lt;=Summary!$J$61,(0.2*T187)+(R187*D187),(U187*T187)+(R187*D187))</f>
        <v>16921.4001038926</v>
      </c>
      <c r="W187" s="226" t="n">
        <f aca="false">C187*D187</f>
        <v>864481.655828447</v>
      </c>
    </row>
    <row r="188" customFormat="false" ht="12.75" hidden="false" customHeight="false" outlineLevel="0" collapsed="false">
      <c r="A188" s="220" t="n">
        <v>42095</v>
      </c>
      <c r="B188" s="221" t="n">
        <f aca="false">YEAR(A188)</f>
        <v>2015</v>
      </c>
      <c r="C188" s="164" t="n">
        <f aca="false">CALC!HH200</f>
        <v>39.1637506424313</v>
      </c>
      <c r="D188" s="222" t="n">
        <f aca="false">IF(Summary!$O$109=0,CALC!HE200,0)</f>
        <v>20274.69825</v>
      </c>
      <c r="E188" s="222" t="n">
        <f aca="false">SUM(CALC!GU200:HB200)*CALC!CY200/1000</f>
        <v>91726.0987377456</v>
      </c>
      <c r="F188" s="223" t="n">
        <f aca="false">Summary!$J$54</f>
        <v>0.15</v>
      </c>
      <c r="G188" s="164" t="n">
        <f aca="false">VLOOKUP(A188,CURVES!AW189:$BS$283,16)</f>
        <v>3.32152813358933</v>
      </c>
      <c r="H188" s="223" t="n">
        <f aca="false">Summary!$J$60</f>
        <v>0.04</v>
      </c>
      <c r="I188" s="165" t="n">
        <f aca="false">Summary!$J$55</f>
        <v>8.5</v>
      </c>
      <c r="J188" s="164" t="n">
        <f aca="false">I188*SUM(F188:H188)</f>
        <v>29.8479891355093</v>
      </c>
      <c r="K188" s="223" t="n">
        <f aca="false">Summary!$J$56</f>
        <v>3.75</v>
      </c>
      <c r="L188" s="0" t="n">
        <f aca="false">Summary!$O$23</f>
        <v>3.75</v>
      </c>
      <c r="M188" s="223" t="n">
        <f aca="false">Summary!$J$57</f>
        <v>1.75</v>
      </c>
      <c r="N188" s="164" t="n">
        <f aca="false">IF(C188&gt;0,C188-J188,0)</f>
        <v>9.31576150692195</v>
      </c>
      <c r="O188" s="223" t="n">
        <f aca="false">IF(N188&gt;0,IF(N188-SUM(K188:M188)&gt;0,N188-SUM(K188:M188),0),0)</f>
        <v>0.0657615069219446</v>
      </c>
      <c r="P188" s="223" t="n">
        <f aca="false">O188*D188</f>
        <v>1333.29470930771</v>
      </c>
      <c r="Q188" s="164" t="n">
        <f aca="false">IF(A188&lt;=Summary!$J$61,0.5*(P188),$Q$2*(P188))</f>
        <v>0</v>
      </c>
      <c r="R188" s="223" t="n">
        <f aca="false">Summary!$J$58</f>
        <v>0.5</v>
      </c>
      <c r="S188" s="223" t="n">
        <f aca="false">J188+(K188+L188+R188)</f>
        <v>37.8479891355093</v>
      </c>
      <c r="T188" s="224" t="n">
        <f aca="false">IF(D188*(C188-S188)-Q188&gt;0,D188*(C188-S188)-Q188,0)</f>
        <v>26676.6675218077</v>
      </c>
      <c r="U188" s="225" t="n">
        <f aca="false">Summary!$J$59</f>
        <v>0.121048781448</v>
      </c>
      <c r="V188" s="224" t="n">
        <f aca="false">IF(A188&lt;=Summary!$J$61,(0.2*T188)+(R188*D188),(U188*T188)+(R188*D188))</f>
        <v>13366.5272216083</v>
      </c>
      <c r="W188" s="226" t="n">
        <f aca="false">C188*D188</f>
        <v>794033.226613537</v>
      </c>
    </row>
    <row r="189" customFormat="false" ht="12.75" hidden="false" customHeight="false" outlineLevel="0" collapsed="false">
      <c r="A189" s="220" t="n">
        <v>42125</v>
      </c>
      <c r="B189" s="221" t="n">
        <f aca="false">YEAR(A189)</f>
        <v>2015</v>
      </c>
      <c r="C189" s="164" t="n">
        <f aca="false">CALC!HH201</f>
        <v>41.3483362723436</v>
      </c>
      <c r="D189" s="222" t="n">
        <f aca="false">IF(Summary!$O$109=0,CALC!HE201,0)</f>
        <v>22276.5039</v>
      </c>
      <c r="E189" s="222" t="n">
        <f aca="false">SUM(CALC!GU201:HB201)*CALC!CY201/1000</f>
        <v>74190.9359306905</v>
      </c>
      <c r="F189" s="223" t="n">
        <f aca="false">Summary!$J$54</f>
        <v>0.15</v>
      </c>
      <c r="G189" s="164" t="n">
        <f aca="false">VLOOKUP(A189,CURVES!AW190:$BS$283,16)</f>
        <v>3.29647819586819</v>
      </c>
      <c r="H189" s="223" t="n">
        <f aca="false">Summary!$J$60</f>
        <v>0.04</v>
      </c>
      <c r="I189" s="165" t="n">
        <f aca="false">Summary!$J$55</f>
        <v>8.5</v>
      </c>
      <c r="J189" s="164" t="n">
        <f aca="false">I189*SUM(F189:H189)</f>
        <v>29.6350646648797</v>
      </c>
      <c r="K189" s="223" t="n">
        <f aca="false">Summary!$J$56</f>
        <v>3.75</v>
      </c>
      <c r="L189" s="0" t="n">
        <f aca="false">Summary!$O$23</f>
        <v>3.75</v>
      </c>
      <c r="M189" s="223" t="n">
        <f aca="false">Summary!$J$57</f>
        <v>1.75</v>
      </c>
      <c r="N189" s="164" t="n">
        <f aca="false">IF(C189&gt;0,C189-J189,0)</f>
        <v>11.713271607464</v>
      </c>
      <c r="O189" s="223" t="n">
        <f aca="false">IF(N189&gt;0,IF(N189-SUM(K189:M189)&gt;0,N189-SUM(K189:M189),0),0)</f>
        <v>2.46327160746397</v>
      </c>
      <c r="P189" s="223" t="n">
        <f aca="false">O189*D189</f>
        <v>54873.0795704305</v>
      </c>
      <c r="Q189" s="164" t="n">
        <f aca="false">IF(A189&lt;=Summary!$J$61,0.5*(P189),$Q$2*(P189))</f>
        <v>0</v>
      </c>
      <c r="R189" s="223" t="n">
        <f aca="false">Summary!$J$58</f>
        <v>0.5</v>
      </c>
      <c r="S189" s="223" t="n">
        <f aca="false">J189+(K189+L189+R189)</f>
        <v>37.6350646648797</v>
      </c>
      <c r="T189" s="224" t="n">
        <f aca="false">IF(D189*(C189-S189)-Q189&gt;0,D189*(C189-S189)-Q189,0)</f>
        <v>82718.7094454305</v>
      </c>
      <c r="U189" s="225" t="n">
        <f aca="false">Summary!$J$59</f>
        <v>0.121048781448</v>
      </c>
      <c r="V189" s="224" t="n">
        <f aca="false">IF(A189&lt;=Summary!$J$61,(0.2*T189)+(R189*D189),(U189*T189)+(R189*D189))</f>
        <v>21151.2509313205</v>
      </c>
      <c r="W189" s="226" t="n">
        <f aca="false">C189*D189</f>
        <v>921096.374229374</v>
      </c>
    </row>
    <row r="190" customFormat="false" ht="12.75" hidden="false" customHeight="false" outlineLevel="0" collapsed="false">
      <c r="A190" s="220" t="n">
        <v>42156</v>
      </c>
      <c r="B190" s="221" t="n">
        <f aca="false">YEAR(A190)</f>
        <v>2015</v>
      </c>
      <c r="C190" s="164" t="n">
        <f aca="false">CALC!HH202</f>
        <v>43.6336375973778</v>
      </c>
      <c r="D190" s="222" t="n">
        <f aca="false">IF(Summary!$O$109=0,CALC!HE202,0)</f>
        <v>21557.907</v>
      </c>
      <c r="E190" s="222" t="n">
        <f aca="false">SUM(CALC!GU202:HB202)*CALC!CY202/1000</f>
        <v>71809.7173754429</v>
      </c>
      <c r="F190" s="223" t="n">
        <f aca="false">Summary!$J$54</f>
        <v>0.15</v>
      </c>
      <c r="G190" s="164" t="n">
        <f aca="false">VLOOKUP(A190,CURVES!AW191:$BS$283,16)</f>
        <v>3.33629774935247</v>
      </c>
      <c r="H190" s="223" t="n">
        <f aca="false">Summary!$J$60</f>
        <v>0.04</v>
      </c>
      <c r="I190" s="165" t="n">
        <f aca="false">Summary!$J$55</f>
        <v>8.5</v>
      </c>
      <c r="J190" s="164" t="n">
        <f aca="false">I190*SUM(F190:H190)</f>
        <v>29.973530869496</v>
      </c>
      <c r="K190" s="223" t="n">
        <f aca="false">Summary!$J$56</f>
        <v>3.75</v>
      </c>
      <c r="L190" s="0" t="n">
        <f aca="false">Summary!$O$23</f>
        <v>3.75</v>
      </c>
      <c r="M190" s="223" t="n">
        <f aca="false">Summary!$J$57</f>
        <v>1.75</v>
      </c>
      <c r="N190" s="164" t="n">
        <f aca="false">IF(C190&gt;0,C190-J190,0)</f>
        <v>13.6601067278818</v>
      </c>
      <c r="O190" s="223" t="n">
        <f aca="false">IF(N190&gt;0,IF(N190-SUM(K190:M190)&gt;0,N190-SUM(K190:M190),0),0)</f>
        <v>4.4101067278818</v>
      </c>
      <c r="P190" s="223" t="n">
        <f aca="false">O190*D190</f>
        <v>95072.6706997501</v>
      </c>
      <c r="Q190" s="164" t="n">
        <f aca="false">IF(A190&lt;=Summary!$J$61,0.5*(P190),$Q$2*(P190))</f>
        <v>0</v>
      </c>
      <c r="R190" s="223" t="n">
        <f aca="false">Summary!$J$58</f>
        <v>0.5</v>
      </c>
      <c r="S190" s="223" t="n">
        <f aca="false">J190+(K190+L190+R190)</f>
        <v>37.973530869496</v>
      </c>
      <c r="T190" s="224" t="n">
        <f aca="false">IF(D190*(C190-S190)-Q190&gt;0,D190*(C190-S190)-Q190,0)</f>
        <v>122020.05444975</v>
      </c>
      <c r="U190" s="225" t="n">
        <f aca="false">Summary!$J$59</f>
        <v>0.121048781448</v>
      </c>
      <c r="V190" s="224" t="n">
        <f aca="false">IF(A190&lt;=Summary!$J$61,(0.2*T190)+(R190*D190),(U190*T190)+(R190*D190))</f>
        <v>25549.3324033609</v>
      </c>
      <c r="W190" s="226" t="n">
        <f aca="false">C190*D190</f>
        <v>940649.901395973</v>
      </c>
    </row>
    <row r="191" customFormat="false" ht="12.75" hidden="false" customHeight="false" outlineLevel="0" collapsed="false">
      <c r="A191" s="220" t="n">
        <v>42186</v>
      </c>
      <c r="B191" s="221" t="n">
        <f aca="false">YEAR(A191)</f>
        <v>2015</v>
      </c>
      <c r="C191" s="164" t="n">
        <f aca="false">CALC!HH203</f>
        <v>59.0212746279005</v>
      </c>
      <c r="D191" s="222" t="n">
        <f aca="false">IF(Summary!$O$109=0,CALC!HE203,0)</f>
        <v>22276.5039</v>
      </c>
      <c r="E191" s="222" t="n">
        <f aca="false">SUM(CALC!GU203:HB203)*CALC!CY203/1000</f>
        <v>74215.8133118915</v>
      </c>
      <c r="F191" s="223" t="n">
        <f aca="false">Summary!$J$54</f>
        <v>0.15</v>
      </c>
      <c r="G191" s="164" t="n">
        <f aca="false">VLOOKUP(A191,CURVES!AW192:$BS$283,16)</f>
        <v>3.42736563425316</v>
      </c>
      <c r="H191" s="223" t="n">
        <f aca="false">Summary!$J$60</f>
        <v>0.04</v>
      </c>
      <c r="I191" s="165" t="n">
        <f aca="false">Summary!$J$55</f>
        <v>8.5</v>
      </c>
      <c r="J191" s="164" t="n">
        <f aca="false">I191*SUM(F191:H191)</f>
        <v>30.7476078911519</v>
      </c>
      <c r="K191" s="223" t="n">
        <f aca="false">Summary!$J$56</f>
        <v>3.75</v>
      </c>
      <c r="L191" s="0" t="n">
        <f aca="false">Summary!$O$23</f>
        <v>3.75</v>
      </c>
      <c r="M191" s="223" t="n">
        <f aca="false">Summary!$J$57</f>
        <v>1.75</v>
      </c>
      <c r="N191" s="164" t="n">
        <f aca="false">IF(C191&gt;0,C191-J191,0)</f>
        <v>28.2736667367486</v>
      </c>
      <c r="O191" s="223" t="n">
        <f aca="false">IF(N191&gt;0,IF(N191-SUM(K191:M191)&gt;0,N191-SUM(K191:M191),0),0)</f>
        <v>19.0236667367486</v>
      </c>
      <c r="P191" s="223" t="n">
        <f aca="false">O191*D191</f>
        <v>423780.786253481</v>
      </c>
      <c r="Q191" s="164" t="n">
        <f aca="false">IF(A191&lt;=Summary!$J$61,0.5*(P191),$Q$2*(P191))</f>
        <v>0</v>
      </c>
      <c r="R191" s="223" t="n">
        <f aca="false">Summary!$J$58</f>
        <v>0.5</v>
      </c>
      <c r="S191" s="223" t="n">
        <f aca="false">J191+(K191+L191+R191)</f>
        <v>38.7476078911519</v>
      </c>
      <c r="T191" s="224" t="n">
        <f aca="false">IF(D191*(C191-S191)-Q191&gt;0,D191*(C191-S191)-Q191,0)</f>
        <v>451626.416128481</v>
      </c>
      <c r="U191" s="225" t="n">
        <f aca="false">Summary!$J$59</f>
        <v>0.121048781448</v>
      </c>
      <c r="V191" s="224" t="n">
        <f aca="false">IF(A191&lt;=Summary!$J$61,(0.2*T191)+(R191*D191),(U191*T191)+(R191*D191))</f>
        <v>65807.07929208</v>
      </c>
      <c r="W191" s="226" t="n">
        <f aca="false">C191*D191</f>
        <v>1314787.6544314</v>
      </c>
    </row>
    <row r="192" customFormat="false" ht="12.75" hidden="false" customHeight="false" outlineLevel="0" collapsed="false">
      <c r="A192" s="220" t="n">
        <v>42217</v>
      </c>
      <c r="B192" s="221" t="n">
        <f aca="false">YEAR(A192)</f>
        <v>2015</v>
      </c>
      <c r="C192" s="164" t="n">
        <f aca="false">CALC!HH204</f>
        <v>73.0093857651104</v>
      </c>
      <c r="D192" s="222" t="n">
        <f aca="false">IF(Summary!$O$109=0,CALC!HE204,0)</f>
        <v>22276.5039</v>
      </c>
      <c r="E192" s="222" t="n">
        <f aca="false">SUM(CALC!GU204:HB204)*CALC!CY204/1000</f>
        <v>74228.252002492</v>
      </c>
      <c r="F192" s="223" t="n">
        <f aca="false">Summary!$J$54</f>
        <v>0.15</v>
      </c>
      <c r="G192" s="164" t="n">
        <f aca="false">VLOOKUP(A192,CURVES!AW193:$BS$283,16)</f>
        <v>3.55670094455456</v>
      </c>
      <c r="H192" s="223" t="n">
        <f aca="false">Summary!$J$60</f>
        <v>0.04</v>
      </c>
      <c r="I192" s="165" t="n">
        <f aca="false">Summary!$J$55</f>
        <v>8.5</v>
      </c>
      <c r="J192" s="164" t="n">
        <f aca="false">I192*SUM(F192:H192)</f>
        <v>31.8469580287138</v>
      </c>
      <c r="K192" s="223" t="n">
        <f aca="false">Summary!$J$56</f>
        <v>3.75</v>
      </c>
      <c r="L192" s="0" t="n">
        <f aca="false">Summary!$O$23</f>
        <v>3.75</v>
      </c>
      <c r="M192" s="223" t="n">
        <f aca="false">Summary!$J$57</f>
        <v>1.75</v>
      </c>
      <c r="N192" s="164" t="n">
        <f aca="false">IF(C192&gt;0,C192-J192,0)</f>
        <v>41.1624277363967</v>
      </c>
      <c r="O192" s="223" t="n">
        <f aca="false">IF(N192&gt;0,IF(N192-SUM(K192:M192)&gt;0,N192-SUM(K192:M192),0),0)</f>
        <v>31.9124277363967</v>
      </c>
      <c r="P192" s="223" t="n">
        <f aca="false">O192*D192</f>
        <v>710897.320928308</v>
      </c>
      <c r="Q192" s="164" t="n">
        <f aca="false">IF(A192&lt;=Summary!$J$61,0.5*(P192),$Q$2*(P192))</f>
        <v>0</v>
      </c>
      <c r="R192" s="223" t="n">
        <f aca="false">Summary!$J$58</f>
        <v>0.5</v>
      </c>
      <c r="S192" s="223" t="n">
        <f aca="false">J192+(K192+L192+R192)</f>
        <v>39.8469580287138</v>
      </c>
      <c r="T192" s="224" t="n">
        <f aca="false">IF(D192*(C192-S192)-Q192&gt;0,D192*(C192-S192)-Q192,0)</f>
        <v>738742.950803308</v>
      </c>
      <c r="U192" s="225" t="n">
        <f aca="false">Summary!$J$59</f>
        <v>0.121048781448</v>
      </c>
      <c r="V192" s="224" t="n">
        <f aca="false">IF(A192&lt;=Summary!$J$61,(0.2*T192)+(R192*D192),(U192*T192)+(R192*D192))</f>
        <v>100562.18594804</v>
      </c>
      <c r="W192" s="226" t="n">
        <f aca="false">C192*D192</f>
        <v>1626393.86673309</v>
      </c>
    </row>
    <row r="193" customFormat="false" ht="12.75" hidden="false" customHeight="false" outlineLevel="0" collapsed="false">
      <c r="A193" s="220" t="n">
        <v>42248</v>
      </c>
      <c r="B193" s="221" t="n">
        <f aca="false">YEAR(A193)</f>
        <v>2015</v>
      </c>
      <c r="C193" s="164" t="n">
        <f aca="false">CALC!HH205</f>
        <v>63.5338077577801</v>
      </c>
      <c r="D193" s="222" t="n">
        <f aca="false">IF(Summary!$O$109=0,CALC!HE205,0)</f>
        <v>21557.907</v>
      </c>
      <c r="E193" s="222" t="n">
        <f aca="false">SUM(CALC!GU205:HB205)*CALC!CY205/1000</f>
        <v>71845.8297029928</v>
      </c>
      <c r="F193" s="223" t="n">
        <f aca="false">Summary!$J$54</f>
        <v>0.15</v>
      </c>
      <c r="G193" s="164" t="n">
        <f aca="false">VLOOKUP(A193,CURVES!AW194:$BS$283,16)</f>
        <v>3.71068731830176</v>
      </c>
      <c r="H193" s="223" t="n">
        <f aca="false">Summary!$J$60</f>
        <v>0.04</v>
      </c>
      <c r="I193" s="165" t="n">
        <f aca="false">Summary!$J$55</f>
        <v>8.5</v>
      </c>
      <c r="J193" s="164" t="n">
        <f aca="false">I193*SUM(F193:H193)</f>
        <v>33.155842205565</v>
      </c>
      <c r="K193" s="223" t="n">
        <f aca="false">Summary!$J$56</f>
        <v>3.75</v>
      </c>
      <c r="L193" s="0" t="n">
        <f aca="false">Summary!$O$23</f>
        <v>3.75</v>
      </c>
      <c r="M193" s="223" t="n">
        <f aca="false">Summary!$J$57</f>
        <v>1.75</v>
      </c>
      <c r="N193" s="164" t="n">
        <f aca="false">IF(C193&gt;0,C193-J193,0)</f>
        <v>30.3779655522151</v>
      </c>
      <c r="O193" s="223" t="n">
        <f aca="false">IF(N193&gt;0,IF(N193-SUM(K193:M193)&gt;0,N193-SUM(K193:M193),0),0)</f>
        <v>21.1279655522151</v>
      </c>
      <c r="P193" s="223" t="n">
        <f aca="false">O193*D193</f>
        <v>455474.716473857</v>
      </c>
      <c r="Q193" s="164" t="n">
        <f aca="false">IF(A193&lt;=Summary!$J$61,0.5*(P193),$Q$2*(P193))</f>
        <v>0</v>
      </c>
      <c r="R193" s="223" t="n">
        <f aca="false">Summary!$J$58</f>
        <v>0.5</v>
      </c>
      <c r="S193" s="223" t="n">
        <f aca="false">J193+(K193+L193+R193)</f>
        <v>41.155842205565</v>
      </c>
      <c r="T193" s="224" t="n">
        <f aca="false">IF(D193*(C193-S193)-Q193&gt;0,D193*(C193-S193)-Q193,0)</f>
        <v>482422.100223857</v>
      </c>
      <c r="U193" s="225" t="n">
        <f aca="false">Summary!$J$59</f>
        <v>0.121048781448</v>
      </c>
      <c r="V193" s="224" t="n">
        <f aca="false">IF(A193&lt;=Summary!$J$61,(0.2*T193)+(R193*D193),(U193*T193)+(R193*D193))</f>
        <v>69175.5608756828</v>
      </c>
      <c r="W193" s="226" t="n">
        <f aca="false">C193*D193</f>
        <v>1369655.9189981</v>
      </c>
    </row>
    <row r="194" customFormat="false" ht="12.75" hidden="false" customHeight="false" outlineLevel="0" collapsed="false">
      <c r="A194" s="220" t="n">
        <v>42278</v>
      </c>
      <c r="B194" s="221" t="n">
        <f aca="false">YEAR(A194)</f>
        <v>2015</v>
      </c>
      <c r="C194" s="164" t="n">
        <f aca="false">CALC!HH206</f>
        <v>55.5737623520709</v>
      </c>
      <c r="D194" s="222" t="n">
        <f aca="false">IF(Summary!$O$109=0,CALC!HE206,0)</f>
        <v>20950.521525</v>
      </c>
      <c r="E194" s="222" t="n">
        <f aca="false">SUM(CALC!GU206:HB206)*CALC!CY206/1000</f>
        <v>94878.9986569412</v>
      </c>
      <c r="F194" s="223" t="n">
        <f aca="false">Summary!$J$54</f>
        <v>0.15</v>
      </c>
      <c r="G194" s="164" t="n">
        <f aca="false">VLOOKUP(A194,CURVES!AW195:$BS$283,16)</f>
        <v>3.87558809866347</v>
      </c>
      <c r="H194" s="223" t="n">
        <f aca="false">Summary!$J$60</f>
        <v>0.04</v>
      </c>
      <c r="I194" s="165" t="n">
        <f aca="false">Summary!$J$55</f>
        <v>8.5</v>
      </c>
      <c r="J194" s="164" t="n">
        <f aca="false">I194*SUM(F194:H194)</f>
        <v>34.5574988386395</v>
      </c>
      <c r="K194" s="223" t="n">
        <f aca="false">Summary!$J$56</f>
        <v>3.75</v>
      </c>
      <c r="L194" s="0" t="n">
        <f aca="false">Summary!$O$23</f>
        <v>3.75</v>
      </c>
      <c r="M194" s="223" t="n">
        <f aca="false">Summary!$J$57</f>
        <v>1.75</v>
      </c>
      <c r="N194" s="164" t="n">
        <f aca="false">IF(C194&gt;0,C194-J194,0)</f>
        <v>21.0162635134314</v>
      </c>
      <c r="O194" s="223" t="n">
        <f aca="false">IF(N194&gt;0,IF(N194-SUM(K194:M194)&gt;0,N194-SUM(K194:M194),0),0)</f>
        <v>11.7662635134314</v>
      </c>
      <c r="P194" s="223" t="n">
        <f aca="false">O194*D194</f>
        <v>246509.357006968</v>
      </c>
      <c r="Q194" s="164" t="n">
        <f aca="false">IF(A194&lt;=Summary!$J$61,0.5*(P194),$Q$2*(P194))</f>
        <v>0</v>
      </c>
      <c r="R194" s="223" t="n">
        <f aca="false">Summary!$J$58</f>
        <v>0.5</v>
      </c>
      <c r="S194" s="223" t="n">
        <f aca="false">J194+(K194+L194+R194)</f>
        <v>42.5574988386395</v>
      </c>
      <c r="T194" s="224" t="n">
        <f aca="false">IF(D194*(C194-S194)-Q194&gt;0,D194*(C194-S194)-Q194,0)</f>
        <v>272697.508913218</v>
      </c>
      <c r="U194" s="225" t="n">
        <f aca="false">Summary!$J$59</f>
        <v>0.121048781448</v>
      </c>
      <c r="V194" s="224" t="n">
        <f aca="false">IF(A194&lt;=Summary!$J$61,(0.2*T194)+(R194*D194),(U194*T194)+(R194*D194))</f>
        <v>43484.9619203501</v>
      </c>
      <c r="W194" s="226" t="n">
        <f aca="false">C194*D194</f>
        <v>1164299.3043823</v>
      </c>
    </row>
    <row r="195" customFormat="false" ht="12.75" hidden="false" customHeight="false" outlineLevel="0" collapsed="false">
      <c r="A195" s="220" t="n">
        <v>42309</v>
      </c>
      <c r="B195" s="221" t="n">
        <f aca="false">YEAR(A195)</f>
        <v>2015</v>
      </c>
      <c r="C195" s="164" t="n">
        <f aca="false">CALC!HH207</f>
        <v>54.1922158141202</v>
      </c>
      <c r="D195" s="222" t="n">
        <f aca="false">IF(Summary!$O$109=0,CALC!HE207,0)</f>
        <v>20274.69825</v>
      </c>
      <c r="E195" s="222" t="n">
        <f aca="false">SUM(CALC!GU207:HB207)*CALC!CY207/1000</f>
        <v>91833.7669735889</v>
      </c>
      <c r="F195" s="223" t="n">
        <f aca="false">Summary!$J$54</f>
        <v>0.15</v>
      </c>
      <c r="G195" s="164" t="n">
        <f aca="false">VLOOKUP(A195,CURVES!AW196:$BS$283,16)</f>
        <v>4.03819676409547</v>
      </c>
      <c r="H195" s="223" t="n">
        <f aca="false">Summary!$J$60</f>
        <v>0.04</v>
      </c>
      <c r="I195" s="165" t="n">
        <f aca="false">Summary!$J$55</f>
        <v>8.5</v>
      </c>
      <c r="J195" s="164" t="n">
        <f aca="false">I195*SUM(F195:H195)</f>
        <v>35.9396724948115</v>
      </c>
      <c r="K195" s="223" t="n">
        <f aca="false">Summary!$J$56</f>
        <v>3.75</v>
      </c>
      <c r="L195" s="0" t="n">
        <f aca="false">Summary!$O$23</f>
        <v>3.75</v>
      </c>
      <c r="M195" s="223" t="n">
        <f aca="false">Summary!$J$57</f>
        <v>1.75</v>
      </c>
      <c r="N195" s="164" t="n">
        <f aca="false">IF(C195&gt;0,C195-J195,0)</f>
        <v>18.2525433193087</v>
      </c>
      <c r="O195" s="223" t="n">
        <f aca="false">IF(N195&gt;0,IF(N195-SUM(K195:M195)&gt;0,N195-SUM(K195:M195),0),0)</f>
        <v>9.00254331930866</v>
      </c>
      <c r="P195" s="223" t="n">
        <f aca="false">O195*D195</f>
        <v>182523.849281537</v>
      </c>
      <c r="Q195" s="164" t="n">
        <f aca="false">IF(A195&lt;=Summary!$J$61,0.5*(P195),$Q$2*(P195))</f>
        <v>0</v>
      </c>
      <c r="R195" s="223" t="n">
        <f aca="false">Summary!$J$58</f>
        <v>0.5</v>
      </c>
      <c r="S195" s="223" t="n">
        <f aca="false">J195+(K195+L195+R195)</f>
        <v>43.9396724948115</v>
      </c>
      <c r="T195" s="224" t="n">
        <f aca="false">IF(D195*(C195-S195)-Q195&gt;0,D195*(C195-S195)-Q195,0)</f>
        <v>207867.222094037</v>
      </c>
      <c r="U195" s="225" t="n">
        <f aca="false">Summary!$J$59</f>
        <v>0.121048781448</v>
      </c>
      <c r="V195" s="224" t="n">
        <f aca="false">IF(A195&lt;=Summary!$J$61,(0.2*T195)+(R195*D195),(U195*T195)+(R195*D195))</f>
        <v>35299.4230624639</v>
      </c>
      <c r="W195" s="226" t="n">
        <f aca="false">C195*D195</f>
        <v>1098730.82313016</v>
      </c>
    </row>
    <row r="196" customFormat="false" ht="12.75" hidden="false" customHeight="false" outlineLevel="0" collapsed="false">
      <c r="A196" s="220" t="n">
        <v>42339</v>
      </c>
      <c r="B196" s="221" t="n">
        <f aca="false">YEAR(A196)</f>
        <v>2015</v>
      </c>
      <c r="C196" s="164" t="n">
        <f aca="false">CALC!HH208</f>
        <v>53.3992694333233</v>
      </c>
      <c r="D196" s="222" t="n">
        <f aca="false">IF(Summary!$O$109=0,CALC!HE208,0)</f>
        <v>20950.521525</v>
      </c>
      <c r="E196" s="222" t="n">
        <f aca="false">SUM(CALC!GU208:HB208)*CALC!CY208/1000</f>
        <v>93493.4260824</v>
      </c>
      <c r="F196" s="223" t="n">
        <f aca="false">Summary!$J$54</f>
        <v>0.15</v>
      </c>
      <c r="G196" s="164" t="n">
        <f aca="false">VLOOKUP(A196,CURVES!AW197:$BS$283,16)</f>
        <v>4.2099618724691</v>
      </c>
      <c r="H196" s="223" t="n">
        <f aca="false">Summary!$J$60</f>
        <v>0.04</v>
      </c>
      <c r="I196" s="165" t="n">
        <f aca="false">Summary!$J$55</f>
        <v>8.5</v>
      </c>
      <c r="J196" s="164" t="n">
        <f aca="false">I196*SUM(F196:H196)</f>
        <v>37.3996759159874</v>
      </c>
      <c r="K196" s="223" t="n">
        <f aca="false">Summary!$J$56</f>
        <v>3.75</v>
      </c>
      <c r="L196" s="0" t="n">
        <f aca="false">Summary!$O$23</f>
        <v>3.75</v>
      </c>
      <c r="M196" s="223" t="n">
        <f aca="false">Summary!$J$57</f>
        <v>1.75</v>
      </c>
      <c r="N196" s="164" t="n">
        <f aca="false">IF(C196&gt;0,C196-J196,0)</f>
        <v>15.999593517336</v>
      </c>
      <c r="O196" s="223" t="n">
        <f aca="false">IF(N196&gt;0,IF(N196-SUM(K196:M196)&gt;0,N196-SUM(K196:M196),0),0)</f>
        <v>6.74959351733597</v>
      </c>
      <c r="P196" s="223" t="n">
        <f aca="false">O196*D196</f>
        <v>141407.504269948</v>
      </c>
      <c r="Q196" s="164" t="n">
        <f aca="false">IF(A196&lt;=Summary!$J$61,0.5*(P196),$Q$2*(P196))</f>
        <v>0</v>
      </c>
      <c r="R196" s="223" t="n">
        <f aca="false">Summary!$J$58</f>
        <v>0.5</v>
      </c>
      <c r="S196" s="223" t="n">
        <f aca="false">J196+(K196+L196+R196)</f>
        <v>45.3996759159874</v>
      </c>
      <c r="T196" s="224" t="n">
        <f aca="false">IF(D196*(C196-S196)-Q196&gt;0,D196*(C196-S196)-Q196,0)</f>
        <v>167595.656176198</v>
      </c>
      <c r="U196" s="225" t="n">
        <f aca="false">Summary!$J$59</f>
        <v>0.121048781448</v>
      </c>
      <c r="V196" s="224" t="n">
        <f aca="false">IF(A196&lt;=Summary!$J$61,(0.2*T196)+(R196*D196),(U196*T196)+(R196*D196))</f>
        <v>30762.5107186067</v>
      </c>
      <c r="W196" s="226" t="n">
        <f aca="false">C196*D196</f>
        <v>1118742.54368211</v>
      </c>
    </row>
    <row r="197" customFormat="false" ht="12.75" hidden="false" customHeight="false" outlineLevel="0" collapsed="false">
      <c r="A197" s="220" t="n">
        <v>42370</v>
      </c>
      <c r="B197" s="221" t="n">
        <f aca="false">YEAR(A197)</f>
        <v>2016</v>
      </c>
      <c r="C197" s="164" t="n">
        <f aca="false">CALC!HH209</f>
        <v>55.8680985360828</v>
      </c>
      <c r="D197" s="222" t="n">
        <f aca="false">IF(Summary!$O$109=0,CALC!HE209,0)</f>
        <v>20950.521525</v>
      </c>
      <c r="E197" s="222" t="n">
        <f aca="false">SUM(CALC!GU209:HB209)*CALC!CY209/1000</f>
        <v>93518.2018403118</v>
      </c>
      <c r="F197" s="223" t="n">
        <f aca="false">Summary!$J$54</f>
        <v>0.15</v>
      </c>
      <c r="G197" s="164" t="n">
        <f aca="false">VLOOKUP(A197,CURVES!AW198:$BS$283,16)</f>
        <v>3.98888267639165</v>
      </c>
      <c r="H197" s="223" t="n">
        <f aca="false">Summary!$J$60</f>
        <v>0.04</v>
      </c>
      <c r="I197" s="165" t="n">
        <f aca="false">Summary!$J$55</f>
        <v>8.5</v>
      </c>
      <c r="J197" s="164" t="n">
        <f aca="false">I197*SUM(F197:H197)</f>
        <v>35.5205027493291</v>
      </c>
      <c r="K197" s="223" t="n">
        <f aca="false">Summary!$J$56</f>
        <v>3.75</v>
      </c>
      <c r="L197" s="0" t="n">
        <f aca="false">Summary!$O$23</f>
        <v>3.75</v>
      </c>
      <c r="M197" s="223" t="n">
        <f aca="false">Summary!$J$57</f>
        <v>1.75</v>
      </c>
      <c r="N197" s="164" t="n">
        <f aca="false">IF(C197&gt;0,C197-J197,0)</f>
        <v>20.3475957867537</v>
      </c>
      <c r="O197" s="223" t="n">
        <f aca="false">IF(N197&gt;0,IF(N197-SUM(K197:M197)&gt;0,N197-SUM(K197:M197),0),0)</f>
        <v>11.0975957867537</v>
      </c>
      <c r="P197" s="223" t="n">
        <f aca="false">O197*D197</f>
        <v>232500.419406132</v>
      </c>
      <c r="Q197" s="164" t="n">
        <f aca="false">IF(A197&lt;=Summary!$J$61,0.5*(P197),$Q$2*(P197))</f>
        <v>0</v>
      </c>
      <c r="R197" s="223" t="n">
        <f aca="false">Summary!$J$58</f>
        <v>0.5</v>
      </c>
      <c r="S197" s="223" t="n">
        <f aca="false">J197+(K197+L197+R197)</f>
        <v>43.5205027493291</v>
      </c>
      <c r="T197" s="224" t="n">
        <f aca="false">IF(D197*(C197-S197)-Q197&gt;0,D197*(C197-S197)-Q197,0)</f>
        <v>258688.571312382</v>
      </c>
      <c r="U197" s="225" t="n">
        <f aca="false">Summary!$J$59</f>
        <v>0.121048781448</v>
      </c>
      <c r="V197" s="224" t="n">
        <f aca="false">IF(A197&lt;=Summary!$J$61,(0.2*T197)+(R197*D197),(U197*T197)+(R197*D197))</f>
        <v>41789.1970943879</v>
      </c>
      <c r="W197" s="226" t="n">
        <f aca="false">C197*D197</f>
        <v>1170465.80094102</v>
      </c>
    </row>
    <row r="198" customFormat="false" ht="12.75" hidden="false" customHeight="false" outlineLevel="0" collapsed="false">
      <c r="A198" s="220" t="n">
        <v>42401</v>
      </c>
      <c r="B198" s="221" t="n">
        <f aca="false">YEAR(A198)</f>
        <v>2016</v>
      </c>
      <c r="C198" s="164" t="n">
        <f aca="false">CALC!HH210</f>
        <v>41.9462881177629</v>
      </c>
      <c r="D198" s="222" t="n">
        <f aca="false">IF(Summary!$O$109=0,CALC!HE210,0)</f>
        <v>19598.874975</v>
      </c>
      <c r="E198" s="222" t="n">
        <f aca="false">SUM(CALC!GU210:HB210)*CALC!CY210/1000</f>
        <v>87507.946785435</v>
      </c>
      <c r="F198" s="223" t="n">
        <f aca="false">Summary!$J$54</f>
        <v>0.15</v>
      </c>
      <c r="G198" s="164" t="n">
        <f aca="false">VLOOKUP(A198,CURVES!AW199:$BS$283,16)</f>
        <v>3.68420078223133</v>
      </c>
      <c r="H198" s="223" t="n">
        <f aca="false">Summary!$J$60</f>
        <v>0.04</v>
      </c>
      <c r="I198" s="165" t="n">
        <f aca="false">Summary!$J$55</f>
        <v>8.5</v>
      </c>
      <c r="J198" s="164" t="n">
        <f aca="false">I198*SUM(F198:H198)</f>
        <v>32.9307066489663</v>
      </c>
      <c r="K198" s="223" t="n">
        <f aca="false">Summary!$J$56</f>
        <v>3.75</v>
      </c>
      <c r="L198" s="0" t="n">
        <f aca="false">Summary!$O$23</f>
        <v>3.75</v>
      </c>
      <c r="M198" s="223" t="n">
        <f aca="false">Summary!$J$57</f>
        <v>1.75</v>
      </c>
      <c r="N198" s="164" t="n">
        <f aca="false">IF(C198&gt;0,C198-J198,0)</f>
        <v>9.0155814687966</v>
      </c>
      <c r="O198" s="223" t="n">
        <f aca="false">IF(N198&gt;0,IF(N198-SUM(K198:M198)&gt;0,N198-SUM(K198:M198),0),0)</f>
        <v>0</v>
      </c>
      <c r="P198" s="223" t="n">
        <f aca="false">O198*D198</f>
        <v>0</v>
      </c>
      <c r="Q198" s="164" t="n">
        <f aca="false">IF(A198&lt;=Summary!$J$61,0.5*(P198),$Q$2*(P198))</f>
        <v>0</v>
      </c>
      <c r="R198" s="223" t="n">
        <f aca="false">Summary!$J$58</f>
        <v>0.5</v>
      </c>
      <c r="S198" s="223" t="n">
        <f aca="false">J198+(K198+L198+R198)</f>
        <v>40.9307066489663</v>
      </c>
      <c r="T198" s="224" t="n">
        <f aca="false">IF(D198*(C198-S198)-Q198&gt;0,D198*(C198-S198)-Q198,0)</f>
        <v>19904.2542338714</v>
      </c>
      <c r="U198" s="225" t="n">
        <f aca="false">Summary!$J$59</f>
        <v>0.121048781448</v>
      </c>
      <c r="V198" s="224" t="n">
        <f aca="false">IF(A198&lt;=Summary!$J$61,(0.2*T198)+(R198*D198),(U198*T198)+(R198*D198))</f>
        <v>12208.8232081413</v>
      </c>
      <c r="W198" s="226" t="n">
        <f aca="false">C198*D198</f>
        <v>822100.056485363</v>
      </c>
    </row>
    <row r="199" customFormat="false" ht="12.75" hidden="false" customHeight="false" outlineLevel="0" collapsed="false">
      <c r="A199" s="220" t="n">
        <v>42430</v>
      </c>
      <c r="B199" s="221" t="n">
        <f aca="false">YEAR(A199)</f>
        <v>2016</v>
      </c>
      <c r="C199" s="164" t="n">
        <f aca="false">CALC!HH211</f>
        <v>41.2322761993672</v>
      </c>
      <c r="D199" s="222" t="n">
        <f aca="false">IF(Summary!$O$109=0,CALC!HE211,0)</f>
        <v>20950.521525</v>
      </c>
      <c r="E199" s="222" t="n">
        <f aca="false">SUM(CALC!GU211:HB211)*CALC!CY211/1000</f>
        <v>93567.7533561355</v>
      </c>
      <c r="F199" s="223" t="n">
        <f aca="false">Summary!$J$54</f>
        <v>0.15</v>
      </c>
      <c r="G199" s="164" t="n">
        <f aca="false">VLOOKUP(A199,CURVES!AW200:$BS$283,16)</f>
        <v>3.48660922487233</v>
      </c>
      <c r="H199" s="223" t="n">
        <f aca="false">Summary!$J$60</f>
        <v>0.04</v>
      </c>
      <c r="I199" s="165" t="n">
        <f aca="false">Summary!$J$55</f>
        <v>8.5</v>
      </c>
      <c r="J199" s="164" t="n">
        <f aca="false">I199*SUM(F199:H199)</f>
        <v>31.2511784114148</v>
      </c>
      <c r="K199" s="223" t="n">
        <f aca="false">Summary!$J$56</f>
        <v>3.75</v>
      </c>
      <c r="L199" s="0" t="n">
        <f aca="false">Summary!$O$23</f>
        <v>3.75</v>
      </c>
      <c r="M199" s="223" t="n">
        <f aca="false">Summary!$J$57</f>
        <v>1.75</v>
      </c>
      <c r="N199" s="164" t="n">
        <f aca="false">IF(C199&gt;0,C199-J199,0)</f>
        <v>9.9810977879524</v>
      </c>
      <c r="O199" s="223" t="n">
        <f aca="false">IF(N199&gt;0,IF(N199-SUM(K199:M199)&gt;0,N199-SUM(K199:M199),0),0)</f>
        <v>0.7310977879524</v>
      </c>
      <c r="P199" s="223" t="n">
        <f aca="false">O199*D199</f>
        <v>15316.8799433766</v>
      </c>
      <c r="Q199" s="164" t="n">
        <f aca="false">IF(A199&lt;=Summary!$J$61,0.5*(P199),$Q$2*(P199))</f>
        <v>0</v>
      </c>
      <c r="R199" s="223" t="n">
        <f aca="false">Summary!$J$58</f>
        <v>0.5</v>
      </c>
      <c r="S199" s="223" t="n">
        <f aca="false">J199+(K199+L199+R199)</f>
        <v>39.2511784114148</v>
      </c>
      <c r="T199" s="224" t="n">
        <f aca="false">IF(D199*(C199-S199)-Q199&gt;0,D199*(C199-S199)-Q199,0)</f>
        <v>41505.0318496266</v>
      </c>
      <c r="U199" s="225" t="n">
        <f aca="false">Summary!$J$59</f>
        <v>0.121048781448</v>
      </c>
      <c r="V199" s="224" t="n">
        <f aca="false">IF(A199&lt;=Summary!$J$61,(0.2*T199)+(R199*D199),(U199*T199)+(R199*D199))</f>
        <v>15499.3942918577</v>
      </c>
      <c r="W199" s="226" t="n">
        <f aca="false">C199*D199</f>
        <v>863837.690039588</v>
      </c>
    </row>
    <row r="200" customFormat="false" ht="12.75" hidden="false" customHeight="false" outlineLevel="0" collapsed="false">
      <c r="A200" s="220" t="n">
        <v>42461</v>
      </c>
      <c r="B200" s="221" t="n">
        <f aca="false">YEAR(A200)</f>
        <v>2016</v>
      </c>
      <c r="C200" s="164" t="n">
        <f aca="false">CALC!HH212</f>
        <v>40.9592295796907</v>
      </c>
      <c r="D200" s="222" t="n">
        <f aca="false">IF(Summary!$O$109=0,CALC!HE212,0)</f>
        <v>20274.69825</v>
      </c>
      <c r="E200" s="222" t="n">
        <f aca="false">SUM(CALC!GU212:HB212)*CALC!CY212/1000</f>
        <v>90573.4152716587</v>
      </c>
      <c r="F200" s="223" t="n">
        <f aca="false">Summary!$J$54</f>
        <v>0.15</v>
      </c>
      <c r="G200" s="164" t="n">
        <f aca="false">VLOOKUP(A200,CURVES!AW201:$BS$283,16)</f>
        <v>3.38200845913219</v>
      </c>
      <c r="H200" s="223" t="n">
        <f aca="false">Summary!$J$60</f>
        <v>0.04</v>
      </c>
      <c r="I200" s="165" t="n">
        <f aca="false">Summary!$J$55</f>
        <v>8.5</v>
      </c>
      <c r="J200" s="164" t="n">
        <f aca="false">I200*SUM(F200:H200)</f>
        <v>30.3620719026236</v>
      </c>
      <c r="K200" s="223" t="n">
        <f aca="false">Summary!$J$56</f>
        <v>3.75</v>
      </c>
      <c r="L200" s="0" t="n">
        <f aca="false">Summary!$O$23</f>
        <v>3.75</v>
      </c>
      <c r="M200" s="223" t="n">
        <f aca="false">Summary!$J$57</f>
        <v>1.75</v>
      </c>
      <c r="N200" s="164" t="n">
        <f aca="false">IF(C200&gt;0,C200-J200,0)</f>
        <v>10.5971576770671</v>
      </c>
      <c r="O200" s="223" t="n">
        <f aca="false">IF(N200&gt;0,IF(N200-SUM(K200:M200)&gt;0,N200-SUM(K200:M200),0),0)</f>
        <v>1.34715767706706</v>
      </c>
      <c r="P200" s="223" t="n">
        <f aca="false">O200*D200</f>
        <v>27313.2153977056</v>
      </c>
      <c r="Q200" s="164" t="n">
        <f aca="false">IF(A200&lt;=Summary!$J$61,0.5*(P200),$Q$2*(P200))</f>
        <v>0</v>
      </c>
      <c r="R200" s="223" t="n">
        <f aca="false">Summary!$J$58</f>
        <v>0.5</v>
      </c>
      <c r="S200" s="223" t="n">
        <f aca="false">J200+(K200+L200+R200)</f>
        <v>38.3620719026236</v>
      </c>
      <c r="T200" s="224" t="n">
        <f aca="false">IF(D200*(C200-S200)-Q200&gt;0,D200*(C200-S200)-Q200,0)</f>
        <v>52656.5882102056</v>
      </c>
      <c r="U200" s="225" t="n">
        <f aca="false">Summary!$J$59</f>
        <v>0.121048781448</v>
      </c>
      <c r="V200" s="224" t="n">
        <f aca="false">IF(A200&lt;=Summary!$J$61,(0.2*T200)+(R200*D200),(U200*T200)+(R200*D200))</f>
        <v>16511.3649630545</v>
      </c>
      <c r="W200" s="226" t="n">
        <f aca="false">C200*D200</f>
        <v>830436.020280703</v>
      </c>
    </row>
    <row r="201" customFormat="false" ht="12.75" hidden="false" customHeight="false" outlineLevel="0" collapsed="false">
      <c r="A201" s="220" t="n">
        <v>42491</v>
      </c>
      <c r="B201" s="221" t="n">
        <f aca="false">YEAR(A201)</f>
        <v>2016</v>
      </c>
      <c r="C201" s="164" t="n">
        <f aca="false">CALC!HH213</f>
        <v>44.985163175576</v>
      </c>
      <c r="D201" s="222" t="n">
        <f aca="false">IF(Summary!$O$109=0,CALC!HE213,0)</f>
        <v>22276.5039</v>
      </c>
      <c r="E201" s="222" t="n">
        <f aca="false">SUM(CALC!GU213:HB213)*CALC!CY213/1000</f>
        <v>73265.7168563159</v>
      </c>
      <c r="F201" s="223" t="n">
        <f aca="false">Summary!$J$54</f>
        <v>0.15</v>
      </c>
      <c r="G201" s="164" t="n">
        <f aca="false">VLOOKUP(A201,CURVES!AW202:$BS$283,16)</f>
        <v>3.35650239750445</v>
      </c>
      <c r="H201" s="223" t="n">
        <f aca="false">Summary!$J$60</f>
        <v>0.04</v>
      </c>
      <c r="I201" s="165" t="n">
        <f aca="false">Summary!$J$55</f>
        <v>8.5</v>
      </c>
      <c r="J201" s="164" t="n">
        <f aca="false">I201*SUM(F201:H201)</f>
        <v>30.1452703787878</v>
      </c>
      <c r="K201" s="223" t="n">
        <f aca="false">Summary!$J$56</f>
        <v>3.75</v>
      </c>
      <c r="L201" s="0" t="n">
        <f aca="false">Summary!$O$23</f>
        <v>3.75</v>
      </c>
      <c r="M201" s="223" t="n">
        <f aca="false">Summary!$J$57</f>
        <v>1.75</v>
      </c>
      <c r="N201" s="164" t="n">
        <f aca="false">IF(C201&gt;0,C201-J201,0)</f>
        <v>14.8398927967882</v>
      </c>
      <c r="O201" s="223" t="n">
        <f aca="false">IF(N201&gt;0,IF(N201-SUM(K201:M201)&gt;0,N201-SUM(K201:M201),0),0)</f>
        <v>5.58989279678821</v>
      </c>
      <c r="P201" s="223" t="n">
        <f aca="false">O201*D201</f>
        <v>124523.268688234</v>
      </c>
      <c r="Q201" s="164" t="n">
        <f aca="false">IF(A201&lt;=Summary!$J$61,0.5*(P201),$Q$2*(P201))</f>
        <v>0</v>
      </c>
      <c r="R201" s="223" t="n">
        <f aca="false">Summary!$J$58</f>
        <v>0.5</v>
      </c>
      <c r="S201" s="223" t="n">
        <f aca="false">J201+(K201+L201+R201)</f>
        <v>38.1452703787878</v>
      </c>
      <c r="T201" s="224" t="n">
        <f aca="false">IF(D201*(C201-S201)-Q201&gt;0,D201*(C201-S201)-Q201,0)</f>
        <v>152368.898563234</v>
      </c>
      <c r="U201" s="225" t="n">
        <f aca="false">Summary!$J$59</f>
        <v>0.121048781448</v>
      </c>
      <c r="V201" s="224" t="n">
        <f aca="false">IF(A201&lt;=Summary!$J$61,(0.2*T201)+(R201*D201),(U201*T201)+(R201*D201))</f>
        <v>29582.3214516534</v>
      </c>
      <c r="W201" s="226" t="n">
        <f aca="false">C201*D201</f>
        <v>1002112.16292286</v>
      </c>
    </row>
    <row r="202" customFormat="false" ht="12.75" hidden="false" customHeight="false" outlineLevel="0" collapsed="false">
      <c r="A202" s="220" t="n">
        <v>42522</v>
      </c>
      <c r="B202" s="221" t="n">
        <f aca="false">YEAR(A202)</f>
        <v>2016</v>
      </c>
      <c r="C202" s="164" t="n">
        <f aca="false">CALC!HH214</f>
        <v>43.7365073545517</v>
      </c>
      <c r="D202" s="222" t="n">
        <f aca="false">IF(Summary!$O$109=0,CALC!HE214,0)</f>
        <v>21557.907</v>
      </c>
      <c r="E202" s="222" t="n">
        <f aca="false">SUM(CALC!GU214:HB214)*CALC!CY214/1000</f>
        <v>70921.0708837733</v>
      </c>
      <c r="F202" s="223" t="n">
        <f aca="false">Summary!$J$54</f>
        <v>0.15</v>
      </c>
      <c r="G202" s="164" t="n">
        <f aca="false">VLOOKUP(A202,CURVES!AW203:$BS$283,16)</f>
        <v>3.39704700869133</v>
      </c>
      <c r="H202" s="223" t="n">
        <f aca="false">Summary!$J$60</f>
        <v>0.04</v>
      </c>
      <c r="I202" s="165" t="n">
        <f aca="false">Summary!$J$55</f>
        <v>8.5</v>
      </c>
      <c r="J202" s="164" t="n">
        <f aca="false">I202*SUM(F202:H202)</f>
        <v>30.4898995738763</v>
      </c>
      <c r="K202" s="223" t="n">
        <f aca="false">Summary!$J$56</f>
        <v>3.75</v>
      </c>
      <c r="L202" s="0" t="n">
        <f aca="false">Summary!$O$23</f>
        <v>3.75</v>
      </c>
      <c r="M202" s="223" t="n">
        <f aca="false">Summary!$J$57</f>
        <v>1.75</v>
      </c>
      <c r="N202" s="164" t="n">
        <f aca="false">IF(C202&gt;0,C202-J202,0)</f>
        <v>13.2466077806754</v>
      </c>
      <c r="O202" s="223" t="n">
        <f aca="false">IF(N202&gt;0,IF(N202-SUM(K202:M202)&gt;0,N202-SUM(K202:M202),0),0)</f>
        <v>3.9966077806754</v>
      </c>
      <c r="P202" s="223" t="n">
        <f aca="false">O202*D202</f>
        <v>86158.4988512766</v>
      </c>
      <c r="Q202" s="164" t="n">
        <f aca="false">IF(A202&lt;=Summary!$J$61,0.5*(P202),$Q$2*(P202))</f>
        <v>0</v>
      </c>
      <c r="R202" s="223" t="n">
        <f aca="false">Summary!$J$58</f>
        <v>0.5</v>
      </c>
      <c r="S202" s="223" t="n">
        <f aca="false">J202+(K202+L202+R202)</f>
        <v>38.4898995738763</v>
      </c>
      <c r="T202" s="224" t="n">
        <f aca="false">IF(D202*(C202-S202)-Q202&gt;0,D202*(C202-S202)-Q202,0)</f>
        <v>113105.882601277</v>
      </c>
      <c r="U202" s="225" t="n">
        <f aca="false">Summary!$J$59</f>
        <v>0.121048781448</v>
      </c>
      <c r="V202" s="224" t="n">
        <f aca="false">IF(A202&lt;=Summary!$J$61,(0.2*T202)+(R202*D202),(U202*T202)+(R202*D202))</f>
        <v>24470.2827634851</v>
      </c>
      <c r="W202" s="226" t="n">
        <f aca="false">C202*D202</f>
        <v>942867.558054241</v>
      </c>
    </row>
    <row r="203" customFormat="false" ht="12.75" hidden="false" customHeight="false" outlineLevel="0" collapsed="false">
      <c r="A203" s="220" t="n">
        <v>42552</v>
      </c>
      <c r="B203" s="221" t="n">
        <f aca="false">YEAR(A203)</f>
        <v>2016</v>
      </c>
      <c r="C203" s="164" t="n">
        <f aca="false">CALC!HH215</f>
        <v>59.2188424198917</v>
      </c>
      <c r="D203" s="222" t="n">
        <f aca="false">IF(Summary!$O$109=0,CALC!HE215,0)</f>
        <v>22276.5039</v>
      </c>
      <c r="E203" s="222" t="n">
        <f aca="false">SUM(CALC!GU215:HB215)*CALC!CY215/1000</f>
        <v>73304.4963034822</v>
      </c>
      <c r="F203" s="223" t="n">
        <f aca="false">Summary!$J$54</f>
        <v>0.15</v>
      </c>
      <c r="G203" s="164" t="n">
        <f aca="false">VLOOKUP(A203,CURVES!AW204:$BS$283,16)</f>
        <v>3.48977311086545</v>
      </c>
      <c r="H203" s="223" t="n">
        <f aca="false">Summary!$J$60</f>
        <v>0.04</v>
      </c>
      <c r="I203" s="165" t="n">
        <f aca="false">Summary!$J$55</f>
        <v>8.5</v>
      </c>
      <c r="J203" s="164" t="n">
        <f aca="false">I203*SUM(F203:H203)</f>
        <v>31.2780714423563</v>
      </c>
      <c r="K203" s="223" t="n">
        <f aca="false">Summary!$J$56</f>
        <v>3.75</v>
      </c>
      <c r="L203" s="0" t="n">
        <f aca="false">Summary!$O$23</f>
        <v>3.75</v>
      </c>
      <c r="M203" s="223" t="n">
        <f aca="false">Summary!$J$57</f>
        <v>1.75</v>
      </c>
      <c r="N203" s="164" t="n">
        <f aca="false">IF(C203&gt;0,C203-J203,0)</f>
        <v>27.9407709775354</v>
      </c>
      <c r="O203" s="223" t="n">
        <f aca="false">IF(N203&gt;0,IF(N203-SUM(K203:M203)&gt;0,N203-SUM(K203:M203),0),0)</f>
        <v>18.6907709775354</v>
      </c>
      <c r="P203" s="223" t="n">
        <f aca="false">O203*D203</f>
        <v>416365.032575074</v>
      </c>
      <c r="Q203" s="164" t="n">
        <f aca="false">IF(A203&lt;=Summary!$J$61,0.5*(P203),$Q$2*(P203))</f>
        <v>0</v>
      </c>
      <c r="R203" s="223" t="n">
        <f aca="false">Summary!$J$58</f>
        <v>0.5</v>
      </c>
      <c r="S203" s="223" t="n">
        <f aca="false">J203+(K203+L203+R203)</f>
        <v>39.2780714423563</v>
      </c>
      <c r="T203" s="224" t="n">
        <f aca="false">IF(D203*(C203-S203)-Q203&gt;0,D203*(C203-S203)-Q203,0)</f>
        <v>444210.662450074</v>
      </c>
      <c r="U203" s="225" t="n">
        <f aca="false">Summary!$J$59</f>
        <v>0.121048781448</v>
      </c>
      <c r="V203" s="224" t="n">
        <f aca="false">IF(A203&lt;=Summary!$J$61,(0.2*T203)+(R203*D203),(U203*T203)+(R203*D203))</f>
        <v>64909.4113457904</v>
      </c>
      <c r="W203" s="226" t="n">
        <f aca="false">C203*D203</f>
        <v>1319188.7741202</v>
      </c>
    </row>
    <row r="204" customFormat="false" ht="12.75" hidden="false" customHeight="false" outlineLevel="0" collapsed="false">
      <c r="A204" s="220" t="n">
        <v>42583</v>
      </c>
      <c r="B204" s="221" t="n">
        <f aca="false">YEAR(A204)</f>
        <v>2016</v>
      </c>
      <c r="C204" s="164" t="n">
        <f aca="false">CALC!HH216</f>
        <v>72.8464052084138</v>
      </c>
      <c r="D204" s="222" t="n">
        <f aca="false">IF(Summary!$O$109=0,CALC!HE216,0)</f>
        <v>22276.5039</v>
      </c>
      <c r="E204" s="222" t="n">
        <f aca="false">SUM(CALC!GU216:HB216)*CALC!CY216/1000</f>
        <v>73323.8860270654</v>
      </c>
      <c r="F204" s="223" t="n">
        <f aca="false">Summary!$J$54</f>
        <v>0.15</v>
      </c>
      <c r="G204" s="164" t="n">
        <f aca="false">VLOOKUP(A204,CURVES!AW205:$BS$283,16)</f>
        <v>3.6214634340876</v>
      </c>
      <c r="H204" s="223" t="n">
        <f aca="false">Summary!$J$60</f>
        <v>0.04</v>
      </c>
      <c r="I204" s="165" t="n">
        <f aca="false">Summary!$J$55</f>
        <v>8.5</v>
      </c>
      <c r="J204" s="164" t="n">
        <f aca="false">I204*SUM(F204:H204)</f>
        <v>32.3974391897446</v>
      </c>
      <c r="K204" s="223" t="n">
        <f aca="false">Summary!$J$56</f>
        <v>3.75</v>
      </c>
      <c r="L204" s="0" t="n">
        <f aca="false">Summary!$O$23</f>
        <v>3.75</v>
      </c>
      <c r="M204" s="223" t="n">
        <f aca="false">Summary!$J$57</f>
        <v>1.75</v>
      </c>
      <c r="N204" s="164" t="n">
        <f aca="false">IF(C204&gt;0,C204-J204,0)</f>
        <v>40.4489660186692</v>
      </c>
      <c r="O204" s="223" t="n">
        <f aca="false">IF(N204&gt;0,IF(N204-SUM(K204:M204)&gt;0,N204-SUM(K204:M204),0),0)</f>
        <v>31.1989660186692</v>
      </c>
      <c r="P204" s="223" t="n">
        <f aca="false">O204*D204</f>
        <v>695003.888190852</v>
      </c>
      <c r="Q204" s="164" t="n">
        <f aca="false">IF(A204&lt;=Summary!$J$61,0.5*(P204),$Q$2*(P204))</f>
        <v>0</v>
      </c>
      <c r="R204" s="223" t="n">
        <f aca="false">Summary!$J$58</f>
        <v>0.5</v>
      </c>
      <c r="S204" s="223" t="n">
        <f aca="false">J204+(K204+L204+R204)</f>
        <v>40.3974391897446</v>
      </c>
      <c r="T204" s="224" t="n">
        <f aca="false">IF(D204*(C204-S204)-Q204&gt;0,D204*(C204-S204)-Q204,0)</f>
        <v>722849.518065852</v>
      </c>
      <c r="U204" s="225" t="n">
        <f aca="false">Summary!$J$59</f>
        <v>0.121048781448</v>
      </c>
      <c r="V204" s="224" t="n">
        <f aca="false">IF(A204&lt;=Summary!$J$61,(0.2*T204)+(R204*D204),(U204*T204)+(R204*D204))</f>
        <v>98638.3052821454</v>
      </c>
      <c r="W204" s="226" t="n">
        <f aca="false">C204*D204</f>
        <v>1622763.22972621</v>
      </c>
    </row>
    <row r="205" customFormat="false" ht="12.75" hidden="false" customHeight="false" outlineLevel="0" collapsed="false">
      <c r="A205" s="220" t="n">
        <v>42614</v>
      </c>
      <c r="B205" s="221" t="n">
        <f aca="false">YEAR(A205)</f>
        <v>2016</v>
      </c>
      <c r="C205" s="164" t="n">
        <f aca="false">CALC!HH217</f>
        <v>64.1896876974084</v>
      </c>
      <c r="D205" s="222" t="n">
        <f aca="false">IF(Summary!$O$109=0,CALC!HE217,0)</f>
        <v>21557.907</v>
      </c>
      <c r="E205" s="222" t="n">
        <f aca="false">SUM(CALC!GU217:HB217)*CALC!CY217/1000</f>
        <v>70977.3636296599</v>
      </c>
      <c r="F205" s="223" t="n">
        <f aca="false">Summary!$J$54</f>
        <v>0.15</v>
      </c>
      <c r="G205" s="164" t="n">
        <f aca="false">VLOOKUP(A205,CURVES!AW206:$BS$283,16)</f>
        <v>3.77825368172622</v>
      </c>
      <c r="H205" s="223" t="n">
        <f aca="false">Summary!$J$60</f>
        <v>0.04</v>
      </c>
      <c r="I205" s="165" t="n">
        <f aca="false">Summary!$J$55</f>
        <v>8.5</v>
      </c>
      <c r="J205" s="164" t="n">
        <f aca="false">I205*SUM(F205:H205)</f>
        <v>33.7301562946729</v>
      </c>
      <c r="K205" s="223" t="n">
        <f aca="false">Summary!$J$56</f>
        <v>3.75</v>
      </c>
      <c r="L205" s="0" t="n">
        <f aca="false">Summary!$O$23</f>
        <v>3.75</v>
      </c>
      <c r="M205" s="223" t="n">
        <f aca="false">Summary!$J$57</f>
        <v>1.75</v>
      </c>
      <c r="N205" s="164" t="n">
        <f aca="false">IF(C205&gt;0,C205-J205,0)</f>
        <v>30.4595314027355</v>
      </c>
      <c r="O205" s="223" t="n">
        <f aca="false">IF(N205&gt;0,IF(N205-SUM(K205:M205)&gt;0,N205-SUM(K205:M205),0),0)</f>
        <v>21.2095314027355</v>
      </c>
      <c r="P205" s="223" t="n">
        <f aca="false">O205*D205</f>
        <v>457233.105493752</v>
      </c>
      <c r="Q205" s="164" t="n">
        <f aca="false">IF(A205&lt;=Summary!$J$61,0.5*(P205),$Q$2*(P205))</f>
        <v>0</v>
      </c>
      <c r="R205" s="223" t="n">
        <f aca="false">Summary!$J$58</f>
        <v>0.5</v>
      </c>
      <c r="S205" s="223" t="n">
        <f aca="false">J205+(K205+L205+R205)</f>
        <v>41.7301562946729</v>
      </c>
      <c r="T205" s="224" t="n">
        <f aca="false">IF(D205*(C205-S205)-Q205&gt;0,D205*(C205-S205)-Q205,0)</f>
        <v>484180.489243752</v>
      </c>
      <c r="U205" s="225" t="n">
        <f aca="false">Summary!$J$59</f>
        <v>0.121048781448</v>
      </c>
      <c r="V205" s="224" t="n">
        <f aca="false">IF(A205&lt;=Summary!$J$61,(0.2*T205)+(R205*D205),(U205*T205)+(R205*D205))</f>
        <v>69388.4117238527</v>
      </c>
      <c r="W205" s="226" t="n">
        <f aca="false">C205*D205</f>
        <v>1383795.31773977</v>
      </c>
    </row>
    <row r="206" customFormat="false" ht="12.75" hidden="false" customHeight="false" outlineLevel="0" collapsed="false">
      <c r="A206" s="220" t="n">
        <v>42644</v>
      </c>
      <c r="B206" s="221" t="n">
        <f aca="false">YEAR(A206)</f>
        <v>2016</v>
      </c>
      <c r="C206" s="164" t="n">
        <f aca="false">CALC!HH218</f>
        <v>56.0087656339582</v>
      </c>
      <c r="D206" s="222" t="n">
        <f aca="false">IF(Summary!$O$109=0,CALC!HE218,0)</f>
        <v>20950.521525</v>
      </c>
      <c r="E206" s="222" t="n">
        <f aca="false">SUM(CALC!GU218:HB218)*CALC!CY218/1000</f>
        <v>93741.1836615184</v>
      </c>
      <c r="F206" s="223" t="n">
        <f aca="false">Summary!$J$54</f>
        <v>0.15</v>
      </c>
      <c r="G206" s="164" t="n">
        <f aca="false">VLOOKUP(A206,CURVES!AW207:$BS$283,16)</f>
        <v>3.94615707187397</v>
      </c>
      <c r="H206" s="223" t="n">
        <f aca="false">Summary!$J$60</f>
        <v>0.04</v>
      </c>
      <c r="I206" s="165" t="n">
        <f aca="false">Summary!$J$55</f>
        <v>8.5</v>
      </c>
      <c r="J206" s="164" t="n">
        <f aca="false">I206*SUM(F206:H206)</f>
        <v>35.1573351109287</v>
      </c>
      <c r="K206" s="223" t="n">
        <f aca="false">Summary!$J$56</f>
        <v>3.75</v>
      </c>
      <c r="L206" s="0" t="n">
        <f aca="false">Summary!$O$23</f>
        <v>3.75</v>
      </c>
      <c r="M206" s="223" t="n">
        <f aca="false">Summary!$J$57</f>
        <v>1.75</v>
      </c>
      <c r="N206" s="164" t="n">
        <f aca="false">IF(C206&gt;0,C206-J206,0)</f>
        <v>20.8514305230295</v>
      </c>
      <c r="O206" s="223" t="n">
        <f aca="false">IF(N206&gt;0,IF(N206-SUM(K206:M206)&gt;0,N206-SUM(K206:M206),0),0)</f>
        <v>11.6014305230295</v>
      </c>
      <c r="P206" s="223" t="n">
        <f aca="false">O206*D206</f>
        <v>243056.019893521</v>
      </c>
      <c r="Q206" s="164" t="n">
        <f aca="false">IF(A206&lt;=Summary!$J$61,0.5*(P206),$Q$2*(P206))</f>
        <v>0</v>
      </c>
      <c r="R206" s="223" t="n">
        <f aca="false">Summary!$J$58</f>
        <v>0.5</v>
      </c>
      <c r="S206" s="223" t="n">
        <f aca="false">J206+(K206+L206+R206)</f>
        <v>43.1573351109287</v>
      </c>
      <c r="T206" s="224" t="n">
        <f aca="false">IF(D206*(C206-S206)-Q206&gt;0,D206*(C206-S206)-Q206,0)</f>
        <v>269244.171799771</v>
      </c>
      <c r="U206" s="225" t="n">
        <f aca="false">Summary!$J$59</f>
        <v>0.121048781448</v>
      </c>
      <c r="V206" s="224" t="n">
        <f aca="false">IF(A206&lt;=Summary!$J$61,(0.2*T206)+(R206*D206),(U206*T206)+(R206*D206))</f>
        <v>43066.9396708382</v>
      </c>
      <c r="W206" s="226" t="n">
        <f aca="false">C206*D206</f>
        <v>1173412.85000292</v>
      </c>
    </row>
    <row r="207" customFormat="false" ht="12.75" hidden="false" customHeight="false" outlineLevel="0" collapsed="false">
      <c r="A207" s="220" t="n">
        <v>42675</v>
      </c>
      <c r="B207" s="221" t="n">
        <f aca="false">YEAR(A207)</f>
        <v>2016</v>
      </c>
      <c r="C207" s="164" t="n">
        <f aca="false">CALC!HH219</f>
        <v>55.9845866688764</v>
      </c>
      <c r="D207" s="222" t="n">
        <f aca="false">IF(Summary!$O$109=0,CALC!HE219,0)</f>
        <v>20274.69825</v>
      </c>
      <c r="E207" s="222" t="n">
        <f aca="false">SUM(CALC!GU219:HB219)*CALC!CY219/1000</f>
        <v>90741.2510510615</v>
      </c>
      <c r="F207" s="223" t="n">
        <f aca="false">Summary!$J$54</f>
        <v>0.15</v>
      </c>
      <c r="G207" s="164" t="n">
        <f aca="false">VLOOKUP(A207,CURVES!AW208:$BS$283,16)</f>
        <v>4.11172661092374</v>
      </c>
      <c r="H207" s="223" t="n">
        <f aca="false">Summary!$J$60</f>
        <v>0.04</v>
      </c>
      <c r="I207" s="165" t="n">
        <f aca="false">Summary!$J$55</f>
        <v>8.5</v>
      </c>
      <c r="J207" s="164" t="n">
        <f aca="false">I207*SUM(F207:H207)</f>
        <v>36.5646761928518</v>
      </c>
      <c r="K207" s="223" t="n">
        <f aca="false">Summary!$J$56</f>
        <v>3.75</v>
      </c>
      <c r="L207" s="0" t="n">
        <f aca="false">Summary!$O$23</f>
        <v>3.75</v>
      </c>
      <c r="M207" s="223" t="n">
        <f aca="false">Summary!$J$57</f>
        <v>1.75</v>
      </c>
      <c r="N207" s="164" t="n">
        <f aca="false">IF(C207&gt;0,C207-J207,0)</f>
        <v>19.4199104760246</v>
      </c>
      <c r="O207" s="223" t="n">
        <f aca="false">IF(N207&gt;0,IF(N207-SUM(K207:M207)&gt;0,N207-SUM(K207:M207),0),0)</f>
        <v>10.1699104760246</v>
      </c>
      <c r="P207" s="223" t="n">
        <f aca="false">O207*D207</f>
        <v>206191.866130912</v>
      </c>
      <c r="Q207" s="164" t="n">
        <f aca="false">IF(A207&lt;=Summary!$J$61,0.5*(P207),$Q$2*(P207))</f>
        <v>0</v>
      </c>
      <c r="R207" s="223" t="n">
        <f aca="false">Summary!$J$58</f>
        <v>0.5</v>
      </c>
      <c r="S207" s="223" t="n">
        <f aca="false">J207+(K207+L207+R207)</f>
        <v>44.5646761928518</v>
      </c>
      <c r="T207" s="224" t="n">
        <f aca="false">IF(D207*(C207-S207)-Q207&gt;0,D207*(C207-S207)-Q207,0)</f>
        <v>231535.238943412</v>
      </c>
      <c r="U207" s="225" t="n">
        <f aca="false">Summary!$J$59</f>
        <v>0.121048781448</v>
      </c>
      <c r="V207" s="224" t="n">
        <f aca="false">IF(A207&lt;=Summary!$J$61,(0.2*T207)+(R207*D207),(U207*T207)+(R207*D207))</f>
        <v>38164.4076613715</v>
      </c>
      <c r="W207" s="226" t="n">
        <f aca="false">C207*D207</f>
        <v>1135070.60136244</v>
      </c>
    </row>
    <row r="208" customFormat="false" ht="12.75" hidden="false" customHeight="false" outlineLevel="0" collapsed="false">
      <c r="A208" s="220" t="n">
        <v>42705</v>
      </c>
      <c r="B208" s="221" t="n">
        <f aca="false">YEAR(A208)</f>
        <v>2016</v>
      </c>
      <c r="C208" s="164" t="n">
        <f aca="false">CALC!HH220</f>
        <v>56.8924146104685</v>
      </c>
      <c r="D208" s="222" t="n">
        <f aca="false">IF(Summary!$O$109=0,CALC!HE220,0)</f>
        <v>20950.521525</v>
      </c>
      <c r="E208" s="222" t="n">
        <f aca="false">SUM(CALC!GU220:HB220)*CALC!CY220/1000</f>
        <v>93790.735177342</v>
      </c>
      <c r="F208" s="223" t="n">
        <f aca="false">Summary!$J$54</f>
        <v>0.15</v>
      </c>
      <c r="G208" s="164" t="n">
        <f aca="false">VLOOKUP(A208,CURVES!AW209:$BS$283,16)</f>
        <v>4.28661931877976</v>
      </c>
      <c r="H208" s="223" t="n">
        <f aca="false">Summary!$J$60</f>
        <v>0.04</v>
      </c>
      <c r="I208" s="165" t="n">
        <f aca="false">Summary!$J$55</f>
        <v>8.5</v>
      </c>
      <c r="J208" s="164" t="n">
        <f aca="false">I208*SUM(F208:H208)</f>
        <v>38.0512642096279</v>
      </c>
      <c r="K208" s="223" t="n">
        <f aca="false">Summary!$J$56</f>
        <v>3.75</v>
      </c>
      <c r="L208" s="0" t="n">
        <f aca="false">Summary!$O$23</f>
        <v>3.75</v>
      </c>
      <c r="M208" s="223" t="n">
        <f aca="false">Summary!$J$57</f>
        <v>1.75</v>
      </c>
      <c r="N208" s="164" t="n">
        <f aca="false">IF(C208&gt;0,C208-J208,0)</f>
        <v>18.8411504008405</v>
      </c>
      <c r="O208" s="223" t="n">
        <f aca="false">IF(N208&gt;0,IF(N208-SUM(K208:M208)&gt;0,N208-SUM(K208:M208),0),0)</f>
        <v>9.59115040084055</v>
      </c>
      <c r="P208" s="223" t="n">
        <f aca="false">O208*D208</f>
        <v>200939.602922322</v>
      </c>
      <c r="Q208" s="164" t="n">
        <f aca="false">IF(A208&lt;=Summary!$J$61,0.5*(P208),$Q$2*(P208))</f>
        <v>0</v>
      </c>
      <c r="R208" s="223" t="n">
        <f aca="false">Summary!$J$58</f>
        <v>0.5</v>
      </c>
      <c r="S208" s="223" t="n">
        <f aca="false">J208+(K208+L208+R208)</f>
        <v>46.0512642096279</v>
      </c>
      <c r="T208" s="224" t="n">
        <f aca="false">IF(D208*(C208-S208)-Q208&gt;0,D208*(C208-S208)-Q208,0)</f>
        <v>227127.754828572</v>
      </c>
      <c r="U208" s="225" t="n">
        <f aca="false">Summary!$J$59</f>
        <v>0.121048781448</v>
      </c>
      <c r="V208" s="224" t="n">
        <f aca="false">IF(A208&lt;=Summary!$J$61,(0.2*T208)+(R208*D208),(U208*T208)+(R208*D208))</f>
        <v>37968.7987175188</v>
      </c>
      <c r="W208" s="226" t="n">
        <f aca="false">C208*D208</f>
        <v>1191925.75690584</v>
      </c>
    </row>
    <row r="209" customFormat="false" ht="12.75" hidden="false" customHeight="false" outlineLevel="0" collapsed="false">
      <c r="A209" s="220" t="n">
        <v>42736</v>
      </c>
      <c r="B209" s="221" t="n">
        <f aca="false">YEAR(A209)</f>
        <v>2017</v>
      </c>
      <c r="C209" s="164" t="n">
        <f aca="false">CALC!HH221</f>
        <v>54.3530415813511</v>
      </c>
      <c r="D209" s="222" t="n">
        <f aca="false">IF(Summary!$O$109=0,CALC!HE221,0)</f>
        <v>20950.521525</v>
      </c>
      <c r="E209" s="222" t="n">
        <f aca="false">SUM(CALC!GU221:HB221)*CALC!CY221/1000</f>
        <v>93815.5109352539</v>
      </c>
      <c r="F209" s="223" t="n">
        <f aca="false">Summary!$J$54</f>
        <v>0.15</v>
      </c>
      <c r="G209" s="164" t="n">
        <f aca="false">VLOOKUP(A209,CURVES!AW210:$BS$283,16)</f>
        <v>4.07126349592839</v>
      </c>
      <c r="H209" s="223" t="n">
        <f aca="false">Summary!$J$60</f>
        <v>0.04</v>
      </c>
      <c r="I209" s="165" t="n">
        <f aca="false">Summary!$J$55</f>
        <v>8.5</v>
      </c>
      <c r="J209" s="164" t="n">
        <f aca="false">I209*SUM(F209:H209)</f>
        <v>36.2207397153913</v>
      </c>
      <c r="K209" s="223" t="n">
        <f aca="false">Summary!$J$56</f>
        <v>3.75</v>
      </c>
      <c r="L209" s="0" t="n">
        <f aca="false">Summary!$O$23</f>
        <v>3.75</v>
      </c>
      <c r="M209" s="223" t="n">
        <f aca="false">Summary!$J$57</f>
        <v>1.75</v>
      </c>
      <c r="N209" s="164" t="n">
        <f aca="false">IF(C209&gt;0,C209-J209,0)</f>
        <v>18.1323018659598</v>
      </c>
      <c r="O209" s="223" t="n">
        <f aca="false">IF(N209&gt;0,IF(N209-SUM(K209:M209)&gt;0,N209-SUM(K209:M209),0),0)</f>
        <v>8.88230186595983</v>
      </c>
      <c r="P209" s="223" t="n">
        <f aca="false">O209*D209</f>
        <v>186088.856434339</v>
      </c>
      <c r="Q209" s="164" t="n">
        <f aca="false">IF(A209&lt;=Summary!$J$61,0.5*(P209),$Q$2*(P209))</f>
        <v>0</v>
      </c>
      <c r="R209" s="223" t="n">
        <f aca="false">Summary!$J$58</f>
        <v>0.5</v>
      </c>
      <c r="S209" s="223" t="n">
        <f aca="false">J209+(K209+L209+R209)</f>
        <v>44.2207397153913</v>
      </c>
      <c r="T209" s="224" t="n">
        <f aca="false">IF(D209*(C209-S209)-Q209&gt;0,D209*(C209-S209)-Q209,0)</f>
        <v>212277.008340589</v>
      </c>
      <c r="U209" s="225" t="n">
        <f aca="false">Summary!$J$59</f>
        <v>0.121048781448</v>
      </c>
      <c r="V209" s="224" t="n">
        <f aca="false">IF(A209&lt;=Summary!$J$61,(0.2*T209)+(R209*D209),(U209*T209)+(R209*D209))</f>
        <v>36171.1339515552</v>
      </c>
      <c r="W209" s="226" t="n">
        <f aca="false">C209*D209</f>
        <v>1138724.56759932</v>
      </c>
    </row>
    <row r="210" customFormat="false" ht="12.75" hidden="false" customHeight="false" outlineLevel="0" collapsed="false">
      <c r="A210" s="220" t="n">
        <v>42767</v>
      </c>
      <c r="B210" s="221" t="n">
        <f aca="false">YEAR(A210)</f>
        <v>2017</v>
      </c>
      <c r="C210" s="164" t="n">
        <f aca="false">CALC!HH222</f>
        <v>44.5715886730238</v>
      </c>
      <c r="D210" s="222" t="n">
        <f aca="false">IF(Summary!$O$109=0,CALC!HE222,0)</f>
        <v>18923.0517</v>
      </c>
      <c r="E210" s="222" t="n">
        <f aca="false">SUM(CALC!GU222:HB222)*CALC!CY222/1000</f>
        <v>84758.9686260852</v>
      </c>
      <c r="F210" s="223" t="n">
        <f aca="false">Summary!$J$54</f>
        <v>0.15</v>
      </c>
      <c r="G210" s="164" t="n">
        <f aca="false">VLOOKUP(A210,CURVES!AW211:$BS$283,16)</f>
        <v>3.76028912686338</v>
      </c>
      <c r="H210" s="223" t="n">
        <f aca="false">Summary!$J$60</f>
        <v>0.04</v>
      </c>
      <c r="I210" s="165" t="n">
        <f aca="false">Summary!$J$55</f>
        <v>8.5</v>
      </c>
      <c r="J210" s="164" t="n">
        <f aca="false">I210*SUM(F210:H210)</f>
        <v>33.5774575783387</v>
      </c>
      <c r="K210" s="223" t="n">
        <f aca="false">Summary!$J$56</f>
        <v>3.75</v>
      </c>
      <c r="L210" s="0" t="n">
        <f aca="false">Summary!$O$23</f>
        <v>3.75</v>
      </c>
      <c r="M210" s="223" t="n">
        <f aca="false">Summary!$J$57</f>
        <v>1.75</v>
      </c>
      <c r="N210" s="164" t="n">
        <f aca="false">IF(C210&gt;0,C210-J210,0)</f>
        <v>10.9941310946851</v>
      </c>
      <c r="O210" s="223" t="n">
        <f aca="false">IF(N210&gt;0,IF(N210-SUM(K210:M210)&gt;0,N210-SUM(K210:M210),0),0)</f>
        <v>1.7441310946851</v>
      </c>
      <c r="P210" s="223" t="n">
        <f aca="false">O210*D210</f>
        <v>33004.2828763038</v>
      </c>
      <c r="Q210" s="164" t="n">
        <f aca="false">IF(A210&lt;=Summary!$J$61,0.5*(P210),$Q$2*(P210))</f>
        <v>0</v>
      </c>
      <c r="R210" s="223" t="n">
        <f aca="false">Summary!$J$58</f>
        <v>0.5</v>
      </c>
      <c r="S210" s="223" t="n">
        <f aca="false">J210+(K210+L210+R210)</f>
        <v>41.5774575783387</v>
      </c>
      <c r="T210" s="224" t="n">
        <f aca="false">IF(D210*(C210-S210)-Q210&gt;0,D210*(C210-S210)-Q210,0)</f>
        <v>56658.0975013038</v>
      </c>
      <c r="U210" s="225" t="n">
        <f aca="false">Summary!$J$59</f>
        <v>0.121048781448</v>
      </c>
      <c r="V210" s="224" t="n">
        <f aca="false">IF(A210&lt;=Summary!$J$61,(0.2*T210)+(R210*D210),(U210*T210)+(R210*D210))</f>
        <v>16319.9195116948</v>
      </c>
      <c r="W210" s="226" t="n">
        <f aca="false">C210*D210</f>
        <v>843430.476810764</v>
      </c>
    </row>
    <row r="211" customFormat="false" ht="12.75" hidden="false" customHeight="false" outlineLevel="0" collapsed="false">
      <c r="A211" s="220" t="n">
        <v>42795</v>
      </c>
      <c r="B211" s="221" t="n">
        <f aca="false">YEAR(A211)</f>
        <v>2017</v>
      </c>
      <c r="C211" s="164" t="n">
        <f aca="false">CALC!HH223</f>
        <v>41.4448426753478</v>
      </c>
      <c r="D211" s="222" t="n">
        <f aca="false">IF(Summary!$O$109=0,CALC!HE223,0)</f>
        <v>20950.521525</v>
      </c>
      <c r="E211" s="222" t="n">
        <f aca="false">SUM(CALC!GU223:HB223)*CALC!CY223/1000</f>
        <v>93865.0624510776</v>
      </c>
      <c r="F211" s="223" t="n">
        <f aca="false">Summary!$J$54</f>
        <v>0.15</v>
      </c>
      <c r="G211" s="164" t="n">
        <f aca="false">VLOOKUP(A211,CURVES!AW212:$BS$283,16)</f>
        <v>3.55842385804724</v>
      </c>
      <c r="H211" s="223" t="n">
        <f aca="false">Summary!$J$60</f>
        <v>0.04</v>
      </c>
      <c r="I211" s="165" t="n">
        <f aca="false">Summary!$J$55</f>
        <v>8.5</v>
      </c>
      <c r="J211" s="164" t="n">
        <f aca="false">I211*SUM(F211:H211)</f>
        <v>31.8616027934015</v>
      </c>
      <c r="K211" s="223" t="n">
        <f aca="false">Summary!$J$56</f>
        <v>3.75</v>
      </c>
      <c r="L211" s="0" t="n">
        <f aca="false">Summary!$O$23</f>
        <v>3.75</v>
      </c>
      <c r="M211" s="223" t="n">
        <f aca="false">Summary!$J$57</f>
        <v>1.75</v>
      </c>
      <c r="N211" s="164" t="n">
        <f aca="false">IF(C211&gt;0,C211-J211,0)</f>
        <v>9.58323988194631</v>
      </c>
      <c r="O211" s="223" t="n">
        <f aca="false">IF(N211&gt;0,IF(N211-SUM(K211:M211)&gt;0,N211-SUM(K211:M211),0),0)</f>
        <v>0.333239881946309</v>
      </c>
      <c r="P211" s="223" t="n">
        <f aca="false">O211*D211</f>
        <v>6981.5493197046</v>
      </c>
      <c r="Q211" s="164" t="n">
        <f aca="false">IF(A211&lt;=Summary!$J$61,0.5*(P211),$Q$2*(P211))</f>
        <v>0</v>
      </c>
      <c r="R211" s="223" t="n">
        <f aca="false">Summary!$J$58</f>
        <v>0.5</v>
      </c>
      <c r="S211" s="223" t="n">
        <f aca="false">J211+(K211+L211+R211)</f>
        <v>39.8616027934015</v>
      </c>
      <c r="T211" s="224" t="n">
        <f aca="false">IF(D211*(C211-S211)-Q211&gt;0,D211*(C211-S211)-Q211,0)</f>
        <v>33169.7012259545</v>
      </c>
      <c r="U211" s="225" t="n">
        <f aca="false">Summary!$J$59</f>
        <v>0.121048781448</v>
      </c>
      <c r="V211" s="224" t="n">
        <f aca="false">IF(A211&lt;=Summary!$J$61,(0.2*T211)+(R211*D211),(U211*T211)+(R211*D211))</f>
        <v>14490.412676896</v>
      </c>
      <c r="W211" s="226" t="n">
        <f aca="false">C211*D211</f>
        <v>868291.068570113</v>
      </c>
    </row>
    <row r="212" customFormat="false" ht="12.75" hidden="false" customHeight="false" outlineLevel="0" collapsed="false">
      <c r="A212" s="220" t="n">
        <v>42826</v>
      </c>
      <c r="B212" s="221" t="n">
        <f aca="false">YEAR(A212)</f>
        <v>2017</v>
      </c>
      <c r="C212" s="164" t="n">
        <f aca="false">CALC!HH224</f>
        <v>42.2037095456834</v>
      </c>
      <c r="D212" s="222" t="n">
        <f aca="false">IF(Summary!$O$109=0,CALC!HE224,0)</f>
        <v>20274.69825</v>
      </c>
      <c r="E212" s="222" t="n">
        <f aca="false">SUM(CALC!GU224:HB224)*CALC!CY224/1000</f>
        <v>90861.1337506349</v>
      </c>
      <c r="F212" s="223" t="n">
        <f aca="false">Summary!$J$54</f>
        <v>0.15</v>
      </c>
      <c r="G212" s="164" t="n">
        <f aca="false">VLOOKUP(A212,CURVES!AW213:$BS$283,16)</f>
        <v>3.45166860204537</v>
      </c>
      <c r="H212" s="223" t="n">
        <f aca="false">Summary!$J$60</f>
        <v>0.04</v>
      </c>
      <c r="I212" s="165" t="n">
        <f aca="false">Summary!$J$55</f>
        <v>8.5</v>
      </c>
      <c r="J212" s="164" t="n">
        <f aca="false">I212*SUM(F212:H212)</f>
        <v>30.9541831173856</v>
      </c>
      <c r="K212" s="223" t="n">
        <f aca="false">Summary!$J$56</f>
        <v>3.75</v>
      </c>
      <c r="L212" s="0" t="n">
        <f aca="false">Summary!$O$23</f>
        <v>3.75</v>
      </c>
      <c r="M212" s="223" t="n">
        <f aca="false">Summary!$J$57</f>
        <v>1.75</v>
      </c>
      <c r="N212" s="164" t="n">
        <f aca="false">IF(C212&gt;0,C212-J212,0)</f>
        <v>11.2495264282978</v>
      </c>
      <c r="O212" s="223" t="n">
        <f aca="false">IF(N212&gt;0,IF(N212-SUM(K212:M212)&gt;0,N212-SUM(K212:M212),0),0)</f>
        <v>1.99952642829779</v>
      </c>
      <c r="P212" s="223" t="n">
        <f aca="false">O212*D212</f>
        <v>40539.794976638</v>
      </c>
      <c r="Q212" s="164" t="n">
        <f aca="false">IF(A212&lt;=Summary!$J$61,0.5*(P212),$Q$2*(P212))</f>
        <v>0</v>
      </c>
      <c r="R212" s="223" t="n">
        <f aca="false">Summary!$J$58</f>
        <v>0.5</v>
      </c>
      <c r="S212" s="223" t="n">
        <f aca="false">J212+(K212+L212+R212)</f>
        <v>38.9541831173856</v>
      </c>
      <c r="T212" s="224" t="n">
        <f aca="false">IF(D212*(C212-S212)-Q212&gt;0,D212*(C212-S212)-Q212,0)</f>
        <v>65883.167789138</v>
      </c>
      <c r="U212" s="225" t="n">
        <f aca="false">Summary!$J$59</f>
        <v>0.121048781448</v>
      </c>
      <c r="V212" s="224" t="n">
        <f aca="false">IF(A212&lt;=Summary!$J$61,(0.2*T212)+(R212*D212),(U212*T212)+(R212*D212))</f>
        <v>18112.4263038093</v>
      </c>
      <c r="W212" s="226" t="n">
        <f aca="false">C212*D212</f>
        <v>855667.476069376</v>
      </c>
    </row>
    <row r="213" customFormat="false" ht="12.75" hidden="false" customHeight="false" outlineLevel="0" collapsed="false">
      <c r="A213" s="220" t="n">
        <v>42856</v>
      </c>
      <c r="B213" s="221" t="n">
        <f aca="false">YEAR(A213)</f>
        <v>2017</v>
      </c>
      <c r="C213" s="164" t="n">
        <f aca="false">CALC!HH225</f>
        <v>43.8455256680459</v>
      </c>
      <c r="D213" s="222" t="n">
        <f aca="false">IF(Summary!$O$109=0,CALC!HE225,0)</f>
        <v>22276.5039</v>
      </c>
      <c r="E213" s="222" t="n">
        <f aca="false">SUM(CALC!GU225:HB225)*CALC!CY225/1000</f>
        <v>73498.393539314</v>
      </c>
      <c r="F213" s="223" t="n">
        <f aca="false">Summary!$J$54</f>
        <v>0.15</v>
      </c>
      <c r="G213" s="164" t="n">
        <f aca="false">VLOOKUP(A213,CURVES!AW214:$BS$283,16)</f>
        <v>3.42563718516804</v>
      </c>
      <c r="H213" s="223" t="n">
        <f aca="false">Summary!$J$60</f>
        <v>0.04</v>
      </c>
      <c r="I213" s="165" t="n">
        <f aca="false">Summary!$J$55</f>
        <v>8.5</v>
      </c>
      <c r="J213" s="164" t="n">
        <f aca="false">I213*SUM(F213:H213)</f>
        <v>30.7329160739283</v>
      </c>
      <c r="K213" s="223" t="n">
        <f aca="false">Summary!$J$56</f>
        <v>3.75</v>
      </c>
      <c r="L213" s="0" t="n">
        <f aca="false">Summary!$O$23</f>
        <v>3.75</v>
      </c>
      <c r="M213" s="223" t="n">
        <f aca="false">Summary!$J$57</f>
        <v>1.75</v>
      </c>
      <c r="N213" s="164" t="n">
        <f aca="false">IF(C213&gt;0,C213-J213,0)</f>
        <v>13.1126095941176</v>
      </c>
      <c r="O213" s="223" t="n">
        <f aca="false">IF(N213&gt;0,IF(N213-SUM(K213:M213)&gt;0,N213-SUM(K213:M213),0),0)</f>
        <v>3.86260959411757</v>
      </c>
      <c r="P213" s="223" t="n">
        <f aca="false">O213*D213</f>
        <v>86045.4376875374</v>
      </c>
      <c r="Q213" s="164" t="n">
        <f aca="false">IF(A213&lt;=Summary!$J$61,0.5*(P213),$Q$2*(P213))</f>
        <v>0</v>
      </c>
      <c r="R213" s="223" t="n">
        <f aca="false">Summary!$J$58</f>
        <v>0.5</v>
      </c>
      <c r="S213" s="223" t="n">
        <f aca="false">J213+(K213+L213+R213)</f>
        <v>38.7329160739283</v>
      </c>
      <c r="T213" s="224" t="n">
        <f aca="false">IF(D213*(C213-S213)-Q213&gt;0,D213*(C213-S213)-Q213,0)</f>
        <v>113891.067562538</v>
      </c>
      <c r="U213" s="225" t="n">
        <f aca="false">Summary!$J$59</f>
        <v>0.121048781448</v>
      </c>
      <c r="V213" s="224" t="n">
        <f aca="false">IF(A213&lt;=Summary!$J$61,(0.2*T213)+(R213*D213),(U213*T213)+(R213*D213))</f>
        <v>24924.626896257</v>
      </c>
      <c r="W213" s="226" t="n">
        <f aca="false">C213*D213</f>
        <v>976725.023541775</v>
      </c>
    </row>
    <row r="214" customFormat="false" ht="12.75" hidden="false" customHeight="false" outlineLevel="0" collapsed="false">
      <c r="A214" s="220" t="n">
        <v>42887</v>
      </c>
      <c r="B214" s="221" t="n">
        <f aca="false">YEAR(A214)</f>
        <v>2017</v>
      </c>
      <c r="C214" s="164" t="n">
        <f aca="false">CALC!HH226</f>
        <v>45.2208444973274</v>
      </c>
      <c r="D214" s="222" t="n">
        <f aca="false">IF(Summary!$O$109=0,CALC!HE226,0)</f>
        <v>21557.907</v>
      </c>
      <c r="E214" s="222" t="n">
        <f aca="false">SUM(CALC!GU226:HB226)*CALC!CY226/1000</f>
        <v>71146.2418673198</v>
      </c>
      <c r="F214" s="223" t="n">
        <f aca="false">Summary!$J$54</f>
        <v>0.15</v>
      </c>
      <c r="G214" s="164" t="n">
        <f aca="false">VLOOKUP(A214,CURVES!AW215:$BS$283,16)</f>
        <v>3.46701690467702</v>
      </c>
      <c r="H214" s="223" t="n">
        <f aca="false">Summary!$J$60</f>
        <v>0.04</v>
      </c>
      <c r="I214" s="165" t="n">
        <f aca="false">Summary!$J$55</f>
        <v>8.5</v>
      </c>
      <c r="J214" s="164" t="n">
        <f aca="false">I214*SUM(F214:H214)</f>
        <v>31.0846436897547</v>
      </c>
      <c r="K214" s="223" t="n">
        <f aca="false">Summary!$J$56</f>
        <v>3.75</v>
      </c>
      <c r="L214" s="0" t="n">
        <f aca="false">Summary!$O$23</f>
        <v>3.75</v>
      </c>
      <c r="M214" s="223" t="n">
        <f aca="false">Summary!$J$57</f>
        <v>1.75</v>
      </c>
      <c r="N214" s="164" t="n">
        <f aca="false">IF(C214&gt;0,C214-J214,0)</f>
        <v>14.1362008075727</v>
      </c>
      <c r="O214" s="223" t="n">
        <f aca="false">IF(N214&gt;0,IF(N214-SUM(K214:M214)&gt;0,N214-SUM(K214:M214),0),0)</f>
        <v>4.88620080757272</v>
      </c>
      <c r="P214" s="223" t="n">
        <f aca="false">O214*D214</f>
        <v>105336.262592978</v>
      </c>
      <c r="Q214" s="164" t="n">
        <f aca="false">IF(A214&lt;=Summary!$J$61,0.5*(P214),$Q$2*(P214))</f>
        <v>0</v>
      </c>
      <c r="R214" s="223" t="n">
        <f aca="false">Summary!$J$58</f>
        <v>0.5</v>
      </c>
      <c r="S214" s="223" t="n">
        <f aca="false">J214+(K214+L214+R214)</f>
        <v>39.0846436897547</v>
      </c>
      <c r="T214" s="224" t="n">
        <f aca="false">IF(D214*(C214-S214)-Q214&gt;0,D214*(C214-S214)-Q214,0)</f>
        <v>132283.646342978</v>
      </c>
      <c r="U214" s="225" t="n">
        <f aca="false">Summary!$J$59</f>
        <v>0.121048781448</v>
      </c>
      <c r="V214" s="224" t="n">
        <f aca="false">IF(A214&lt;=Summary!$J$61,(0.2*T214)+(R214*D214),(U214*T214)+(R214*D214))</f>
        <v>26791.7276953156</v>
      </c>
      <c r="W214" s="226" t="n">
        <f aca="false">C214*D214</f>
        <v>974866.760134846</v>
      </c>
    </row>
    <row r="215" customFormat="false" ht="12.75" hidden="false" customHeight="false" outlineLevel="0" collapsed="false">
      <c r="A215" s="220" t="n">
        <v>42917</v>
      </c>
      <c r="B215" s="221" t="n">
        <f aca="false">YEAR(A215)</f>
        <v>2017</v>
      </c>
      <c r="C215" s="164" t="n">
        <f aca="false">CALC!HH227</f>
        <v>60.1358771704357</v>
      </c>
      <c r="D215" s="222" t="n">
        <f aca="false">IF(Summary!$O$109=0,CALC!HE227,0)</f>
        <v>22276.5039</v>
      </c>
      <c r="E215" s="222" t="n">
        <f aca="false">SUM(CALC!GU227:HB227)*CALC!CY227/1000</f>
        <v>73537.1729864803</v>
      </c>
      <c r="F215" s="223" t="n">
        <f aca="false">Summary!$J$54</f>
        <v>0.15</v>
      </c>
      <c r="G215" s="164" t="n">
        <f aca="false">VLOOKUP(A215,CURVES!AW216:$BS$283,16)</f>
        <v>3.56165291145584</v>
      </c>
      <c r="H215" s="223" t="n">
        <f aca="false">Summary!$J$60</f>
        <v>0.04</v>
      </c>
      <c r="I215" s="165" t="n">
        <f aca="false">Summary!$J$55</f>
        <v>8.5</v>
      </c>
      <c r="J215" s="164" t="n">
        <f aca="false">I215*SUM(F215:H215)</f>
        <v>31.8890497473747</v>
      </c>
      <c r="K215" s="223" t="n">
        <f aca="false">Summary!$J$56</f>
        <v>3.75</v>
      </c>
      <c r="L215" s="0" t="n">
        <f aca="false">Summary!$O$23</f>
        <v>3.75</v>
      </c>
      <c r="M215" s="223" t="n">
        <f aca="false">Summary!$J$57</f>
        <v>1.75</v>
      </c>
      <c r="N215" s="164" t="n">
        <f aca="false">IF(C215&gt;0,C215-J215,0)</f>
        <v>28.2468274230611</v>
      </c>
      <c r="O215" s="223" t="n">
        <f aca="false">IF(N215&gt;0,IF(N215-SUM(K215:M215)&gt;0,N215-SUM(K215:M215),0),0)</f>
        <v>18.9968274230611</v>
      </c>
      <c r="P215" s="223" t="n">
        <f aca="false">O215*D215</f>
        <v>423182.900177447</v>
      </c>
      <c r="Q215" s="164" t="n">
        <f aca="false">IF(A215&lt;=Summary!$J$61,0.5*(P215),$Q$2*(P215))</f>
        <v>0</v>
      </c>
      <c r="R215" s="223" t="n">
        <f aca="false">Summary!$J$58</f>
        <v>0.5</v>
      </c>
      <c r="S215" s="223" t="n">
        <f aca="false">J215+(K215+L215+R215)</f>
        <v>39.8890497473747</v>
      </c>
      <c r="T215" s="224" t="n">
        <f aca="false">IF(D215*(C215-S215)-Q215&gt;0,D215*(C215-S215)-Q215,0)</f>
        <v>451028.530052447</v>
      </c>
      <c r="U215" s="225" t="n">
        <f aca="false">Summary!$J$59</f>
        <v>0.121048781448</v>
      </c>
      <c r="V215" s="224" t="n">
        <f aca="false">IF(A215&lt;=Summary!$J$61,(0.2*T215)+(R215*D215),(U215*T215)+(R215*D215))</f>
        <v>65734.7059111313</v>
      </c>
      <c r="W215" s="226" t="n">
        <f aca="false">C215*D215</f>
        <v>1339617.10231713</v>
      </c>
    </row>
    <row r="216" customFormat="false" ht="12.75" hidden="false" customHeight="false" outlineLevel="0" collapsed="false">
      <c r="A216" s="220" t="n">
        <v>42948</v>
      </c>
      <c r="B216" s="221" t="n">
        <f aca="false">YEAR(A216)</f>
        <v>2017</v>
      </c>
      <c r="C216" s="164" t="n">
        <f aca="false">CALC!HH228</f>
        <v>73.8182415137591</v>
      </c>
      <c r="D216" s="222" t="n">
        <f aca="false">IF(Summary!$O$109=0,CALC!HE228,0)</f>
        <v>22276.5039</v>
      </c>
      <c r="E216" s="222" t="n">
        <f aca="false">SUM(CALC!GU228:HB228)*CALC!CY228/1000</f>
        <v>73556.5627100635</v>
      </c>
      <c r="F216" s="223" t="n">
        <f aca="false">Summary!$J$54</f>
        <v>0.15</v>
      </c>
      <c r="G216" s="164" t="n">
        <f aca="false">VLOOKUP(A216,CURVES!AW217:$BS$283,16)</f>
        <v>3.69605569588168</v>
      </c>
      <c r="H216" s="223" t="n">
        <f aca="false">Summary!$J$60</f>
        <v>0.04</v>
      </c>
      <c r="I216" s="165" t="n">
        <f aca="false">Summary!$J$55</f>
        <v>8.5</v>
      </c>
      <c r="J216" s="164" t="n">
        <f aca="false">I216*SUM(F216:H216)</f>
        <v>33.0314734149943</v>
      </c>
      <c r="K216" s="223" t="n">
        <f aca="false">Summary!$J$56</f>
        <v>3.75</v>
      </c>
      <c r="L216" s="0" t="n">
        <f aca="false">Summary!$O$23</f>
        <v>3.75</v>
      </c>
      <c r="M216" s="223" t="n">
        <f aca="false">Summary!$J$57</f>
        <v>1.75</v>
      </c>
      <c r="N216" s="164" t="n">
        <f aca="false">IF(C216&gt;0,C216-J216,0)</f>
        <v>40.7867680987648</v>
      </c>
      <c r="O216" s="223" t="n">
        <f aca="false">IF(N216&gt;0,IF(N216-SUM(K216:M216)&gt;0,N216-SUM(K216:M216),0),0)</f>
        <v>31.5367680987648</v>
      </c>
      <c r="P216" s="223" t="n">
        <f aca="false">O216*D216</f>
        <v>702528.93754553</v>
      </c>
      <c r="Q216" s="164" t="n">
        <f aca="false">IF(A216&lt;=Summary!$J$61,0.5*(P216),$Q$2*(P216))</f>
        <v>0</v>
      </c>
      <c r="R216" s="223" t="n">
        <f aca="false">Summary!$J$58</f>
        <v>0.5</v>
      </c>
      <c r="S216" s="223" t="n">
        <f aca="false">J216+(K216+L216+R216)</f>
        <v>41.0314734149943</v>
      </c>
      <c r="T216" s="224" t="n">
        <f aca="false">IF(D216*(C216-S216)-Q216&gt;0,D216*(C216-S216)-Q216,0)</f>
        <v>730374.56742053</v>
      </c>
      <c r="U216" s="225" t="n">
        <f aca="false">Summary!$J$59</f>
        <v>0.121048781448</v>
      </c>
      <c r="V216" s="224" t="n">
        <f aca="false">IF(A216&lt;=Summary!$J$61,(0.2*T216)+(R216*D216),(U216*T216)+(R216*D216))</f>
        <v>99549.2033368653</v>
      </c>
      <c r="W216" s="226" t="n">
        <f aca="false">C216*D216</f>
        <v>1644412.3449724</v>
      </c>
    </row>
    <row r="217" customFormat="false" ht="12.75" hidden="false" customHeight="false" outlineLevel="0" collapsed="false">
      <c r="A217" s="220" t="n">
        <v>42979</v>
      </c>
      <c r="B217" s="221" t="n">
        <f aca="false">YEAR(A217)</f>
        <v>2017</v>
      </c>
      <c r="C217" s="164" t="n">
        <f aca="false">CALC!HH229</f>
        <v>63.8736224689294</v>
      </c>
      <c r="D217" s="222" t="n">
        <f aca="false">IF(Summary!$O$109=0,CALC!HE229,0)</f>
        <v>21557.907</v>
      </c>
      <c r="E217" s="222" t="n">
        <f aca="false">SUM(CALC!GU229:HB229)*CALC!CY229/1000</f>
        <v>71202.5346132065</v>
      </c>
      <c r="F217" s="223" t="n">
        <f aca="false">Summary!$J$54</f>
        <v>0.15</v>
      </c>
      <c r="G217" s="164" t="n">
        <f aca="false">VLOOKUP(A217,CURVES!AW218:$BS$283,16)</f>
        <v>3.85607539465559</v>
      </c>
      <c r="H217" s="223" t="n">
        <f aca="false">Summary!$J$60</f>
        <v>0.04</v>
      </c>
      <c r="I217" s="165" t="n">
        <f aca="false">Summary!$J$55</f>
        <v>8.5</v>
      </c>
      <c r="J217" s="164" t="n">
        <f aca="false">I217*SUM(F217:H217)</f>
        <v>34.3916408545725</v>
      </c>
      <c r="K217" s="223" t="n">
        <f aca="false">Summary!$J$56</f>
        <v>3.75</v>
      </c>
      <c r="L217" s="0" t="n">
        <f aca="false">Summary!$O$23</f>
        <v>3.75</v>
      </c>
      <c r="M217" s="223" t="n">
        <f aca="false">Summary!$J$57</f>
        <v>1.75</v>
      </c>
      <c r="N217" s="164" t="n">
        <f aca="false">IF(C217&gt;0,C217-J217,0)</f>
        <v>29.4819816143569</v>
      </c>
      <c r="O217" s="223" t="n">
        <f aca="false">IF(N217&gt;0,IF(N217-SUM(K217:M217)&gt;0,N217-SUM(K217:M217),0),0)</f>
        <v>20.2319816143569</v>
      </c>
      <c r="P217" s="223" t="n">
        <f aca="false">O217*D217</f>
        <v>436159.178068016</v>
      </c>
      <c r="Q217" s="164" t="n">
        <f aca="false">IF(A217&lt;=Summary!$J$61,0.5*(P217),$Q$2*(P217))</f>
        <v>0</v>
      </c>
      <c r="R217" s="223" t="n">
        <f aca="false">Summary!$J$58</f>
        <v>0.5</v>
      </c>
      <c r="S217" s="223" t="n">
        <f aca="false">J217+(K217+L217+R217)</f>
        <v>42.3916408545725</v>
      </c>
      <c r="T217" s="224" t="n">
        <f aca="false">IF(D217*(C217-S217)-Q217&gt;0,D217*(C217-S217)-Q217,0)</f>
        <v>463106.561818016</v>
      </c>
      <c r="U217" s="225" t="n">
        <f aca="false">Summary!$J$59</f>
        <v>0.121048781448</v>
      </c>
      <c r="V217" s="224" t="n">
        <f aca="false">IF(A217&lt;=Summary!$J$61,(0.2*T217)+(R217*D217),(U217*T217)+(R217*D217))</f>
        <v>66837.4384886437</v>
      </c>
      <c r="W217" s="226" t="n">
        <f aca="false">C217*D217</f>
        <v>1376981.61293829</v>
      </c>
    </row>
    <row r="218" customFormat="false" ht="12.75" hidden="false" customHeight="false" outlineLevel="0" collapsed="false">
      <c r="A218" s="220" t="n">
        <v>43009</v>
      </c>
      <c r="B218" s="221" t="n">
        <f aca="false">YEAR(A218)</f>
        <v>2017</v>
      </c>
      <c r="C218" s="164" t="n">
        <f aca="false">CALC!HH230</f>
        <v>55.7761539962407</v>
      </c>
      <c r="D218" s="222" t="n">
        <f aca="false">IF(Summary!$O$109=0,CALC!HE230,0)</f>
        <v>20950.521525</v>
      </c>
      <c r="E218" s="222" t="n">
        <f aca="false">SUM(CALC!GU230:HB230)*CALC!CY230/1000</f>
        <v>94038.4927564604</v>
      </c>
      <c r="F218" s="223" t="n">
        <f aca="false">Summary!$J$54</f>
        <v>0.15</v>
      </c>
      <c r="G218" s="164" t="n">
        <f aca="false">VLOOKUP(A218,CURVES!AW219:$BS$283,16)</f>
        <v>4.02743713634049</v>
      </c>
      <c r="H218" s="223" t="n">
        <f aca="false">Summary!$J$60</f>
        <v>0.04</v>
      </c>
      <c r="I218" s="165" t="n">
        <f aca="false">Summary!$J$55</f>
        <v>8.5</v>
      </c>
      <c r="J218" s="164" t="n">
        <f aca="false">I218*SUM(F218:H218)</f>
        <v>35.8482156588942</v>
      </c>
      <c r="K218" s="223" t="n">
        <f aca="false">Summary!$J$56</f>
        <v>3.75</v>
      </c>
      <c r="L218" s="0" t="n">
        <f aca="false">Summary!$O$23</f>
        <v>3.75</v>
      </c>
      <c r="M218" s="223" t="n">
        <f aca="false">Summary!$J$57</f>
        <v>1.75</v>
      </c>
      <c r="N218" s="164" t="n">
        <f aca="false">IF(C218&gt;0,C218-J218,0)</f>
        <v>19.9279383373466</v>
      </c>
      <c r="O218" s="223" t="n">
        <f aca="false">IF(N218&gt;0,IF(N218-SUM(K218:M218)&gt;0,N218-SUM(K218:M218),0),0)</f>
        <v>10.6779383373466</v>
      </c>
      <c r="P218" s="223" t="n">
        <f aca="false">O218*D218</f>
        <v>223708.376979202</v>
      </c>
      <c r="Q218" s="164" t="n">
        <f aca="false">IF(A218&lt;=Summary!$J$61,0.5*(P218),$Q$2*(P218))</f>
        <v>0</v>
      </c>
      <c r="R218" s="223" t="n">
        <f aca="false">Summary!$J$58</f>
        <v>0.5</v>
      </c>
      <c r="S218" s="223" t="n">
        <f aca="false">J218+(K218+L218+R218)</f>
        <v>43.8482156588942</v>
      </c>
      <c r="T218" s="224" t="n">
        <f aca="false">IF(D218*(C218-S218)-Q218&gt;0,D218*(C218-S218)-Q218,0)</f>
        <v>249896.528885452</v>
      </c>
      <c r="U218" s="225" t="n">
        <f aca="false">Summary!$J$59</f>
        <v>0.121048781448</v>
      </c>
      <c r="V218" s="224" t="n">
        <f aca="false">IF(A218&lt;=Summary!$J$61,(0.2*T218)+(R218*D218),(U218*T218)+(R218*D218))</f>
        <v>40724.9310721689</v>
      </c>
      <c r="W218" s="226" t="n">
        <f aca="false">C218*D218</f>
        <v>1168539.51487996</v>
      </c>
    </row>
    <row r="219" customFormat="false" ht="12.75" hidden="false" customHeight="false" outlineLevel="0" collapsed="false">
      <c r="A219" s="220" t="n">
        <v>43040</v>
      </c>
      <c r="B219" s="221" t="n">
        <f aca="false">YEAR(A219)</f>
        <v>2017</v>
      </c>
      <c r="C219" s="164" t="n">
        <f aca="false">CALC!HH231</f>
        <v>58.5402637082273</v>
      </c>
      <c r="D219" s="222" t="n">
        <f aca="false">IF(Summary!$O$109=0,CALC!HE231,0)</f>
        <v>20274.69825</v>
      </c>
      <c r="E219" s="222" t="n">
        <f aca="false">SUM(CALC!GU231:HB231)*CALC!CY231/1000</f>
        <v>91028.9695300377</v>
      </c>
      <c r="F219" s="223" t="n">
        <f aca="false">Summary!$J$54</f>
        <v>0.15</v>
      </c>
      <c r="G219" s="164" t="n">
        <f aca="false">VLOOKUP(A219,CURVES!AW220:$BS$283,16)</f>
        <v>4.19641695596515</v>
      </c>
      <c r="H219" s="223" t="n">
        <f aca="false">Summary!$J$60</f>
        <v>0.04</v>
      </c>
      <c r="I219" s="165" t="n">
        <f aca="false">Summary!$J$55</f>
        <v>8.5</v>
      </c>
      <c r="J219" s="164" t="n">
        <f aca="false">I219*SUM(F219:H219)</f>
        <v>37.2845441257038</v>
      </c>
      <c r="K219" s="223" t="n">
        <f aca="false">Summary!$J$56</f>
        <v>3.75</v>
      </c>
      <c r="L219" s="0" t="n">
        <f aca="false">Summary!$O$23</f>
        <v>3.75</v>
      </c>
      <c r="M219" s="223" t="n">
        <f aca="false">Summary!$J$57</f>
        <v>1.75</v>
      </c>
      <c r="N219" s="164" t="n">
        <f aca="false">IF(C219&gt;0,C219-J219,0)</f>
        <v>21.2557195825235</v>
      </c>
      <c r="O219" s="223" t="n">
        <f aca="false">IF(N219&gt;0,IF(N219-SUM(K219:M219)&gt;0,N219-SUM(K219:M219),0),0)</f>
        <v>12.0057195825235</v>
      </c>
      <c r="P219" s="223" t="n">
        <f aca="false">O219*D219</f>
        <v>243412.34180978</v>
      </c>
      <c r="Q219" s="164" t="n">
        <f aca="false">IF(A219&lt;=Summary!$J$61,0.5*(P219),$Q$2*(P219))</f>
        <v>0</v>
      </c>
      <c r="R219" s="223" t="n">
        <f aca="false">Summary!$J$58</f>
        <v>0.5</v>
      </c>
      <c r="S219" s="223" t="n">
        <f aca="false">J219+(K219+L219+R219)</f>
        <v>45.2845441257038</v>
      </c>
      <c r="T219" s="224" t="n">
        <f aca="false">IF(D219*(C219-S219)-Q219&gt;0,D219*(C219-S219)-Q219,0)</f>
        <v>268755.71462228</v>
      </c>
      <c r="U219" s="225" t="n">
        <f aca="false">Summary!$J$59</f>
        <v>0.121048781448</v>
      </c>
      <c r="V219" s="224" t="n">
        <f aca="false">IF(A219&lt;=Summary!$J$61,(0.2*T219)+(R219*D219),(U219*T219)+(R219*D219))</f>
        <v>42669.9008872135</v>
      </c>
      <c r="W219" s="226" t="n">
        <f aca="false">C219*D219</f>
        <v>1186886.18215973</v>
      </c>
    </row>
    <row r="220" customFormat="false" ht="12.75" hidden="false" customHeight="false" outlineLevel="0" collapsed="false">
      <c r="A220" s="220" t="n">
        <v>43070</v>
      </c>
      <c r="B220" s="221" t="n">
        <f aca="false">YEAR(A220)</f>
        <v>2017</v>
      </c>
      <c r="C220" s="164" t="n">
        <f aca="false">CALC!HH232</f>
        <v>56.551027996975</v>
      </c>
      <c r="D220" s="222" t="n">
        <f aca="false">IF(Summary!$O$109=0,CALC!HE232,0)</f>
        <v>20950.521525</v>
      </c>
      <c r="E220" s="222" t="n">
        <f aca="false">SUM(CALC!GU232:HB232)*CALC!CY232/1000</f>
        <v>94088.0442722841</v>
      </c>
      <c r="F220" s="223" t="n">
        <f aca="false">Summary!$J$54</f>
        <v>0.15</v>
      </c>
      <c r="G220" s="164" t="n">
        <f aca="false">VLOOKUP(A220,CURVES!AW221:$BS$283,16)</f>
        <v>4.37491197622545</v>
      </c>
      <c r="H220" s="223" t="n">
        <f aca="false">Summary!$J$60</f>
        <v>0.04</v>
      </c>
      <c r="I220" s="165" t="n">
        <f aca="false">Summary!$J$55</f>
        <v>8.5</v>
      </c>
      <c r="J220" s="164" t="n">
        <f aca="false">I220*SUM(F220:H220)</f>
        <v>38.8017517979163</v>
      </c>
      <c r="K220" s="223" t="n">
        <f aca="false">Summary!$J$56</f>
        <v>3.75</v>
      </c>
      <c r="L220" s="0" t="n">
        <f aca="false">Summary!$O$23</f>
        <v>3.75</v>
      </c>
      <c r="M220" s="223" t="n">
        <f aca="false">Summary!$J$57</f>
        <v>1.75</v>
      </c>
      <c r="N220" s="164" t="n">
        <f aca="false">IF(C220&gt;0,C220-J220,0)</f>
        <v>17.7492761990587</v>
      </c>
      <c r="O220" s="223" t="n">
        <f aca="false">IF(N220&gt;0,IF(N220-SUM(K220:M220)&gt;0,N220-SUM(K220:M220),0),0)</f>
        <v>8.49927619905873</v>
      </c>
      <c r="P220" s="223" t="n">
        <f aca="false">O220*D220</f>
        <v>178064.2689553</v>
      </c>
      <c r="Q220" s="164" t="n">
        <f aca="false">IF(A220&lt;=Summary!$J$61,0.5*(P220),$Q$2*(P220))</f>
        <v>0</v>
      </c>
      <c r="R220" s="223" t="n">
        <f aca="false">Summary!$J$58</f>
        <v>0.5</v>
      </c>
      <c r="S220" s="223" t="n">
        <f aca="false">J220+(K220+L220+R220)</f>
        <v>46.8017517979163</v>
      </c>
      <c r="T220" s="224" t="n">
        <f aca="false">IF(D220*(C220-S220)-Q220&gt;0,D220*(C220-S220)-Q220,0)</f>
        <v>204252.42086155</v>
      </c>
      <c r="U220" s="225" t="n">
        <f aca="false">Summary!$J$59</f>
        <v>0.121048781448</v>
      </c>
      <c r="V220" s="224" t="n">
        <f aca="false">IF(A220&lt;=Summary!$J$61,(0.2*T220)+(R220*D220),(U220*T220)+(R220*D220))</f>
        <v>35199.7674155947</v>
      </c>
      <c r="W220" s="226" t="n">
        <f aca="false">C220*D220</f>
        <v>1184773.5293115</v>
      </c>
    </row>
    <row r="221" customFormat="false" ht="12.75" hidden="false" customHeight="false" outlineLevel="0" collapsed="false">
      <c r="A221" s="220" t="n">
        <v>43101</v>
      </c>
      <c r="B221" s="221" t="n">
        <f aca="false">YEAR(A221)</f>
        <v>2018</v>
      </c>
      <c r="C221" s="164" t="n">
        <f aca="false">CALC!HH233</f>
        <v>53.8914328575589</v>
      </c>
      <c r="D221" s="222" t="n">
        <f aca="false">IF(Summary!$O$109=0,CALC!HE233,0)</f>
        <v>20950.521525</v>
      </c>
      <c r="E221" s="222" t="n">
        <f aca="false">SUM(CALC!GU233:HB233)*CALC!CY233/1000</f>
        <v>94112.8200301959</v>
      </c>
      <c r="F221" s="223" t="n">
        <f aca="false">Summary!$J$54</f>
        <v>0.15</v>
      </c>
      <c r="G221" s="164" t="n">
        <f aca="false">VLOOKUP(A221,CURVES!AW222:$BS$283,16)</f>
        <v>4.15452921114819</v>
      </c>
      <c r="H221" s="223" t="n">
        <f aca="false">Summary!$J$60</f>
        <v>0.04</v>
      </c>
      <c r="I221" s="165" t="n">
        <f aca="false">Summary!$J$55</f>
        <v>8.5</v>
      </c>
      <c r="J221" s="164" t="n">
        <f aca="false">I221*SUM(F221:H221)</f>
        <v>36.9284982947596</v>
      </c>
      <c r="K221" s="223" t="n">
        <f aca="false">Summary!$J$56</f>
        <v>3.75</v>
      </c>
      <c r="L221" s="0" t="n">
        <f aca="false">Summary!$O$23</f>
        <v>3.75</v>
      </c>
      <c r="M221" s="223" t="n">
        <f aca="false">Summary!$J$57</f>
        <v>1.75</v>
      </c>
      <c r="N221" s="164" t="n">
        <f aca="false">IF(C221&gt;0,C221-J221,0)</f>
        <v>16.9629345627993</v>
      </c>
      <c r="O221" s="223" t="n">
        <f aca="false">IF(N221&gt;0,IF(N221-SUM(K221:M221)&gt;0,N221-SUM(K221:M221),0),0)</f>
        <v>7.71293456279932</v>
      </c>
      <c r="P221" s="223" t="n">
        <f aca="false">O221*D221</f>
        <v>161590.001578844</v>
      </c>
      <c r="Q221" s="164" t="n">
        <f aca="false">IF(A221&lt;=Summary!$J$61,0.5*(P221),$Q$2*(P221))</f>
        <v>0</v>
      </c>
      <c r="R221" s="223" t="n">
        <f aca="false">Summary!$J$58</f>
        <v>0.5</v>
      </c>
      <c r="S221" s="223" t="n">
        <f aca="false">J221+(K221+L221+R221)</f>
        <v>44.9284982947596</v>
      </c>
      <c r="T221" s="224" t="n">
        <f aca="false">IF(D221*(C221-S221)-Q221&gt;0,D221*(C221-S221)-Q221,0)</f>
        <v>187778.153485094</v>
      </c>
      <c r="U221" s="225" t="n">
        <f aca="false">Summary!$J$59</f>
        <v>0.121048781448</v>
      </c>
      <c r="V221" s="224" t="n">
        <f aca="false">IF(A221&lt;=Summary!$J$61,(0.2*T221)+(R221*D221),(U221*T221)+(R221*D221))</f>
        <v>33205.5774244261</v>
      </c>
      <c r="W221" s="226" t="n">
        <f aca="false">C221*D221</f>
        <v>1129053.62409538</v>
      </c>
    </row>
    <row r="222" customFormat="false" ht="12.75" hidden="false" customHeight="false" outlineLevel="0" collapsed="false">
      <c r="A222" s="220" t="n">
        <v>43132</v>
      </c>
      <c r="B222" s="221" t="n">
        <f aca="false">YEAR(A222)</f>
        <v>2018</v>
      </c>
      <c r="C222" s="164" t="n">
        <f aca="false">CALC!HH234</f>
        <v>42.2227996942503</v>
      </c>
      <c r="D222" s="222" t="n">
        <f aca="false">IF(Summary!$O$109=0,CALC!HE234,0)</f>
        <v>18923.0517</v>
      </c>
      <c r="E222" s="222" t="n">
        <f aca="false">SUM(CALC!GU234:HB234)*CALC!CY234/1000</f>
        <v>85027.5058731296</v>
      </c>
      <c r="F222" s="223" t="n">
        <f aca="false">Summary!$J$54</f>
        <v>0.15</v>
      </c>
      <c r="G222" s="164" t="n">
        <f aca="false">VLOOKUP(A222,CURVES!AW223:$BS$283,16)</f>
        <v>3.83719477639813</v>
      </c>
      <c r="H222" s="223" t="n">
        <f aca="false">Summary!$J$60</f>
        <v>0.04</v>
      </c>
      <c r="I222" s="165" t="n">
        <f aca="false">Summary!$J$55</f>
        <v>8.5</v>
      </c>
      <c r="J222" s="164" t="n">
        <f aca="false">I222*SUM(F222:H222)</f>
        <v>34.2311555993841</v>
      </c>
      <c r="K222" s="223" t="n">
        <f aca="false">Summary!$J$56</f>
        <v>3.75</v>
      </c>
      <c r="L222" s="0" t="n">
        <f aca="false">Summary!$O$23</f>
        <v>3.75</v>
      </c>
      <c r="M222" s="223" t="n">
        <f aca="false">Summary!$J$57</f>
        <v>1.75</v>
      </c>
      <c r="N222" s="164" t="n">
        <f aca="false">IF(C222&gt;0,C222-J222,0)</f>
        <v>7.99164409486613</v>
      </c>
      <c r="O222" s="223" t="n">
        <f aca="false">IF(N222&gt;0,IF(N222-SUM(K222:M222)&gt;0,N222-SUM(K222:M222),0),0)</f>
        <v>0</v>
      </c>
      <c r="P222" s="223" t="n">
        <f aca="false">O222*D222</f>
        <v>0</v>
      </c>
      <c r="Q222" s="164" t="n">
        <f aca="false">IF(A222&lt;=Summary!$J$61,0.5*(P222),$Q$2*(P222))</f>
        <v>0</v>
      </c>
      <c r="R222" s="223" t="n">
        <f aca="false">Summary!$J$58</f>
        <v>0.5</v>
      </c>
      <c r="S222" s="223" t="n">
        <f aca="false">J222+(K222+L222+R222)</f>
        <v>42.2311555993841</v>
      </c>
      <c r="T222" s="224" t="n">
        <f aca="false">IF(D222*(C222-S222)-Q222&gt;0,D222*(C222-S222)-Q222,0)</f>
        <v>0</v>
      </c>
      <c r="U222" s="225" t="n">
        <f aca="false">Summary!$J$59</f>
        <v>0.121048781448</v>
      </c>
      <c r="V222" s="224" t="n">
        <f aca="false">IF(A222&lt;=Summary!$J$61,(0.2*T222)+(R222*D222),(U222*T222)+(R222*D222))</f>
        <v>9461.52585</v>
      </c>
      <c r="W222" s="226" t="n">
        <f aca="false">C222*D222</f>
        <v>798984.221533042</v>
      </c>
    </row>
    <row r="223" customFormat="false" ht="12.75" hidden="false" customHeight="false" outlineLevel="0" collapsed="false">
      <c r="A223" s="220" t="n">
        <v>43160</v>
      </c>
      <c r="B223" s="221" t="n">
        <f aca="false">YEAR(A223)</f>
        <v>2018</v>
      </c>
      <c r="C223" s="164" t="n">
        <f aca="false">CALC!HH235</f>
        <v>42.0410346662171</v>
      </c>
      <c r="D223" s="222" t="n">
        <f aca="false">IF(Summary!$O$109=0,CALC!HE235,0)</f>
        <v>20950.521525</v>
      </c>
      <c r="E223" s="222" t="n">
        <f aca="false">SUM(CALC!GU235:HB235)*CALC!CY235/1000</f>
        <v>94162.3715460196</v>
      </c>
      <c r="F223" s="223" t="n">
        <f aca="false">Summary!$J$54</f>
        <v>0.15</v>
      </c>
      <c r="G223" s="164" t="n">
        <f aca="false">VLOOKUP(A223,CURVES!AW224:$BS$283,16)</f>
        <v>3.63120094749179</v>
      </c>
      <c r="H223" s="223" t="n">
        <f aca="false">Summary!$J$60</f>
        <v>0.04</v>
      </c>
      <c r="I223" s="165" t="n">
        <f aca="false">Summary!$J$55</f>
        <v>8.5</v>
      </c>
      <c r="J223" s="164" t="n">
        <f aca="false">I223*SUM(F223:H223)</f>
        <v>32.4802080536802</v>
      </c>
      <c r="K223" s="223" t="n">
        <f aca="false">Summary!$J$56</f>
        <v>3.75</v>
      </c>
      <c r="L223" s="0" t="n">
        <f aca="false">Summary!$O$23</f>
        <v>3.75</v>
      </c>
      <c r="M223" s="223" t="n">
        <f aca="false">Summary!$J$57</f>
        <v>1.75</v>
      </c>
      <c r="N223" s="164" t="n">
        <f aca="false">IF(C223&gt;0,C223-J223,0)</f>
        <v>9.5608266125369</v>
      </c>
      <c r="O223" s="223" t="n">
        <f aca="false">IF(N223&gt;0,IF(N223-SUM(K223:M223)&gt;0,N223-SUM(K223:M223),0),0)</f>
        <v>0.3108266125369</v>
      </c>
      <c r="P223" s="223" t="n">
        <f aca="false">O223*D223</f>
        <v>6511.97963649716</v>
      </c>
      <c r="Q223" s="164" t="n">
        <f aca="false">IF(A223&lt;=Summary!$J$61,0.5*(P223),$Q$2*(P223))</f>
        <v>0</v>
      </c>
      <c r="R223" s="223" t="n">
        <f aca="false">Summary!$J$58</f>
        <v>0.5</v>
      </c>
      <c r="S223" s="223" t="n">
        <f aca="false">J223+(K223+L223+R223)</f>
        <v>40.4802080536802</v>
      </c>
      <c r="T223" s="224" t="n">
        <f aca="false">IF(D223*(C223-S223)-Q223&gt;0,D223*(C223-S223)-Q223,0)</f>
        <v>32700.1315427472</v>
      </c>
      <c r="U223" s="225" t="n">
        <f aca="false">Summary!$J$59</f>
        <v>0.121048781448</v>
      </c>
      <c r="V223" s="224" t="n">
        <f aca="false">IF(A223&lt;=Summary!$J$61,(0.2*T223)+(R223*D223),(U223*T223)+(R223*D223))</f>
        <v>14433.5718389389</v>
      </c>
      <c r="W223" s="226" t="n">
        <f aca="false">C223*D223</f>
        <v>880781.601707852</v>
      </c>
    </row>
    <row r="224" customFormat="false" ht="12.75" hidden="false" customHeight="false" outlineLevel="0" collapsed="false">
      <c r="A224" s="220" t="n">
        <v>43191</v>
      </c>
      <c r="B224" s="221" t="n">
        <f aca="false">YEAR(A224)</f>
        <v>2018</v>
      </c>
      <c r="C224" s="164" t="n">
        <f aca="false">CALC!HH236</f>
        <v>41.5542116337575</v>
      </c>
      <c r="D224" s="222" t="n">
        <f aca="false">IF(Summary!$O$109=0,CALC!HE236,0)</f>
        <v>20274.69825</v>
      </c>
      <c r="E224" s="222" t="n">
        <f aca="false">SUM(CALC!GU236:HB236)*CALC!CY236/1000</f>
        <v>91148.8522296111</v>
      </c>
      <c r="F224" s="223" t="n">
        <f aca="false">Summary!$J$54</f>
        <v>0.15</v>
      </c>
      <c r="G224" s="164" t="n">
        <f aca="false">VLOOKUP(A224,CURVES!AW225:$BS$283,16)</f>
        <v>3.52226232685303</v>
      </c>
      <c r="H224" s="223" t="n">
        <f aca="false">Summary!$J$60</f>
        <v>0.04</v>
      </c>
      <c r="I224" s="165" t="n">
        <f aca="false">Summary!$J$55</f>
        <v>8.5</v>
      </c>
      <c r="J224" s="164" t="n">
        <f aca="false">I224*SUM(F224:H224)</f>
        <v>31.5542297782507</v>
      </c>
      <c r="K224" s="223" t="n">
        <f aca="false">Summary!$J$56</f>
        <v>3.75</v>
      </c>
      <c r="L224" s="0" t="n">
        <f aca="false">Summary!$O$23</f>
        <v>3.75</v>
      </c>
      <c r="M224" s="223" t="n">
        <f aca="false">Summary!$J$57</f>
        <v>1.75</v>
      </c>
      <c r="N224" s="164" t="n">
        <f aca="false">IF(C224&gt;0,C224-J224,0)</f>
        <v>9.9999818555068</v>
      </c>
      <c r="O224" s="223" t="n">
        <f aca="false">IF(N224&gt;0,IF(N224-SUM(K224:M224)&gt;0,N224-SUM(K224:M224),0),0)</f>
        <v>0.7499818555068</v>
      </c>
      <c r="P224" s="223" t="n">
        <f aca="false">O224*D224</f>
        <v>15205.6558133755</v>
      </c>
      <c r="Q224" s="164" t="n">
        <f aca="false">IF(A224&lt;=Summary!$J$61,0.5*(P224),$Q$2*(P224))</f>
        <v>0</v>
      </c>
      <c r="R224" s="223" t="n">
        <f aca="false">Summary!$J$58</f>
        <v>0.5</v>
      </c>
      <c r="S224" s="223" t="n">
        <f aca="false">J224+(K224+L224+R224)</f>
        <v>39.5542297782507</v>
      </c>
      <c r="T224" s="224" t="n">
        <f aca="false">IF(D224*(C224-S224)-Q224&gt;0,D224*(C224-S224)-Q224,0)</f>
        <v>40549.0286258754</v>
      </c>
      <c r="U224" s="225" t="n">
        <f aca="false">Summary!$J$59</f>
        <v>0.121048781448</v>
      </c>
      <c r="V224" s="224" t="n">
        <f aca="false">IF(A224&lt;=Summary!$J$61,(0.2*T224)+(R224*D224),(U224*T224)+(R224*D224))</f>
        <v>15045.7596290623</v>
      </c>
      <c r="W224" s="226" t="n">
        <f aca="false">C224*D224</f>
        <v>842499.101891074</v>
      </c>
    </row>
    <row r="225" customFormat="false" ht="12.75" hidden="false" customHeight="false" outlineLevel="0" collapsed="false">
      <c r="A225" s="220" t="n">
        <v>43221</v>
      </c>
      <c r="B225" s="221" t="n">
        <f aca="false">YEAR(A225)</f>
        <v>2018</v>
      </c>
      <c r="C225" s="164" t="n">
        <f aca="false">CALC!HH237</f>
        <v>44.5187001362385</v>
      </c>
      <c r="D225" s="222" t="n">
        <f aca="false">IF(Summary!$O$109=0,CALC!HE237,0)</f>
        <v>22276.5039</v>
      </c>
      <c r="E225" s="222" t="n">
        <f aca="false">SUM(CALC!GU237:HB237)*CALC!CY237/1000</f>
        <v>73731.0702223121</v>
      </c>
      <c r="F225" s="223" t="n">
        <f aca="false">Summary!$J$54</f>
        <v>0.15</v>
      </c>
      <c r="G225" s="164" t="n">
        <f aca="false">VLOOKUP(A225,CURVES!AW226:$BS$283,16)</f>
        <v>3.49569851394026</v>
      </c>
      <c r="H225" s="223" t="n">
        <f aca="false">Summary!$J$60</f>
        <v>0.04</v>
      </c>
      <c r="I225" s="165" t="n">
        <f aca="false">Summary!$J$55</f>
        <v>8.5</v>
      </c>
      <c r="J225" s="164" t="n">
        <f aca="false">I225*SUM(F225:H225)</f>
        <v>31.3284373684922</v>
      </c>
      <c r="K225" s="223" t="n">
        <f aca="false">Summary!$J$56</f>
        <v>3.75</v>
      </c>
      <c r="L225" s="0" t="n">
        <f aca="false">Summary!$O$23</f>
        <v>3.75</v>
      </c>
      <c r="M225" s="223" t="n">
        <f aca="false">Summary!$J$57</f>
        <v>1.75</v>
      </c>
      <c r="N225" s="164" t="n">
        <f aca="false">IF(C225&gt;0,C225-J225,0)</f>
        <v>13.1902627677463</v>
      </c>
      <c r="O225" s="223" t="n">
        <f aca="false">IF(N225&gt;0,IF(N225-SUM(K225:M225)&gt;0,N225-SUM(K225:M225),0),0)</f>
        <v>3.94026276774635</v>
      </c>
      <c r="P225" s="223" t="n">
        <f aca="false">O225*D225</f>
        <v>87775.2789127263</v>
      </c>
      <c r="Q225" s="164" t="n">
        <f aca="false">IF(A225&lt;=Summary!$J$61,0.5*(P225),$Q$2*(P225))</f>
        <v>0</v>
      </c>
      <c r="R225" s="223" t="n">
        <f aca="false">Summary!$J$58</f>
        <v>0.5</v>
      </c>
      <c r="S225" s="223" t="n">
        <f aca="false">J225+(K225+L225+R225)</f>
        <v>39.3284373684922</v>
      </c>
      <c r="T225" s="224" t="n">
        <f aca="false">IF(D225*(C225-S225)-Q225&gt;0,D225*(C225-S225)-Q225,0)</f>
        <v>115620.908787726</v>
      </c>
      <c r="U225" s="225" t="n">
        <f aca="false">Summary!$J$59</f>
        <v>0.121048781448</v>
      </c>
      <c r="V225" s="224" t="n">
        <f aca="false">IF(A225&lt;=Summary!$J$61,(0.2*T225)+(R225*D225),(U225*T225)+(R225*D225))</f>
        <v>25134.0220686646</v>
      </c>
      <c r="W225" s="226" t="n">
        <f aca="false">C225*D225</f>
        <v>991720.997207848</v>
      </c>
    </row>
    <row r="226" customFormat="false" ht="12.75" hidden="false" customHeight="false" outlineLevel="0" collapsed="false">
      <c r="A226" s="220" t="n">
        <v>43252</v>
      </c>
      <c r="B226" s="221" t="n">
        <f aca="false">YEAR(A226)</f>
        <v>2018</v>
      </c>
      <c r="C226" s="164" t="n">
        <f aca="false">CALC!HH238</f>
        <v>46.294949515407</v>
      </c>
      <c r="D226" s="222" t="n">
        <f aca="false">IF(Summary!$O$109=0,CALC!HE238,0)</f>
        <v>21557.907</v>
      </c>
      <c r="E226" s="222" t="n">
        <f aca="false">SUM(CALC!GU238:HB238)*CALC!CY238/1000</f>
        <v>71371.4128508664</v>
      </c>
      <c r="F226" s="223" t="n">
        <f aca="false">Summary!$J$54</f>
        <v>0.15</v>
      </c>
      <c r="G226" s="164" t="n">
        <f aca="false">VLOOKUP(A226,CURVES!AW227:$BS$283,16)</f>
        <v>3.53792453385302</v>
      </c>
      <c r="H226" s="223" t="n">
        <f aca="false">Summary!$J$60</f>
        <v>0.04</v>
      </c>
      <c r="I226" s="165" t="n">
        <f aca="false">Summary!$J$55</f>
        <v>8.5</v>
      </c>
      <c r="J226" s="164" t="n">
        <f aca="false">I226*SUM(F226:H226)</f>
        <v>31.6873585377507</v>
      </c>
      <c r="K226" s="223" t="n">
        <f aca="false">Summary!$J$56</f>
        <v>3.75</v>
      </c>
      <c r="L226" s="0" t="n">
        <f aca="false">Summary!$O$23</f>
        <v>3.75</v>
      </c>
      <c r="M226" s="223" t="n">
        <f aca="false">Summary!$J$57</f>
        <v>1.75</v>
      </c>
      <c r="N226" s="164" t="n">
        <f aca="false">IF(C226&gt;0,C226-J226,0)</f>
        <v>14.6075909776563</v>
      </c>
      <c r="O226" s="223" t="n">
        <f aca="false">IF(N226&gt;0,IF(N226-SUM(K226:M226)&gt;0,N226-SUM(K226:M226),0),0)</f>
        <v>5.35759097765633</v>
      </c>
      <c r="P226" s="223" t="n">
        <f aca="false">O226*D226</f>
        <v>115498.448040354</v>
      </c>
      <c r="Q226" s="164" t="n">
        <f aca="false">IF(A226&lt;=Summary!$J$61,0.5*(P226),$Q$2*(P226))</f>
        <v>0</v>
      </c>
      <c r="R226" s="223" t="n">
        <f aca="false">Summary!$J$58</f>
        <v>0.5</v>
      </c>
      <c r="S226" s="223" t="n">
        <f aca="false">J226+(K226+L226+R226)</f>
        <v>39.6873585377507</v>
      </c>
      <c r="T226" s="224" t="n">
        <f aca="false">IF(D226*(C226-S226)-Q226&gt;0,D226*(C226-S226)-Q226,0)</f>
        <v>142445.831790354</v>
      </c>
      <c r="U226" s="225" t="n">
        <f aca="false">Summary!$J$59</f>
        <v>0.121048781448</v>
      </c>
      <c r="V226" s="224" t="n">
        <f aca="false">IF(A226&lt;=Summary!$J$61,(0.2*T226)+(R226*D226),(U226*T226)+(R226*D226))</f>
        <v>28021.8478605692</v>
      </c>
      <c r="W226" s="226" t="n">
        <f aca="false">C226*D226</f>
        <v>998022.21622284</v>
      </c>
    </row>
    <row r="227" customFormat="false" ht="12.75" hidden="false" customHeight="false" outlineLevel="0" collapsed="false">
      <c r="A227" s="220" t="n">
        <v>43282</v>
      </c>
      <c r="B227" s="221" t="n">
        <f aca="false">YEAR(A227)</f>
        <v>2018</v>
      </c>
      <c r="C227" s="164" t="n">
        <f aca="false">CALC!HH239</f>
        <v>61.405237933058</v>
      </c>
      <c r="D227" s="222" t="n">
        <f aca="false">IF(Summary!$O$109=0,CALC!HE239,0)</f>
        <v>22276.5039</v>
      </c>
      <c r="E227" s="222" t="n">
        <f aca="false">SUM(CALC!GU239:HB239)*CALC!CY239/1000</f>
        <v>73769.8496694785</v>
      </c>
      <c r="F227" s="223" t="n">
        <f aca="false">Summary!$J$54</f>
        <v>0.15</v>
      </c>
      <c r="G227" s="164" t="n">
        <f aca="false">VLOOKUP(A227,CURVES!AW228:$BS$283,16)</f>
        <v>3.63449604168646</v>
      </c>
      <c r="H227" s="223" t="n">
        <f aca="false">Summary!$J$60</f>
        <v>0.04</v>
      </c>
      <c r="I227" s="165" t="n">
        <f aca="false">Summary!$J$55</f>
        <v>8.5</v>
      </c>
      <c r="J227" s="164" t="n">
        <f aca="false">I227*SUM(F227:H227)</f>
        <v>32.5082163543349</v>
      </c>
      <c r="K227" s="223" t="n">
        <f aca="false">Summary!$J$56</f>
        <v>3.75</v>
      </c>
      <c r="L227" s="0" t="n">
        <f aca="false">Summary!$O$23</f>
        <v>3.75</v>
      </c>
      <c r="M227" s="223" t="n">
        <f aca="false">Summary!$J$57</f>
        <v>1.75</v>
      </c>
      <c r="N227" s="164" t="n">
        <f aca="false">IF(C227&gt;0,C227-J227,0)</f>
        <v>28.8970215787231</v>
      </c>
      <c r="O227" s="223" t="n">
        <f aca="false">IF(N227&gt;0,IF(N227-SUM(K227:M227)&gt;0,N227-SUM(K227:M227),0),0)</f>
        <v>19.6470215787231</v>
      </c>
      <c r="P227" s="223" t="n">
        <f aca="false">O227*D227</f>
        <v>437666.952821809</v>
      </c>
      <c r="Q227" s="164" t="n">
        <f aca="false">IF(A227&lt;=Summary!$J$61,0.5*(P227),$Q$2*(P227))</f>
        <v>0</v>
      </c>
      <c r="R227" s="223" t="n">
        <f aca="false">Summary!$J$58</f>
        <v>0.5</v>
      </c>
      <c r="S227" s="223" t="n">
        <f aca="false">J227+(K227+L227+R227)</f>
        <v>40.5082163543349</v>
      </c>
      <c r="T227" s="224" t="n">
        <f aca="false">IF(D227*(C227-S227)-Q227&gt;0,D227*(C227-S227)-Q227,0)</f>
        <v>465512.582696809</v>
      </c>
      <c r="U227" s="225" t="n">
        <f aca="false">Summary!$J$59</f>
        <v>0.121048781448</v>
      </c>
      <c r="V227" s="224" t="n">
        <f aca="false">IF(A227&lt;=Summary!$J$61,(0.2*T227)+(R227*D227),(U227*T227)+(R227*D227))</f>
        <v>67487.9828341601</v>
      </c>
      <c r="W227" s="226" t="n">
        <f aca="false">C227*D227</f>
        <v>1367894.02229619</v>
      </c>
    </row>
    <row r="228" customFormat="false" ht="12.75" hidden="false" customHeight="false" outlineLevel="0" collapsed="false">
      <c r="A228" s="220" t="n">
        <v>43313</v>
      </c>
      <c r="B228" s="221" t="n">
        <f aca="false">YEAR(A228)</f>
        <v>2018</v>
      </c>
      <c r="C228" s="164" t="n">
        <f aca="false">CALC!HH240</f>
        <v>72.5532335490144</v>
      </c>
      <c r="D228" s="222" t="n">
        <f aca="false">IF(Summary!$O$109=0,CALC!HE240,0)</f>
        <v>22276.5039</v>
      </c>
      <c r="E228" s="222" t="n">
        <f aca="false">SUM(CALC!GU240:HB240)*CALC!CY240/1000</f>
        <v>73789.2393930616</v>
      </c>
      <c r="F228" s="223" t="n">
        <f aca="false">Summary!$J$54</f>
        <v>0.15</v>
      </c>
      <c r="G228" s="164" t="n">
        <f aca="false">VLOOKUP(A228,CURVES!AW229:$BS$283,16)</f>
        <v>3.77164763959094</v>
      </c>
      <c r="H228" s="223" t="n">
        <f aca="false">Summary!$J$60</f>
        <v>0.04</v>
      </c>
      <c r="I228" s="165" t="n">
        <f aca="false">Summary!$J$55</f>
        <v>8.5</v>
      </c>
      <c r="J228" s="164" t="n">
        <f aca="false">I228*SUM(F228:H228)</f>
        <v>33.674004936523</v>
      </c>
      <c r="K228" s="223" t="n">
        <f aca="false">Summary!$J$56</f>
        <v>3.75</v>
      </c>
      <c r="L228" s="0" t="n">
        <f aca="false">Summary!$O$23</f>
        <v>3.75</v>
      </c>
      <c r="M228" s="223" t="n">
        <f aca="false">Summary!$J$57</f>
        <v>1.75</v>
      </c>
      <c r="N228" s="164" t="n">
        <f aca="false">IF(C228&gt;0,C228-J228,0)</f>
        <v>38.8792286124913</v>
      </c>
      <c r="O228" s="223" t="n">
        <f aca="false">IF(N228&gt;0,IF(N228-SUM(K228:M228)&gt;0,N228-SUM(K228:M228),0),0)</f>
        <v>29.6292286124913</v>
      </c>
      <c r="P228" s="223" t="n">
        <f aca="false">O228*D228</f>
        <v>660035.626740155</v>
      </c>
      <c r="Q228" s="164" t="n">
        <f aca="false">IF(A228&lt;=Summary!$J$61,0.5*(P228),$Q$2*(P228))</f>
        <v>0</v>
      </c>
      <c r="R228" s="223" t="n">
        <f aca="false">Summary!$J$58</f>
        <v>0.5</v>
      </c>
      <c r="S228" s="223" t="n">
        <f aca="false">J228+(K228+L228+R228)</f>
        <v>41.674004936523</v>
      </c>
      <c r="T228" s="224" t="n">
        <f aca="false">IF(D228*(C228-S228)-Q228&gt;0,D228*(C228-S228)-Q228,0)</f>
        <v>687881.256615155</v>
      </c>
      <c r="U228" s="225" t="n">
        <f aca="false">Summary!$J$59</f>
        <v>0.121048781448</v>
      </c>
      <c r="V228" s="224" t="n">
        <f aca="false">IF(A228&lt;=Summary!$J$61,(0.2*T228)+(R228*D228),(U228*T228)+(R228*D228))</f>
        <v>94405.4398441835</v>
      </c>
      <c r="W228" s="226" t="n">
        <f aca="false">C228*D228</f>
        <v>1616232.39011223</v>
      </c>
    </row>
    <row r="229" customFormat="false" ht="12.75" hidden="false" customHeight="false" outlineLevel="0" collapsed="false">
      <c r="A229" s="220" t="n">
        <v>43344</v>
      </c>
      <c r="B229" s="221" t="n">
        <f aca="false">YEAR(A229)</f>
        <v>2018</v>
      </c>
      <c r="C229" s="164" t="n">
        <f aca="false">CALC!HH241</f>
        <v>65.7782449945086</v>
      </c>
      <c r="D229" s="222" t="n">
        <f aca="false">IF(Summary!$O$109=0,CALC!HE241,0)</f>
        <v>21557.907</v>
      </c>
      <c r="E229" s="222" t="n">
        <f aca="false">SUM(CALC!GU241:HB241)*CALC!CY241/1000</f>
        <v>71427.705596753</v>
      </c>
      <c r="F229" s="223" t="n">
        <f aca="false">Summary!$J$54</f>
        <v>0.15</v>
      </c>
      <c r="G229" s="164" t="n">
        <f aca="false">VLOOKUP(A229,CURVES!AW230:$BS$283,16)</f>
        <v>3.93494007044938</v>
      </c>
      <c r="H229" s="223" t="n">
        <f aca="false">Summary!$J$60</f>
        <v>0.04</v>
      </c>
      <c r="I229" s="165" t="n">
        <f aca="false">Summary!$J$55</f>
        <v>8.5</v>
      </c>
      <c r="J229" s="164" t="n">
        <f aca="false">I229*SUM(F229:H229)</f>
        <v>35.0619905988197</v>
      </c>
      <c r="K229" s="223" t="n">
        <f aca="false">Summary!$J$56</f>
        <v>3.75</v>
      </c>
      <c r="L229" s="0" t="n">
        <f aca="false">Summary!$O$23</f>
        <v>3.75</v>
      </c>
      <c r="M229" s="223" t="n">
        <f aca="false">Summary!$J$57</f>
        <v>1.75</v>
      </c>
      <c r="N229" s="164" t="n">
        <f aca="false">IF(C229&gt;0,C229-J229,0)</f>
        <v>30.7162543956889</v>
      </c>
      <c r="O229" s="223" t="n">
        <f aca="false">IF(N229&gt;0,IF(N229-SUM(K229:M229)&gt;0,N229-SUM(K229:M229),0),0)</f>
        <v>21.4662543956889</v>
      </c>
      <c r="P229" s="223" t="n">
        <f aca="false">O229*D229</f>
        <v>462767.515900603</v>
      </c>
      <c r="Q229" s="164" t="n">
        <f aca="false">IF(A229&lt;=Summary!$J$61,0.5*(P229),$Q$2*(P229))</f>
        <v>0</v>
      </c>
      <c r="R229" s="223" t="n">
        <f aca="false">Summary!$J$58</f>
        <v>0.5</v>
      </c>
      <c r="S229" s="223" t="n">
        <f aca="false">J229+(K229+L229+R229)</f>
        <v>43.0619905988197</v>
      </c>
      <c r="T229" s="224" t="n">
        <f aca="false">IF(D229*(C229-S229)-Q229&gt;0,D229*(C229-S229)-Q229,0)</f>
        <v>489714.899650603</v>
      </c>
      <c r="U229" s="225" t="n">
        <f aca="false">Summary!$J$59</f>
        <v>0.121048781448</v>
      </c>
      <c r="V229" s="224" t="n">
        <f aca="false">IF(A229&lt;=Summary!$J$61,(0.2*T229)+(R229*D229),(U229*T229)+(R229*D229))</f>
        <v>70058.3453596351</v>
      </c>
      <c r="W229" s="226" t="n">
        <f aca="false">C229*D229</f>
        <v>1418041.28821483</v>
      </c>
    </row>
    <row r="230" customFormat="false" ht="12.75" hidden="false" customHeight="false" outlineLevel="0" collapsed="false">
      <c r="A230" s="220" t="n">
        <v>43374</v>
      </c>
      <c r="B230" s="221" t="n">
        <f aca="false">YEAR(A230)</f>
        <v>2018</v>
      </c>
      <c r="C230" s="164" t="n">
        <f aca="false">CALC!HH242</f>
        <v>54.805547711183</v>
      </c>
      <c r="D230" s="222" t="n">
        <f aca="false">IF(Summary!$O$109=0,CALC!HE242,0)</f>
        <v>20950.521525</v>
      </c>
      <c r="E230" s="222" t="n">
        <f aca="false">SUM(CALC!GU242:HB242)*CALC!CY242/1000</f>
        <v>94335.8018514024</v>
      </c>
      <c r="F230" s="223" t="n">
        <f aca="false">Summary!$J$54</f>
        <v>0.15</v>
      </c>
      <c r="G230" s="164" t="n">
        <f aca="false">VLOOKUP(A230,CURVES!AW231:$BS$283,16)</f>
        <v>4.10980651233287</v>
      </c>
      <c r="H230" s="223" t="n">
        <f aca="false">Summary!$J$60</f>
        <v>0.04</v>
      </c>
      <c r="I230" s="165" t="n">
        <f aca="false">Summary!$J$55</f>
        <v>8.5</v>
      </c>
      <c r="J230" s="164" t="n">
        <f aca="false">I230*SUM(F230:H230)</f>
        <v>36.5483553548294</v>
      </c>
      <c r="K230" s="223" t="n">
        <f aca="false">Summary!$J$56</f>
        <v>3.75</v>
      </c>
      <c r="L230" s="0" t="n">
        <f aca="false">Summary!$O$23</f>
        <v>3.75</v>
      </c>
      <c r="M230" s="223" t="n">
        <f aca="false">Summary!$J$57</f>
        <v>1.75</v>
      </c>
      <c r="N230" s="164" t="n">
        <f aca="false">IF(C230&gt;0,C230-J230,0)</f>
        <v>18.2571923563536</v>
      </c>
      <c r="O230" s="223" t="n">
        <f aca="false">IF(N230&gt;0,IF(N230-SUM(K230:M230)&gt;0,N230-SUM(K230:M230),0),0)</f>
        <v>9.00719235635355</v>
      </c>
      <c r="P230" s="223" t="n">
        <f aca="false">O230*D230</f>
        <v>188705.3773416</v>
      </c>
      <c r="Q230" s="164" t="n">
        <f aca="false">IF(A230&lt;=Summary!$J$61,0.5*(P230),$Q$2*(P230))</f>
        <v>0</v>
      </c>
      <c r="R230" s="223" t="n">
        <f aca="false">Summary!$J$58</f>
        <v>0.5</v>
      </c>
      <c r="S230" s="223" t="n">
        <f aca="false">J230+(K230+L230+R230)</f>
        <v>44.5483553548294</v>
      </c>
      <c r="T230" s="224" t="n">
        <f aca="false">IF(D230*(C230-S230)-Q230&gt;0,D230*(C230-S230)-Q230,0)</f>
        <v>214893.52924785</v>
      </c>
      <c r="U230" s="225" t="n">
        <f aca="false">Summary!$J$59</f>
        <v>0.121048781448</v>
      </c>
      <c r="V230" s="224" t="n">
        <f aca="false">IF(A230&lt;=Summary!$J$61,(0.2*T230)+(R230*D230),(U230*T230)+(R230*D230))</f>
        <v>36487.8606190125</v>
      </c>
      <c r="W230" s="226" t="n">
        <f aca="false">C230*D230</f>
        <v>1148204.80701255</v>
      </c>
    </row>
    <row r="231" customFormat="false" ht="12.75" hidden="false" customHeight="false" outlineLevel="0" collapsed="false">
      <c r="A231" s="220" t="n">
        <v>43405</v>
      </c>
      <c r="B231" s="221" t="n">
        <f aca="false">YEAR(A231)</f>
        <v>2018</v>
      </c>
      <c r="C231" s="164" t="n">
        <f aca="false">CALC!HH243</f>
        <v>56.932392193618</v>
      </c>
      <c r="D231" s="222" t="n">
        <f aca="false">IF(Summary!$O$109=0,CALC!HE243,0)</f>
        <v>20274.69825</v>
      </c>
      <c r="E231" s="222" t="n">
        <f aca="false">SUM(CALC!GU243:HB243)*CALC!CY243/1000</f>
        <v>91316.6880090138</v>
      </c>
      <c r="F231" s="223" t="n">
        <f aca="false">Summary!$J$54</f>
        <v>0.15</v>
      </c>
      <c r="G231" s="164" t="n">
        <f aca="false">VLOOKUP(A231,CURVES!AW232:$BS$283,16)</f>
        <v>4.28224231694912</v>
      </c>
      <c r="H231" s="223" t="n">
        <f aca="false">Summary!$J$60</f>
        <v>0.04</v>
      </c>
      <c r="I231" s="165" t="n">
        <f aca="false">Summary!$J$55</f>
        <v>8.5</v>
      </c>
      <c r="J231" s="164" t="n">
        <f aca="false">I231*SUM(F231:H231)</f>
        <v>38.0140596940676</v>
      </c>
      <c r="K231" s="223" t="n">
        <f aca="false">Summary!$J$56</f>
        <v>3.75</v>
      </c>
      <c r="L231" s="0" t="n">
        <f aca="false">Summary!$O$23</f>
        <v>3.75</v>
      </c>
      <c r="M231" s="223" t="n">
        <f aca="false">Summary!$J$57</f>
        <v>1.75</v>
      </c>
      <c r="N231" s="164" t="n">
        <f aca="false">IF(C231&gt;0,C231-J231,0)</f>
        <v>18.9183324995504</v>
      </c>
      <c r="O231" s="223" t="n">
        <f aca="false">IF(N231&gt;0,IF(N231-SUM(K231:M231)&gt;0,N231-SUM(K231:M231),0),0)</f>
        <v>9.66833249955042</v>
      </c>
      <c r="P231" s="223" t="n">
        <f aca="false">O231*D231</f>
        <v>196022.524009053</v>
      </c>
      <c r="Q231" s="164" t="n">
        <f aca="false">IF(A231&lt;=Summary!$J$61,0.5*(P231),$Q$2*(P231))</f>
        <v>0</v>
      </c>
      <c r="R231" s="223" t="n">
        <f aca="false">Summary!$J$58</f>
        <v>0.5</v>
      </c>
      <c r="S231" s="223" t="n">
        <f aca="false">J231+(K231+L231+R231)</f>
        <v>46.0140596940676</v>
      </c>
      <c r="T231" s="224" t="n">
        <f aca="false">IF(D231*(C231-S231)-Q231&gt;0,D231*(C231-S231)-Q231,0)</f>
        <v>221365.896821553</v>
      </c>
      <c r="U231" s="225" t="n">
        <f aca="false">Summary!$J$59</f>
        <v>0.121048781448</v>
      </c>
      <c r="V231" s="224" t="n">
        <f aca="false">IF(A231&lt;=Summary!$J$61,(0.2*T231)+(R231*D231),(U231*T231)+(R231*D231))</f>
        <v>36933.4211893927</v>
      </c>
      <c r="W231" s="226" t="n">
        <f aca="false">C231*D231</f>
        <v>1154287.07237626</v>
      </c>
    </row>
    <row r="232" customFormat="false" ht="12.75" hidden="false" customHeight="false" outlineLevel="0" collapsed="false">
      <c r="A232" s="220" t="n">
        <v>43435</v>
      </c>
      <c r="B232" s="221" t="n">
        <f aca="false">YEAR(A232)</f>
        <v>2018</v>
      </c>
      <c r="C232" s="164" t="n">
        <f aca="false">CALC!HH244</f>
        <v>58.9264970188281</v>
      </c>
      <c r="D232" s="222" t="n">
        <f aca="false">IF(Summary!$O$109=0,CALC!HE244,0)</f>
        <v>20950.521525</v>
      </c>
      <c r="E232" s="222" t="n">
        <f aca="false">SUM(CALC!GU244:HB244)*CALC!CY244/1000</f>
        <v>94385.3533672261</v>
      </c>
      <c r="F232" s="223" t="n">
        <f aca="false">Summary!$J$54</f>
        <v>0.15</v>
      </c>
      <c r="G232" s="164" t="n">
        <f aca="false">VLOOKUP(A232,CURVES!AW233:$BS$283,16)</f>
        <v>4.46438792763179</v>
      </c>
      <c r="H232" s="223" t="n">
        <f aca="false">Summary!$J$60</f>
        <v>0.04</v>
      </c>
      <c r="I232" s="165" t="n">
        <f aca="false">Summary!$J$55</f>
        <v>8.5</v>
      </c>
      <c r="J232" s="164" t="n">
        <f aca="false">I232*SUM(F232:H232)</f>
        <v>39.5622973848702</v>
      </c>
      <c r="K232" s="223" t="n">
        <f aca="false">Summary!$J$56</f>
        <v>3.75</v>
      </c>
      <c r="L232" s="0" t="n">
        <f aca="false">Summary!$O$23</f>
        <v>3.75</v>
      </c>
      <c r="M232" s="223" t="n">
        <f aca="false">Summary!$J$57</f>
        <v>1.75</v>
      </c>
      <c r="N232" s="164" t="n">
        <f aca="false">IF(C232&gt;0,C232-J232,0)</f>
        <v>19.3641996339579</v>
      </c>
      <c r="O232" s="223" t="n">
        <f aca="false">IF(N232&gt;0,IF(N232-SUM(K232:M232)&gt;0,N232-SUM(K232:M232),0),0)</f>
        <v>10.1141996339579</v>
      </c>
      <c r="P232" s="223" t="n">
        <f aca="false">O232*D232</f>
        <v>211897.757139382</v>
      </c>
      <c r="Q232" s="164" t="n">
        <f aca="false">IF(A232&lt;=Summary!$J$61,0.5*(P232),$Q$2*(P232))</f>
        <v>0</v>
      </c>
      <c r="R232" s="223" t="n">
        <f aca="false">Summary!$J$58</f>
        <v>0.5</v>
      </c>
      <c r="S232" s="223" t="n">
        <f aca="false">J232+(K232+L232+R232)</f>
        <v>47.5622973848702</v>
      </c>
      <c r="T232" s="224" t="n">
        <f aca="false">IF(D232*(C232-S232)-Q232&gt;0,D232*(C232-S232)-Q232,0)</f>
        <v>238085.909045632</v>
      </c>
      <c r="U232" s="225" t="n">
        <f aca="false">Summary!$J$59</f>
        <v>0.121048781448</v>
      </c>
      <c r="V232" s="224" t="n">
        <f aca="false">IF(A232&lt;=Summary!$J$61,(0.2*T232)+(R232*D232),(U232*T232)+(R232*D232))</f>
        <v>39295.2699324132</v>
      </c>
      <c r="W232" s="226" t="n">
        <f aca="false">C232*D232</f>
        <v>1234540.84418581</v>
      </c>
    </row>
    <row r="233" customFormat="false" ht="12.75" hidden="false" customHeight="false" outlineLevel="0" collapsed="false">
      <c r="A233" s="220" t="n">
        <v>43466</v>
      </c>
      <c r="B233" s="221" t="n">
        <f aca="false">YEAR(A233)</f>
        <v>2019</v>
      </c>
      <c r="C233" s="164" t="n">
        <f aca="false">CALC!HH245</f>
        <v>58.8725790380581</v>
      </c>
      <c r="D233" s="222" t="n">
        <f aca="false">IF(Summary!$O$109=0,CALC!HE245,0)</f>
        <v>20950.521525</v>
      </c>
      <c r="E233" s="222" t="n">
        <f aca="false">SUM(CALC!GU245:HB245)*CALC!CY245/1000</f>
        <v>94410.1291251379</v>
      </c>
      <c r="F233" s="223" t="n">
        <f aca="false">Summary!$J$54</f>
        <v>0.15</v>
      </c>
      <c r="G233" s="164" t="n">
        <f aca="false">VLOOKUP(A233,CURVES!AW234:$BS$283,16)</f>
        <v>4.25526119171182</v>
      </c>
      <c r="H233" s="223" t="n">
        <f aca="false">Summary!$J$60</f>
        <v>0.04</v>
      </c>
      <c r="I233" s="165" t="n">
        <f aca="false">Summary!$J$55</f>
        <v>8.5</v>
      </c>
      <c r="J233" s="164" t="n">
        <f aca="false">I233*SUM(F233:H233)</f>
        <v>37.7847201295505</v>
      </c>
      <c r="K233" s="223" t="n">
        <f aca="false">Summary!$J$56</f>
        <v>3.75</v>
      </c>
      <c r="L233" s="0" t="n">
        <f aca="false">Summary!$O$23</f>
        <v>3.75</v>
      </c>
      <c r="M233" s="223" t="n">
        <f aca="false">Summary!$J$57</f>
        <v>1.75</v>
      </c>
      <c r="N233" s="164" t="n">
        <f aca="false">IF(C233&gt;0,C233-J233,0)</f>
        <v>21.0878589085076</v>
      </c>
      <c r="O233" s="223" t="n">
        <f aca="false">IF(N233&gt;0,IF(N233-SUM(K233:M233)&gt;0,N233-SUM(K233:M233),0),0)</f>
        <v>11.8378589085076</v>
      </c>
      <c r="P233" s="223" t="n">
        <f aca="false">O233*D233</f>
        <v>248009.317872602</v>
      </c>
      <c r="Q233" s="164" t="n">
        <f aca="false">IF(A233&lt;=Summary!$J$61,0.5*(P233),$Q$2*(P233))</f>
        <v>0</v>
      </c>
      <c r="R233" s="223" t="n">
        <f aca="false">Summary!$J$58</f>
        <v>0.5</v>
      </c>
      <c r="S233" s="223" t="n">
        <f aca="false">J233+(K233+L233+R233)</f>
        <v>45.7847201295505</v>
      </c>
      <c r="T233" s="224" t="n">
        <f aca="false">IF(D233*(C233-S233)-Q233&gt;0,D233*(C233-S233)-Q233,0)</f>
        <v>274197.469778852</v>
      </c>
      <c r="U233" s="225" t="n">
        <f aca="false">Summary!$J$59</f>
        <v>0.121048781448</v>
      </c>
      <c r="V233" s="224" t="n">
        <f aca="false">IF(A233&lt;=Summary!$J$61,(0.2*T233)+(R233*D233),(U233*T233)+(R233*D233))</f>
        <v>43666.5303553548</v>
      </c>
      <c r="W233" s="226" t="n">
        <f aca="false">C233*D233</f>
        <v>1233411.2343691</v>
      </c>
    </row>
    <row r="234" customFormat="false" ht="12.75" hidden="false" customHeight="false" outlineLevel="0" collapsed="false">
      <c r="A234" s="220" t="n">
        <v>43497</v>
      </c>
      <c r="B234" s="221" t="n">
        <f aca="false">YEAR(A234)</f>
        <v>2019</v>
      </c>
      <c r="C234" s="164" t="n">
        <f aca="false">CALC!HH246</f>
        <v>45.9747277081694</v>
      </c>
      <c r="D234" s="222" t="n">
        <f aca="false">IF(Summary!$O$109=0,CALC!HE246,0)</f>
        <v>18923.0517</v>
      </c>
      <c r="E234" s="222" t="n">
        <f aca="false">SUM(CALC!GU246:HB246)*CALC!CY246/1000</f>
        <v>85296.043120174</v>
      </c>
      <c r="F234" s="223" t="n">
        <f aca="false">Summary!$J$54</f>
        <v>0.15</v>
      </c>
      <c r="G234" s="164" t="n">
        <f aca="false">VLOOKUP(A234,CURVES!AW235:$BS$283,16)</f>
        <v>3.93023256960893</v>
      </c>
      <c r="H234" s="223" t="n">
        <f aca="false">Summary!$J$60</f>
        <v>0.04</v>
      </c>
      <c r="I234" s="165" t="n">
        <f aca="false">Summary!$J$55</f>
        <v>8.5</v>
      </c>
      <c r="J234" s="164" t="n">
        <f aca="false">I234*SUM(F234:H234)</f>
        <v>35.0219768416759</v>
      </c>
      <c r="K234" s="223" t="n">
        <f aca="false">Summary!$J$56</f>
        <v>3.75</v>
      </c>
      <c r="L234" s="0" t="n">
        <f aca="false">Summary!$O$23</f>
        <v>3.75</v>
      </c>
      <c r="M234" s="223" t="n">
        <f aca="false">Summary!$J$57</f>
        <v>1.75</v>
      </c>
      <c r="N234" s="164" t="n">
        <f aca="false">IF(C234&gt;0,C234-J234,0)</f>
        <v>10.9527508664935</v>
      </c>
      <c r="O234" s="223" t="n">
        <f aca="false">IF(N234&gt;0,IF(N234-SUM(K234:M234)&gt;0,N234-SUM(K234:M234),0),0)</f>
        <v>1.70275086649355</v>
      </c>
      <c r="P234" s="223" t="n">
        <f aca="false">O234*D234</f>
        <v>32221.2426788772</v>
      </c>
      <c r="Q234" s="164" t="n">
        <f aca="false">IF(A234&lt;=Summary!$J$61,0.5*(P234),$Q$2*(P234))</f>
        <v>0</v>
      </c>
      <c r="R234" s="223" t="n">
        <f aca="false">Summary!$J$58</f>
        <v>0.5</v>
      </c>
      <c r="S234" s="223" t="n">
        <f aca="false">J234+(K234+L234+R234)</f>
        <v>43.0219768416759</v>
      </c>
      <c r="T234" s="224" t="n">
        <f aca="false">IF(D234*(C234-S234)-Q234&gt;0,D234*(C234-S234)-Q234,0)</f>
        <v>55875.0573038772</v>
      </c>
      <c r="U234" s="225" t="n">
        <f aca="false">Summary!$J$59</f>
        <v>0.121048781448</v>
      </c>
      <c r="V234" s="224" t="n">
        <f aca="false">IF(A234&lt;=Summary!$J$61,(0.2*T234)+(R234*D234),(U234*T234)+(R234*D234))</f>
        <v>16225.1334499715</v>
      </c>
      <c r="W234" s="226" t="n">
        <f aca="false">C234*D234</f>
        <v>869982.149315113</v>
      </c>
    </row>
    <row r="235" customFormat="false" ht="12.75" hidden="false" customHeight="false" outlineLevel="0" collapsed="false">
      <c r="A235" s="220" t="n">
        <v>43525</v>
      </c>
      <c r="B235" s="221" t="n">
        <f aca="false">YEAR(A235)</f>
        <v>2019</v>
      </c>
      <c r="C235" s="164" t="n">
        <f aca="false">CALC!HH247</f>
        <v>42.2042696902449</v>
      </c>
      <c r="D235" s="222" t="n">
        <f aca="false">IF(Summary!$O$109=0,CALC!HE247,0)</f>
        <v>20950.521525</v>
      </c>
      <c r="E235" s="222" t="n">
        <f aca="false">SUM(CALC!GU247:HB247)*CALC!CY247/1000</f>
        <v>94459.6806409616</v>
      </c>
      <c r="F235" s="223" t="n">
        <f aca="false">Summary!$J$54</f>
        <v>0.15</v>
      </c>
      <c r="G235" s="164" t="n">
        <f aca="false">VLOOKUP(A235,CURVES!AW236:$BS$283,16)</f>
        <v>3.71924415158911</v>
      </c>
      <c r="H235" s="223" t="n">
        <f aca="false">Summary!$J$60</f>
        <v>0.04</v>
      </c>
      <c r="I235" s="165" t="n">
        <f aca="false">Summary!$J$55</f>
        <v>8.5</v>
      </c>
      <c r="J235" s="164" t="n">
        <f aca="false">I235*SUM(F235:H235)</f>
        <v>33.2285752885074</v>
      </c>
      <c r="K235" s="223" t="n">
        <f aca="false">Summary!$J$56</f>
        <v>3.75</v>
      </c>
      <c r="L235" s="0" t="n">
        <f aca="false">Summary!$O$23</f>
        <v>3.75</v>
      </c>
      <c r="M235" s="223" t="n">
        <f aca="false">Summary!$J$57</f>
        <v>1.75</v>
      </c>
      <c r="N235" s="164" t="n">
        <f aca="false">IF(C235&gt;0,C235-J235,0)</f>
        <v>8.97569440173751</v>
      </c>
      <c r="O235" s="223" t="n">
        <f aca="false">IF(N235&gt;0,IF(N235-SUM(K235:M235)&gt;0,N235-SUM(K235:M235),0),0)</f>
        <v>0</v>
      </c>
      <c r="P235" s="223" t="n">
        <f aca="false">O235*D235</f>
        <v>0</v>
      </c>
      <c r="Q235" s="164" t="n">
        <f aca="false">IF(A235&lt;=Summary!$J$61,0.5*(P235),$Q$2*(P235))</f>
        <v>0</v>
      </c>
      <c r="R235" s="223" t="n">
        <f aca="false">Summary!$J$58</f>
        <v>0.5</v>
      </c>
      <c r="S235" s="223" t="n">
        <f aca="false">J235+(K235+L235+R235)</f>
        <v>41.2285752885074</v>
      </c>
      <c r="T235" s="224" t="n">
        <f aca="false">IF(D235*(C235-S235)-Q235&gt;0,D235*(C235-S235)-Q235,0)</f>
        <v>20441.3065654236</v>
      </c>
      <c r="U235" s="225" t="n">
        <f aca="false">Summary!$J$59</f>
        <v>0.121048781448</v>
      </c>
      <c r="V235" s="224" t="n">
        <f aca="false">IF(A235&lt;=Summary!$J$61,(0.2*T235)+(R235*D235),(U235*T235)+(R235*D235))</f>
        <v>12949.6560134495</v>
      </c>
      <c r="W235" s="226" t="n">
        <f aca="false">C235*D235</f>
        <v>884201.460592381</v>
      </c>
    </row>
    <row r="236" customFormat="false" ht="12.75" hidden="false" customHeight="false" outlineLevel="0" collapsed="false">
      <c r="A236" s="220" t="n">
        <v>43556</v>
      </c>
      <c r="B236" s="221" t="n">
        <f aca="false">YEAR(A236)</f>
        <v>2019</v>
      </c>
      <c r="C236" s="164" t="n">
        <f aca="false">CALC!HH248</f>
        <v>41.9625097410964</v>
      </c>
      <c r="D236" s="222" t="n">
        <f aca="false">IF(Summary!$O$109=0,CALC!HE248,0)</f>
        <v>20274.69825</v>
      </c>
      <c r="E236" s="222" t="n">
        <f aca="false">SUM(CALC!GU248:HB248)*CALC!CY248/1000</f>
        <v>91436.5707085872</v>
      </c>
      <c r="F236" s="223" t="n">
        <f aca="false">Summary!$J$54</f>
        <v>0.15</v>
      </c>
      <c r="G236" s="164" t="n">
        <f aca="false">VLOOKUP(A236,CURVES!AW237:$BS$283,16)</f>
        <v>3.60766417197582</v>
      </c>
      <c r="H236" s="223" t="n">
        <f aca="false">Summary!$J$60</f>
        <v>0.04</v>
      </c>
      <c r="I236" s="165" t="n">
        <f aca="false">Summary!$J$55</f>
        <v>8.5</v>
      </c>
      <c r="J236" s="164" t="n">
        <f aca="false">I236*SUM(F236:H236)</f>
        <v>32.2801454617945</v>
      </c>
      <c r="K236" s="223" t="n">
        <f aca="false">Summary!$J$56</f>
        <v>3.75</v>
      </c>
      <c r="L236" s="0" t="n">
        <f aca="false">Summary!$O$23</f>
        <v>3.75</v>
      </c>
      <c r="M236" s="223" t="n">
        <f aca="false">Summary!$J$57</f>
        <v>1.75</v>
      </c>
      <c r="N236" s="164" t="n">
        <f aca="false">IF(C236&gt;0,C236-J236,0)</f>
        <v>9.68236427930196</v>
      </c>
      <c r="O236" s="223" t="n">
        <f aca="false">IF(N236&gt;0,IF(N236-SUM(K236:M236)&gt;0,N236-SUM(K236:M236),0),0)</f>
        <v>0.432364279301964</v>
      </c>
      <c r="P236" s="223" t="n">
        <f aca="false">O236*D236</f>
        <v>8766.05529692605</v>
      </c>
      <c r="Q236" s="164" t="n">
        <f aca="false">IF(A236&lt;=Summary!$J$61,0.5*(P236),$Q$2*(P236))</f>
        <v>0</v>
      </c>
      <c r="R236" s="223" t="n">
        <f aca="false">Summary!$J$58</f>
        <v>0.5</v>
      </c>
      <c r="S236" s="223" t="n">
        <f aca="false">J236+(K236+L236+R236)</f>
        <v>40.2801454617945</v>
      </c>
      <c r="T236" s="224" t="n">
        <f aca="false">IF(D236*(C236-S236)-Q236&gt;0,D236*(C236-S236)-Q236,0)</f>
        <v>34109.428109426</v>
      </c>
      <c r="U236" s="225" t="n">
        <f aca="false">Summary!$J$59</f>
        <v>0.121048781448</v>
      </c>
      <c r="V236" s="224" t="n">
        <f aca="false">IF(A236&lt;=Summary!$J$61,(0.2*T236)+(R236*D236),(U236*T236)+(R236*D236))</f>
        <v>14266.2538335342</v>
      </c>
      <c r="W236" s="226" t="n">
        <f aca="false">C236*D236</f>
        <v>850777.222813415</v>
      </c>
    </row>
    <row r="237" customFormat="false" ht="12.75" hidden="false" customHeight="false" outlineLevel="0" collapsed="false">
      <c r="A237" s="220" t="n">
        <v>43586</v>
      </c>
      <c r="B237" s="221" t="n">
        <f aca="false">YEAR(A237)</f>
        <v>2019</v>
      </c>
      <c r="C237" s="164" t="n">
        <f aca="false">CALC!HH249</f>
        <v>46.0870523295544</v>
      </c>
      <c r="D237" s="222" t="n">
        <f aca="false">IF(Summary!$O$109=0,CALC!HE249,0)</f>
        <v>22276.5039</v>
      </c>
      <c r="E237" s="222" t="n">
        <f aca="false">SUM(CALC!GU249:HB249)*CALC!CY249/1000</f>
        <v>73963.7469053102</v>
      </c>
      <c r="F237" s="223" t="n">
        <f aca="false">Summary!$J$54</f>
        <v>0.15</v>
      </c>
      <c r="G237" s="164" t="n">
        <f aca="false">VLOOKUP(A237,CURVES!AW238:$BS$283,16)</f>
        <v>3.58045628476485</v>
      </c>
      <c r="H237" s="223" t="n">
        <f aca="false">Summary!$J$60</f>
        <v>0.04</v>
      </c>
      <c r="I237" s="165" t="n">
        <f aca="false">Summary!$J$55</f>
        <v>8.5</v>
      </c>
      <c r="J237" s="164" t="n">
        <f aca="false">I237*SUM(F237:H237)</f>
        <v>32.0488784205012</v>
      </c>
      <c r="K237" s="223" t="n">
        <f aca="false">Summary!$J$56</f>
        <v>3.75</v>
      </c>
      <c r="L237" s="0" t="n">
        <f aca="false">Summary!$O$23</f>
        <v>3.75</v>
      </c>
      <c r="M237" s="223" t="n">
        <f aca="false">Summary!$J$57</f>
        <v>1.75</v>
      </c>
      <c r="N237" s="164" t="n">
        <f aca="false">IF(C237&gt;0,C237-J237,0)</f>
        <v>14.0381739090532</v>
      </c>
      <c r="O237" s="223" t="n">
        <f aca="false">IF(N237&gt;0,IF(N237-SUM(K237:M237)&gt;0,N237-SUM(K237:M237),0),0)</f>
        <v>4.78817390905319</v>
      </c>
      <c r="P237" s="223" t="n">
        <f aca="false">O237*D237</f>
        <v>106663.774758902</v>
      </c>
      <c r="Q237" s="164" t="n">
        <f aca="false">IF(A237&lt;=Summary!$J$61,0.5*(P237),$Q$2*(P237))</f>
        <v>0</v>
      </c>
      <c r="R237" s="223" t="n">
        <f aca="false">Summary!$J$58</f>
        <v>0.5</v>
      </c>
      <c r="S237" s="223" t="n">
        <f aca="false">J237+(K237+L237+R237)</f>
        <v>40.0488784205012</v>
      </c>
      <c r="T237" s="224" t="n">
        <f aca="false">IF(D237*(C237-S237)-Q237&gt;0,D237*(C237-S237)-Q237,0)</f>
        <v>134509.404633902</v>
      </c>
      <c r="U237" s="225" t="n">
        <f aca="false">Summary!$J$59</f>
        <v>0.121048781448</v>
      </c>
      <c r="V237" s="224" t="n">
        <f aca="false">IF(A237&lt;=Summary!$J$61,(0.2*T237)+(R237*D237),(U237*T237)+(R237*D237))</f>
        <v>27420.4514742297</v>
      </c>
      <c r="W237" s="226" t="n">
        <f aca="false">C237*D237</f>
        <v>1026658.40095882</v>
      </c>
    </row>
    <row r="238" customFormat="false" ht="12.75" hidden="false" customHeight="false" outlineLevel="0" collapsed="false">
      <c r="A238" s="220" t="n">
        <v>43617</v>
      </c>
      <c r="B238" s="221" t="n">
        <f aca="false">YEAR(A238)</f>
        <v>2019</v>
      </c>
      <c r="C238" s="164" t="n">
        <f aca="false">CALC!HH250</f>
        <v>46.7201221747534</v>
      </c>
      <c r="D238" s="222" t="n">
        <f aca="false">IF(Summary!$O$109=0,CALC!HE250,0)</f>
        <v>21557.907</v>
      </c>
      <c r="E238" s="222" t="n">
        <f aca="false">SUM(CALC!GU250:HB250)*CALC!CY250/1000</f>
        <v>71596.583834413</v>
      </c>
      <c r="F238" s="223" t="n">
        <f aca="false">Summary!$J$54</f>
        <v>0.15</v>
      </c>
      <c r="G238" s="164" t="n">
        <f aca="false">VLOOKUP(A238,CURVES!AW239:$BS$283,16)</f>
        <v>3.62370612961684</v>
      </c>
      <c r="H238" s="223" t="n">
        <f aca="false">Summary!$J$60</f>
        <v>0.04</v>
      </c>
      <c r="I238" s="165" t="n">
        <f aca="false">Summary!$J$55</f>
        <v>8.5</v>
      </c>
      <c r="J238" s="164" t="n">
        <f aca="false">I238*SUM(F238:H238)</f>
        <v>32.4165021017432</v>
      </c>
      <c r="K238" s="223" t="n">
        <f aca="false">Summary!$J$56</f>
        <v>3.75</v>
      </c>
      <c r="L238" s="0" t="n">
        <f aca="false">Summary!$O$23</f>
        <v>3.75</v>
      </c>
      <c r="M238" s="223" t="n">
        <f aca="false">Summary!$J$57</f>
        <v>1.75</v>
      </c>
      <c r="N238" s="164" t="n">
        <f aca="false">IF(C238&gt;0,C238-J238,0)</f>
        <v>14.3036200730102</v>
      </c>
      <c r="O238" s="223" t="n">
        <f aca="false">IF(N238&gt;0,IF(N238-SUM(K238:M238)&gt;0,N238-SUM(K238:M238),0),0)</f>
        <v>5.05362007301021</v>
      </c>
      <c r="P238" s="223" t="n">
        <f aca="false">O238*D238</f>
        <v>108945.471547287</v>
      </c>
      <c r="Q238" s="164" t="n">
        <f aca="false">IF(A238&lt;=Summary!$J$61,0.5*(P238),$Q$2*(P238))</f>
        <v>0</v>
      </c>
      <c r="R238" s="223" t="n">
        <f aca="false">Summary!$J$58</f>
        <v>0.5</v>
      </c>
      <c r="S238" s="223" t="n">
        <f aca="false">J238+(K238+L238+R238)</f>
        <v>40.4165021017432</v>
      </c>
      <c r="T238" s="224" t="n">
        <f aca="false">IF(D238*(C238-S238)-Q238&gt;0,D238*(C238-S238)-Q238,0)</f>
        <v>135892.855297287</v>
      </c>
      <c r="U238" s="225" t="n">
        <f aca="false">Summary!$J$59</f>
        <v>0.121048781448</v>
      </c>
      <c r="V238" s="224" t="n">
        <f aca="false">IF(A238&lt;=Summary!$J$61,(0.2*T238)+(R238*D238),(U238*T238)+(R238*D238))</f>
        <v>27228.618041226</v>
      </c>
      <c r="W238" s="226" t="n">
        <f aca="false">C238*D238</f>
        <v>1007188.04887197</v>
      </c>
    </row>
    <row r="239" customFormat="false" ht="12.75" hidden="false" customHeight="false" outlineLevel="0" collapsed="false">
      <c r="A239" s="220" t="n">
        <v>43647</v>
      </c>
      <c r="B239" s="221" t="n">
        <f aca="false">YEAR(A239)</f>
        <v>2019</v>
      </c>
      <c r="C239" s="164" t="n">
        <f aca="false">CALC!HH251</f>
        <v>63.2356918337824</v>
      </c>
      <c r="D239" s="222" t="n">
        <f aca="false">IF(Summary!$O$109=0,CALC!HE251,0)</f>
        <v>22276.5039</v>
      </c>
      <c r="E239" s="222" t="n">
        <f aca="false">SUM(CALC!GU251:HB251)*CALC!CY251/1000</f>
        <v>74002.5263524766</v>
      </c>
      <c r="F239" s="223" t="n">
        <f aca="false">Summary!$J$54</f>
        <v>0.15</v>
      </c>
      <c r="G239" s="164" t="n">
        <f aca="false">VLOOKUP(A239,CURVES!AW240:$BS$283,16)</f>
        <v>3.72261913964118</v>
      </c>
      <c r="H239" s="223" t="n">
        <f aca="false">Summary!$J$60</f>
        <v>0.04</v>
      </c>
      <c r="I239" s="165" t="n">
        <f aca="false">Summary!$J$55</f>
        <v>8.5</v>
      </c>
      <c r="J239" s="164" t="n">
        <f aca="false">I239*SUM(F239:H239)</f>
        <v>33.25726268695</v>
      </c>
      <c r="K239" s="223" t="n">
        <f aca="false">Summary!$J$56</f>
        <v>3.75</v>
      </c>
      <c r="L239" s="0" t="n">
        <f aca="false">Summary!$O$23</f>
        <v>3.75</v>
      </c>
      <c r="M239" s="223" t="n">
        <f aca="false">Summary!$J$57</f>
        <v>1.75</v>
      </c>
      <c r="N239" s="164" t="n">
        <f aca="false">IF(C239&gt;0,C239-J239,0)</f>
        <v>29.9784291468324</v>
      </c>
      <c r="O239" s="223" t="n">
        <f aca="false">IF(N239&gt;0,IF(N239-SUM(K239:M239)&gt;0,N239-SUM(K239:M239),0),0)</f>
        <v>20.7284291468324</v>
      </c>
      <c r="P239" s="223" t="n">
        <f aca="false">O239*D239</f>
        <v>461756.932730286</v>
      </c>
      <c r="Q239" s="164" t="n">
        <f aca="false">IF(A239&lt;=Summary!$J$61,0.5*(P239),$Q$2*(P239))</f>
        <v>0</v>
      </c>
      <c r="R239" s="223" t="n">
        <f aca="false">Summary!$J$58</f>
        <v>0.5</v>
      </c>
      <c r="S239" s="223" t="n">
        <f aca="false">J239+(K239+L239+R239)</f>
        <v>41.25726268695</v>
      </c>
      <c r="T239" s="224" t="n">
        <f aca="false">IF(D239*(C239-S239)-Q239&gt;0,D239*(C239-S239)-Q239,0)</f>
        <v>489602.562605286</v>
      </c>
      <c r="U239" s="225" t="n">
        <f aca="false">Summary!$J$59</f>
        <v>0.121048781448</v>
      </c>
      <c r="V239" s="224" t="n">
        <f aca="false">IF(A239&lt;=Summary!$J$61,(0.2*T239)+(R239*D239),(U239*T239)+(R239*D239))</f>
        <v>70404.045547188</v>
      </c>
      <c r="W239" s="226" t="n">
        <f aca="false">C239*D239</f>
        <v>1408670.13575445</v>
      </c>
    </row>
    <row r="240" customFormat="false" ht="12.75" hidden="false" customHeight="false" outlineLevel="0" collapsed="false">
      <c r="A240" s="220" t="n">
        <v>43678</v>
      </c>
      <c r="B240" s="221" t="n">
        <f aca="false">YEAR(A240)</f>
        <v>2019</v>
      </c>
      <c r="C240" s="164" t="n">
        <f aca="false">CALC!HH252</f>
        <v>76.3285353092097</v>
      </c>
      <c r="D240" s="222" t="n">
        <f aca="false">IF(Summary!$O$109=0,CALC!HE252,0)</f>
        <v>22276.5039</v>
      </c>
      <c r="E240" s="222" t="n">
        <f aca="false">SUM(CALC!GU252:HB252)*CALC!CY252/1000</f>
        <v>74021.9160760597</v>
      </c>
      <c r="F240" s="223" t="n">
        <f aca="false">Summary!$J$54</f>
        <v>0.15</v>
      </c>
      <c r="G240" s="164" t="n">
        <f aca="false">VLOOKUP(A240,CURVES!AW241:$BS$283,16)</f>
        <v>3.86309615695957</v>
      </c>
      <c r="H240" s="223" t="n">
        <f aca="false">Summary!$J$60</f>
        <v>0.04</v>
      </c>
      <c r="I240" s="165" t="n">
        <f aca="false">Summary!$J$55</f>
        <v>8.5</v>
      </c>
      <c r="J240" s="164" t="n">
        <f aca="false">I240*SUM(F240:H240)</f>
        <v>34.4513173341564</v>
      </c>
      <c r="K240" s="223" t="n">
        <f aca="false">Summary!$J$56</f>
        <v>3.75</v>
      </c>
      <c r="L240" s="0" t="n">
        <f aca="false">Summary!$O$23</f>
        <v>3.75</v>
      </c>
      <c r="M240" s="223" t="n">
        <f aca="false">Summary!$J$57</f>
        <v>1.75</v>
      </c>
      <c r="N240" s="164" t="n">
        <f aca="false">IF(C240&gt;0,C240-J240,0)</f>
        <v>41.8772179750533</v>
      </c>
      <c r="O240" s="223" t="n">
        <f aca="false">IF(N240&gt;0,IF(N240-SUM(K240:M240)&gt;0,N240-SUM(K240:M240),0),0)</f>
        <v>32.6272179750533</v>
      </c>
      <c r="P240" s="223" t="n">
        <f aca="false">O240*D240</f>
        <v>726820.348467425</v>
      </c>
      <c r="Q240" s="164" t="n">
        <f aca="false">IF(A240&lt;=Summary!$J$61,0.5*(P240),$Q$2*(P240))</f>
        <v>0</v>
      </c>
      <c r="R240" s="223" t="n">
        <f aca="false">Summary!$J$58</f>
        <v>0.5</v>
      </c>
      <c r="S240" s="223" t="n">
        <f aca="false">J240+(K240+L240+R240)</f>
        <v>42.4513173341564</v>
      </c>
      <c r="T240" s="224" t="n">
        <f aca="false">IF(D240*(C240-S240)-Q240&gt;0,D240*(C240-S240)-Q240,0)</f>
        <v>754665.978342425</v>
      </c>
      <c r="U240" s="225" t="n">
        <f aca="false">Summary!$J$59</f>
        <v>0.121048781448</v>
      </c>
      <c r="V240" s="224" t="n">
        <f aca="false">IF(A240&lt;=Summary!$J$61,(0.2*T240)+(R240*D240),(U240*T240)+(R240*D240))</f>
        <v>102489.649028613</v>
      </c>
      <c r="W240" s="226" t="n">
        <f aca="false">C240*D240</f>
        <v>1700332.9144969</v>
      </c>
    </row>
    <row r="241" customFormat="false" ht="12.75" hidden="false" customHeight="false" outlineLevel="0" collapsed="false">
      <c r="A241" s="220" t="n">
        <v>43709</v>
      </c>
      <c r="B241" s="221" t="n">
        <f aca="false">YEAR(A241)</f>
        <v>2019</v>
      </c>
      <c r="C241" s="164" t="n">
        <f aca="false">CALC!HH253</f>
        <v>67.2861755045394</v>
      </c>
      <c r="D241" s="222" t="n">
        <f aca="false">IF(Summary!$O$109=0,CALC!HE253,0)</f>
        <v>21557.907</v>
      </c>
      <c r="E241" s="222" t="n">
        <f aca="false">SUM(CALC!GU253:HB253)*CALC!CY253/1000</f>
        <v>71652.8765802996</v>
      </c>
      <c r="F241" s="223" t="n">
        <f aca="false">Summary!$J$54</f>
        <v>0.15</v>
      </c>
      <c r="G241" s="164" t="n">
        <f aca="false">VLOOKUP(A241,CURVES!AW242:$BS$283,16)</f>
        <v>4.03034782582921</v>
      </c>
      <c r="H241" s="223" t="n">
        <f aca="false">Summary!$J$60</f>
        <v>0.04</v>
      </c>
      <c r="I241" s="165" t="n">
        <f aca="false">Summary!$J$55</f>
        <v>8.5</v>
      </c>
      <c r="J241" s="164" t="n">
        <f aca="false">I241*SUM(F241:H241)</f>
        <v>35.8729565195483</v>
      </c>
      <c r="K241" s="223" t="n">
        <f aca="false">Summary!$J$56</f>
        <v>3.75</v>
      </c>
      <c r="L241" s="0" t="n">
        <f aca="false">Summary!$O$23</f>
        <v>3.75</v>
      </c>
      <c r="M241" s="223" t="n">
        <f aca="false">Summary!$J$57</f>
        <v>1.75</v>
      </c>
      <c r="N241" s="164" t="n">
        <f aca="false">IF(C241&gt;0,C241-J241,0)</f>
        <v>31.4132189849911</v>
      </c>
      <c r="O241" s="223" t="n">
        <f aca="false">IF(N241&gt;0,IF(N241-SUM(K241:M241)&gt;0,N241-SUM(K241:M241),0),0)</f>
        <v>22.1632189849911</v>
      </c>
      <c r="P241" s="223" t="n">
        <f aca="false">O241*D241</f>
        <v>477792.613699073</v>
      </c>
      <c r="Q241" s="164" t="n">
        <f aca="false">IF(A241&lt;=Summary!$J$61,0.5*(P241),$Q$2*(P241))</f>
        <v>0</v>
      </c>
      <c r="R241" s="223" t="n">
        <f aca="false">Summary!$J$58</f>
        <v>0.5</v>
      </c>
      <c r="S241" s="223" t="n">
        <f aca="false">J241+(K241+L241+R241)</f>
        <v>43.8729565195483</v>
      </c>
      <c r="T241" s="224" t="n">
        <f aca="false">IF(D241*(C241-S241)-Q241&gt;0,D241*(C241-S241)-Q241,0)</f>
        <v>504739.997449073</v>
      </c>
      <c r="U241" s="225" t="n">
        <f aca="false">Summary!$J$59</f>
        <v>0.121048781448</v>
      </c>
      <c r="V241" s="224" t="n">
        <f aca="false">IF(A241&lt;=Summary!$J$61,(0.2*T241)+(R241*D241),(U241*T241)+(R241*D241))</f>
        <v>71877.1151392769</v>
      </c>
      <c r="W241" s="226" t="n">
        <f aca="false">C241*D241</f>
        <v>1450549.11391254</v>
      </c>
    </row>
    <row r="242" customFormat="false" ht="12.75" hidden="false" customHeight="false" outlineLevel="0" collapsed="false">
      <c r="A242" s="220" t="n">
        <v>43739</v>
      </c>
      <c r="B242" s="221" t="n">
        <f aca="false">YEAR(A242)</f>
        <v>2019</v>
      </c>
      <c r="C242" s="164" t="n">
        <f aca="false">CALC!HH254</f>
        <v>57.0997308490491</v>
      </c>
      <c r="D242" s="222" t="n">
        <f aca="false">IF(Summary!$O$109=0,CALC!HE254,0)</f>
        <v>20950.521525</v>
      </c>
      <c r="E242" s="222" t="n">
        <f aca="false">SUM(CALC!GU254:HB254)*CALC!CY254/1000</f>
        <v>94633.1109463444</v>
      </c>
      <c r="F242" s="223" t="n">
        <f aca="false">Summary!$J$54</f>
        <v>0.15</v>
      </c>
      <c r="G242" s="164" t="n">
        <f aca="false">VLOOKUP(A242,CURVES!AW243:$BS$283,16)</f>
        <v>4.20945413272021</v>
      </c>
      <c r="H242" s="223" t="n">
        <f aca="false">Summary!$J$60</f>
        <v>0.04</v>
      </c>
      <c r="I242" s="165" t="n">
        <f aca="false">Summary!$J$55</f>
        <v>8.5</v>
      </c>
      <c r="J242" s="164" t="n">
        <f aca="false">I242*SUM(F242:H242)</f>
        <v>37.3953601281218</v>
      </c>
      <c r="K242" s="223" t="n">
        <f aca="false">Summary!$J$56</f>
        <v>3.75</v>
      </c>
      <c r="L242" s="0" t="n">
        <f aca="false">Summary!$O$23</f>
        <v>3.75</v>
      </c>
      <c r="M242" s="223" t="n">
        <f aca="false">Summary!$J$57</f>
        <v>1.75</v>
      </c>
      <c r="N242" s="164" t="n">
        <f aca="false">IF(C242&gt;0,C242-J242,0)</f>
        <v>19.7043707209273</v>
      </c>
      <c r="O242" s="223" t="n">
        <f aca="false">IF(N242&gt;0,IF(N242-SUM(K242:M242)&gt;0,N242-SUM(K242:M242),0),0)</f>
        <v>10.4543707209273</v>
      </c>
      <c r="P242" s="223" t="n">
        <f aca="false">O242*D242</f>
        <v>219024.518819118</v>
      </c>
      <c r="Q242" s="164" t="n">
        <f aca="false">IF(A242&lt;=Summary!$J$61,0.5*(P242),$Q$2*(P242))</f>
        <v>0</v>
      </c>
      <c r="R242" s="223" t="n">
        <f aca="false">Summary!$J$58</f>
        <v>0.5</v>
      </c>
      <c r="S242" s="223" t="n">
        <f aca="false">J242+(K242+L242+R242)</f>
        <v>45.3953601281218</v>
      </c>
      <c r="T242" s="224" t="n">
        <f aca="false">IF(D242*(C242-S242)-Q242&gt;0,D242*(C242-S242)-Q242,0)</f>
        <v>245212.670725368</v>
      </c>
      <c r="U242" s="225" t="n">
        <f aca="false">Summary!$J$59</f>
        <v>0.121048781448</v>
      </c>
      <c r="V242" s="224" t="n">
        <f aca="false">IF(A242&lt;=Summary!$J$61,(0.2*T242)+(R242*D242),(U242*T242)+(R242*D242))</f>
        <v>40157.9557494154</v>
      </c>
      <c r="W242" s="226" t="n">
        <f aca="false">C242*D242</f>
        <v>1196269.14022471</v>
      </c>
    </row>
    <row r="243" customFormat="false" ht="12.75" hidden="false" customHeight="false" outlineLevel="0" collapsed="false">
      <c r="A243" s="220" t="n">
        <v>43770</v>
      </c>
      <c r="B243" s="221" t="n">
        <f aca="false">YEAR(A243)</f>
        <v>2019</v>
      </c>
      <c r="C243" s="164" t="n">
        <f aca="false">CALC!HH255</f>
        <v>61.6575994477145</v>
      </c>
      <c r="D243" s="222" t="n">
        <f aca="false">IF(Summary!$O$109=0,CALC!HE255,0)</f>
        <v>20274.69825</v>
      </c>
      <c r="E243" s="222" t="n">
        <f aca="false">SUM(CALC!GU255:HB255)*CALC!CY255/1000</f>
        <v>91604.40648799</v>
      </c>
      <c r="F243" s="223" t="n">
        <f aca="false">Summary!$J$54</f>
        <v>0.15</v>
      </c>
      <c r="G243" s="164" t="n">
        <f aca="false">VLOOKUP(A243,CURVES!AW244:$BS$283,16)</f>
        <v>4.38607086837252</v>
      </c>
      <c r="H243" s="223" t="n">
        <f aca="false">Summary!$J$60</f>
        <v>0.04</v>
      </c>
      <c r="I243" s="165" t="n">
        <f aca="false">Summary!$J$55</f>
        <v>8.5</v>
      </c>
      <c r="J243" s="164" t="n">
        <f aca="false">I243*SUM(F243:H243)</f>
        <v>38.8966023811664</v>
      </c>
      <c r="K243" s="223" t="n">
        <f aca="false">Summary!$J$56</f>
        <v>3.75</v>
      </c>
      <c r="L243" s="0" t="n">
        <f aca="false">Summary!$O$23</f>
        <v>3.75</v>
      </c>
      <c r="M243" s="223" t="n">
        <f aca="false">Summary!$J$57</f>
        <v>1.75</v>
      </c>
      <c r="N243" s="164" t="n">
        <f aca="false">IF(C243&gt;0,C243-J243,0)</f>
        <v>22.7609970665481</v>
      </c>
      <c r="O243" s="223" t="n">
        <f aca="false">IF(N243&gt;0,IF(N243-SUM(K243:M243)&gt;0,N243-SUM(K243:M243),0),0)</f>
        <v>13.5109970665481</v>
      </c>
      <c r="P243" s="223" t="n">
        <f aca="false">O243*D243</f>
        <v>273931.388580898</v>
      </c>
      <c r="Q243" s="164" t="n">
        <f aca="false">IF(A243&lt;=Summary!$J$61,0.5*(P243),$Q$2*(P243))</f>
        <v>0</v>
      </c>
      <c r="R243" s="223" t="n">
        <f aca="false">Summary!$J$58</f>
        <v>0.5</v>
      </c>
      <c r="S243" s="223" t="n">
        <f aca="false">J243+(K243+L243+R243)</f>
        <v>46.8966023811664</v>
      </c>
      <c r="T243" s="224" t="n">
        <f aca="false">IF(D243*(C243-S243)-Q243&gt;0,D243*(C243-S243)-Q243,0)</f>
        <v>299274.761393398</v>
      </c>
      <c r="U243" s="225" t="n">
        <f aca="false">Summary!$J$59</f>
        <v>0.121048781448</v>
      </c>
      <c r="V243" s="224" t="n">
        <f aca="false">IF(A243&lt;=Summary!$J$61,(0.2*T243)+(R243*D243),(U243*T243)+(R243*D243))</f>
        <v>46364.1943098118</v>
      </c>
      <c r="W243" s="226" t="n">
        <f aca="false">C243*D243</f>
        <v>1250089.22362178</v>
      </c>
    </row>
    <row r="244" customFormat="false" ht="12.75" hidden="false" customHeight="false" outlineLevel="0" collapsed="false">
      <c r="A244" s="220" t="n">
        <v>43800</v>
      </c>
      <c r="B244" s="221" t="n">
        <f aca="false">YEAR(A244)</f>
        <v>2019</v>
      </c>
      <c r="C244" s="164" t="n">
        <f aca="false">CALC!HH256</f>
        <v>60.4283241147103</v>
      </c>
      <c r="D244" s="222" t="n">
        <f aca="false">IF(Summary!$O$109=0,CALC!HE256,0)</f>
        <v>20950.521525</v>
      </c>
      <c r="E244" s="222" t="n">
        <f aca="false">SUM(CALC!GU256:HB256)*CALC!CY256/1000</f>
        <v>94682.6624621681</v>
      </c>
      <c r="F244" s="223" t="n">
        <f aca="false">Summary!$J$54</f>
        <v>0.15</v>
      </c>
      <c r="G244" s="164" t="n">
        <f aca="false">VLOOKUP(A244,CURVES!AW245:$BS$283,16)</f>
        <v>4.57263283700635</v>
      </c>
      <c r="H244" s="223" t="n">
        <f aca="false">Summary!$J$60</f>
        <v>0.04</v>
      </c>
      <c r="I244" s="165" t="n">
        <f aca="false">Summary!$J$55</f>
        <v>8.5</v>
      </c>
      <c r="J244" s="164" t="n">
        <f aca="false">I244*SUM(F244:H244)</f>
        <v>40.482379114554</v>
      </c>
      <c r="K244" s="223" t="n">
        <f aca="false">Summary!$J$56</f>
        <v>3.75</v>
      </c>
      <c r="L244" s="0" t="n">
        <f aca="false">Summary!$O$23</f>
        <v>3.75</v>
      </c>
      <c r="M244" s="223" t="n">
        <f aca="false">Summary!$J$57</f>
        <v>1.75</v>
      </c>
      <c r="N244" s="164" t="n">
        <f aca="false">IF(C244&gt;0,C244-J244,0)</f>
        <v>19.9459450001563</v>
      </c>
      <c r="O244" s="223" t="n">
        <f aca="false">IF(N244&gt;0,IF(N244-SUM(K244:M244)&gt;0,N244-SUM(K244:M244),0),0)</f>
        <v>10.6959450001563</v>
      </c>
      <c r="P244" s="223" t="n">
        <f aca="false">O244*D244</f>
        <v>224085.62595599</v>
      </c>
      <c r="Q244" s="164" t="n">
        <f aca="false">IF(A244&lt;=Summary!$J$61,0.5*(P244),$Q$2*(P244))</f>
        <v>0</v>
      </c>
      <c r="R244" s="223" t="n">
        <f aca="false">Summary!$J$58</f>
        <v>0.5</v>
      </c>
      <c r="S244" s="223" t="n">
        <f aca="false">J244+(K244+L244+R244)</f>
        <v>48.482379114554</v>
      </c>
      <c r="T244" s="224" t="n">
        <f aca="false">IF(D244*(C244-S244)-Q244&gt;0,D244*(C244-S244)-Q244,0)</f>
        <v>250273.77786224</v>
      </c>
      <c r="U244" s="225" t="n">
        <f aca="false">Summary!$J$59</f>
        <v>0.121048781448</v>
      </c>
      <c r="V244" s="224" t="n">
        <f aca="false">IF(A244&lt;=Summary!$J$61,(0.2*T244)+(R244*D244),(U244*T244)+(R244*D244))</f>
        <v>40770.5966011116</v>
      </c>
      <c r="W244" s="226" t="n">
        <f aca="false">C244*D244</f>
        <v>1266004.90508491</v>
      </c>
    </row>
    <row r="245" customFormat="false" ht="12.75" hidden="false" customHeight="false" outlineLevel="0" collapsed="false">
      <c r="A245" s="220" t="n">
        <v>43831</v>
      </c>
      <c r="B245" s="221" t="n">
        <f aca="false">YEAR(A245)</f>
        <v>2020</v>
      </c>
      <c r="C245" s="164" t="n">
        <f aca="false">CALC!HH257</f>
        <v>56.6398101726024</v>
      </c>
      <c r="D245" s="222" t="n">
        <f aca="false">IF(Summary!$O$109=0,CALC!HE257,0)</f>
        <v>20950.521525</v>
      </c>
      <c r="E245" s="222" t="n">
        <f aca="false">SUM(CALC!GU257:HB257)*CALC!CY257/1000</f>
        <v>94707.43822008</v>
      </c>
      <c r="F245" s="223" t="n">
        <f aca="false">Summary!$J$54</f>
        <v>0.15</v>
      </c>
      <c r="G245" s="164" t="n">
        <f aca="false">VLOOKUP(A245,CURVES!AW246:$BS$283,16)</f>
        <v>4.36859174031781</v>
      </c>
      <c r="H245" s="223" t="n">
        <f aca="false">Summary!$J$60</f>
        <v>0.04</v>
      </c>
      <c r="I245" s="165" t="n">
        <f aca="false">Summary!$J$55</f>
        <v>8.5</v>
      </c>
      <c r="J245" s="164" t="n">
        <f aca="false">I245*SUM(F245:H245)</f>
        <v>38.7480297927014</v>
      </c>
      <c r="K245" s="223" t="n">
        <f aca="false">Summary!$J$56</f>
        <v>3.75</v>
      </c>
      <c r="L245" s="0" t="n">
        <f aca="false">Summary!$O$23</f>
        <v>3.75</v>
      </c>
      <c r="M245" s="223" t="n">
        <f aca="false">Summary!$J$57</f>
        <v>1.75</v>
      </c>
      <c r="N245" s="164" t="n">
        <f aca="false">IF(C245&gt;0,C245-J245,0)</f>
        <v>17.891780379901</v>
      </c>
      <c r="O245" s="223" t="n">
        <f aca="false">IF(N245&gt;0,IF(N245-SUM(K245:M245)&gt;0,N245-SUM(K245:M245),0),0)</f>
        <v>8.64178037990098</v>
      </c>
      <c r="P245" s="223" t="n">
        <f aca="false">O245*D245</f>
        <v>181049.805863438</v>
      </c>
      <c r="Q245" s="164" t="n">
        <f aca="false">IF(A245&lt;=Summary!$J$61,0.5*(P245),$Q$2*(P245))</f>
        <v>0</v>
      </c>
      <c r="R245" s="223" t="n">
        <f aca="false">Summary!$J$58</f>
        <v>0.5</v>
      </c>
      <c r="S245" s="223" t="n">
        <f aca="false">J245+(K245+L245+R245)</f>
        <v>46.7480297927014</v>
      </c>
      <c r="T245" s="224" t="n">
        <f aca="false">IF(D245*(C245-S245)-Q245&gt;0,D245*(C245-S245)-Q245,0)</f>
        <v>207237.957769688</v>
      </c>
      <c r="U245" s="225" t="n">
        <f aca="false">Summary!$J$59</f>
        <v>0.121048781448</v>
      </c>
      <c r="V245" s="224" t="n">
        <f aca="false">IF(A245&lt;=Summary!$J$61,(0.2*T245)+(R245*D245),(U245*T245)+(R245*D245))</f>
        <v>35561.1630202928</v>
      </c>
      <c r="W245" s="226" t="n">
        <f aca="false">C245*D245</f>
        <v>1186633.56219302</v>
      </c>
    </row>
    <row r="246" customFormat="false" ht="12.75" hidden="false" customHeight="false" outlineLevel="0" collapsed="false">
      <c r="A246" s="220" t="n">
        <v>43862</v>
      </c>
      <c r="B246" s="221" t="n">
        <f aca="false">YEAR(A246)</f>
        <v>2020</v>
      </c>
      <c r="C246" s="164" t="n">
        <f aca="false">CALC!HH258</f>
        <v>43.9754143046757</v>
      </c>
      <c r="D246" s="222" t="n">
        <f aca="false">IF(Summary!$O$109=0,CALC!HE258,0)</f>
        <v>19598.874975</v>
      </c>
      <c r="E246" s="222" t="n">
        <f aca="false">SUM(CALC!GU258:HB258)*CALC!CY258/1000</f>
        <v>88620.4582374762</v>
      </c>
      <c r="F246" s="223" t="n">
        <f aca="false">Summary!$J$54</f>
        <v>0.15</v>
      </c>
      <c r="G246" s="164" t="n">
        <f aca="false">VLOOKUP(A246,CURVES!AW247:$BS$283,16)</f>
        <v>4.03490661738077</v>
      </c>
      <c r="H246" s="223" t="n">
        <f aca="false">Summary!$J$60</f>
        <v>0.04</v>
      </c>
      <c r="I246" s="165" t="n">
        <f aca="false">Summary!$J$55</f>
        <v>8.5</v>
      </c>
      <c r="J246" s="164" t="n">
        <f aca="false">I246*SUM(F246:H246)</f>
        <v>35.9117062477366</v>
      </c>
      <c r="K246" s="223" t="n">
        <f aca="false">Summary!$J$56</f>
        <v>3.75</v>
      </c>
      <c r="L246" s="0" t="n">
        <f aca="false">Summary!$O$23</f>
        <v>3.75</v>
      </c>
      <c r="M246" s="223" t="n">
        <f aca="false">Summary!$J$57</f>
        <v>1.75</v>
      </c>
      <c r="N246" s="164" t="n">
        <f aca="false">IF(C246&gt;0,C246-J246,0)</f>
        <v>8.06370805693911</v>
      </c>
      <c r="O246" s="223" t="n">
        <f aca="false">IF(N246&gt;0,IF(N246-SUM(K246:M246)&gt;0,N246-SUM(K246:M246),0),0)</f>
        <v>0</v>
      </c>
      <c r="P246" s="223" t="n">
        <f aca="false">O246*D246</f>
        <v>0</v>
      </c>
      <c r="Q246" s="164" t="n">
        <f aca="false">IF(A246&lt;=Summary!$J$61,0.5*(P246),$Q$2*(P246))</f>
        <v>0</v>
      </c>
      <c r="R246" s="223" t="n">
        <f aca="false">Summary!$J$58</f>
        <v>0.5</v>
      </c>
      <c r="S246" s="223" t="n">
        <f aca="false">J246+(K246+L246+R246)</f>
        <v>43.9117062477366</v>
      </c>
      <c r="T246" s="224" t="n">
        <f aca="false">IF(D246*(C246-S246)-Q246&gt;0,D246*(C246-S246)-Q246,0)</f>
        <v>1248.60624284972</v>
      </c>
      <c r="U246" s="225" t="n">
        <f aca="false">Summary!$J$59</f>
        <v>0.121048781448</v>
      </c>
      <c r="V246" s="224" t="n">
        <f aca="false">IF(A246&lt;=Summary!$J$61,(0.2*T246)+(R246*D246),(U246*T246)+(R246*D246))</f>
        <v>9950.57975170532</v>
      </c>
      <c r="W246" s="226" t="n">
        <f aca="false">C246*D246</f>
        <v>861868.646931165</v>
      </c>
    </row>
    <row r="247" customFormat="false" ht="12.75" hidden="false" customHeight="false" outlineLevel="0" collapsed="false">
      <c r="A247" s="220" t="n">
        <v>43891</v>
      </c>
      <c r="B247" s="221" t="n">
        <f aca="false">YEAR(A247)</f>
        <v>2020</v>
      </c>
      <c r="C247" s="164" t="n">
        <f aca="false">CALC!HH259</f>
        <v>44.4775831493277</v>
      </c>
      <c r="D247" s="222" t="n">
        <f aca="false">IF(Summary!$O$109=0,CALC!HE259,0)</f>
        <v>20950.521525</v>
      </c>
      <c r="E247" s="222" t="n">
        <f aca="false">SUM(CALC!GU259:HB259)*CALC!CY259/1000</f>
        <v>94756.9897359036</v>
      </c>
      <c r="F247" s="223" t="n">
        <f aca="false">Summary!$J$54</f>
        <v>0.15</v>
      </c>
      <c r="G247" s="164" t="n">
        <f aca="false">VLOOKUP(A247,CURVES!AW248:$BS$283,16)</f>
        <v>3.81850595697933</v>
      </c>
      <c r="H247" s="223" t="n">
        <f aca="false">Summary!$J$60</f>
        <v>0.04</v>
      </c>
      <c r="I247" s="165" t="n">
        <f aca="false">Summary!$J$55</f>
        <v>8.5</v>
      </c>
      <c r="J247" s="164" t="n">
        <f aca="false">I247*SUM(F247:H247)</f>
        <v>34.0723006343243</v>
      </c>
      <c r="K247" s="223" t="n">
        <f aca="false">Summary!$J$56</f>
        <v>3.75</v>
      </c>
      <c r="L247" s="0" t="n">
        <f aca="false">Summary!$O$23</f>
        <v>3.75</v>
      </c>
      <c r="M247" s="223" t="n">
        <f aca="false">Summary!$J$57</f>
        <v>1.75</v>
      </c>
      <c r="N247" s="164" t="n">
        <f aca="false">IF(C247&gt;0,C247-J247,0)</f>
        <v>10.4052825150034</v>
      </c>
      <c r="O247" s="223" t="n">
        <f aca="false">IF(N247&gt;0,IF(N247-SUM(K247:M247)&gt;0,N247-SUM(K247:M247),0),0)</f>
        <v>1.1552825150034</v>
      </c>
      <c r="P247" s="223" t="n">
        <f aca="false">O247*D247</f>
        <v>24203.7711980349</v>
      </c>
      <c r="Q247" s="164" t="n">
        <f aca="false">IF(A247&lt;=Summary!$J$61,0.5*(P247),$Q$2*(P247))</f>
        <v>0</v>
      </c>
      <c r="R247" s="223" t="n">
        <f aca="false">Summary!$J$58</f>
        <v>0.5</v>
      </c>
      <c r="S247" s="223" t="n">
        <f aca="false">J247+(K247+L247+R247)</f>
        <v>42.0723006343243</v>
      </c>
      <c r="T247" s="224" t="n">
        <f aca="false">IF(D247*(C247-S247)-Q247&gt;0,D247*(C247-S247)-Q247,0)</f>
        <v>50391.9231042849</v>
      </c>
      <c r="U247" s="225" t="n">
        <f aca="false">Summary!$J$59</f>
        <v>0.121048781448</v>
      </c>
      <c r="V247" s="224" t="n">
        <f aca="false">IF(A247&lt;=Summary!$J$61,(0.2*T247)+(R247*D247),(U247*T247)+(R247*D247))</f>
        <v>16575.141649095</v>
      </c>
      <c r="W247" s="226" t="n">
        <f aca="false">C247*D247</f>
        <v>931828.563149966</v>
      </c>
    </row>
    <row r="248" customFormat="false" ht="12.75" hidden="false" customHeight="false" outlineLevel="0" collapsed="false">
      <c r="A248" s="220" t="n">
        <v>43922</v>
      </c>
      <c r="B248" s="221" t="n">
        <f aca="false">YEAR(A248)</f>
        <v>2020</v>
      </c>
      <c r="C248" s="164" t="n">
        <f aca="false">CALC!HH260</f>
        <v>43.6562838813016</v>
      </c>
      <c r="D248" s="222" t="n">
        <f aca="false">IF(Summary!$O$109=0,CALC!HE260,0)</f>
        <v>20274.69825</v>
      </c>
      <c r="E248" s="222" t="n">
        <f aca="false">SUM(CALC!GU260:HB260)*CALC!CY260/1000</f>
        <v>91724.2891875634</v>
      </c>
      <c r="F248" s="223" t="n">
        <f aca="false">Summary!$J$54</f>
        <v>0.15</v>
      </c>
      <c r="G248" s="164" t="n">
        <f aca="false">VLOOKUP(A248,CURVES!AW249:$BS$283,16)</f>
        <v>3.70394805234407</v>
      </c>
      <c r="H248" s="223" t="n">
        <f aca="false">Summary!$J$60</f>
        <v>0.04</v>
      </c>
      <c r="I248" s="165" t="n">
        <f aca="false">Summary!$J$55</f>
        <v>8.5</v>
      </c>
      <c r="J248" s="164" t="n">
        <f aca="false">I248*SUM(F248:H248)</f>
        <v>33.0985584449246</v>
      </c>
      <c r="K248" s="223" t="n">
        <f aca="false">Summary!$J$56</f>
        <v>3.75</v>
      </c>
      <c r="L248" s="0" t="n">
        <f aca="false">Summary!$O$23</f>
        <v>3.75</v>
      </c>
      <c r="M248" s="223" t="n">
        <f aca="false">Summary!$J$57</f>
        <v>1.75</v>
      </c>
      <c r="N248" s="164" t="n">
        <f aca="false">IF(C248&gt;0,C248-J248,0)</f>
        <v>10.557725436377</v>
      </c>
      <c r="O248" s="223" t="n">
        <f aca="false">IF(N248&gt;0,IF(N248-SUM(K248:M248)&gt;0,N248-SUM(K248:M248),0),0)</f>
        <v>1.30772543637699</v>
      </c>
      <c r="P248" s="223" t="n">
        <f aca="false">O248*D248</f>
        <v>26513.7386163931</v>
      </c>
      <c r="Q248" s="164" t="n">
        <f aca="false">IF(A248&lt;=Summary!$J$61,0.5*(P248),$Q$2*(P248))</f>
        <v>0</v>
      </c>
      <c r="R248" s="223" t="n">
        <f aca="false">Summary!$J$58</f>
        <v>0.5</v>
      </c>
      <c r="S248" s="223" t="n">
        <f aca="false">J248+(K248+L248+R248)</f>
        <v>41.0985584449246</v>
      </c>
      <c r="T248" s="224" t="n">
        <f aca="false">IF(D248*(C248-S248)-Q248&gt;0,D248*(C248-S248)-Q248,0)</f>
        <v>51857.1114288931</v>
      </c>
      <c r="U248" s="225" t="n">
        <f aca="false">Summary!$J$59</f>
        <v>0.121048781448</v>
      </c>
      <c r="V248" s="224" t="n">
        <f aca="false">IF(A248&lt;=Summary!$J$61,(0.2*T248)+(R248*D248),(U248*T248)+(R248*D248))</f>
        <v>16414.5892728807</v>
      </c>
      <c r="W248" s="226" t="n">
        <f aca="false">C248*D248</f>
        <v>885117.982409728</v>
      </c>
    </row>
    <row r="249" customFormat="false" ht="12.75" hidden="false" customHeight="false" outlineLevel="0" collapsed="false">
      <c r="A249" s="220" t="n">
        <v>43952</v>
      </c>
      <c r="B249" s="221" t="n">
        <f aca="false">YEAR(A249)</f>
        <v>2020</v>
      </c>
      <c r="C249" s="164" t="n">
        <f aca="false">CALC!HH261</f>
        <v>47.113318409819</v>
      </c>
      <c r="D249" s="222" t="n">
        <f aca="false">IF(Summary!$O$109=0,CALC!HE261,0)</f>
        <v>22276.5039</v>
      </c>
      <c r="E249" s="222" t="n">
        <f aca="false">SUM(CALC!GU261:HB261)*CALC!CY261/1000</f>
        <v>74196.4235883083</v>
      </c>
      <c r="F249" s="223" t="n">
        <f aca="false">Summary!$J$54</f>
        <v>0.15</v>
      </c>
      <c r="G249" s="164" t="n">
        <f aca="false">VLOOKUP(A249,CURVES!AW250:$BS$283,16)</f>
        <v>3.67601402189126</v>
      </c>
      <c r="H249" s="223" t="n">
        <f aca="false">Summary!$J$60</f>
        <v>0.04</v>
      </c>
      <c r="I249" s="165" t="n">
        <f aca="false">Summary!$J$55</f>
        <v>8.5</v>
      </c>
      <c r="J249" s="164" t="n">
        <f aca="false">I249*SUM(F249:H249)</f>
        <v>32.8611191860757</v>
      </c>
      <c r="K249" s="223" t="n">
        <f aca="false">Summary!$J$56</f>
        <v>3.75</v>
      </c>
      <c r="L249" s="0" t="n">
        <f aca="false">Summary!$O$23</f>
        <v>3.75</v>
      </c>
      <c r="M249" s="223" t="n">
        <f aca="false">Summary!$J$57</f>
        <v>1.75</v>
      </c>
      <c r="N249" s="164" t="n">
        <f aca="false">IF(C249&gt;0,C249-J249,0)</f>
        <v>14.2521992237433</v>
      </c>
      <c r="O249" s="223" t="n">
        <f aca="false">IF(N249&gt;0,IF(N249-SUM(K249:M249)&gt;0,N249-SUM(K249:M249),0),0)</f>
        <v>5.0021992237433</v>
      </c>
      <c r="P249" s="223" t="n">
        <f aca="false">O249*D249</f>
        <v>111431.510516295</v>
      </c>
      <c r="Q249" s="164" t="n">
        <f aca="false">IF(A249&lt;=Summary!$J$61,0.5*(P249),$Q$2*(P249))</f>
        <v>0</v>
      </c>
      <c r="R249" s="223" t="n">
        <f aca="false">Summary!$J$58</f>
        <v>0.5</v>
      </c>
      <c r="S249" s="223" t="n">
        <f aca="false">J249+(K249+L249+R249)</f>
        <v>40.8611191860757</v>
      </c>
      <c r="T249" s="224" t="n">
        <f aca="false">IF(D249*(C249-S249)-Q249&gt;0,D249*(C249-S249)-Q249,0)</f>
        <v>139277.140391295</v>
      </c>
      <c r="U249" s="225" t="n">
        <f aca="false">Summary!$J$59</f>
        <v>0.121048781448</v>
      </c>
      <c r="V249" s="224" t="n">
        <f aca="false">IF(A249&lt;=Summary!$J$61,(0.2*T249)+(R249*D249),(U249*T249)+(R249*D249))</f>
        <v>27997.5800779282</v>
      </c>
      <c r="W249" s="226" t="n">
        <f aca="false">C249*D249</f>
        <v>1049520.02129828</v>
      </c>
    </row>
    <row r="250" customFormat="false" ht="12.75" hidden="false" customHeight="false" outlineLevel="0" collapsed="false">
      <c r="A250" s="220" t="n">
        <v>43983</v>
      </c>
      <c r="B250" s="221" t="n">
        <f aca="false">YEAR(A250)</f>
        <v>2020</v>
      </c>
      <c r="C250" s="164" t="n">
        <f aca="false">CALC!HH262</f>
        <v>48.4576834451505</v>
      </c>
      <c r="D250" s="222" t="n">
        <f aca="false">IF(Summary!$O$109=0,CALC!HE262,0)</f>
        <v>21557.907</v>
      </c>
      <c r="E250" s="222" t="n">
        <f aca="false">SUM(CALC!GU262:HB262)*CALC!CY262/1000</f>
        <v>71821.7548179595</v>
      </c>
      <c r="F250" s="223" t="n">
        <f aca="false">Summary!$J$54</f>
        <v>0.15</v>
      </c>
      <c r="G250" s="164" t="n">
        <f aca="false">VLOOKUP(A250,CURVES!AW251:$BS$283,16)</f>
        <v>3.72041814904038</v>
      </c>
      <c r="H250" s="223" t="n">
        <f aca="false">Summary!$J$60</f>
        <v>0.04</v>
      </c>
      <c r="I250" s="165" t="n">
        <f aca="false">Summary!$J$55</f>
        <v>8.5</v>
      </c>
      <c r="J250" s="164" t="n">
        <f aca="false">I250*SUM(F250:H250)</f>
        <v>33.2385542668432</v>
      </c>
      <c r="K250" s="223" t="n">
        <f aca="false">Summary!$J$56</f>
        <v>3.75</v>
      </c>
      <c r="L250" s="0" t="n">
        <f aca="false">Summary!$O$23</f>
        <v>3.75</v>
      </c>
      <c r="M250" s="223" t="n">
        <f aca="false">Summary!$J$57</f>
        <v>1.75</v>
      </c>
      <c r="N250" s="164" t="n">
        <f aca="false">IF(C250&gt;0,C250-J250,0)</f>
        <v>15.2191291783072</v>
      </c>
      <c r="O250" s="223" t="n">
        <f aca="false">IF(N250&gt;0,IF(N250-SUM(K250:M250)&gt;0,N250-SUM(K250:M250),0),0)</f>
        <v>5.96912917830723</v>
      </c>
      <c r="P250" s="223" t="n">
        <f aca="false">O250*D250</f>
        <v>128681.931696934</v>
      </c>
      <c r="Q250" s="164" t="n">
        <f aca="false">IF(A250&lt;=Summary!$J$61,0.5*(P250),$Q$2*(P250))</f>
        <v>0</v>
      </c>
      <c r="R250" s="223" t="n">
        <f aca="false">Summary!$J$58</f>
        <v>0.5</v>
      </c>
      <c r="S250" s="223" t="n">
        <f aca="false">J250+(K250+L250+R250)</f>
        <v>41.2385542668432</v>
      </c>
      <c r="T250" s="224" t="n">
        <f aca="false">IF(D250*(C250-S250)-Q250&gt;0,D250*(C250-S250)-Q250,0)</f>
        <v>155629.315446934</v>
      </c>
      <c r="U250" s="225" t="n">
        <f aca="false">Summary!$J$59</f>
        <v>0.121048781448</v>
      </c>
      <c r="V250" s="224" t="n">
        <f aca="false">IF(A250&lt;=Summary!$J$61,(0.2*T250)+(R250*D250),(U250*T250)+(R250*D250))</f>
        <v>29617.6924924377</v>
      </c>
      <c r="W250" s="226" t="n">
        <f aca="false">C250*D250</f>
        <v>1044646.23314599</v>
      </c>
    </row>
    <row r="251" customFormat="false" ht="12.75" hidden="false" customHeight="false" outlineLevel="0" collapsed="false">
      <c r="A251" s="220" t="n">
        <v>44013</v>
      </c>
      <c r="B251" s="221" t="n">
        <f aca="false">YEAR(A251)</f>
        <v>2020</v>
      </c>
      <c r="C251" s="164" t="n">
        <f aca="false">CALC!HH263</f>
        <v>63.7091892262328</v>
      </c>
      <c r="D251" s="222" t="n">
        <f aca="false">IF(Summary!$O$109=0,CALC!HE263,0)</f>
        <v>22276.5039</v>
      </c>
      <c r="E251" s="222" t="n">
        <f aca="false">SUM(CALC!GU263:HB263)*CALC!CY263/1000</f>
        <v>74235.2030354747</v>
      </c>
      <c r="F251" s="223" t="n">
        <f aca="false">Summary!$J$54</f>
        <v>0.15</v>
      </c>
      <c r="G251" s="164" t="n">
        <f aca="false">VLOOKUP(A251,CURVES!AW252:$BS$283,16)</f>
        <v>3.82197101908773</v>
      </c>
      <c r="H251" s="223" t="n">
        <f aca="false">Summary!$J$60</f>
        <v>0.04</v>
      </c>
      <c r="I251" s="165" t="n">
        <f aca="false">Summary!$J$55</f>
        <v>8.5</v>
      </c>
      <c r="J251" s="164" t="n">
        <f aca="false">I251*SUM(F251:H251)</f>
        <v>34.1017536622457</v>
      </c>
      <c r="K251" s="223" t="n">
        <f aca="false">Summary!$J$56</f>
        <v>3.75</v>
      </c>
      <c r="L251" s="0" t="n">
        <f aca="false">Summary!$O$23</f>
        <v>3.75</v>
      </c>
      <c r="M251" s="223" t="n">
        <f aca="false">Summary!$J$57</f>
        <v>1.75</v>
      </c>
      <c r="N251" s="164" t="n">
        <f aca="false">IF(C251&gt;0,C251-J251,0)</f>
        <v>29.6074355639871</v>
      </c>
      <c r="O251" s="223" t="n">
        <f aca="false">IF(N251&gt;0,IF(N251-SUM(K251:M251)&gt;0,N251-SUM(K251:M251),0),0)</f>
        <v>20.3574355639871</v>
      </c>
      <c r="P251" s="223" t="n">
        <f aca="false">O251*D251</f>
        <v>453492.492735158</v>
      </c>
      <c r="Q251" s="164" t="n">
        <f aca="false">IF(A251&lt;=Summary!$J$61,0.5*(P251),$Q$2*(P251))</f>
        <v>0</v>
      </c>
      <c r="R251" s="223" t="n">
        <f aca="false">Summary!$J$58</f>
        <v>0.5</v>
      </c>
      <c r="S251" s="223" t="n">
        <f aca="false">J251+(K251+L251+R251)</f>
        <v>42.1017536622457</v>
      </c>
      <c r="T251" s="224" t="n">
        <f aca="false">IF(D251*(C251-S251)-Q251&gt;0,D251*(C251-S251)-Q251,0)</f>
        <v>481338.122610158</v>
      </c>
      <c r="U251" s="225" t="n">
        <f aca="false">Summary!$J$59</f>
        <v>0.121048781448</v>
      </c>
      <c r="V251" s="224" t="n">
        <f aca="false">IF(A251&lt;=Summary!$J$61,(0.2*T251)+(R251*D251),(U251*T251)+(R251*D251))</f>
        <v>69403.6451564276</v>
      </c>
      <c r="W251" s="226" t="n">
        <f aca="false">C251*D251</f>
        <v>1419218.00226401</v>
      </c>
    </row>
    <row r="252" customFormat="false" ht="12.75" hidden="false" customHeight="false" outlineLevel="0" collapsed="false">
      <c r="A252" s="220" t="n">
        <v>44044</v>
      </c>
      <c r="B252" s="221" t="n">
        <f aca="false">YEAR(A252)</f>
        <v>2020</v>
      </c>
      <c r="C252" s="164" t="n">
        <f aca="false">CALC!HH264</f>
        <v>77.0494740917285</v>
      </c>
      <c r="D252" s="222" t="n">
        <f aca="false">IF(Summary!$O$109=0,CALC!HE264,0)</f>
        <v>22276.5039</v>
      </c>
      <c r="E252" s="222" t="n">
        <f aca="false">SUM(CALC!GU264:HB264)*CALC!CY264/1000</f>
        <v>74254.5927590579</v>
      </c>
      <c r="F252" s="223" t="n">
        <f aca="false">Summary!$J$54</f>
        <v>0.15</v>
      </c>
      <c r="G252" s="164" t="n">
        <f aca="false">VLOOKUP(A252,CURVES!AW253:$BS$283,16)</f>
        <v>3.96619718590708</v>
      </c>
      <c r="H252" s="223" t="n">
        <f aca="false">Summary!$J$60</f>
        <v>0.04</v>
      </c>
      <c r="I252" s="165" t="n">
        <f aca="false">Summary!$J$55</f>
        <v>8.5</v>
      </c>
      <c r="J252" s="164" t="n">
        <f aca="false">I252*SUM(F252:H252)</f>
        <v>35.3276760802101</v>
      </c>
      <c r="K252" s="223" t="n">
        <f aca="false">Summary!$J$56</f>
        <v>3.75</v>
      </c>
      <c r="L252" s="0" t="n">
        <f aca="false">Summary!$O$23</f>
        <v>3.75</v>
      </c>
      <c r="M252" s="223" t="n">
        <f aca="false">Summary!$J$57</f>
        <v>1.75</v>
      </c>
      <c r="N252" s="164" t="n">
        <f aca="false">IF(C252&gt;0,C252-J252,0)</f>
        <v>41.7217980115184</v>
      </c>
      <c r="O252" s="223" t="n">
        <f aca="false">IF(N252&gt;0,IF(N252-SUM(K252:M252)&gt;0,N252-SUM(K252:M252),0),0)</f>
        <v>32.4717980115184</v>
      </c>
      <c r="P252" s="223" t="n">
        <f aca="false">O252*D252</f>
        <v>723358.135043602</v>
      </c>
      <c r="Q252" s="164" t="n">
        <f aca="false">IF(A252&lt;=Summary!$J$61,0.5*(P252),$Q$2*(P252))</f>
        <v>0</v>
      </c>
      <c r="R252" s="223" t="n">
        <f aca="false">Summary!$J$58</f>
        <v>0.5</v>
      </c>
      <c r="S252" s="223" t="n">
        <f aca="false">J252+(K252+L252+R252)</f>
        <v>43.3276760802101</v>
      </c>
      <c r="T252" s="224" t="n">
        <f aca="false">IF(D252*(C252-S252)-Q252&gt;0,D252*(C252-S252)-Q252,0)</f>
        <v>751203.764918602</v>
      </c>
      <c r="U252" s="225" t="n">
        <f aca="false">Summary!$J$59</f>
        <v>0.121048781448</v>
      </c>
      <c r="V252" s="224" t="n">
        <f aca="false">IF(A252&lt;=Summary!$J$61,(0.2*T252)+(R252*D252),(U252*T252)+(R252*D252))</f>
        <v>102070.552312547</v>
      </c>
      <c r="W252" s="226" t="n">
        <f aca="false">C252*D252</f>
        <v>1716392.91009734</v>
      </c>
    </row>
    <row r="253" customFormat="false" ht="12.75" hidden="false" customHeight="false" outlineLevel="0" collapsed="false">
      <c r="A253" s="220" t="n">
        <v>44075</v>
      </c>
      <c r="B253" s="221" t="n">
        <f aca="false">YEAR(A253)</f>
        <v>2020</v>
      </c>
      <c r="C253" s="164" t="n">
        <f aca="false">CALC!HH265</f>
        <v>67.1144622248339</v>
      </c>
      <c r="D253" s="222" t="n">
        <f aca="false">IF(Summary!$O$109=0,CALC!HE265,0)</f>
        <v>21557.907</v>
      </c>
      <c r="E253" s="222" t="n">
        <f aca="false">SUM(CALC!GU265:HB265)*CALC!CY265/1000</f>
        <v>71878.0475638462</v>
      </c>
      <c r="F253" s="223" t="n">
        <f aca="false">Summary!$J$54</f>
        <v>0.15</v>
      </c>
      <c r="G253" s="164" t="n">
        <f aca="false">VLOOKUP(A253,CURVES!AW254:$BS$283,16)</f>
        <v>4.13791258502132</v>
      </c>
      <c r="H253" s="223" t="n">
        <f aca="false">Summary!$J$60</f>
        <v>0.04</v>
      </c>
      <c r="I253" s="165" t="n">
        <f aca="false">Summary!$J$55</f>
        <v>8.5</v>
      </c>
      <c r="J253" s="164" t="n">
        <f aca="false">I253*SUM(F253:H253)</f>
        <v>36.7872569726812</v>
      </c>
      <c r="K253" s="223" t="n">
        <f aca="false">Summary!$J$56</f>
        <v>3.75</v>
      </c>
      <c r="L253" s="0" t="n">
        <f aca="false">Summary!$O$23</f>
        <v>3.75</v>
      </c>
      <c r="M253" s="223" t="n">
        <f aca="false">Summary!$J$57</f>
        <v>1.75</v>
      </c>
      <c r="N253" s="164" t="n">
        <f aca="false">IF(C253&gt;0,C253-J253,0)</f>
        <v>30.3272052521527</v>
      </c>
      <c r="O253" s="223" t="n">
        <f aca="false">IF(N253&gt;0,IF(N253-SUM(K253:M253)&gt;0,N253-SUM(K253:M253),0),0)</f>
        <v>21.0772052521527</v>
      </c>
      <c r="P253" s="223" t="n">
        <f aca="false">O253*D253</f>
        <v>454380.430645819</v>
      </c>
      <c r="Q253" s="164" t="n">
        <f aca="false">IF(A253&lt;=Summary!$J$61,0.5*(P253),$Q$2*(P253))</f>
        <v>0</v>
      </c>
      <c r="R253" s="223" t="n">
        <f aca="false">Summary!$J$58</f>
        <v>0.5</v>
      </c>
      <c r="S253" s="223" t="n">
        <f aca="false">J253+(K253+L253+R253)</f>
        <v>44.7872569726812</v>
      </c>
      <c r="T253" s="224" t="n">
        <f aca="false">IF(D253*(C253-S253)-Q253&gt;0,D253*(C253-S253)-Q253,0)</f>
        <v>481327.814395819</v>
      </c>
      <c r="U253" s="225" t="n">
        <f aca="false">Summary!$J$59</f>
        <v>0.121048781448</v>
      </c>
      <c r="V253" s="224" t="n">
        <f aca="false">IF(A253&lt;=Summary!$J$61,(0.2*T253)+(R253*D253),(U253*T253)+(R253*D253))</f>
        <v>69043.098909643</v>
      </c>
      <c r="W253" s="226" t="n">
        <f aca="false">C253*D253</f>
        <v>1446847.33499798</v>
      </c>
    </row>
    <row r="254" customFormat="false" ht="12.75" hidden="false" customHeight="false" outlineLevel="0" collapsed="false">
      <c r="A254" s="220" t="n">
        <v>44105</v>
      </c>
      <c r="B254" s="221" t="n">
        <f aca="false">YEAR(A254)</f>
        <v>2020</v>
      </c>
      <c r="C254" s="164" t="n">
        <f aca="false">CALC!HH266</f>
        <v>57.6725706545995</v>
      </c>
      <c r="D254" s="222" t="n">
        <f aca="false">IF(Summary!$O$109=0,CALC!HE266,0)</f>
        <v>20950.521525</v>
      </c>
      <c r="E254" s="222" t="n">
        <f aca="false">SUM(CALC!GU266:HB266)*CALC!CY266/1000</f>
        <v>94930.4200412865</v>
      </c>
      <c r="F254" s="223" t="n">
        <f aca="false">Summary!$J$54</f>
        <v>0.15</v>
      </c>
      <c r="G254" s="164" t="n">
        <f aca="false">VLOOKUP(A254,CURVES!AW255:$BS$283,16)</f>
        <v>4.32179900707932</v>
      </c>
      <c r="H254" s="223" t="n">
        <f aca="false">Summary!$J$60</f>
        <v>0.04</v>
      </c>
      <c r="I254" s="165" t="n">
        <f aca="false">Summary!$J$55</f>
        <v>8.5</v>
      </c>
      <c r="J254" s="164" t="n">
        <f aca="false">I254*SUM(F254:H254)</f>
        <v>38.3502915601742</v>
      </c>
      <c r="K254" s="223" t="n">
        <f aca="false">Summary!$J$56</f>
        <v>3.75</v>
      </c>
      <c r="L254" s="0" t="n">
        <f aca="false">Summary!$O$23</f>
        <v>3.75</v>
      </c>
      <c r="M254" s="223" t="n">
        <f aca="false">Summary!$J$57</f>
        <v>1.75</v>
      </c>
      <c r="N254" s="164" t="n">
        <f aca="false">IF(C254&gt;0,C254-J254,0)</f>
        <v>19.3222790944253</v>
      </c>
      <c r="O254" s="223" t="n">
        <f aca="false">IF(N254&gt;0,IF(N254-SUM(K254:M254)&gt;0,N254-SUM(K254:M254),0),0)</f>
        <v>10.0722790944253</v>
      </c>
      <c r="P254" s="223" t="n">
        <f aca="false">O254*D254</f>
        <v>211019.499973565</v>
      </c>
      <c r="Q254" s="164" t="n">
        <f aca="false">IF(A254&lt;=Summary!$J$61,0.5*(P254),$Q$2*(P254))</f>
        <v>0</v>
      </c>
      <c r="R254" s="223" t="n">
        <f aca="false">Summary!$J$58</f>
        <v>0.5</v>
      </c>
      <c r="S254" s="223" t="n">
        <f aca="false">J254+(K254+L254+R254)</f>
        <v>46.3502915601742</v>
      </c>
      <c r="T254" s="224" t="n">
        <f aca="false">IF(D254*(C254-S254)-Q254&gt;0,D254*(C254-S254)-Q254,0)</f>
        <v>237207.651879815</v>
      </c>
      <c r="U254" s="225" t="n">
        <f aca="false">Summary!$J$59</f>
        <v>0.121048781448</v>
      </c>
      <c r="V254" s="224" t="n">
        <f aca="false">IF(A254&lt;=Summary!$J$61,(0.2*T254)+(R254*D254),(U254*T254)+(R254*D254))</f>
        <v>39188.9579726929</v>
      </c>
      <c r="W254" s="226" t="n">
        <f aca="false">C254*D254</f>
        <v>1208270.43290127</v>
      </c>
    </row>
    <row r="255" customFormat="false" ht="12.75" hidden="false" customHeight="false" outlineLevel="0" collapsed="false">
      <c r="A255" s="220" t="n">
        <v>44136</v>
      </c>
      <c r="B255" s="221" t="n">
        <f aca="false">YEAR(A255)</f>
        <v>2020</v>
      </c>
      <c r="C255" s="164" t="n">
        <f aca="false">CALC!HH267</f>
        <v>58.350262148136</v>
      </c>
      <c r="D255" s="222" t="n">
        <f aca="false">IF(Summary!$O$109=0,CALC!HE267,0)</f>
        <v>20274.69825</v>
      </c>
      <c r="E255" s="222" t="n">
        <f aca="false">SUM(CALC!GU267:HB267)*CALC!CY267/1000</f>
        <v>91892.1249669661</v>
      </c>
      <c r="F255" s="223" t="n">
        <f aca="false">Summary!$J$54</f>
        <v>0.15</v>
      </c>
      <c r="G255" s="164" t="n">
        <f aca="false">VLOOKUP(A255,CURVES!AW256:$BS$283,16)</f>
        <v>4.50312941446933</v>
      </c>
      <c r="H255" s="223" t="n">
        <f aca="false">Summary!$J$60</f>
        <v>0.04</v>
      </c>
      <c r="I255" s="165" t="n">
        <f aca="false">Summary!$J$55</f>
        <v>8.5</v>
      </c>
      <c r="J255" s="164" t="n">
        <f aca="false">I255*SUM(F255:H255)</f>
        <v>39.8916000229893</v>
      </c>
      <c r="K255" s="223" t="n">
        <f aca="false">Summary!$J$56</f>
        <v>3.75</v>
      </c>
      <c r="L255" s="0" t="n">
        <f aca="false">Summary!$O$23</f>
        <v>3.75</v>
      </c>
      <c r="M255" s="223" t="n">
        <f aca="false">Summary!$J$57</f>
        <v>1.75</v>
      </c>
      <c r="N255" s="164" t="n">
        <f aca="false">IF(C255&gt;0,C255-J255,0)</f>
        <v>18.4586621251466</v>
      </c>
      <c r="O255" s="223" t="n">
        <f aca="false">IF(N255&gt;0,IF(N255-SUM(K255:M255)&gt;0,N255-SUM(K255:M255),0),0)</f>
        <v>9.20866212514663</v>
      </c>
      <c r="P255" s="223" t="n">
        <f aca="false">O255*D255</f>
        <v>186702.845873552</v>
      </c>
      <c r="Q255" s="164" t="n">
        <f aca="false">IF(A255&lt;=Summary!$J$61,0.5*(P255),$Q$2*(P255))</f>
        <v>0</v>
      </c>
      <c r="R255" s="223" t="n">
        <f aca="false">Summary!$J$58</f>
        <v>0.5</v>
      </c>
      <c r="S255" s="223" t="n">
        <f aca="false">J255+(K255+L255+R255)</f>
        <v>47.8916000229893</v>
      </c>
      <c r="T255" s="224" t="n">
        <f aca="false">IF(D255*(C255-S255)-Q255&gt;0,D255*(C255-S255)-Q255,0)</f>
        <v>212046.218686052</v>
      </c>
      <c r="U255" s="225" t="n">
        <f aca="false">Summary!$J$59</f>
        <v>0.121048781448</v>
      </c>
      <c r="V255" s="224" t="n">
        <f aca="false">IF(A255&lt;=Summary!$J$61,(0.2*T255)+(R255*D255),(U255*T255)+(R255*D255))</f>
        <v>35805.2855076027</v>
      </c>
      <c r="W255" s="226" t="n">
        <f aca="false">C255*D255</f>
        <v>1183033.95786185</v>
      </c>
    </row>
    <row r="256" customFormat="false" ht="12.75" hidden="false" customHeight="false" outlineLevel="0" collapsed="false">
      <c r="A256" s="220" t="n">
        <v>44166</v>
      </c>
      <c r="B256" s="221" t="n">
        <f aca="false">YEAR(A256)</f>
        <v>2020</v>
      </c>
      <c r="C256" s="164" t="n">
        <f aca="false">CALC!HH268</f>
        <v>60.5963412332131</v>
      </c>
      <c r="D256" s="222" t="n">
        <f aca="false">IF(Summary!$O$109=0,CALC!HE268,0)</f>
        <v>20950.521525</v>
      </c>
      <c r="E256" s="222" t="n">
        <f aca="false">SUM(CALC!GU268:HB268)*CALC!CY268/1000</f>
        <v>94979.9715571102</v>
      </c>
      <c r="F256" s="223" t="n">
        <f aca="false">Summary!$J$54</f>
        <v>0.15</v>
      </c>
      <c r="G256" s="164" t="n">
        <f aca="false">VLOOKUP(A256,CURVES!AW257:$BS$283,16)</f>
        <v>4.69467048021779</v>
      </c>
      <c r="H256" s="223" t="n">
        <f aca="false">Summary!$J$60</f>
        <v>0.04</v>
      </c>
      <c r="I256" s="165" t="n">
        <f aca="false">Summary!$J$55</f>
        <v>8.5</v>
      </c>
      <c r="J256" s="164" t="n">
        <f aca="false">I256*SUM(F256:H256)</f>
        <v>41.5196990818512</v>
      </c>
      <c r="K256" s="223" t="n">
        <f aca="false">Summary!$J$56</f>
        <v>3.75</v>
      </c>
      <c r="L256" s="0" t="n">
        <f aca="false">Summary!$O$23</f>
        <v>3.75</v>
      </c>
      <c r="M256" s="223" t="n">
        <f aca="false">Summary!$J$57</f>
        <v>1.75</v>
      </c>
      <c r="N256" s="164" t="n">
        <f aca="false">IF(C256&gt;0,C256-J256,0)</f>
        <v>19.0766421513619</v>
      </c>
      <c r="O256" s="223" t="n">
        <f aca="false">IF(N256&gt;0,IF(N256-SUM(K256:M256)&gt;0,N256-SUM(K256:M256),0),0)</f>
        <v>9.82664215136185</v>
      </c>
      <c r="P256" s="223" t="n">
        <f aca="false">O256*D256</f>
        <v>205873.277910579</v>
      </c>
      <c r="Q256" s="164" t="n">
        <f aca="false">IF(A256&lt;=Summary!$J$61,0.5*(P256),$Q$2*(P256))</f>
        <v>0</v>
      </c>
      <c r="R256" s="223" t="n">
        <f aca="false">Summary!$J$58</f>
        <v>0.5</v>
      </c>
      <c r="S256" s="223" t="n">
        <f aca="false">J256+(K256+L256+R256)</f>
        <v>49.5196990818512</v>
      </c>
      <c r="T256" s="224" t="n">
        <f aca="false">IF(D256*(C256-S256)-Q256&gt;0,D256*(C256-S256)-Q256,0)</f>
        <v>232061.429816829</v>
      </c>
      <c r="U256" s="225" t="n">
        <f aca="false">Summary!$J$59</f>
        <v>0.121048781448</v>
      </c>
      <c r="V256" s="224" t="n">
        <f aca="false">IF(A256&lt;=Summary!$J$61,(0.2*T256)+(R256*D256),(U256*T256)+(R256*D256))</f>
        <v>38566.0140629077</v>
      </c>
      <c r="W256" s="226" t="n">
        <f aca="false">C256*D256</f>
        <v>1269524.95134268</v>
      </c>
    </row>
    <row r="257" customFormat="false" ht="12.75" hidden="false" customHeight="false" outlineLevel="0" collapsed="false">
      <c r="A257" s="220" t="n">
        <v>44197</v>
      </c>
      <c r="B257" s="221" t="n">
        <f aca="false">YEAR(A257)</f>
        <v>2021</v>
      </c>
      <c r="C257" s="164" t="n">
        <f aca="false">CALC!HH269</f>
        <v>59.4634141960639</v>
      </c>
      <c r="D257" s="222" t="n">
        <f aca="false">IF(Summary!$O$109=0,CALC!HE269,0)</f>
        <v>20950.521525</v>
      </c>
      <c r="E257" s="222" t="n">
        <f aca="false">SUM(CALC!GU269:HB269)*CALC!CY269/1000</f>
        <v>95004.747315022</v>
      </c>
      <c r="F257" s="223" t="n">
        <f aca="false">Summary!$J$54</f>
        <v>0.15</v>
      </c>
      <c r="G257" s="164" t="n">
        <f aca="false">VLOOKUP(A257,CURVES!AW258:$BS$283,16)</f>
        <v>4.47671108673858</v>
      </c>
      <c r="H257" s="223" t="n">
        <f aca="false">Summary!$J$60</f>
        <v>0.04</v>
      </c>
      <c r="I257" s="165" t="n">
        <f aca="false">Summary!$J$55</f>
        <v>8.5</v>
      </c>
      <c r="J257" s="164" t="n">
        <f aca="false">I257*SUM(F257:H257)</f>
        <v>39.6670442372779</v>
      </c>
      <c r="K257" s="223" t="n">
        <f aca="false">Summary!$J$56</f>
        <v>3.75</v>
      </c>
      <c r="L257" s="0" t="n">
        <f aca="false">Summary!$O$23</f>
        <v>3.75</v>
      </c>
      <c r="M257" s="223" t="n">
        <f aca="false">Summary!$J$57</f>
        <v>1.75</v>
      </c>
      <c r="N257" s="164" t="n">
        <f aca="false">IF(C257&gt;0,C257-J257,0)</f>
        <v>19.796369958786</v>
      </c>
      <c r="O257" s="223" t="n">
        <f aca="false">IF(N257&gt;0,IF(N257-SUM(K257:M257)&gt;0,N257-SUM(K257:M257),0),0)</f>
        <v>10.546369958786</v>
      </c>
      <c r="P257" s="223" t="n">
        <f aca="false">O257*D257</f>
        <v>220951.950832159</v>
      </c>
      <c r="Q257" s="164" t="n">
        <f aca="false">IF(A257&lt;=Summary!$J$61,0.5*(P257),$Q$2*(P257))</f>
        <v>0</v>
      </c>
      <c r="R257" s="223" t="n">
        <f aca="false">Summary!$J$58</f>
        <v>0.5</v>
      </c>
      <c r="S257" s="223" t="n">
        <f aca="false">J257+(K257+L257+R257)</f>
        <v>47.6670442372779</v>
      </c>
      <c r="T257" s="224" t="n">
        <f aca="false">IF(D257*(C257-S257)-Q257&gt;0,D257*(C257-S257)-Q257,0)</f>
        <v>247140.102738409</v>
      </c>
      <c r="U257" s="225" t="n">
        <f aca="false">Summary!$J$59</f>
        <v>0.121048781448</v>
      </c>
      <c r="V257" s="224" t="n">
        <f aca="false">IF(A257&lt;=Summary!$J$61,(0.2*T257)+(R257*D257),(U257*T257)+(R257*D257))</f>
        <v>40391.2690459179</v>
      </c>
      <c r="W257" s="226" t="n">
        <f aca="false">C257*D257</f>
        <v>1245789.53906463</v>
      </c>
    </row>
    <row r="258" customFormat="false" ht="12.75" hidden="false" customHeight="false" outlineLevel="0" collapsed="false">
      <c r="A258" s="220" t="n">
        <v>44228</v>
      </c>
      <c r="B258" s="221" t="n">
        <f aca="false">YEAR(A258)</f>
        <v>2021</v>
      </c>
      <c r="C258" s="164" t="n">
        <f aca="false">CALC!HH270</f>
        <v>45.4393437032834</v>
      </c>
      <c r="D258" s="222" t="n">
        <f aca="false">IF(Summary!$O$109=0,CALC!HE270,0)</f>
        <v>18923.0517</v>
      </c>
      <c r="E258" s="222" t="n">
        <f aca="false">SUM(CALC!GU270:HB270)*CALC!CY270/1000</f>
        <v>85833.1176142628</v>
      </c>
      <c r="F258" s="223" t="n">
        <f aca="false">Summary!$J$54</f>
        <v>0.15</v>
      </c>
      <c r="G258" s="164" t="n">
        <f aca="false">VLOOKUP(A258,CURVES!AW259:$BS$283,16)</f>
        <v>4.13476750900721</v>
      </c>
      <c r="H258" s="223" t="n">
        <f aca="false">Summary!$J$60</f>
        <v>0.04</v>
      </c>
      <c r="I258" s="165" t="n">
        <f aca="false">Summary!$J$55</f>
        <v>8.5</v>
      </c>
      <c r="J258" s="164" t="n">
        <f aca="false">I258*SUM(F258:H258)</f>
        <v>36.7605238265613</v>
      </c>
      <c r="K258" s="223" t="n">
        <f aca="false">Summary!$J$56</f>
        <v>3.75</v>
      </c>
      <c r="L258" s="0" t="n">
        <f aca="false">Summary!$O$23</f>
        <v>3.75</v>
      </c>
      <c r="M258" s="223" t="n">
        <f aca="false">Summary!$J$57</f>
        <v>1.75</v>
      </c>
      <c r="N258" s="164" t="n">
        <f aca="false">IF(C258&gt;0,C258-J258,0)</f>
        <v>8.67881987672217</v>
      </c>
      <c r="O258" s="223" t="n">
        <f aca="false">IF(N258&gt;0,IF(N258-SUM(K258:M258)&gt;0,N258-SUM(K258:M258),0),0)</f>
        <v>0</v>
      </c>
      <c r="P258" s="223" t="n">
        <f aca="false">O258*D258</f>
        <v>0</v>
      </c>
      <c r="Q258" s="164" t="n">
        <f aca="false">IF(A258&lt;=Summary!$J$61,0.5*(P258),$Q$2*(P258))</f>
        <v>0</v>
      </c>
      <c r="R258" s="223" t="n">
        <f aca="false">Summary!$J$58</f>
        <v>0.5</v>
      </c>
      <c r="S258" s="223" t="n">
        <f aca="false">J258+(K258+L258+R258)</f>
        <v>44.7605238265613</v>
      </c>
      <c r="T258" s="224" t="n">
        <f aca="false">IF(D258*(C258-S258)-Q258&gt;0,D258*(C258-S258)-Q258,0)</f>
        <v>12845.3436222012</v>
      </c>
      <c r="U258" s="225" t="n">
        <f aca="false">Summary!$J$59</f>
        <v>0.121048781448</v>
      </c>
      <c r="V258" s="224" t="n">
        <f aca="false">IF(A258&lt;=Summary!$J$61,(0.2*T258)+(R258*D258),(U258*T258)+(R258*D258))</f>
        <v>11016.4390427483</v>
      </c>
      <c r="W258" s="226" t="n">
        <f aca="false">C258*D258</f>
        <v>859851.050111302</v>
      </c>
    </row>
    <row r="259" customFormat="false" ht="12.75" hidden="false" customHeight="false" outlineLevel="0" collapsed="false">
      <c r="A259" s="220" t="n">
        <v>44256</v>
      </c>
      <c r="B259" s="221" t="n">
        <f aca="false">YEAR(A259)</f>
        <v>2021</v>
      </c>
      <c r="C259" s="164" t="n">
        <f aca="false">CALC!HH271</f>
        <v>44.0107302263029</v>
      </c>
      <c r="D259" s="222" t="n">
        <f aca="false">IF(Summary!$O$109=0,CALC!HE271,0)</f>
        <v>20950.521525</v>
      </c>
      <c r="E259" s="222" t="n">
        <f aca="false">SUM(CALC!GU271:HB271)*CALC!CY271/1000</f>
        <v>95054.2988308457</v>
      </c>
      <c r="F259" s="223" t="n">
        <f aca="false">Summary!$J$54</f>
        <v>0.15</v>
      </c>
      <c r="G259" s="164" t="n">
        <f aca="false">VLOOKUP(A259,CURVES!AW260:$BS$283,16)</f>
        <v>3.9127989511282</v>
      </c>
      <c r="H259" s="223" t="n">
        <f aca="false">Summary!$J$60</f>
        <v>0.04</v>
      </c>
      <c r="I259" s="165" t="n">
        <f aca="false">Summary!$J$55</f>
        <v>8.5</v>
      </c>
      <c r="J259" s="164" t="n">
        <f aca="false">I259*SUM(F259:H259)</f>
        <v>34.8737910845897</v>
      </c>
      <c r="K259" s="223" t="n">
        <f aca="false">Summary!$J$56</f>
        <v>3.75</v>
      </c>
      <c r="L259" s="0" t="n">
        <f aca="false">Summary!$O$23</f>
        <v>3.75</v>
      </c>
      <c r="M259" s="223" t="n">
        <f aca="false">Summary!$J$57</f>
        <v>1.75</v>
      </c>
      <c r="N259" s="164" t="n">
        <f aca="false">IF(C259&gt;0,C259-J259,0)</f>
        <v>9.13693914171314</v>
      </c>
      <c r="O259" s="223" t="n">
        <f aca="false">IF(N259&gt;0,IF(N259-SUM(K259:M259)&gt;0,N259-SUM(K259:M259),0),0)</f>
        <v>0</v>
      </c>
      <c r="P259" s="223" t="n">
        <f aca="false">O259*D259</f>
        <v>0</v>
      </c>
      <c r="Q259" s="164" t="n">
        <f aca="false">IF(A259&lt;=Summary!$J$61,0.5*(P259),$Q$2*(P259))</f>
        <v>0</v>
      </c>
      <c r="R259" s="223" t="n">
        <f aca="false">Summary!$J$58</f>
        <v>0.5</v>
      </c>
      <c r="S259" s="223" t="n">
        <f aca="false">J259+(K259+L259+R259)</f>
        <v>42.8737910845897</v>
      </c>
      <c r="T259" s="224" t="n">
        <f aca="false">IF(D259*(C259-S259)-Q259&gt;0,D259*(C259-S259)-Q259,0)</f>
        <v>23819.4679610761</v>
      </c>
      <c r="U259" s="225" t="n">
        <f aca="false">Summary!$J$59</f>
        <v>0.121048781448</v>
      </c>
      <c r="V259" s="224" t="n">
        <f aca="false">IF(A259&lt;=Summary!$J$61,(0.2*T259)+(R259*D259),(U259*T259)+(R259*D259))</f>
        <v>13358.5783339279</v>
      </c>
      <c r="W259" s="226" t="n">
        <f aca="false">C259*D259</f>
        <v>922047.750937126</v>
      </c>
    </row>
    <row r="260" customFormat="false" ht="12.75" hidden="false" customHeight="false" outlineLevel="0" collapsed="false">
      <c r="A260" s="220" t="n">
        <v>44287</v>
      </c>
      <c r="B260" s="221" t="n">
        <f aca="false">YEAR(A260)</f>
        <v>2021</v>
      </c>
      <c r="C260" s="164" t="n">
        <f aca="false">CALC!HH272</f>
        <v>43.4258600875486</v>
      </c>
      <c r="D260" s="222" t="n">
        <f aca="false">IF(Summary!$O$109=0,CALC!HE272,0)</f>
        <v>20274.69825</v>
      </c>
      <c r="E260" s="222" t="n">
        <f aca="false">SUM(CALC!GU272:HB272)*CALC!CY272/1000</f>
        <v>92012.0076665395</v>
      </c>
      <c r="F260" s="223" t="n">
        <f aca="false">Summary!$J$54</f>
        <v>0.15</v>
      </c>
      <c r="G260" s="164" t="n">
        <f aca="false">VLOOKUP(A260,CURVES!AW261:$BS$283,16)</f>
        <v>3.79541218935532</v>
      </c>
      <c r="H260" s="223" t="n">
        <f aca="false">Summary!$J$60</f>
        <v>0.04</v>
      </c>
      <c r="I260" s="165" t="n">
        <f aca="false">Summary!$J$55</f>
        <v>8.5</v>
      </c>
      <c r="J260" s="164" t="n">
        <f aca="false">I260*SUM(F260:H260)</f>
        <v>33.8760036095202</v>
      </c>
      <c r="K260" s="223" t="n">
        <f aca="false">Summary!$J$56</f>
        <v>3.75</v>
      </c>
      <c r="L260" s="0" t="n">
        <f aca="false">Summary!$O$23</f>
        <v>3.75</v>
      </c>
      <c r="M260" s="223" t="n">
        <f aca="false">Summary!$J$57</f>
        <v>1.75</v>
      </c>
      <c r="N260" s="164" t="n">
        <f aca="false">IF(C260&gt;0,C260-J260,0)</f>
        <v>9.54985647802839</v>
      </c>
      <c r="O260" s="223" t="n">
        <f aca="false">IF(N260&gt;0,IF(N260-SUM(K260:M260)&gt;0,N260-SUM(K260:M260),0),0)</f>
        <v>0.299856478028389</v>
      </c>
      <c r="P260" s="223" t="n">
        <f aca="false">O260*D260</f>
        <v>6079.49961033333</v>
      </c>
      <c r="Q260" s="164" t="n">
        <f aca="false">IF(A260&lt;=Summary!$J$61,0.5*(P260),$Q$2*(P260))</f>
        <v>0</v>
      </c>
      <c r="R260" s="223" t="n">
        <f aca="false">Summary!$J$58</f>
        <v>0.5</v>
      </c>
      <c r="S260" s="223" t="n">
        <f aca="false">J260+(K260+L260+R260)</f>
        <v>41.8760036095202</v>
      </c>
      <c r="T260" s="224" t="n">
        <f aca="false">IF(D260*(C260-S260)-Q260&gt;0,D260*(C260-S260)-Q260,0)</f>
        <v>31422.8724228333</v>
      </c>
      <c r="U260" s="225" t="n">
        <f aca="false">Summary!$J$59</f>
        <v>0.121048781448</v>
      </c>
      <c r="V260" s="224" t="n">
        <f aca="false">IF(A260&lt;=Summary!$J$61,(0.2*T260)+(R260*D260),(U260*T260)+(R260*D260))</f>
        <v>13941.0495413799</v>
      </c>
      <c r="W260" s="226" t="n">
        <f aca="false">C260*D260</f>
        <v>880446.209521766</v>
      </c>
    </row>
    <row r="261" customFormat="false" ht="12.75" hidden="false" customHeight="false" outlineLevel="0" collapsed="false">
      <c r="A261" s="220" t="n">
        <v>44317</v>
      </c>
      <c r="B261" s="221" t="n">
        <f aca="false">YEAR(A261)</f>
        <v>2021</v>
      </c>
      <c r="C261" s="164" t="n">
        <f aca="false">CALC!HH273</f>
        <v>49.1435643939561</v>
      </c>
      <c r="D261" s="222" t="n">
        <f aca="false">IF(Summary!$O$109=0,CALC!HE273,0)</f>
        <v>22276.5039</v>
      </c>
      <c r="E261" s="222" t="n">
        <f aca="false">SUM(CALC!GU273:HB273)*CALC!CY273/1000</f>
        <v>74429.1002713064</v>
      </c>
      <c r="F261" s="223" t="n">
        <f aca="false">Summary!$J$54</f>
        <v>0.15</v>
      </c>
      <c r="G261" s="164" t="n">
        <f aca="false">VLOOKUP(A261,CURVES!AW262:$BS$283,16)</f>
        <v>3.76678836467416</v>
      </c>
      <c r="H261" s="223" t="n">
        <f aca="false">Summary!$J$60</f>
        <v>0.04</v>
      </c>
      <c r="I261" s="165" t="n">
        <f aca="false">Summary!$J$55</f>
        <v>8.5</v>
      </c>
      <c r="J261" s="164" t="n">
        <f aca="false">I261*SUM(F261:H261)</f>
        <v>33.6327010997304</v>
      </c>
      <c r="K261" s="223" t="n">
        <f aca="false">Summary!$J$56</f>
        <v>3.75</v>
      </c>
      <c r="L261" s="0" t="n">
        <f aca="false">Summary!$O$23</f>
        <v>3.75</v>
      </c>
      <c r="M261" s="223" t="n">
        <f aca="false">Summary!$J$57</f>
        <v>1.75</v>
      </c>
      <c r="N261" s="164" t="n">
        <f aca="false">IF(C261&gt;0,C261-J261,0)</f>
        <v>15.5108632942258</v>
      </c>
      <c r="O261" s="223" t="n">
        <f aca="false">IF(N261&gt;0,IF(N261-SUM(K261:M261)&gt;0,N261-SUM(K261:M261),0),0)</f>
        <v>6.26086329422577</v>
      </c>
      <c r="P261" s="223" t="n">
        <f aca="false">O261*D261</f>
        <v>139470.145591187</v>
      </c>
      <c r="Q261" s="164" t="n">
        <f aca="false">IF(A261&lt;=Summary!$J$61,0.5*(P261),$Q$2*(P261))</f>
        <v>0</v>
      </c>
      <c r="R261" s="223" t="n">
        <f aca="false">Summary!$J$58</f>
        <v>0.5</v>
      </c>
      <c r="S261" s="223" t="n">
        <f aca="false">J261+(K261+L261+R261)</f>
        <v>41.6327010997304</v>
      </c>
      <c r="T261" s="224" t="n">
        <f aca="false">IF(D261*(C261-S261)-Q261&gt;0,D261*(C261-S261)-Q261,0)</f>
        <v>167315.775466187</v>
      </c>
      <c r="U261" s="225" t="n">
        <f aca="false">Summary!$J$59</f>
        <v>0.121048781448</v>
      </c>
      <c r="V261" s="224" t="n">
        <f aca="false">IF(A261&lt;=Summary!$J$61,(0.2*T261)+(R261*D261),(U261*T261)+(R261*D261))</f>
        <v>31391.6226872091</v>
      </c>
      <c r="W261" s="226" t="n">
        <f aca="false">C261*D261</f>
        <v>1094746.80388187</v>
      </c>
    </row>
    <row r="262" customFormat="false" ht="12.75" hidden="false" customHeight="false" outlineLevel="0" collapsed="false">
      <c r="A262" s="220" t="n">
        <v>44348</v>
      </c>
      <c r="B262" s="221" t="n">
        <f aca="false">YEAR(A262)</f>
        <v>2021</v>
      </c>
      <c r="C262" s="164" t="n">
        <f aca="false">CALC!HH274</f>
        <v>50.2531591338145</v>
      </c>
      <c r="D262" s="222" t="n">
        <f aca="false">IF(Summary!$O$109=0,CALC!HE274,0)</f>
        <v>21557.907</v>
      </c>
      <c r="E262" s="222" t="n">
        <f aca="false">SUM(CALC!GU274:HB274)*CALC!CY274/1000</f>
        <v>72046.9258015061</v>
      </c>
      <c r="F262" s="223" t="n">
        <f aca="false">Summary!$J$54</f>
        <v>0.15</v>
      </c>
      <c r="G262" s="164" t="n">
        <f aca="false">VLOOKUP(A262,CURVES!AW263:$BS$283,16)</f>
        <v>3.81228899347828</v>
      </c>
      <c r="H262" s="223" t="n">
        <f aca="false">Summary!$J$60</f>
        <v>0.04</v>
      </c>
      <c r="I262" s="165" t="n">
        <f aca="false">Summary!$J$55</f>
        <v>8.5</v>
      </c>
      <c r="J262" s="164" t="n">
        <f aca="false">I262*SUM(F262:H262)</f>
        <v>34.0194564445654</v>
      </c>
      <c r="K262" s="223" t="n">
        <f aca="false">Summary!$J$56</f>
        <v>3.75</v>
      </c>
      <c r="L262" s="0" t="n">
        <f aca="false">Summary!$O$23</f>
        <v>3.75</v>
      </c>
      <c r="M262" s="223" t="n">
        <f aca="false">Summary!$J$57</f>
        <v>1.75</v>
      </c>
      <c r="N262" s="164" t="n">
        <f aca="false">IF(C262&gt;0,C262-J262,0)</f>
        <v>16.2337026892491</v>
      </c>
      <c r="O262" s="223" t="n">
        <f aca="false">IF(N262&gt;0,IF(N262-SUM(K262:M262)&gt;0,N262-SUM(K262:M262),0),0)</f>
        <v>6.98370268924906</v>
      </c>
      <c r="P262" s="223" t="n">
        <f aca="false">O262*D262</f>
        <v>150554.013090481</v>
      </c>
      <c r="Q262" s="164" t="n">
        <f aca="false">IF(A262&lt;=Summary!$J$61,0.5*(P262),$Q$2*(P262))</f>
        <v>0</v>
      </c>
      <c r="R262" s="223" t="n">
        <f aca="false">Summary!$J$58</f>
        <v>0.5</v>
      </c>
      <c r="S262" s="223" t="n">
        <f aca="false">J262+(K262+L262+R262)</f>
        <v>42.0194564445654</v>
      </c>
      <c r="T262" s="224" t="n">
        <f aca="false">IF(D262*(C262-S262)-Q262&gt;0,D262*(C262-S262)-Q262,0)</f>
        <v>177501.396840481</v>
      </c>
      <c r="U262" s="225" t="n">
        <f aca="false">Summary!$J$59</f>
        <v>0.121048781448</v>
      </c>
      <c r="V262" s="224" t="n">
        <f aca="false">IF(A262&lt;=Summary!$J$61,(0.2*T262)+(R262*D262),(U262*T262)+(R262*D262))</f>
        <v>32265.2812928581</v>
      </c>
      <c r="W262" s="226" t="n">
        <f aca="false">C262*D262</f>
        <v>1083352.93106297</v>
      </c>
    </row>
    <row r="263" customFormat="false" ht="12.75" hidden="false" customHeight="false" outlineLevel="0" collapsed="false">
      <c r="A263" s="220" t="n">
        <v>44378</v>
      </c>
      <c r="B263" s="221" t="n">
        <f aca="false">YEAR(A263)</f>
        <v>2021</v>
      </c>
      <c r="C263" s="164" t="n">
        <f aca="false">CALC!HH275</f>
        <v>64.9743552259213</v>
      </c>
      <c r="D263" s="222" t="n">
        <f aca="false">IF(Summary!$O$109=0,CALC!HE275,0)</f>
        <v>22276.5039</v>
      </c>
      <c r="E263" s="222" t="n">
        <f aca="false">SUM(CALC!GU275:HB275)*CALC!CY275/1000</f>
        <v>74467.8797184728</v>
      </c>
      <c r="F263" s="223" t="n">
        <f aca="false">Summary!$J$54</f>
        <v>0.15</v>
      </c>
      <c r="G263" s="164" t="n">
        <f aca="false">VLOOKUP(A263,CURVES!AW264:$BS$283,16)</f>
        <v>3.91634957839869</v>
      </c>
      <c r="H263" s="223" t="n">
        <f aca="false">Summary!$J$60</f>
        <v>0.04</v>
      </c>
      <c r="I263" s="165" t="n">
        <f aca="false">Summary!$J$55</f>
        <v>8.5</v>
      </c>
      <c r="J263" s="164" t="n">
        <f aca="false">I263*SUM(F263:H263)</f>
        <v>34.9039714163889</v>
      </c>
      <c r="K263" s="223" t="n">
        <f aca="false">Summary!$J$56</f>
        <v>3.75</v>
      </c>
      <c r="L263" s="0" t="n">
        <f aca="false">Summary!$O$23</f>
        <v>3.75</v>
      </c>
      <c r="M263" s="223" t="n">
        <f aca="false">Summary!$J$57</f>
        <v>1.75</v>
      </c>
      <c r="N263" s="164" t="n">
        <f aca="false">IF(C263&gt;0,C263-J263,0)</f>
        <v>30.0703838095325</v>
      </c>
      <c r="O263" s="223" t="n">
        <f aca="false">IF(N263&gt;0,IF(N263-SUM(K263:M263)&gt;0,N263-SUM(K263:M263),0),0)</f>
        <v>20.8203838095325</v>
      </c>
      <c r="P263" s="223" t="n">
        <f aca="false">O263*D263</f>
        <v>463805.361132547</v>
      </c>
      <c r="Q263" s="164" t="n">
        <f aca="false">IF(A263&lt;=Summary!$J$61,0.5*(P263),$Q$2*(P263))</f>
        <v>0</v>
      </c>
      <c r="R263" s="223" t="n">
        <f aca="false">Summary!$J$58</f>
        <v>0.5</v>
      </c>
      <c r="S263" s="223" t="n">
        <f aca="false">J263+(K263+L263+R263)</f>
        <v>42.9039714163889</v>
      </c>
      <c r="T263" s="224" t="n">
        <f aca="false">IF(D263*(C263-S263)-Q263&gt;0,D263*(C263-S263)-Q263,0)</f>
        <v>491650.991007547</v>
      </c>
      <c r="U263" s="225" t="n">
        <f aca="false">Summary!$J$59</f>
        <v>0.121048781448</v>
      </c>
      <c r="V263" s="224" t="n">
        <f aca="false">IF(A263&lt;=Summary!$J$61,(0.2*T263)+(R263*D263),(U263*T263)+(R263*D263))</f>
        <v>70652.0053091652</v>
      </c>
      <c r="W263" s="226" t="n">
        <f aca="false">C263*D263</f>
        <v>1447401.47759022</v>
      </c>
    </row>
    <row r="264" customFormat="false" ht="12.75" hidden="false" customHeight="false" outlineLevel="0" collapsed="false">
      <c r="A264" s="220" t="n">
        <v>44409</v>
      </c>
      <c r="B264" s="221" t="n">
        <f aca="false">YEAR(A264)</f>
        <v>2021</v>
      </c>
      <c r="C264" s="164" t="n">
        <f aca="false">CALC!HH276</f>
        <v>78.5621723575218</v>
      </c>
      <c r="D264" s="222" t="n">
        <f aca="false">IF(Summary!$O$109=0,CALC!HE276,0)</f>
        <v>22276.5039</v>
      </c>
      <c r="E264" s="222" t="n">
        <f aca="false">SUM(CALC!GU276:HB276)*CALC!CY276/1000</f>
        <v>74487.269442056</v>
      </c>
      <c r="F264" s="223" t="n">
        <f aca="false">Summary!$J$54</f>
        <v>0.15</v>
      </c>
      <c r="G264" s="164" t="n">
        <f aca="false">VLOOKUP(A264,CURVES!AW265:$BS$283,16)</f>
        <v>4.06413722116104</v>
      </c>
      <c r="H264" s="223" t="n">
        <f aca="false">Summary!$J$60</f>
        <v>0.04</v>
      </c>
      <c r="I264" s="165" t="n">
        <f aca="false">Summary!$J$55</f>
        <v>8.5</v>
      </c>
      <c r="J264" s="164" t="n">
        <f aca="false">I264*SUM(F264:H264)</f>
        <v>36.1601663798688</v>
      </c>
      <c r="K264" s="223" t="n">
        <f aca="false">Summary!$J$56</f>
        <v>3.75</v>
      </c>
      <c r="L264" s="0" t="n">
        <f aca="false">Summary!$O$23</f>
        <v>3.75</v>
      </c>
      <c r="M264" s="223" t="n">
        <f aca="false">Summary!$J$57</f>
        <v>1.75</v>
      </c>
      <c r="N264" s="164" t="n">
        <f aca="false">IF(C264&gt;0,C264-J264,0)</f>
        <v>42.402005977653</v>
      </c>
      <c r="O264" s="223" t="n">
        <f aca="false">IF(N264&gt;0,IF(N264-SUM(K264:M264)&gt;0,N264-SUM(K264:M264),0),0)</f>
        <v>33.152005977653</v>
      </c>
      <c r="P264" s="223" t="n">
        <f aca="false">O264*D264</f>
        <v>738510.79045401</v>
      </c>
      <c r="Q264" s="164" t="n">
        <f aca="false">IF(A264&lt;=Summary!$J$61,0.5*(P264),$Q$2*(P264))</f>
        <v>0</v>
      </c>
      <c r="R264" s="223" t="n">
        <f aca="false">Summary!$J$58</f>
        <v>0.5</v>
      </c>
      <c r="S264" s="223" t="n">
        <f aca="false">J264+(K264+L264+R264)</f>
        <v>44.1601663798688</v>
      </c>
      <c r="T264" s="224" t="n">
        <f aca="false">IF(D264*(C264-S264)-Q264&gt;0,D264*(C264-S264)-Q264,0)</f>
        <v>766356.42032901</v>
      </c>
      <c r="U264" s="225" t="n">
        <f aca="false">Summary!$J$59</f>
        <v>0.121048781448</v>
      </c>
      <c r="V264" s="224" t="n">
        <f aca="false">IF(A264&lt;=Summary!$J$61,(0.2*T264)+(R264*D264),(U264*T264)+(R264*D264))</f>
        <v>103904.762785678</v>
      </c>
      <c r="W264" s="226" t="n">
        <f aca="false">C264*D264</f>
        <v>1750090.53891481</v>
      </c>
    </row>
    <row r="265" customFormat="false" ht="12.75" hidden="false" customHeight="false" outlineLevel="0" collapsed="false">
      <c r="A265" s="220" t="n">
        <v>44440</v>
      </c>
      <c r="B265" s="221" t="n">
        <f aca="false">YEAR(A265)</f>
        <v>2021</v>
      </c>
      <c r="C265" s="164" t="n">
        <f aca="false">CALC!HH277</f>
        <v>69.851253201145</v>
      </c>
      <c r="D265" s="222" t="n">
        <f aca="false">IF(Summary!$O$109=0,CALC!HE277,0)</f>
        <v>21557.907</v>
      </c>
      <c r="E265" s="222" t="n">
        <f aca="false">SUM(CALC!GU277:HB277)*CALC!CY277/1000</f>
        <v>72103.2185473927</v>
      </c>
      <c r="F265" s="223" t="n">
        <f aca="false">Summary!$J$54</f>
        <v>0.15</v>
      </c>
      <c r="G265" s="164" t="n">
        <f aca="false">VLOOKUP(A265,CURVES!AW266:$BS$283,16)</f>
        <v>4.24009290673977</v>
      </c>
      <c r="H265" s="223" t="n">
        <f aca="false">Summary!$J$60</f>
        <v>0.04</v>
      </c>
      <c r="I265" s="165" t="n">
        <f aca="false">Summary!$J$55</f>
        <v>8.5</v>
      </c>
      <c r="J265" s="164" t="n">
        <f aca="false">I265*SUM(F265:H265)</f>
        <v>37.6557897072881</v>
      </c>
      <c r="K265" s="223" t="n">
        <f aca="false">Summary!$J$56</f>
        <v>3.75</v>
      </c>
      <c r="L265" s="0" t="n">
        <f aca="false">Summary!$O$23</f>
        <v>3.75</v>
      </c>
      <c r="M265" s="223" t="n">
        <f aca="false">Summary!$J$57</f>
        <v>1.75</v>
      </c>
      <c r="N265" s="164" t="n">
        <f aca="false">IF(C265&gt;0,C265-J265,0)</f>
        <v>32.195463493857</v>
      </c>
      <c r="O265" s="223" t="n">
        <f aca="false">IF(N265&gt;0,IF(N265-SUM(K265:M265)&gt;0,N265-SUM(K265:M265),0),0)</f>
        <v>22.945463493857</v>
      </c>
      <c r="P265" s="223" t="n">
        <f aca="false">O265*D265</f>
        <v>494656.168072463</v>
      </c>
      <c r="Q265" s="164" t="n">
        <f aca="false">IF(A265&lt;=Summary!$J$61,0.5*(P265),$Q$2*(P265))</f>
        <v>0</v>
      </c>
      <c r="R265" s="223" t="n">
        <f aca="false">Summary!$J$58</f>
        <v>0.5</v>
      </c>
      <c r="S265" s="223" t="n">
        <f aca="false">J265+(K265+L265+R265)</f>
        <v>45.6557897072881</v>
      </c>
      <c r="T265" s="224" t="n">
        <f aca="false">IF(D265*(C265-S265)-Q265&gt;0,D265*(C265-S265)-Q265,0)</f>
        <v>521603.551822463</v>
      </c>
      <c r="U265" s="225" t="n">
        <f aca="false">Summary!$J$59</f>
        <v>0.121048781448</v>
      </c>
      <c r="V265" s="224" t="n">
        <f aca="false">IF(A265&lt;=Summary!$J$61,(0.2*T265)+(R265*D265),(U265*T265)+(R265*D265))</f>
        <v>73918.4278470579</v>
      </c>
      <c r="W265" s="226" t="n">
        <f aca="false">C265*D265</f>
        <v>1505846.82034374</v>
      </c>
    </row>
    <row r="266" customFormat="false" ht="12.75" hidden="false" customHeight="false" outlineLevel="0" collapsed="false">
      <c r="A266" s="220" t="n">
        <v>44470</v>
      </c>
      <c r="B266" s="221" t="n">
        <f aca="false">YEAR(A266)</f>
        <v>2021</v>
      </c>
      <c r="C266" s="164" t="n">
        <f aca="false">CALC!HH278</f>
        <v>59.4903376994383</v>
      </c>
      <c r="D266" s="222" t="n">
        <f aca="false">IF(Summary!$O$109=0,CALC!HE278,0)</f>
        <v>20950.521525</v>
      </c>
      <c r="E266" s="222" t="n">
        <f aca="false">SUM(CALC!GU278:HB278)*CALC!CY278/1000</f>
        <v>95227.7291362285</v>
      </c>
      <c r="F266" s="223" t="n">
        <f aca="false">Summary!$J$54</f>
        <v>0.15</v>
      </c>
      <c r="G266" s="164" t="n">
        <f aca="false">VLOOKUP(A266,CURVES!AW267:$BS$283,16)</f>
        <v>4.42852016270363</v>
      </c>
      <c r="H266" s="223" t="n">
        <f aca="false">Summary!$J$60</f>
        <v>0.04</v>
      </c>
      <c r="I266" s="165" t="n">
        <f aca="false">Summary!$J$55</f>
        <v>8.5</v>
      </c>
      <c r="J266" s="164" t="n">
        <f aca="false">I266*SUM(F266:H266)</f>
        <v>39.2574213829809</v>
      </c>
      <c r="K266" s="223" t="n">
        <f aca="false">Summary!$J$56</f>
        <v>3.75</v>
      </c>
      <c r="L266" s="0" t="n">
        <f aca="false">Summary!$O$23</f>
        <v>3.75</v>
      </c>
      <c r="M266" s="223" t="n">
        <f aca="false">Summary!$J$57</f>
        <v>1.75</v>
      </c>
      <c r="N266" s="164" t="n">
        <f aca="false">IF(C266&gt;0,C266-J266,0)</f>
        <v>20.2329163164574</v>
      </c>
      <c r="O266" s="223" t="n">
        <f aca="false">IF(N266&gt;0,IF(N266-SUM(K266:M266)&gt;0,N266-SUM(K266:M266),0),0)</f>
        <v>10.9829163164574</v>
      </c>
      <c r="P266" s="223" t="n">
        <f aca="false">O266*D266</f>
        <v>230097.824695215</v>
      </c>
      <c r="Q266" s="164" t="n">
        <f aca="false">IF(A266&lt;=Summary!$J$61,0.5*(P266),$Q$2*(P266))</f>
        <v>0</v>
      </c>
      <c r="R266" s="223" t="n">
        <f aca="false">Summary!$J$58</f>
        <v>0.5</v>
      </c>
      <c r="S266" s="223" t="n">
        <f aca="false">J266+(K266+L266+R266)</f>
        <v>47.2574213829809</v>
      </c>
      <c r="T266" s="224" t="n">
        <f aca="false">IF(D266*(C266-S266)-Q266&gt;0,D266*(C266-S266)-Q266,0)</f>
        <v>256285.976601465</v>
      </c>
      <c r="U266" s="225" t="n">
        <f aca="false">Summary!$J$59</f>
        <v>0.121048781448</v>
      </c>
      <c r="V266" s="224" t="n">
        <f aca="false">IF(A266&lt;=Summary!$J$61,(0.2*T266)+(R266*D266),(U266*T266)+(R266*D266))</f>
        <v>41498.365932318</v>
      </c>
      <c r="W266" s="226" t="n">
        <f aca="false">C266*D266</f>
        <v>1246353.6005016</v>
      </c>
    </row>
    <row r="267" customFormat="false" ht="12.75" hidden="false" customHeight="false" outlineLevel="0" collapsed="false">
      <c r="A267" s="220" t="n">
        <v>44501</v>
      </c>
      <c r="B267" s="221" t="n">
        <f aca="false">YEAR(A267)</f>
        <v>2021</v>
      </c>
      <c r="C267" s="164" t="n">
        <f aca="false">CALC!HH279</f>
        <v>61.1528820732165</v>
      </c>
      <c r="D267" s="222" t="n">
        <f aca="false">IF(Summary!$O$109=0,CALC!HE279,0)</f>
        <v>20274.69825</v>
      </c>
      <c r="E267" s="222" t="n">
        <f aca="false">SUM(CALC!GU279:HB279)*CALC!CY279/1000</f>
        <v>92179.8434459423</v>
      </c>
      <c r="F267" s="223" t="n">
        <f aca="false">Summary!$J$54</f>
        <v>0.15</v>
      </c>
      <c r="G267" s="164" t="n">
        <f aca="false">VLOOKUP(A267,CURVES!AW268:$BS$283,16)</f>
        <v>4.61432828657116</v>
      </c>
      <c r="H267" s="223" t="n">
        <f aca="false">Summary!$J$60</f>
        <v>0.04</v>
      </c>
      <c r="I267" s="165" t="n">
        <f aca="false">Summary!$J$55</f>
        <v>8.5</v>
      </c>
      <c r="J267" s="164" t="n">
        <f aca="false">I267*SUM(F267:H267)</f>
        <v>40.8367904358548</v>
      </c>
      <c r="K267" s="223" t="n">
        <f aca="false">Summary!$J$56</f>
        <v>3.75</v>
      </c>
      <c r="L267" s="0" t="n">
        <f aca="false">Summary!$O$23</f>
        <v>3.75</v>
      </c>
      <c r="M267" s="223" t="n">
        <f aca="false">Summary!$J$57</f>
        <v>1.75</v>
      </c>
      <c r="N267" s="164" t="n">
        <f aca="false">IF(C267&gt;0,C267-J267,0)</f>
        <v>20.3160916373617</v>
      </c>
      <c r="O267" s="223" t="n">
        <f aca="false">IF(N267&gt;0,IF(N267-SUM(K267:M267)&gt;0,N267-SUM(K267:M267),0),0)</f>
        <v>11.0660916373617</v>
      </c>
      <c r="P267" s="223" t="n">
        <f aca="false">O267*D267</f>
        <v>224361.668754356</v>
      </c>
      <c r="Q267" s="164" t="n">
        <f aca="false">IF(A267&lt;=Summary!$J$61,0.5*(P267),$Q$2*(P267))</f>
        <v>0</v>
      </c>
      <c r="R267" s="223" t="n">
        <f aca="false">Summary!$J$58</f>
        <v>0.5</v>
      </c>
      <c r="S267" s="223" t="n">
        <f aca="false">J267+(K267+L267+R267)</f>
        <v>48.8367904358548</v>
      </c>
      <c r="T267" s="224" t="n">
        <f aca="false">IF(D267*(C267-S267)-Q267&gt;0,D267*(C267-S267)-Q267,0)</f>
        <v>249705.041566856</v>
      </c>
      <c r="U267" s="225" t="n">
        <f aca="false">Summary!$J$59</f>
        <v>0.121048781448</v>
      </c>
      <c r="V267" s="224" t="n">
        <f aca="false">IF(A267&lt;=Summary!$J$61,(0.2*T267)+(R267*D267),(U267*T267)+(R267*D267))</f>
        <v>40363.8401280902</v>
      </c>
      <c r="W267" s="226" t="n">
        <f aca="false">C267*D267</f>
        <v>1239856.2311523</v>
      </c>
    </row>
    <row r="268" customFormat="false" ht="12.75" hidden="false" customHeight="false" outlineLevel="0" collapsed="false">
      <c r="A268" s="220" t="n">
        <v>44531</v>
      </c>
      <c r="B268" s="221" t="n">
        <f aca="false">YEAR(A268)</f>
        <v>2021</v>
      </c>
      <c r="C268" s="164" t="n">
        <f aca="false">CALC!HH280</f>
        <v>63.1763895445183</v>
      </c>
      <c r="D268" s="222" t="n">
        <f aca="false">IF(Summary!$O$109=0,CALC!HE280,0)</f>
        <v>20950.521525</v>
      </c>
      <c r="E268" s="222" t="n">
        <f aca="false">SUM(CALC!GU280:HB280)*CALC!CY280/1000</f>
        <v>95277.2806520522</v>
      </c>
      <c r="F268" s="223" t="n">
        <f aca="false">Summary!$J$54</f>
        <v>0.15</v>
      </c>
      <c r="G268" s="164" t="n">
        <f aca="false">VLOOKUP(A268,CURVES!AW269:$BS$283,16)</f>
        <v>4.81059920760735</v>
      </c>
      <c r="H268" s="223" t="n">
        <f aca="false">Summary!$J$60</f>
        <v>0.04</v>
      </c>
      <c r="I268" s="165" t="n">
        <f aca="false">Summary!$J$55</f>
        <v>8.5</v>
      </c>
      <c r="J268" s="164" t="n">
        <f aca="false">I268*SUM(F268:H268)</f>
        <v>42.5050932646625</v>
      </c>
      <c r="K268" s="223" t="n">
        <f aca="false">Summary!$J$56</f>
        <v>3.75</v>
      </c>
      <c r="L268" s="0" t="n">
        <f aca="false">Summary!$O$23</f>
        <v>3.75</v>
      </c>
      <c r="M268" s="223" t="n">
        <f aca="false">Summary!$J$57</f>
        <v>1.75</v>
      </c>
      <c r="N268" s="164" t="n">
        <f aca="false">IF(C268&gt;0,C268-J268,0)</f>
        <v>20.6712962798558</v>
      </c>
      <c r="O268" s="223" t="n">
        <f aca="false">IF(N268&gt;0,IF(N268-SUM(K268:M268)&gt;0,N268-SUM(K268:M268),0),0)</f>
        <v>11.4212962798558</v>
      </c>
      <c r="P268" s="223" t="n">
        <f aca="false">O268*D268</f>
        <v>239282.113554522</v>
      </c>
      <c r="Q268" s="164" t="n">
        <f aca="false">IF(A268&lt;=Summary!$J$61,0.5*(P268),$Q$2*(P268))</f>
        <v>0</v>
      </c>
      <c r="R268" s="223" t="n">
        <f aca="false">Summary!$J$58</f>
        <v>0.5</v>
      </c>
      <c r="S268" s="223" t="n">
        <f aca="false">J268+(K268+L268+R268)</f>
        <v>50.5050932646625</v>
      </c>
      <c r="T268" s="224" t="n">
        <f aca="false">IF(D268*(C268-S268)-Q268&gt;0,D268*(C268-S268)-Q268,0)</f>
        <v>265470.265460772</v>
      </c>
      <c r="U268" s="225" t="n">
        <f aca="false">Summary!$J$59</f>
        <v>0.121048781448</v>
      </c>
      <c r="V268" s="224" t="n">
        <f aca="false">IF(A268&lt;=Summary!$J$61,(0.2*T268)+(R268*D268),(U268*T268)+(R268*D268))</f>
        <v>42610.1129072036</v>
      </c>
      <c r="W268" s="226" t="n">
        <f aca="false">C268*D268</f>
        <v>1323578.30902422</v>
      </c>
    </row>
    <row r="269" customFormat="false" ht="12.75" hidden="false" customHeight="false" outlineLevel="0" collapsed="false">
      <c r="A269" s="220" t="n">
        <v>44562</v>
      </c>
      <c r="B269" s="221" t="n">
        <f aca="false">YEAR(A269)</f>
        <v>2022</v>
      </c>
      <c r="C269" s="164" t="n">
        <f aca="false">CALC!HH281</f>
        <v>0</v>
      </c>
      <c r="D269" s="222" t="n">
        <f aca="false">IF(Summary!$O$109=0,CALC!HE281,0)</f>
        <v>0</v>
      </c>
      <c r="E269" s="222" t="n">
        <f aca="false">SUM(CALC!GU281:HB281)*CALC!CY281/1000</f>
        <v>0</v>
      </c>
      <c r="F269" s="223" t="n">
        <f aca="false">Summary!$J$54</f>
        <v>0.15</v>
      </c>
      <c r="G269" s="164" t="n">
        <f aca="false">VLOOKUP(A269,CURVES!AW270:$BS$283,16)</f>
        <v>4.851</v>
      </c>
      <c r="H269" s="223" t="n">
        <f aca="false">Summary!$J$60</f>
        <v>0.04</v>
      </c>
      <c r="I269" s="165" t="n">
        <f aca="false">Summary!$J$55</f>
        <v>8.5</v>
      </c>
      <c r="J269" s="164" t="n">
        <f aca="false">I269*SUM(F269:H269)</f>
        <v>42.8485</v>
      </c>
      <c r="K269" s="223" t="n">
        <f aca="false">Summary!$J$56</f>
        <v>3.75</v>
      </c>
      <c r="L269" s="0" t="n">
        <f aca="false">Summary!$O$23</f>
        <v>3.75</v>
      </c>
      <c r="M269" s="223" t="n">
        <f aca="false">Summary!$J$57</f>
        <v>1.75</v>
      </c>
      <c r="N269" s="164" t="n">
        <f aca="false">IF(C269&gt;0,C269-J269,0)</f>
        <v>0</v>
      </c>
      <c r="O269" s="223" t="n">
        <f aca="false">IF(N269&gt;0,IF(N269-SUM(K269:M269)&gt;0,N269-SUM(K269:M269),0),0)</f>
        <v>0</v>
      </c>
      <c r="P269" s="223" t="n">
        <f aca="false">O269*D269</f>
        <v>0</v>
      </c>
      <c r="Q269" s="164" t="n">
        <f aca="false">IF(A269&lt;=Summary!$J$61,0.5*(P269),$Q$2*(P269))</f>
        <v>0</v>
      </c>
      <c r="R269" s="223" t="n">
        <f aca="false">Summary!$J$58</f>
        <v>0.5</v>
      </c>
      <c r="S269" s="223" t="n">
        <f aca="false">J269+(K269+L269+R269)</f>
        <v>50.8485</v>
      </c>
      <c r="T269" s="224" t="n">
        <f aca="false">IF(D269*(C269-S269)-Q269&gt;0,D269*(C269-S269)-Q269,0)</f>
        <v>0</v>
      </c>
      <c r="U269" s="225" t="n">
        <f aca="false">Summary!$J$59</f>
        <v>0.121048781448</v>
      </c>
      <c r="V269" s="224" t="n">
        <f aca="false">IF(A269&lt;=Summary!$J$61,(0.2*T269)+(R269*D269),(U269*T269)+(R269*D269))</f>
        <v>0</v>
      </c>
      <c r="W269" s="226" t="n">
        <f aca="false">C269*D269</f>
        <v>0</v>
      </c>
    </row>
    <row r="270" customFormat="false" ht="12.75" hidden="false" customHeight="false" outlineLevel="0" collapsed="false">
      <c r="A270" s="220" t="n">
        <v>44593</v>
      </c>
      <c r="B270" s="221" t="n">
        <f aca="false">YEAR(A270)</f>
        <v>2022</v>
      </c>
      <c r="C270" s="164" t="n">
        <f aca="false">CALC!HH282</f>
        <v>0</v>
      </c>
      <c r="D270" s="222" t="n">
        <f aca="false">IF(Summary!$O$109=0,CALC!HE282,0)</f>
        <v>0</v>
      </c>
      <c r="E270" s="222" t="n">
        <f aca="false">SUM(CALC!GU282:HB282)*CALC!CY282/1000</f>
        <v>0</v>
      </c>
      <c r="F270" s="223" t="n">
        <f aca="false">Summary!$J$54</f>
        <v>0.15</v>
      </c>
      <c r="G270" s="164" t="n">
        <f aca="false">VLOOKUP(A270,CURVES!AW271:$BS$283,16)</f>
        <v>4.8</v>
      </c>
      <c r="H270" s="223" t="n">
        <f aca="false">Summary!$J$60</f>
        <v>0.04</v>
      </c>
      <c r="I270" s="165" t="n">
        <f aca="false">Summary!$J$55</f>
        <v>8.5</v>
      </c>
      <c r="J270" s="164" t="n">
        <f aca="false">I270*SUM(F270:H270)</f>
        <v>42.415</v>
      </c>
      <c r="K270" s="223" t="n">
        <f aca="false">Summary!$J$56</f>
        <v>3.75</v>
      </c>
      <c r="L270" s="0" t="n">
        <f aca="false">Summary!$O$23</f>
        <v>3.75</v>
      </c>
      <c r="M270" s="223" t="n">
        <f aca="false">Summary!$J$57</f>
        <v>1.75</v>
      </c>
      <c r="N270" s="164" t="n">
        <f aca="false">IF(C270&gt;0,C270-J270,0)</f>
        <v>0</v>
      </c>
      <c r="O270" s="223" t="n">
        <f aca="false">IF(N270&gt;0,IF(N270-SUM(K270:M270)&gt;0,N270-SUM(K270:M270),0),0)</f>
        <v>0</v>
      </c>
      <c r="P270" s="223" t="n">
        <f aca="false">O270*D270</f>
        <v>0</v>
      </c>
      <c r="Q270" s="164" t="n">
        <f aca="false">IF(A270&lt;=Summary!$J$61,0.5*(P270),$Q$2*(P270))</f>
        <v>0</v>
      </c>
      <c r="R270" s="223" t="n">
        <f aca="false">Summary!$J$58</f>
        <v>0.5</v>
      </c>
      <c r="S270" s="223" t="n">
        <f aca="false">J270+(K270+L270+R270)</f>
        <v>50.415</v>
      </c>
      <c r="T270" s="224" t="n">
        <f aca="false">IF(D270*(C270-S270)-Q270&gt;0,D270*(C270-S270)-Q270,0)</f>
        <v>0</v>
      </c>
      <c r="U270" s="225" t="n">
        <f aca="false">Summary!$J$59</f>
        <v>0.121048781448</v>
      </c>
      <c r="V270" s="224" t="n">
        <f aca="false">IF(A270&lt;=Summary!$J$61,(0.2*T270)+(R270*D270),(U270*T270)+(R270*D270))</f>
        <v>0</v>
      </c>
      <c r="W270" s="226" t="n">
        <f aca="false">C270*D270</f>
        <v>0</v>
      </c>
    </row>
    <row r="271" customFormat="false" ht="12.75" hidden="false" customHeight="false" outlineLevel="0" collapsed="false">
      <c r="A271" s="220" t="n">
        <v>44621</v>
      </c>
      <c r="B271" s="221" t="n">
        <f aca="false">YEAR(A271)</f>
        <v>2022</v>
      </c>
      <c r="C271" s="164" t="n">
        <f aca="false">CALC!HH283</f>
        <v>0</v>
      </c>
      <c r="D271" s="222" t="n">
        <f aca="false">IF(Summary!$O$109=0,CALC!HE283,0)</f>
        <v>0</v>
      </c>
      <c r="E271" s="222" t="n">
        <f aca="false">SUM(CALC!GU283:HB283)*CALC!CY283/1000</f>
        <v>0</v>
      </c>
      <c r="F271" s="223" t="n">
        <f aca="false">Summary!$J$54</f>
        <v>0.15</v>
      </c>
      <c r="G271" s="164" t="n">
        <f aca="false">VLOOKUP(A271,CURVES!AW272:$BS$283,16)</f>
        <v>4.699</v>
      </c>
      <c r="H271" s="223" t="n">
        <f aca="false">Summary!$J$60</f>
        <v>0.04</v>
      </c>
      <c r="I271" s="165" t="n">
        <f aca="false">Summary!$J$55</f>
        <v>8.5</v>
      </c>
      <c r="J271" s="164" t="n">
        <f aca="false">I271*SUM(F271:H271)</f>
        <v>41.5565</v>
      </c>
      <c r="K271" s="223" t="n">
        <f aca="false">Summary!$J$56</f>
        <v>3.75</v>
      </c>
      <c r="L271" s="0" t="n">
        <f aca="false">Summary!$O$23</f>
        <v>3.75</v>
      </c>
      <c r="M271" s="223" t="n">
        <f aca="false">Summary!$J$57</f>
        <v>1.75</v>
      </c>
      <c r="N271" s="164" t="n">
        <f aca="false">IF(C271&gt;0,C271-J271,0)</f>
        <v>0</v>
      </c>
      <c r="O271" s="223" t="n">
        <f aca="false">IF(N271&gt;0,IF(N271-SUM(K271:M271)&gt;0,N271-SUM(K271:M271),0),0)</f>
        <v>0</v>
      </c>
      <c r="P271" s="223" t="n">
        <f aca="false">O271*D271</f>
        <v>0</v>
      </c>
      <c r="Q271" s="164" t="n">
        <f aca="false">IF(A271&lt;=Summary!$J$61,0.5*(P271),$Q$2*(P271))</f>
        <v>0</v>
      </c>
      <c r="R271" s="223" t="n">
        <f aca="false">Summary!$J$58</f>
        <v>0.5</v>
      </c>
      <c r="S271" s="223" t="n">
        <f aca="false">J271+(K271+L271+R271)</f>
        <v>49.5565</v>
      </c>
      <c r="T271" s="224" t="n">
        <f aca="false">IF(D271*(C271-S271)-Q271&gt;0,D271*(C271-S271)-Q271,0)</f>
        <v>0</v>
      </c>
      <c r="U271" s="225" t="n">
        <f aca="false">Summary!$J$59</f>
        <v>0.121048781448</v>
      </c>
      <c r="V271" s="224" t="n">
        <f aca="false">IF(A271&lt;=Summary!$J$61,(0.2*T271)+(R271*D271),(U271*T271)+(R271*D271))</f>
        <v>0</v>
      </c>
      <c r="W271" s="226" t="n">
        <f aca="false">C271*D271</f>
        <v>0</v>
      </c>
    </row>
    <row r="272" customFormat="false" ht="12.75" hidden="false" customHeight="false" outlineLevel="0" collapsed="false">
      <c r="A272" s="220" t="n">
        <v>44652</v>
      </c>
      <c r="B272" s="221" t="n">
        <f aca="false">YEAR(A272)</f>
        <v>2022</v>
      </c>
      <c r="C272" s="164" t="n">
        <f aca="false">CALC!HH284</f>
        <v>0</v>
      </c>
      <c r="D272" s="222" t="n">
        <f aca="false">IF(Summary!$O$109=0,CALC!HE284,0)</f>
        <v>0</v>
      </c>
      <c r="E272" s="222" t="n">
        <f aca="false">SUM(CALC!GU284:HB284)*CALC!CY284/1000</f>
        <v>0</v>
      </c>
      <c r="F272" s="223" t="n">
        <f aca="false">Summary!$J$54</f>
        <v>0.15</v>
      </c>
      <c r="G272" s="164" t="n">
        <f aca="false">VLOOKUP(A272,CURVES!AW273:$BS$283,16)</f>
        <v>4.601</v>
      </c>
      <c r="H272" s="223" t="n">
        <f aca="false">Summary!$J$60</f>
        <v>0.04</v>
      </c>
      <c r="I272" s="165" t="n">
        <f aca="false">Summary!$J$55</f>
        <v>8.5</v>
      </c>
      <c r="J272" s="164" t="n">
        <f aca="false">I272*SUM(F272:H272)</f>
        <v>40.7235</v>
      </c>
      <c r="K272" s="223" t="n">
        <f aca="false">Summary!$J$56</f>
        <v>3.75</v>
      </c>
      <c r="L272" s="0" t="n">
        <f aca="false">Summary!$O$23</f>
        <v>3.75</v>
      </c>
      <c r="M272" s="223" t="n">
        <f aca="false">Summary!$J$57</f>
        <v>1.75</v>
      </c>
      <c r="N272" s="164" t="n">
        <f aca="false">IF(C272&gt;0,C272-J272,0)</f>
        <v>0</v>
      </c>
      <c r="O272" s="223" t="n">
        <f aca="false">IF(N272&gt;0,IF(N272-SUM(K272:M272)&gt;0,N272-SUM(K272:M272),0),0)</f>
        <v>0</v>
      </c>
      <c r="P272" s="223" t="n">
        <f aca="false">O272*D272</f>
        <v>0</v>
      </c>
      <c r="Q272" s="164" t="n">
        <f aca="false">IF(A272&lt;=Summary!$J$61,0.5*(P272),$Q$2*(P272))</f>
        <v>0</v>
      </c>
      <c r="R272" s="223" t="n">
        <f aca="false">Summary!$J$58</f>
        <v>0.5</v>
      </c>
      <c r="S272" s="223" t="n">
        <f aca="false">J272+(K272+L272+R272)</f>
        <v>48.7235</v>
      </c>
      <c r="T272" s="224" t="n">
        <f aca="false">IF(D272*(C272-S272)-Q272&gt;0,D272*(C272-S272)-Q272,0)</f>
        <v>0</v>
      </c>
      <c r="U272" s="225" t="n">
        <f aca="false">Summary!$J$59</f>
        <v>0.121048781448</v>
      </c>
      <c r="V272" s="224" t="n">
        <f aca="false">IF(A272&lt;=Summary!$J$61,(0.2*T272)+(R272*D272),(U272*T272)+(R272*D272))</f>
        <v>0</v>
      </c>
      <c r="W272" s="226" t="n">
        <f aca="false">C272*D272</f>
        <v>0</v>
      </c>
    </row>
    <row r="273" customFormat="false" ht="12.75" hidden="false" customHeight="false" outlineLevel="0" collapsed="false">
      <c r="A273" s="220" t="n">
        <v>44682</v>
      </c>
      <c r="B273" s="221" t="n">
        <f aca="false">YEAR(A273)</f>
        <v>2022</v>
      </c>
      <c r="C273" s="164" t="n">
        <f aca="false">CALC!HH285</f>
        <v>0</v>
      </c>
      <c r="D273" s="222" t="n">
        <f aca="false">IF(Summary!$O$109=0,CALC!HE285,0)</f>
        <v>0</v>
      </c>
      <c r="E273" s="222" t="n">
        <f aca="false">SUM(CALC!GU285:HB285)*CALC!CY285/1000</f>
        <v>0</v>
      </c>
      <c r="F273" s="223" t="n">
        <f aca="false">Summary!$J$54</f>
        <v>0.15</v>
      </c>
      <c r="G273" s="164" t="n">
        <f aca="false">VLOOKUP(A273,CURVES!AW274:$BS$283,16)</f>
        <v>4.592</v>
      </c>
      <c r="H273" s="223" t="n">
        <f aca="false">Summary!$J$60</f>
        <v>0.04</v>
      </c>
      <c r="I273" s="165" t="n">
        <f aca="false">Summary!$J$55</f>
        <v>8.5</v>
      </c>
      <c r="J273" s="164" t="n">
        <f aca="false">I273*SUM(F273:H273)</f>
        <v>40.647</v>
      </c>
      <c r="K273" s="223" t="n">
        <f aca="false">Summary!$J$56</f>
        <v>3.75</v>
      </c>
      <c r="L273" s="0" t="n">
        <f aca="false">Summary!$O$23</f>
        <v>3.75</v>
      </c>
      <c r="M273" s="223" t="n">
        <f aca="false">Summary!$J$57</f>
        <v>1.75</v>
      </c>
      <c r="N273" s="164" t="n">
        <f aca="false">IF(C273&gt;0,C273-J273,0)</f>
        <v>0</v>
      </c>
      <c r="O273" s="223" t="n">
        <f aca="false">IF(N273&gt;0,IF(N273-SUM(K273:M273)&gt;0,N273-SUM(K273:M273),0),0)</f>
        <v>0</v>
      </c>
      <c r="P273" s="223" t="n">
        <f aca="false">O273*D273</f>
        <v>0</v>
      </c>
      <c r="Q273" s="164" t="n">
        <f aca="false">IF(A273&lt;=Summary!$J$61,0.5*(P273),$Q$2*(P273))</f>
        <v>0</v>
      </c>
      <c r="R273" s="223" t="n">
        <f aca="false">Summary!$J$58</f>
        <v>0.5</v>
      </c>
      <c r="S273" s="223" t="n">
        <f aca="false">J273+(K273+L273+R273)</f>
        <v>48.647</v>
      </c>
      <c r="T273" s="224" t="n">
        <f aca="false">IF(D273*(C273-S273)-Q273&gt;0,D273*(C273-S273)-Q273,0)</f>
        <v>0</v>
      </c>
      <c r="U273" s="225" t="n">
        <f aca="false">Summary!$J$59</f>
        <v>0.121048781448</v>
      </c>
      <c r="V273" s="224" t="n">
        <f aca="false">IF(A273&lt;=Summary!$J$61,(0.2*T273)+(R273*D273),(U273*T273)+(R273*D273))</f>
        <v>0</v>
      </c>
      <c r="W273" s="226" t="n">
        <f aca="false">C273*D273</f>
        <v>0</v>
      </c>
    </row>
    <row r="274" customFormat="false" ht="12.75" hidden="false" customHeight="false" outlineLevel="0" collapsed="false">
      <c r="A274" s="220" t="n">
        <v>44713</v>
      </c>
      <c r="B274" s="221" t="n">
        <f aca="false">YEAR(A274)</f>
        <v>2022</v>
      </c>
      <c r="C274" s="164" t="n">
        <f aca="false">CALC!HH286</f>
        <v>0</v>
      </c>
      <c r="D274" s="222" t="n">
        <f aca="false">IF(Summary!$O$109=0,CALC!HE286,0)</f>
        <v>0</v>
      </c>
      <c r="E274" s="222" t="n">
        <f aca="false">SUM(CALC!GU286:HB286)*CALC!CY286/1000</f>
        <v>0</v>
      </c>
      <c r="F274" s="223" t="n">
        <f aca="false">Summary!$J$54</f>
        <v>0.15</v>
      </c>
      <c r="G274" s="164" t="n">
        <f aca="false">VLOOKUP(A274,CURVES!AW275:$BS$283,16)</f>
        <v>4.591</v>
      </c>
      <c r="H274" s="223" t="n">
        <f aca="false">Summary!$J$60</f>
        <v>0.04</v>
      </c>
      <c r="I274" s="165" t="n">
        <f aca="false">Summary!$J$55</f>
        <v>8.5</v>
      </c>
      <c r="J274" s="164" t="n">
        <f aca="false">I274*SUM(F274:H274)</f>
        <v>40.6385</v>
      </c>
      <c r="K274" s="223" t="n">
        <f aca="false">Summary!$J$56</f>
        <v>3.75</v>
      </c>
      <c r="L274" s="0" t="n">
        <f aca="false">Summary!$O$23</f>
        <v>3.75</v>
      </c>
      <c r="M274" s="223" t="n">
        <f aca="false">Summary!$J$57</f>
        <v>1.75</v>
      </c>
      <c r="N274" s="164" t="n">
        <f aca="false">IF(C274&gt;0,C274-J274,0)</f>
        <v>0</v>
      </c>
      <c r="O274" s="223" t="n">
        <f aca="false">IF(N274&gt;0,IF(N274-SUM(K274:M274)&gt;0,N274-SUM(K274:M274),0),0)</f>
        <v>0</v>
      </c>
      <c r="P274" s="223" t="n">
        <f aca="false">O274*D274</f>
        <v>0</v>
      </c>
      <c r="Q274" s="164" t="n">
        <f aca="false">IF(A274&lt;=Summary!$J$61,0.5*(P274),$Q$2*(P274))</f>
        <v>0</v>
      </c>
      <c r="R274" s="223" t="n">
        <f aca="false">Summary!$J$58</f>
        <v>0.5</v>
      </c>
      <c r="S274" s="223" t="n">
        <f aca="false">J274+(K274+L274+R274)</f>
        <v>48.6385</v>
      </c>
      <c r="T274" s="224" t="n">
        <f aca="false">IF(D274*(C274-S274)-Q274&gt;0,D274*(C274-S274)-Q274,0)</f>
        <v>0</v>
      </c>
      <c r="U274" s="225" t="n">
        <f aca="false">Summary!$J$59</f>
        <v>0.121048781448</v>
      </c>
      <c r="V274" s="224" t="n">
        <f aca="false">IF(A274&lt;=Summary!$J$61,(0.2*T274)+(R274*D274),(U274*T274)+(R274*D274))</f>
        <v>0</v>
      </c>
      <c r="W274" s="226" t="n">
        <f aca="false">C274*D274</f>
        <v>0</v>
      </c>
    </row>
    <row r="275" customFormat="false" ht="12.75" hidden="false" customHeight="false" outlineLevel="0" collapsed="false">
      <c r="A275" s="220" t="n">
        <v>44743</v>
      </c>
      <c r="B275" s="221" t="n">
        <f aca="false">YEAR(A275)</f>
        <v>2022</v>
      </c>
      <c r="C275" s="164" t="n">
        <f aca="false">CALC!HH287</f>
        <v>0</v>
      </c>
      <c r="D275" s="222" t="n">
        <f aca="false">IF(Summary!$O$109=0,CALC!HE287,0)</f>
        <v>0</v>
      </c>
      <c r="E275" s="222" t="n">
        <f aca="false">SUM(CALC!GU287:HB287)*CALC!CY287/1000</f>
        <v>0</v>
      </c>
      <c r="F275" s="223" t="n">
        <f aca="false">Summary!$J$54</f>
        <v>0.15</v>
      </c>
      <c r="G275" s="164" t="n">
        <f aca="false">VLOOKUP(A275,CURVES!AW276:$BS$283,16)</f>
        <v>4.656</v>
      </c>
      <c r="H275" s="223" t="n">
        <f aca="false">Summary!$J$60</f>
        <v>0.04</v>
      </c>
      <c r="I275" s="165" t="n">
        <f aca="false">Summary!$J$55</f>
        <v>8.5</v>
      </c>
      <c r="J275" s="164" t="n">
        <f aca="false">I275*SUM(F275:H275)</f>
        <v>41.191</v>
      </c>
      <c r="K275" s="223" t="n">
        <f aca="false">Summary!$J$56</f>
        <v>3.75</v>
      </c>
      <c r="L275" s="0" t="n">
        <f aca="false">Summary!$O$23</f>
        <v>3.75</v>
      </c>
      <c r="M275" s="223" t="n">
        <f aca="false">Summary!$J$57</f>
        <v>1.75</v>
      </c>
      <c r="N275" s="164" t="n">
        <f aca="false">IF(C275&gt;0,C275-J275,0)</f>
        <v>0</v>
      </c>
      <c r="O275" s="223" t="n">
        <f aca="false">IF(N275&gt;0,IF(N275-SUM(K275:M275)&gt;0,N275-SUM(K275:M275),0),0)</f>
        <v>0</v>
      </c>
      <c r="P275" s="223" t="n">
        <f aca="false">O275*D275</f>
        <v>0</v>
      </c>
      <c r="Q275" s="164" t="n">
        <f aca="false">IF(A275&lt;=Summary!$J$61,0.5*(P275),$Q$2*(P275))</f>
        <v>0</v>
      </c>
      <c r="R275" s="223" t="n">
        <f aca="false">Summary!$J$58</f>
        <v>0.5</v>
      </c>
      <c r="S275" s="223" t="n">
        <f aca="false">J275+(K275+L275+R275)</f>
        <v>49.191</v>
      </c>
      <c r="T275" s="224" t="n">
        <f aca="false">IF(D275*(C275-S275)-Q275&gt;0,D275*(C275-S275)-Q275,0)</f>
        <v>0</v>
      </c>
      <c r="U275" s="225" t="n">
        <f aca="false">Summary!$J$59</f>
        <v>0.121048781448</v>
      </c>
      <c r="V275" s="224" t="n">
        <f aca="false">IF(A275&lt;=Summary!$J$61,(0.2*T275)+(R275*D275),(U275*T275)+(R275*D275))</f>
        <v>0</v>
      </c>
      <c r="W275" s="226" t="n">
        <f aca="false">C275*D275</f>
        <v>0</v>
      </c>
    </row>
    <row r="276" customFormat="false" ht="12.75" hidden="false" customHeight="false" outlineLevel="0" collapsed="false">
      <c r="A276" s="220" t="n">
        <v>44774</v>
      </c>
      <c r="B276" s="221" t="n">
        <f aca="false">YEAR(A276)</f>
        <v>2022</v>
      </c>
      <c r="C276" s="164" t="n">
        <f aca="false">CALC!HH288</f>
        <v>53.756345177665</v>
      </c>
      <c r="D276" s="222" t="n">
        <f aca="false">IF(Summary!$O$109=0,CALC!HE288,0)</f>
        <v>16972.5744</v>
      </c>
      <c r="E276" s="222" t="n">
        <f aca="false">SUM(CALC!GU288:HB288)*CALC!CY288/1000</f>
        <v>33208.8649444685</v>
      </c>
      <c r="F276" s="223" t="n">
        <f aca="false">Summary!$J$54</f>
        <v>0.15</v>
      </c>
      <c r="G276" s="164" t="n">
        <f aca="false">VLOOKUP(A276,CURVES!AW277:$BS$283,16)</f>
        <v>4.651</v>
      </c>
      <c r="H276" s="223" t="n">
        <f aca="false">Summary!$J$60</f>
        <v>0.04</v>
      </c>
      <c r="I276" s="165" t="n">
        <f aca="false">Summary!$J$55</f>
        <v>8.5</v>
      </c>
      <c r="J276" s="164" t="n">
        <f aca="false">I276*SUM(F276:H276)</f>
        <v>41.1485</v>
      </c>
      <c r="K276" s="223" t="n">
        <f aca="false">Summary!$J$56</f>
        <v>3.75</v>
      </c>
      <c r="L276" s="0" t="n">
        <f aca="false">Summary!$O$23</f>
        <v>3.75</v>
      </c>
      <c r="M276" s="223" t="n">
        <f aca="false">Summary!$J$57</f>
        <v>1.75</v>
      </c>
      <c r="N276" s="164" t="n">
        <f aca="false">IF(C276&gt;0,C276-J276,0)</f>
        <v>12.607845177665</v>
      </c>
      <c r="O276" s="223" t="n">
        <f aca="false">IF(N276&gt;0,IF(N276-SUM(K276:M276)&gt;0,N276-SUM(K276:M276),0),0)</f>
        <v>3.35784517766497</v>
      </c>
      <c r="P276" s="223" t="n">
        <f aca="false">O276*D276</f>
        <v>56991.2771015999</v>
      </c>
      <c r="Q276" s="164" t="n">
        <f aca="false">IF(A276&lt;=Summary!$J$61,0.5*(P276),$Q$2*(P276))</f>
        <v>0</v>
      </c>
      <c r="R276" s="223" t="n">
        <f aca="false">Summary!$J$58</f>
        <v>0.5</v>
      </c>
      <c r="S276" s="223" t="n">
        <f aca="false">J276+(K276+L276+R276)</f>
        <v>49.1485</v>
      </c>
      <c r="T276" s="224" t="n">
        <f aca="false">IF(D276*(C276-S276)-Q276&gt;0,D276*(C276-S276)-Q276,0)</f>
        <v>78206.9951015999</v>
      </c>
      <c r="U276" s="225" t="n">
        <f aca="false">Summary!$J$59</f>
        <v>0.121048781448</v>
      </c>
      <c r="V276" s="224" t="n">
        <f aca="false">IF(A276&lt;=Summary!$J$61,(0.2*T276)+(R276*D276),(U276*T276)+(R276*D276))</f>
        <v>17953.1486577584</v>
      </c>
      <c r="W276" s="226" t="n">
        <f aca="false">C276*D276</f>
        <v>912383.568</v>
      </c>
    </row>
    <row r="277" customFormat="false" ht="12.75" hidden="false" customHeight="false" outlineLevel="0" collapsed="false">
      <c r="A277" s="220" t="n">
        <v>44805</v>
      </c>
      <c r="B277" s="221" t="n">
        <f aca="false">YEAR(A277)</f>
        <v>2022</v>
      </c>
      <c r="C277" s="164" t="n">
        <f aca="false">CALC!HH289</f>
        <v>69.120220872613</v>
      </c>
      <c r="D277" s="222" t="n">
        <f aca="false">IF(Summary!$O$109=0,CALC!HE289,0)</f>
        <v>21557.907</v>
      </c>
      <c r="E277" s="222" t="n">
        <f aca="false">SUM(CALC!GU289:HB289)*CALC!CY289/1000</f>
        <v>72328.3895309393</v>
      </c>
      <c r="F277" s="223" t="n">
        <f aca="false">Summary!$J$54</f>
        <v>0.15</v>
      </c>
      <c r="G277" s="164" t="n">
        <f aca="false">VLOOKUP(A277,CURVES!AW278:$BS$283,16)</f>
        <v>4.622</v>
      </c>
      <c r="H277" s="223" t="n">
        <f aca="false">Summary!$J$60</f>
        <v>0.04</v>
      </c>
      <c r="I277" s="165" t="n">
        <f aca="false">Summary!$J$55</f>
        <v>8.5</v>
      </c>
      <c r="J277" s="164" t="n">
        <f aca="false">I277*SUM(F277:H277)</f>
        <v>40.902</v>
      </c>
      <c r="K277" s="223" t="n">
        <f aca="false">Summary!$J$56</f>
        <v>3.75</v>
      </c>
      <c r="L277" s="0" t="n">
        <f aca="false">Summary!$O$23</f>
        <v>3.75</v>
      </c>
      <c r="M277" s="223" t="n">
        <f aca="false">Summary!$J$57</f>
        <v>1.75</v>
      </c>
      <c r="N277" s="164" t="n">
        <f aca="false">IF(C277&gt;0,C277-J277,0)</f>
        <v>28.218220872613</v>
      </c>
      <c r="O277" s="223" t="n">
        <f aca="false">IF(N277&gt;0,IF(N277-SUM(K277:M277)&gt;0,N277-SUM(K277:M277),0),0)</f>
        <v>18.968220872613</v>
      </c>
      <c r="P277" s="223" t="n">
        <f aca="false">O277*D277</f>
        <v>408915.14152725</v>
      </c>
      <c r="Q277" s="164" t="n">
        <f aca="false">IF(A277&lt;=Summary!$J$61,0.5*(P277),$Q$2*(P277))</f>
        <v>0</v>
      </c>
      <c r="R277" s="223" t="n">
        <f aca="false">Summary!$J$58</f>
        <v>0.5</v>
      </c>
      <c r="S277" s="223" t="n">
        <f aca="false">J277+(K277+L277+R277)</f>
        <v>48.902</v>
      </c>
      <c r="T277" s="224" t="n">
        <f aca="false">IF(D277*(C277-S277)-Q277&gt;0,D277*(C277-S277)-Q277,0)</f>
        <v>435862.52527725</v>
      </c>
      <c r="U277" s="225" t="n">
        <f aca="false">Summary!$J$59</f>
        <v>0.121048781448</v>
      </c>
      <c r="V277" s="224" t="n">
        <f aca="false">IF(A277&lt;=Summary!$J$61,(0.2*T277)+(R277*D277),(U277*T277)+(R277*D277))</f>
        <v>63539.5810636592</v>
      </c>
      <c r="W277" s="226" t="n">
        <f aca="false">C277*D277</f>
        <v>1490087.29339125</v>
      </c>
    </row>
    <row r="278" customFormat="false" ht="12.75" hidden="false" customHeight="false" outlineLevel="0" collapsed="false">
      <c r="A278" s="220" t="n">
        <v>44835</v>
      </c>
      <c r="B278" s="221" t="n">
        <f aca="false">YEAR(A278)</f>
        <v>2022</v>
      </c>
      <c r="C278" s="164" t="n">
        <f aca="false">CALC!HH290</f>
        <v>50.7106598984772</v>
      </c>
      <c r="D278" s="222" t="n">
        <f aca="false">IF(Summary!$O$109=0,CALC!HE290,0)</f>
        <v>14320.60965</v>
      </c>
      <c r="E278" s="222" t="n">
        <f aca="false">SUM(CALC!GU290:HB290)*CALC!CY290/1000</f>
        <v>95525.0382311706</v>
      </c>
      <c r="F278" s="223" t="n">
        <f aca="false">Summary!$J$54</f>
        <v>0.15</v>
      </c>
      <c r="G278" s="164" t="n">
        <f aca="false">VLOOKUP(A278,CURVES!AW279:$BS$283,16)</f>
        <v>4.621</v>
      </c>
      <c r="H278" s="223" t="n">
        <f aca="false">Summary!$J$60</f>
        <v>0.04</v>
      </c>
      <c r="I278" s="165" t="n">
        <f aca="false">Summary!$J$55</f>
        <v>8.5</v>
      </c>
      <c r="J278" s="164" t="n">
        <f aca="false">I278*SUM(F278:H278)</f>
        <v>40.8935</v>
      </c>
      <c r="K278" s="223" t="n">
        <f aca="false">Summary!$J$56</f>
        <v>3.75</v>
      </c>
      <c r="L278" s="0" t="n">
        <f aca="false">Summary!$O$23</f>
        <v>3.75</v>
      </c>
      <c r="M278" s="223" t="n">
        <f aca="false">Summary!$J$57</f>
        <v>1.75</v>
      </c>
      <c r="N278" s="164" t="n">
        <f aca="false">IF(C278&gt;0,C278-J278,0)</f>
        <v>9.81715989847715</v>
      </c>
      <c r="O278" s="223" t="n">
        <f aca="false">IF(N278&gt;0,IF(N278-SUM(K278:M278)&gt;0,N278-SUM(K278:M278),0),0)</f>
        <v>0.567159898477151</v>
      </c>
      <c r="P278" s="223" t="n">
        <f aca="false">O278*D278</f>
        <v>8122.0755152249</v>
      </c>
      <c r="Q278" s="164" t="n">
        <f aca="false">IF(A278&lt;=Summary!$J$61,0.5*(P278),$Q$2*(P278))</f>
        <v>0</v>
      </c>
      <c r="R278" s="223" t="n">
        <f aca="false">Summary!$J$58</f>
        <v>0.5</v>
      </c>
      <c r="S278" s="223" t="n">
        <f aca="false">J278+(K278+L278+R278)</f>
        <v>48.8935</v>
      </c>
      <c r="T278" s="224" t="n">
        <f aca="false">IF(D278*(C278-S278)-Q278&gt;0,D278*(C278-S278)-Q278,0)</f>
        <v>26022.8375777249</v>
      </c>
      <c r="U278" s="225" t="n">
        <f aca="false">Summary!$J$59</f>
        <v>0.121048781448</v>
      </c>
      <c r="V278" s="224" t="n">
        <f aca="false">IF(A278&lt;=Summary!$J$61,(0.2*T278)+(R278*D278),(U278*T278)+(R278*D278))</f>
        <v>10310.3376036028</v>
      </c>
      <c r="W278" s="226" t="n">
        <f aca="false">C278*D278</f>
        <v>726207.5655</v>
      </c>
    </row>
    <row r="279" customFormat="false" ht="12.75" hidden="false" customHeight="false" outlineLevel="0" collapsed="false">
      <c r="A279" s="220" t="n">
        <v>44866</v>
      </c>
      <c r="B279" s="221" t="n">
        <f aca="false">YEAR(A279)</f>
        <v>2022</v>
      </c>
      <c r="C279" s="164" t="n">
        <f aca="false">CALC!HH291</f>
        <v>0</v>
      </c>
      <c r="D279" s="222" t="n">
        <f aca="false">IF(Summary!$O$109=0,CALC!HE291,0)</f>
        <v>0</v>
      </c>
      <c r="E279" s="222" t="n">
        <f aca="false">SUM(CALC!GU291:HB291)*CALC!CY291/1000</f>
        <v>0</v>
      </c>
      <c r="F279" s="223" t="n">
        <f aca="false">Summary!$J$54</f>
        <v>0.15</v>
      </c>
      <c r="G279" s="164" t="n">
        <f aca="false">VLOOKUP(A279,CURVES!AW280:$BS$283,16)</f>
        <v>4.638</v>
      </c>
      <c r="H279" s="223" t="n">
        <f aca="false">Summary!$J$60</f>
        <v>0.04</v>
      </c>
      <c r="I279" s="165" t="n">
        <f aca="false">Summary!$J$55</f>
        <v>8.5</v>
      </c>
      <c r="J279" s="164" t="n">
        <f aca="false">I279*SUM(F279:H279)</f>
        <v>41.038</v>
      </c>
      <c r="K279" s="223" t="n">
        <f aca="false">Summary!$J$56</f>
        <v>3.75</v>
      </c>
      <c r="L279" s="0" t="n">
        <f aca="false">Summary!$O$23</f>
        <v>3.75</v>
      </c>
      <c r="M279" s="223" t="n">
        <f aca="false">Summary!$J$57</f>
        <v>1.75</v>
      </c>
      <c r="N279" s="164" t="n">
        <f aca="false">IF(C279&gt;0,C279-J279,0)</f>
        <v>0</v>
      </c>
      <c r="O279" s="223" t="n">
        <f aca="false">IF(N279&gt;0,IF(N279-SUM(K279:M279)&gt;0,N279-SUM(K279:M279),0),0)</f>
        <v>0</v>
      </c>
      <c r="P279" s="223" t="n">
        <f aca="false">O279*D279</f>
        <v>0</v>
      </c>
      <c r="Q279" s="164" t="n">
        <f aca="false">IF(A279&lt;=Summary!$J$61,0.5*(P279),$Q$2*(P279))</f>
        <v>0</v>
      </c>
      <c r="R279" s="223" t="n">
        <f aca="false">Summary!$J$58</f>
        <v>0.5</v>
      </c>
      <c r="S279" s="223" t="n">
        <f aca="false">J279+(K279+L279+R279)</f>
        <v>49.038</v>
      </c>
      <c r="T279" s="224" t="n">
        <f aca="false">IF(D279*(C279-S279)-Q279&gt;0,D279*(C279-S279)-Q279,0)</f>
        <v>0</v>
      </c>
      <c r="U279" s="225" t="n">
        <f aca="false">Summary!$J$59</f>
        <v>0.121048781448</v>
      </c>
      <c r="V279" s="224" t="n">
        <f aca="false">IF(A279&lt;=Summary!$J$61,(0.2*T279)+(R279*D279),(U279*T279)+(R279*D279))</f>
        <v>0</v>
      </c>
      <c r="W279" s="226" t="n">
        <f aca="false">C279*D279</f>
        <v>0</v>
      </c>
    </row>
    <row r="280" customFormat="false" ht="12.75" hidden="false" customHeight="false" outlineLevel="0" collapsed="false">
      <c r="A280" s="220" t="n">
        <v>44896</v>
      </c>
      <c r="B280" s="221" t="n">
        <f aca="false">YEAR(A280)</f>
        <v>2022</v>
      </c>
      <c r="C280" s="164" t="n">
        <f aca="false">CALC!HH292</f>
        <v>0</v>
      </c>
      <c r="D280" s="222" t="n">
        <f aca="false">IF(Summary!$O$109=0,CALC!HE292,0)</f>
        <v>0</v>
      </c>
      <c r="E280" s="222" t="n">
        <f aca="false">SUM(CALC!GU292:HB292)*CALC!CY292/1000</f>
        <v>0</v>
      </c>
      <c r="F280" s="223" t="n">
        <f aca="false">Summary!$J$54</f>
        <v>0.15</v>
      </c>
      <c r="G280" s="164" t="n">
        <f aca="false">VLOOKUP(A280,CURVES!AW281:$BS$283,16)</f>
        <v>4.69</v>
      </c>
      <c r="H280" s="223" t="n">
        <f aca="false">Summary!$J$60</f>
        <v>0.04</v>
      </c>
      <c r="I280" s="165" t="n">
        <f aca="false">Summary!$J$55</f>
        <v>8.5</v>
      </c>
      <c r="J280" s="164" t="n">
        <f aca="false">I280*SUM(F280:H280)</f>
        <v>41.48</v>
      </c>
      <c r="K280" s="223" t="n">
        <f aca="false">Summary!$J$56</f>
        <v>3.75</v>
      </c>
      <c r="L280" s="0" t="n">
        <f aca="false">Summary!$O$23</f>
        <v>3.75</v>
      </c>
      <c r="M280" s="223" t="n">
        <f aca="false">Summary!$J$57</f>
        <v>1.75</v>
      </c>
      <c r="N280" s="164" t="n">
        <f aca="false">IF(C280&gt;0,C280-J280,0)</f>
        <v>0</v>
      </c>
      <c r="O280" s="223" t="n">
        <f aca="false">IF(N280&gt;0,IF(N280-SUM(K280:M280)&gt;0,N280-SUM(K280:M280),0),0)</f>
        <v>0</v>
      </c>
      <c r="P280" s="223" t="n">
        <f aca="false">O280*D280</f>
        <v>0</v>
      </c>
      <c r="Q280" s="164" t="n">
        <f aca="false">IF(A280&lt;=Summary!$J$61,0.5*(P280),$Q$2*(P280))</f>
        <v>0</v>
      </c>
      <c r="R280" s="223" t="n">
        <f aca="false">Summary!$J$58</f>
        <v>0.5</v>
      </c>
      <c r="S280" s="223" t="n">
        <f aca="false">J280+(K280+L280+R280)</f>
        <v>49.48</v>
      </c>
      <c r="T280" s="224" t="n">
        <f aca="false">IF(D280*(C280-S280)-Q280&gt;0,D280*(C280-S280)-Q280,0)</f>
        <v>0</v>
      </c>
      <c r="U280" s="225" t="n">
        <f aca="false">Summary!$J$59</f>
        <v>0.121048781448</v>
      </c>
      <c r="V280" s="224" t="n">
        <f aca="false">IF(A280&lt;=Summary!$J$61,(0.2*T280)+(R280*D280),(U280*T280)+(R280*D280))</f>
        <v>0</v>
      </c>
      <c r="W280" s="226" t="n">
        <f aca="false">C280*D280</f>
        <v>0</v>
      </c>
    </row>
    <row r="281" customFormat="false" ht="12.75" hidden="false" customHeight="false" outlineLevel="0" collapsed="false">
      <c r="A281" s="220" t="n">
        <v>44927</v>
      </c>
      <c r="B281" s="221" t="n">
        <f aca="false">YEAR(A281)</f>
        <v>2023</v>
      </c>
      <c r="C281" s="164" t="n">
        <f aca="false">CALC!HH293</f>
        <v>0</v>
      </c>
      <c r="D281" s="222" t="n">
        <f aca="false">IF(Summary!$O$109=0,CALC!HE293,0)</f>
        <v>0</v>
      </c>
      <c r="E281" s="222" t="n">
        <f aca="false">SUM(CALC!GU293:HB293)*CALC!CY293/1000</f>
        <v>0</v>
      </c>
      <c r="F281" s="223" t="n">
        <f aca="false">Summary!$J$54</f>
        <v>0.15</v>
      </c>
      <c r="G281" s="164" t="n">
        <f aca="false">VLOOKUP(A281,CURVES!AW282:$BS$283,16)</f>
        <v>4.948</v>
      </c>
      <c r="H281" s="223" t="n">
        <f aca="false">Summary!$J$60</f>
        <v>0.04</v>
      </c>
      <c r="I281" s="165" t="n">
        <f aca="false">Summary!$J$55</f>
        <v>8.5</v>
      </c>
      <c r="J281" s="164" t="n">
        <f aca="false">I281*SUM(F281:H281)</f>
        <v>43.673</v>
      </c>
      <c r="K281" s="223" t="n">
        <f aca="false">Summary!$J$56</f>
        <v>3.75</v>
      </c>
      <c r="L281" s="0" t="n">
        <f aca="false">Summary!$O$23</f>
        <v>3.75</v>
      </c>
      <c r="M281" s="223" t="n">
        <f aca="false">Summary!$J$57</f>
        <v>1.75</v>
      </c>
      <c r="N281" s="164" t="n">
        <f aca="false">IF(C281&gt;0,C281-J281,0)</f>
        <v>0</v>
      </c>
      <c r="O281" s="223" t="n">
        <f aca="false">IF(N281&gt;0,IF(N281-SUM(K281:M281)&gt;0,N281-SUM(K281:M281),0),0)</f>
        <v>0</v>
      </c>
      <c r="P281" s="223" t="n">
        <f aca="false">O281*D281</f>
        <v>0</v>
      </c>
      <c r="Q281" s="164" t="n">
        <f aca="false">IF(A281&lt;=Summary!$J$61,0.5*(P281),$Q$2*(P281))</f>
        <v>0</v>
      </c>
      <c r="R281" s="223" t="n">
        <f aca="false">Summary!$J$58</f>
        <v>0.5</v>
      </c>
      <c r="S281" s="223" t="n">
        <f aca="false">J281+(K281+L281+R281)</f>
        <v>51.673</v>
      </c>
      <c r="T281" s="224" t="n">
        <f aca="false">IF(D281*(C281-S281)-Q281&gt;0,D281*(C281-S281)-Q281,0)</f>
        <v>0</v>
      </c>
      <c r="U281" s="225" t="n">
        <f aca="false">Summary!$J$59</f>
        <v>0.121048781448</v>
      </c>
      <c r="V281" s="224" t="n">
        <f aca="false">IF(A281&lt;=Summary!$J$61,(0.2*T281)+(R281*D281),(U281*T281)+(R281*D281))</f>
        <v>0</v>
      </c>
      <c r="W281" s="226" t="n">
        <f aca="false">C281*D281</f>
        <v>0</v>
      </c>
    </row>
    <row r="282" customFormat="false" ht="12.75" hidden="false" customHeight="false" outlineLevel="0" collapsed="false">
      <c r="A282" s="220"/>
      <c r="B282" s="220"/>
      <c r="D282" s="222"/>
      <c r="E282" s="222"/>
      <c r="F282" s="223"/>
      <c r="H282" s="223"/>
      <c r="K282" s="223"/>
      <c r="M282" s="223"/>
    </row>
    <row r="283" customFormat="false" ht="12.75" hidden="false" customHeight="false" outlineLevel="0" collapsed="false">
      <c r="A283" s="220"/>
      <c r="B283" s="220"/>
      <c r="D283" s="222"/>
      <c r="E283" s="222"/>
      <c r="F283" s="223"/>
      <c r="H283" s="223"/>
      <c r="K283" s="223"/>
      <c r="M283" s="223"/>
    </row>
    <row r="284" customFormat="false" ht="12.75" hidden="false" customHeight="false" outlineLevel="0" collapsed="false">
      <c r="A284" s="220"/>
      <c r="B284" s="220"/>
      <c r="D284" s="222"/>
      <c r="E284" s="222"/>
      <c r="F284" s="223"/>
      <c r="H284" s="223"/>
      <c r="K284" s="223"/>
      <c r="M284" s="223"/>
    </row>
    <row r="285" customFormat="false" ht="12.75" hidden="false" customHeight="false" outlineLevel="0" collapsed="false">
      <c r="A285" s="220"/>
      <c r="B285" s="220"/>
      <c r="D285" s="222"/>
      <c r="E285" s="222"/>
      <c r="F285" s="223"/>
      <c r="H285" s="223"/>
      <c r="K285" s="223"/>
      <c r="M285" s="223"/>
    </row>
    <row r="286" customFormat="false" ht="12.75" hidden="false" customHeight="false" outlineLevel="0" collapsed="false">
      <c r="A286" s="220"/>
      <c r="B286" s="220"/>
      <c r="D286" s="222"/>
      <c r="E286" s="222"/>
      <c r="F286" s="223"/>
      <c r="H286" s="223"/>
      <c r="K286" s="223"/>
      <c r="M286" s="223"/>
    </row>
    <row r="287" customFormat="false" ht="12.75" hidden="false" customHeight="false" outlineLevel="0" collapsed="false">
      <c r="A287" s="220"/>
      <c r="B287" s="220"/>
      <c r="D287" s="222"/>
      <c r="E287" s="222"/>
      <c r="F287" s="223"/>
      <c r="H287" s="223"/>
      <c r="K287" s="223"/>
      <c r="M287" s="223"/>
    </row>
    <row r="288" customFormat="false" ht="12.75" hidden="false" customHeight="false" outlineLevel="0" collapsed="false">
      <c r="A288" s="220"/>
      <c r="B288" s="220"/>
      <c r="D288" s="222"/>
      <c r="E288" s="222"/>
      <c r="F288" s="223"/>
      <c r="H288" s="223"/>
      <c r="K288" s="223"/>
      <c r="M288" s="223"/>
    </row>
    <row r="289" customFormat="false" ht="12.75" hidden="false" customHeight="false" outlineLevel="0" collapsed="false">
      <c r="A289" s="220"/>
      <c r="B289" s="220"/>
      <c r="D289" s="222"/>
      <c r="E289" s="222"/>
      <c r="F289" s="223"/>
      <c r="H289" s="223"/>
      <c r="K289" s="223"/>
      <c r="M289" s="223"/>
    </row>
    <row r="290" customFormat="false" ht="12.75" hidden="false" customHeight="false" outlineLevel="0" collapsed="false">
      <c r="A290" s="220"/>
      <c r="B290" s="220"/>
      <c r="D290" s="222"/>
      <c r="E290" s="222"/>
      <c r="F290" s="223"/>
      <c r="H290" s="223"/>
      <c r="K290" s="223"/>
      <c r="M290" s="223"/>
    </row>
    <row r="291" customFormat="false" ht="12.75" hidden="false" customHeight="false" outlineLevel="0" collapsed="false">
      <c r="A291" s="220"/>
      <c r="B291" s="220"/>
      <c r="D291" s="222"/>
      <c r="E291" s="222"/>
      <c r="F291" s="223"/>
      <c r="H291" s="223"/>
      <c r="K291" s="223"/>
      <c r="M291" s="223"/>
    </row>
    <row r="292" customFormat="false" ht="12.75" hidden="false" customHeight="false" outlineLevel="0" collapsed="false">
      <c r="A292" s="220"/>
      <c r="B292" s="220"/>
      <c r="D292" s="222"/>
      <c r="E292" s="222"/>
      <c r="F292" s="223"/>
      <c r="H292" s="223"/>
      <c r="K292" s="223"/>
      <c r="M292" s="223"/>
    </row>
    <row r="293" customFormat="false" ht="12.75" hidden="false" customHeight="false" outlineLevel="0" collapsed="false">
      <c r="A293" s="220"/>
      <c r="B293" s="220"/>
      <c r="D293" s="222"/>
      <c r="E293" s="222"/>
      <c r="F293" s="223"/>
      <c r="H293" s="223"/>
      <c r="K293" s="223"/>
      <c r="M293" s="223"/>
    </row>
    <row r="294" customFormat="false" ht="12.75" hidden="false" customHeight="false" outlineLevel="0" collapsed="false">
      <c r="A294" s="220"/>
      <c r="B294" s="220"/>
      <c r="D294" s="222"/>
      <c r="E294" s="222"/>
      <c r="F294" s="223"/>
      <c r="H294" s="223"/>
      <c r="K294" s="223"/>
      <c r="M294" s="223"/>
    </row>
    <row r="295" customFormat="false" ht="12.75" hidden="false" customHeight="false" outlineLevel="0" collapsed="false">
      <c r="A295" s="220"/>
      <c r="B295" s="220"/>
      <c r="D295" s="222"/>
      <c r="E295" s="222"/>
      <c r="F295" s="223"/>
      <c r="H295" s="223"/>
      <c r="K295" s="223"/>
      <c r="M295" s="223"/>
    </row>
    <row r="296" customFormat="false" ht="12.75" hidden="false" customHeight="false" outlineLevel="0" collapsed="false">
      <c r="A296" s="220"/>
      <c r="B296" s="220"/>
      <c r="D296" s="222"/>
      <c r="E296" s="222"/>
      <c r="F296" s="223"/>
      <c r="H296" s="223"/>
      <c r="K296" s="223"/>
      <c r="M296" s="223"/>
    </row>
    <row r="297" customFormat="false" ht="12.75" hidden="false" customHeight="false" outlineLevel="0" collapsed="false">
      <c r="A297" s="220"/>
      <c r="B297" s="220"/>
      <c r="D297" s="222"/>
      <c r="E297" s="222"/>
      <c r="F297" s="223"/>
      <c r="H297" s="223"/>
      <c r="K297" s="223"/>
      <c r="M297" s="223"/>
    </row>
    <row r="298" customFormat="false" ht="12.75" hidden="false" customHeight="false" outlineLevel="0" collapsed="false">
      <c r="A298" s="220"/>
      <c r="B298" s="220"/>
      <c r="D298" s="222"/>
      <c r="E298" s="222"/>
      <c r="F298" s="223"/>
      <c r="H298" s="223"/>
      <c r="K298" s="223"/>
      <c r="M298" s="223"/>
    </row>
    <row r="299" customFormat="false" ht="12.75" hidden="false" customHeight="false" outlineLevel="0" collapsed="false">
      <c r="A299" s="220"/>
      <c r="B299" s="220"/>
      <c r="D299" s="222"/>
      <c r="E299" s="222"/>
      <c r="F299" s="223"/>
      <c r="H299" s="223"/>
      <c r="K299" s="223"/>
      <c r="M299" s="223"/>
    </row>
    <row r="300" customFormat="false" ht="12.75" hidden="false" customHeight="false" outlineLevel="0" collapsed="false">
      <c r="A300" s="220"/>
      <c r="B300" s="220"/>
      <c r="D300" s="222"/>
      <c r="E300" s="222"/>
      <c r="F300" s="223"/>
      <c r="H300" s="223"/>
      <c r="K300" s="223"/>
      <c r="M300" s="223"/>
    </row>
    <row r="301" customFormat="false" ht="12.75" hidden="false" customHeight="false" outlineLevel="0" collapsed="false">
      <c r="A301" s="220"/>
      <c r="B301" s="220"/>
      <c r="D301" s="222"/>
      <c r="E301" s="222"/>
      <c r="F301" s="223"/>
      <c r="H301" s="223"/>
      <c r="K301" s="223"/>
      <c r="M301" s="223"/>
    </row>
    <row r="302" customFormat="false" ht="12.75" hidden="false" customHeight="false" outlineLevel="0" collapsed="false">
      <c r="A302" s="220"/>
      <c r="B302" s="220"/>
      <c r="D302" s="222"/>
      <c r="E302" s="222"/>
      <c r="F302" s="223"/>
      <c r="H302" s="223"/>
      <c r="K302" s="223"/>
      <c r="M302" s="223"/>
    </row>
    <row r="303" customFormat="false" ht="12.75" hidden="false" customHeight="false" outlineLevel="0" collapsed="false">
      <c r="A303" s="220"/>
      <c r="B303" s="220"/>
      <c r="D303" s="222"/>
      <c r="E303" s="222"/>
      <c r="F303" s="223"/>
      <c r="H303" s="223"/>
      <c r="K303" s="223"/>
      <c r="M303" s="223"/>
    </row>
    <row r="304" customFormat="false" ht="12.75" hidden="false" customHeight="false" outlineLevel="0" collapsed="false">
      <c r="A304" s="220"/>
      <c r="B304" s="220"/>
      <c r="D304" s="222"/>
      <c r="E304" s="222"/>
      <c r="F304" s="223"/>
      <c r="H304" s="223"/>
      <c r="K304" s="223"/>
      <c r="M304" s="223"/>
    </row>
    <row r="305" customFormat="false" ht="12.75" hidden="false" customHeight="false" outlineLevel="0" collapsed="false">
      <c r="A305" s="220"/>
      <c r="B305" s="220"/>
      <c r="D305" s="222"/>
      <c r="E305" s="222"/>
      <c r="F305" s="223"/>
      <c r="H305" s="223"/>
      <c r="K305" s="223"/>
      <c r="M305" s="223"/>
    </row>
    <row r="306" customFormat="false" ht="12.75" hidden="false" customHeight="false" outlineLevel="0" collapsed="false">
      <c r="A306" s="220"/>
      <c r="B306" s="220"/>
      <c r="D306" s="222"/>
      <c r="E306" s="222"/>
      <c r="F306" s="223"/>
      <c r="H306" s="223"/>
      <c r="K306" s="223"/>
      <c r="M306" s="223"/>
    </row>
    <row r="307" customFormat="false" ht="12.75" hidden="false" customHeight="false" outlineLevel="0" collapsed="false">
      <c r="A307" s="220"/>
      <c r="B307" s="220"/>
      <c r="D307" s="222"/>
      <c r="E307" s="222"/>
      <c r="F307" s="223"/>
      <c r="H307" s="223"/>
      <c r="K307" s="223"/>
      <c r="M307" s="223"/>
    </row>
    <row r="308" customFormat="false" ht="12.75" hidden="false" customHeight="false" outlineLevel="0" collapsed="false">
      <c r="A308" s="220"/>
      <c r="B308" s="220"/>
      <c r="D308" s="222"/>
      <c r="E308" s="222"/>
      <c r="F308" s="223"/>
      <c r="H308" s="223"/>
      <c r="K308" s="223"/>
      <c r="M308" s="223"/>
    </row>
    <row r="309" customFormat="false" ht="12.75" hidden="false" customHeight="false" outlineLevel="0" collapsed="false">
      <c r="A309" s="220"/>
      <c r="B309" s="220"/>
      <c r="D309" s="222"/>
      <c r="E309" s="222"/>
      <c r="F309" s="223"/>
      <c r="H309" s="223"/>
      <c r="K309" s="223"/>
      <c r="M309" s="223"/>
    </row>
    <row r="310" customFormat="false" ht="12.75" hidden="false" customHeight="false" outlineLevel="0" collapsed="false">
      <c r="A310" s="220"/>
      <c r="B310" s="220"/>
      <c r="D310" s="222"/>
      <c r="E310" s="222"/>
      <c r="F310" s="223"/>
      <c r="H310" s="223"/>
      <c r="K310" s="223"/>
      <c r="M310" s="223"/>
    </row>
    <row r="311" customFormat="false" ht="12.75" hidden="false" customHeight="false" outlineLevel="0" collapsed="false">
      <c r="A311" s="220"/>
      <c r="B311" s="220"/>
      <c r="D311" s="222"/>
      <c r="E311" s="222"/>
      <c r="F311" s="223"/>
      <c r="H311" s="223"/>
      <c r="K311" s="223"/>
      <c r="M311" s="223"/>
    </row>
    <row r="312" customFormat="false" ht="12.75" hidden="false" customHeight="false" outlineLevel="0" collapsed="false">
      <c r="A312" s="220"/>
      <c r="B312" s="220"/>
      <c r="D312" s="222"/>
      <c r="E312" s="222"/>
      <c r="F312" s="223"/>
      <c r="H312" s="223"/>
      <c r="K312" s="223"/>
      <c r="M312" s="223"/>
    </row>
    <row r="313" customFormat="false" ht="12.75" hidden="false" customHeight="false" outlineLevel="0" collapsed="false">
      <c r="A313" s="220"/>
      <c r="B313" s="220"/>
      <c r="D313" s="222"/>
      <c r="E313" s="222"/>
      <c r="F313" s="223"/>
      <c r="H313" s="223"/>
      <c r="K313" s="223"/>
      <c r="M313" s="223"/>
    </row>
    <row r="314" customFormat="false" ht="12.75" hidden="false" customHeight="false" outlineLevel="0" collapsed="false">
      <c r="A314" s="220"/>
      <c r="B314" s="220"/>
      <c r="D314" s="222"/>
      <c r="E314" s="222"/>
      <c r="F314" s="223"/>
      <c r="H314" s="223"/>
      <c r="K314" s="223"/>
      <c r="M314" s="223"/>
    </row>
    <row r="315" customFormat="false" ht="12.75" hidden="false" customHeight="false" outlineLevel="0" collapsed="false">
      <c r="A315" s="220"/>
      <c r="B315" s="220"/>
      <c r="D315" s="222"/>
      <c r="E315" s="222"/>
      <c r="F315" s="223"/>
      <c r="H315" s="223"/>
      <c r="K315" s="223"/>
      <c r="M315" s="223"/>
    </row>
    <row r="316" customFormat="false" ht="12.75" hidden="false" customHeight="false" outlineLevel="0" collapsed="false">
      <c r="A316" s="220"/>
      <c r="B316" s="220"/>
      <c r="D316" s="222"/>
      <c r="E316" s="222"/>
      <c r="F316" s="223"/>
      <c r="H316" s="223"/>
      <c r="K316" s="223"/>
      <c r="M316" s="223"/>
    </row>
    <row r="317" customFormat="false" ht="12.75" hidden="false" customHeight="false" outlineLevel="0" collapsed="false">
      <c r="A317" s="220"/>
      <c r="B317" s="220"/>
      <c r="D317" s="222"/>
      <c r="E317" s="222"/>
      <c r="F317" s="223"/>
      <c r="H317" s="223"/>
      <c r="K317" s="223"/>
      <c r="M317" s="223"/>
    </row>
    <row r="318" customFormat="false" ht="12.75" hidden="false" customHeight="false" outlineLevel="0" collapsed="false">
      <c r="A318" s="220"/>
      <c r="B318" s="220"/>
      <c r="D318" s="222"/>
      <c r="E318" s="222"/>
      <c r="F318" s="223"/>
      <c r="H318" s="223"/>
      <c r="K318" s="223"/>
      <c r="M318" s="223"/>
    </row>
    <row r="319" customFormat="false" ht="12.75" hidden="false" customHeight="false" outlineLevel="0" collapsed="false">
      <c r="A319" s="220"/>
      <c r="B319" s="220"/>
      <c r="D319" s="222"/>
      <c r="E319" s="222"/>
      <c r="F319" s="223"/>
      <c r="H319" s="223"/>
      <c r="K319" s="223"/>
      <c r="M319" s="223"/>
    </row>
    <row r="320" customFormat="false" ht="12.75" hidden="false" customHeight="false" outlineLevel="0" collapsed="false">
      <c r="A320" s="220"/>
      <c r="B320" s="220"/>
      <c r="D320" s="222"/>
      <c r="E320" s="222"/>
      <c r="F320" s="223"/>
      <c r="H320" s="223"/>
      <c r="K320" s="223"/>
      <c r="M320" s="223"/>
    </row>
    <row r="321" customFormat="false" ht="12.75" hidden="false" customHeight="false" outlineLevel="0" collapsed="false">
      <c r="A321" s="220"/>
      <c r="B321" s="220"/>
      <c r="D321" s="222"/>
      <c r="E321" s="222"/>
      <c r="F321" s="223"/>
      <c r="H321" s="223"/>
      <c r="K321" s="223"/>
      <c r="M321" s="223"/>
    </row>
    <row r="322" customFormat="false" ht="12.75" hidden="false" customHeight="false" outlineLevel="0" collapsed="false">
      <c r="A322" s="220"/>
      <c r="B322" s="220"/>
      <c r="D322" s="222"/>
      <c r="E322" s="222"/>
      <c r="F322" s="223"/>
      <c r="H322" s="223"/>
      <c r="K322" s="223"/>
      <c r="M322" s="223"/>
    </row>
    <row r="323" customFormat="false" ht="12.75" hidden="false" customHeight="false" outlineLevel="0" collapsed="false">
      <c r="A323" s="220"/>
      <c r="B323" s="220"/>
      <c r="D323" s="222"/>
      <c r="E323" s="222"/>
      <c r="F323" s="223"/>
      <c r="H323" s="223"/>
      <c r="K323" s="223"/>
      <c r="M323" s="223"/>
    </row>
    <row r="324" customFormat="false" ht="12.75" hidden="false" customHeight="false" outlineLevel="0" collapsed="false">
      <c r="A324" s="220"/>
      <c r="B324" s="220"/>
      <c r="D324" s="222"/>
      <c r="E324" s="222"/>
      <c r="F324" s="223"/>
      <c r="H324" s="223"/>
      <c r="K324" s="223"/>
      <c r="M324" s="223"/>
    </row>
    <row r="325" customFormat="false" ht="12.75" hidden="false" customHeight="false" outlineLevel="0" collapsed="false">
      <c r="A325" s="220"/>
      <c r="B325" s="220"/>
      <c r="D325" s="222"/>
      <c r="E325" s="222"/>
      <c r="F325" s="223"/>
      <c r="H325" s="223"/>
      <c r="K325" s="223"/>
      <c r="M325" s="223"/>
    </row>
    <row r="326" customFormat="false" ht="12.75" hidden="false" customHeight="false" outlineLevel="0" collapsed="false">
      <c r="A326" s="220"/>
      <c r="B326" s="220"/>
      <c r="D326" s="222"/>
      <c r="E326" s="222"/>
      <c r="F326" s="223"/>
      <c r="H326" s="223"/>
      <c r="K326" s="223"/>
      <c r="M326" s="223"/>
    </row>
    <row r="327" customFormat="false" ht="12.75" hidden="false" customHeight="false" outlineLevel="0" collapsed="false">
      <c r="A327" s="220"/>
      <c r="B327" s="220"/>
      <c r="D327" s="222"/>
      <c r="E327" s="222"/>
      <c r="F327" s="223"/>
      <c r="H327" s="223"/>
      <c r="K327" s="223"/>
      <c r="M327" s="223"/>
    </row>
    <row r="328" customFormat="false" ht="12.75" hidden="false" customHeight="false" outlineLevel="0" collapsed="false">
      <c r="A328" s="220"/>
      <c r="B328" s="220"/>
      <c r="D328" s="222"/>
      <c r="E328" s="222"/>
      <c r="F328" s="223"/>
      <c r="H328" s="223"/>
      <c r="K328" s="223"/>
      <c r="M328" s="223"/>
    </row>
    <row r="329" customFormat="false" ht="12.75" hidden="false" customHeight="false" outlineLevel="0" collapsed="false">
      <c r="A329" s="220"/>
      <c r="B329" s="220"/>
      <c r="D329" s="222"/>
      <c r="E329" s="222"/>
      <c r="F329" s="223"/>
      <c r="H329" s="223"/>
      <c r="K329" s="223"/>
      <c r="M329" s="223"/>
    </row>
    <row r="330" customFormat="false" ht="12.75" hidden="false" customHeight="false" outlineLevel="0" collapsed="false">
      <c r="A330" s="220"/>
      <c r="B330" s="220"/>
      <c r="D330" s="222"/>
      <c r="E330" s="222"/>
      <c r="F330" s="223"/>
      <c r="H330" s="223"/>
      <c r="K330" s="223"/>
      <c r="M330" s="223"/>
    </row>
    <row r="331" customFormat="false" ht="12.75" hidden="false" customHeight="false" outlineLevel="0" collapsed="false">
      <c r="A331" s="220"/>
      <c r="B331" s="220"/>
      <c r="D331" s="222"/>
      <c r="E331" s="222"/>
      <c r="F331" s="223"/>
      <c r="H331" s="223"/>
      <c r="K331" s="223"/>
      <c r="M331" s="223"/>
    </row>
    <row r="332" customFormat="false" ht="12.75" hidden="false" customHeight="false" outlineLevel="0" collapsed="false">
      <c r="A332" s="220"/>
      <c r="B332" s="220"/>
      <c r="D332" s="222"/>
      <c r="E332" s="222"/>
      <c r="F332" s="223"/>
      <c r="H332" s="223"/>
      <c r="K332" s="223"/>
      <c r="M332" s="223"/>
    </row>
    <row r="333" customFormat="false" ht="12.75" hidden="false" customHeight="false" outlineLevel="0" collapsed="false">
      <c r="A333" s="220"/>
      <c r="B333" s="220"/>
      <c r="D333" s="222"/>
      <c r="E333" s="222"/>
      <c r="F333" s="223"/>
      <c r="H333" s="223"/>
      <c r="K333" s="223"/>
      <c r="M333" s="223"/>
    </row>
    <row r="334" customFormat="false" ht="12.75" hidden="false" customHeight="false" outlineLevel="0" collapsed="false">
      <c r="A334" s="220"/>
      <c r="B334" s="220"/>
      <c r="D334" s="222"/>
      <c r="E334" s="222"/>
      <c r="F334" s="223"/>
      <c r="H334" s="223"/>
      <c r="K334" s="223"/>
      <c r="M334" s="223"/>
    </row>
    <row r="335" customFormat="false" ht="12.75" hidden="false" customHeight="false" outlineLevel="0" collapsed="false">
      <c r="A335" s="220"/>
      <c r="B335" s="220"/>
      <c r="D335" s="222"/>
      <c r="E335" s="222"/>
      <c r="F335" s="223"/>
      <c r="H335" s="223"/>
      <c r="K335" s="223"/>
      <c r="M335" s="223"/>
    </row>
    <row r="336" customFormat="false" ht="12.75" hidden="false" customHeight="false" outlineLevel="0" collapsed="false">
      <c r="A336" s="220"/>
      <c r="B336" s="220"/>
      <c r="D336" s="222"/>
      <c r="E336" s="222"/>
      <c r="F336" s="223"/>
      <c r="H336" s="223"/>
      <c r="K336" s="223"/>
      <c r="M336" s="223"/>
    </row>
    <row r="337" customFormat="false" ht="12.75" hidden="false" customHeight="false" outlineLevel="0" collapsed="false">
      <c r="A337" s="220"/>
      <c r="B337" s="220"/>
      <c r="D337" s="222"/>
      <c r="E337" s="222"/>
      <c r="F337" s="223"/>
      <c r="H337" s="223"/>
      <c r="K337" s="223"/>
      <c r="M337" s="223"/>
    </row>
    <row r="338" customFormat="false" ht="12.75" hidden="false" customHeight="false" outlineLevel="0" collapsed="false">
      <c r="A338" s="220"/>
      <c r="B338" s="220"/>
      <c r="D338" s="222"/>
      <c r="E338" s="222"/>
      <c r="F338" s="223"/>
      <c r="H338" s="223"/>
      <c r="K338" s="223"/>
      <c r="M338" s="223"/>
    </row>
    <row r="339" customFormat="false" ht="12.75" hidden="false" customHeight="false" outlineLevel="0" collapsed="false">
      <c r="A339" s="220"/>
      <c r="B339" s="220"/>
      <c r="D339" s="222"/>
      <c r="E339" s="222"/>
      <c r="F339" s="223"/>
      <c r="H339" s="223"/>
      <c r="K339" s="223"/>
      <c r="M339" s="223"/>
    </row>
    <row r="340" customFormat="false" ht="12.75" hidden="false" customHeight="false" outlineLevel="0" collapsed="false">
      <c r="A340" s="220"/>
      <c r="B340" s="220"/>
      <c r="D340" s="222"/>
      <c r="E340" s="222"/>
      <c r="F340" s="223"/>
      <c r="H340" s="223"/>
      <c r="K340" s="223"/>
      <c r="M340" s="223"/>
    </row>
    <row r="341" customFormat="false" ht="12.75" hidden="false" customHeight="false" outlineLevel="0" collapsed="false">
      <c r="A341" s="220"/>
      <c r="B341" s="220"/>
      <c r="D341" s="222"/>
      <c r="E341" s="222"/>
      <c r="F341" s="223"/>
      <c r="H341" s="223"/>
      <c r="K341" s="223"/>
      <c r="M341" s="223"/>
    </row>
    <row r="342" customFormat="false" ht="12.75" hidden="false" customHeight="false" outlineLevel="0" collapsed="false">
      <c r="A342" s="220"/>
      <c r="B342" s="220"/>
      <c r="D342" s="222"/>
      <c r="E342" s="222"/>
      <c r="F342" s="223"/>
      <c r="H342" s="223"/>
      <c r="K342" s="223"/>
      <c r="M342" s="223"/>
    </row>
    <row r="343" customFormat="false" ht="12.75" hidden="false" customHeight="false" outlineLevel="0" collapsed="false">
      <c r="A343" s="220"/>
      <c r="B343" s="220"/>
      <c r="D343" s="222"/>
      <c r="E343" s="222"/>
      <c r="F343" s="223"/>
      <c r="H343" s="223"/>
      <c r="K343" s="223"/>
      <c r="M343" s="223"/>
    </row>
    <row r="344" customFormat="false" ht="12.75" hidden="false" customHeight="false" outlineLevel="0" collapsed="false">
      <c r="A344" s="220"/>
      <c r="B344" s="220"/>
      <c r="D344" s="222"/>
      <c r="E344" s="222"/>
      <c r="F344" s="223"/>
      <c r="H344" s="223"/>
      <c r="K344" s="223"/>
      <c r="M344" s="223"/>
    </row>
    <row r="345" customFormat="false" ht="12.75" hidden="false" customHeight="false" outlineLevel="0" collapsed="false">
      <c r="A345" s="220"/>
      <c r="B345" s="220"/>
      <c r="D345" s="222"/>
      <c r="E345" s="222"/>
      <c r="F345" s="223"/>
      <c r="H345" s="223"/>
      <c r="K345" s="223"/>
      <c r="M345" s="223"/>
    </row>
    <row r="346" customFormat="false" ht="12.75" hidden="false" customHeight="false" outlineLevel="0" collapsed="false">
      <c r="A346" s="220"/>
      <c r="B346" s="220"/>
      <c r="D346" s="222"/>
      <c r="E346" s="222"/>
      <c r="F346" s="223"/>
      <c r="H346" s="223"/>
      <c r="K346" s="223"/>
      <c r="M346" s="223"/>
    </row>
    <row r="347" customFormat="false" ht="12.75" hidden="false" customHeight="false" outlineLevel="0" collapsed="false">
      <c r="A347" s="220"/>
      <c r="B347" s="220"/>
      <c r="D347" s="222"/>
      <c r="E347" s="222"/>
      <c r="F347" s="223"/>
      <c r="H347" s="223"/>
      <c r="K347" s="223"/>
      <c r="M347" s="223"/>
    </row>
    <row r="348" customFormat="false" ht="12.75" hidden="false" customHeight="false" outlineLevel="0" collapsed="false">
      <c r="A348" s="220"/>
      <c r="B348" s="220"/>
      <c r="D348" s="222"/>
      <c r="E348" s="222"/>
      <c r="F348" s="223"/>
      <c r="H348" s="223"/>
      <c r="K348" s="223"/>
      <c r="M348" s="223"/>
    </row>
    <row r="349" customFormat="false" ht="12.75" hidden="false" customHeight="false" outlineLevel="0" collapsed="false">
      <c r="A349" s="220"/>
      <c r="B349" s="220"/>
      <c r="D349" s="222"/>
      <c r="E349" s="222"/>
      <c r="F349" s="223"/>
      <c r="H349" s="223"/>
      <c r="K349" s="223"/>
      <c r="M349" s="223"/>
    </row>
    <row r="350" customFormat="false" ht="12.75" hidden="false" customHeight="false" outlineLevel="0" collapsed="false">
      <c r="A350" s="220"/>
      <c r="B350" s="220"/>
      <c r="D350" s="222"/>
      <c r="E350" s="222"/>
      <c r="F350" s="223"/>
      <c r="H350" s="223"/>
      <c r="K350" s="223"/>
      <c r="M350" s="223"/>
    </row>
    <row r="351" customFormat="false" ht="12.75" hidden="false" customHeight="false" outlineLevel="0" collapsed="false">
      <c r="A351" s="220"/>
      <c r="B351" s="220"/>
      <c r="D351" s="222"/>
      <c r="E351" s="222"/>
      <c r="F351" s="223"/>
      <c r="H351" s="223"/>
      <c r="K351" s="223"/>
      <c r="M351" s="223"/>
    </row>
    <row r="352" customFormat="false" ht="12.75" hidden="false" customHeight="false" outlineLevel="0" collapsed="false">
      <c r="A352" s="220"/>
      <c r="B352" s="220"/>
      <c r="D352" s="222"/>
      <c r="E352" s="222"/>
      <c r="F352" s="223"/>
      <c r="H352" s="223"/>
      <c r="K352" s="223"/>
      <c r="M352" s="223"/>
    </row>
    <row r="353" customFormat="false" ht="12.75" hidden="false" customHeight="false" outlineLevel="0" collapsed="false">
      <c r="A353" s="220"/>
      <c r="B353" s="220"/>
      <c r="D353" s="222"/>
      <c r="E353" s="222"/>
      <c r="F353" s="223"/>
      <c r="H353" s="223"/>
      <c r="K353" s="223"/>
      <c r="M353" s="223"/>
    </row>
    <row r="354" customFormat="false" ht="12.75" hidden="false" customHeight="false" outlineLevel="0" collapsed="false">
      <c r="A354" s="220"/>
      <c r="B354" s="220"/>
      <c r="D354" s="222"/>
      <c r="E354" s="222"/>
      <c r="F354" s="223"/>
      <c r="H354" s="223"/>
      <c r="K354" s="223"/>
      <c r="M354" s="223"/>
    </row>
    <row r="355" customFormat="false" ht="12.75" hidden="false" customHeight="false" outlineLevel="0" collapsed="false">
      <c r="A355" s="220"/>
      <c r="B355" s="220"/>
      <c r="D355" s="222"/>
      <c r="E355" s="222"/>
      <c r="F355" s="223"/>
      <c r="H355" s="223"/>
      <c r="K355" s="223"/>
      <c r="M355" s="223"/>
    </row>
    <row r="356" customFormat="false" ht="12.75" hidden="false" customHeight="false" outlineLevel="0" collapsed="false">
      <c r="A356" s="220"/>
      <c r="B356" s="220"/>
      <c r="D356" s="222"/>
      <c r="E356" s="222"/>
      <c r="F356" s="223"/>
      <c r="H356" s="223"/>
      <c r="K356" s="223"/>
      <c r="M356" s="223"/>
    </row>
    <row r="357" customFormat="false" ht="12.75" hidden="false" customHeight="false" outlineLevel="0" collapsed="false">
      <c r="A357" s="220"/>
      <c r="B357" s="220"/>
      <c r="D357" s="222"/>
      <c r="E357" s="222"/>
      <c r="F357" s="223"/>
      <c r="H357" s="223"/>
      <c r="K357" s="223"/>
      <c r="M357" s="223"/>
    </row>
    <row r="358" customFormat="false" ht="12.75" hidden="false" customHeight="false" outlineLevel="0" collapsed="false">
      <c r="A358" s="220"/>
      <c r="B358" s="220"/>
      <c r="D358" s="222"/>
      <c r="E358" s="222"/>
      <c r="F358" s="223"/>
      <c r="H358" s="223"/>
      <c r="K358" s="223"/>
      <c r="M358" s="223"/>
    </row>
    <row r="359" customFormat="false" ht="12.75" hidden="false" customHeight="false" outlineLevel="0" collapsed="false">
      <c r="A359" s="220"/>
      <c r="B359" s="220"/>
      <c r="D359" s="222"/>
      <c r="E359" s="222"/>
      <c r="F359" s="223"/>
      <c r="H359" s="223"/>
      <c r="K359" s="223"/>
      <c r="M359" s="223"/>
    </row>
    <row r="360" customFormat="false" ht="12.75" hidden="false" customHeight="false" outlineLevel="0" collapsed="false">
      <c r="A360" s="220"/>
      <c r="B360" s="220"/>
      <c r="D360" s="222"/>
      <c r="E360" s="222"/>
      <c r="F360" s="223"/>
      <c r="H360" s="223"/>
      <c r="K360" s="223"/>
      <c r="M360" s="223"/>
    </row>
    <row r="361" customFormat="false" ht="12.75" hidden="false" customHeight="false" outlineLevel="0" collapsed="false">
      <c r="A361" s="220"/>
      <c r="B361" s="220"/>
      <c r="D361" s="222"/>
      <c r="E361" s="222"/>
      <c r="F361" s="223"/>
      <c r="H361" s="223"/>
      <c r="K361" s="223"/>
      <c r="M361" s="223"/>
    </row>
    <row r="362" customFormat="false" ht="12.75" hidden="false" customHeight="false" outlineLevel="0" collapsed="false">
      <c r="A362" s="220"/>
      <c r="B362" s="220"/>
      <c r="D362" s="222"/>
      <c r="E362" s="222"/>
      <c r="F362" s="223"/>
      <c r="H362" s="223"/>
      <c r="K362" s="223"/>
      <c r="M362" s="223"/>
    </row>
    <row r="363" customFormat="false" ht="12.75" hidden="false" customHeight="false" outlineLevel="0" collapsed="false">
      <c r="A363" s="220"/>
      <c r="B363" s="220"/>
      <c r="D363" s="222"/>
      <c r="E363" s="222"/>
      <c r="F363" s="223"/>
      <c r="H363" s="223"/>
      <c r="K363" s="223"/>
      <c r="M363" s="223"/>
    </row>
    <row r="364" customFormat="false" ht="12.75" hidden="false" customHeight="false" outlineLevel="0" collapsed="false">
      <c r="A364" s="220"/>
      <c r="B364" s="220"/>
      <c r="D364" s="222"/>
      <c r="E364" s="222"/>
      <c r="F364" s="223"/>
      <c r="H364" s="223"/>
      <c r="K364" s="223"/>
      <c r="M364" s="223"/>
    </row>
    <row r="365" customFormat="false" ht="12.75" hidden="false" customHeight="false" outlineLevel="0" collapsed="false">
      <c r="A365" s="220"/>
      <c r="B365" s="220"/>
      <c r="D365" s="222"/>
      <c r="E365" s="222"/>
      <c r="F365" s="223"/>
      <c r="H365" s="223"/>
      <c r="K365" s="223"/>
      <c r="M365" s="223"/>
    </row>
    <row r="366" customFormat="false" ht="12.75" hidden="false" customHeight="false" outlineLevel="0" collapsed="false">
      <c r="A366" s="220"/>
      <c r="B366" s="220"/>
      <c r="D366" s="222"/>
      <c r="E366" s="222"/>
      <c r="F366" s="223"/>
      <c r="H366" s="223"/>
      <c r="K366" s="223"/>
      <c r="M366" s="223"/>
    </row>
    <row r="367" customFormat="false" ht="12.75" hidden="false" customHeight="false" outlineLevel="0" collapsed="false">
      <c r="A367" s="220"/>
      <c r="B367" s="220"/>
      <c r="D367" s="222"/>
      <c r="E367" s="222"/>
      <c r="F367" s="223"/>
      <c r="H367" s="223"/>
      <c r="K367" s="223"/>
      <c r="M367" s="223"/>
    </row>
    <row r="368" customFormat="false" ht="12.75" hidden="false" customHeight="false" outlineLevel="0" collapsed="false">
      <c r="A368" s="220"/>
      <c r="B368" s="220"/>
      <c r="D368" s="222"/>
      <c r="E368" s="222"/>
      <c r="F368" s="223"/>
      <c r="H368" s="223"/>
      <c r="K368" s="223"/>
      <c r="M368" s="223"/>
    </row>
    <row r="369" customFormat="false" ht="12.75" hidden="false" customHeight="false" outlineLevel="0" collapsed="false">
      <c r="A369" s="220"/>
      <c r="B369" s="220"/>
      <c r="D369" s="222"/>
      <c r="E369" s="222"/>
      <c r="F369" s="223"/>
      <c r="H369" s="223"/>
      <c r="K369" s="223"/>
      <c r="M369" s="223"/>
    </row>
    <row r="370" customFormat="false" ht="12.75" hidden="false" customHeight="false" outlineLevel="0" collapsed="false">
      <c r="A370" s="220"/>
      <c r="B370" s="220"/>
      <c r="D370" s="222"/>
      <c r="E370" s="222"/>
      <c r="F370" s="223"/>
      <c r="H370" s="223"/>
      <c r="K370" s="223"/>
      <c r="M370" s="223"/>
    </row>
    <row r="371" customFormat="false" ht="12.75" hidden="false" customHeight="false" outlineLevel="0" collapsed="false">
      <c r="A371" s="220"/>
      <c r="B371" s="220"/>
      <c r="D371" s="222"/>
      <c r="E371" s="222"/>
      <c r="F371" s="223"/>
      <c r="H371" s="223"/>
      <c r="K371" s="223"/>
      <c r="M371" s="223"/>
    </row>
    <row r="372" customFormat="false" ht="12.75" hidden="false" customHeight="false" outlineLevel="0" collapsed="false">
      <c r="A372" s="220"/>
      <c r="B372" s="220"/>
      <c r="D372" s="222"/>
      <c r="E372" s="222"/>
      <c r="F372" s="223"/>
      <c r="H372" s="223"/>
      <c r="K372" s="223"/>
      <c r="M372" s="223"/>
    </row>
    <row r="373" customFormat="false" ht="12.75" hidden="false" customHeight="false" outlineLevel="0" collapsed="false">
      <c r="A373" s="220"/>
      <c r="B373" s="220"/>
      <c r="D373" s="222"/>
      <c r="E373" s="222"/>
      <c r="F373" s="223"/>
      <c r="H373" s="223"/>
      <c r="K373" s="223"/>
      <c r="M373" s="223"/>
    </row>
    <row r="374" customFormat="false" ht="12.75" hidden="false" customHeight="false" outlineLevel="0" collapsed="false">
      <c r="A374" s="220"/>
      <c r="B374" s="220"/>
      <c r="D374" s="222"/>
      <c r="E374" s="222"/>
      <c r="F374" s="223"/>
      <c r="H374" s="223"/>
      <c r="K374" s="223"/>
      <c r="M374" s="223"/>
    </row>
    <row r="375" customFormat="false" ht="12.75" hidden="false" customHeight="false" outlineLevel="0" collapsed="false">
      <c r="A375" s="220"/>
      <c r="B375" s="220"/>
      <c r="D375" s="222"/>
      <c r="E375" s="222"/>
      <c r="F375" s="223"/>
      <c r="H375" s="223"/>
      <c r="K375" s="223"/>
      <c r="M375" s="223"/>
    </row>
    <row r="376" customFormat="false" ht="12.75" hidden="false" customHeight="false" outlineLevel="0" collapsed="false">
      <c r="A376" s="220"/>
      <c r="B376" s="220"/>
      <c r="D376" s="222"/>
      <c r="E376" s="222"/>
      <c r="F376" s="223"/>
      <c r="H376" s="223"/>
      <c r="K376" s="223"/>
      <c r="M376" s="223"/>
    </row>
    <row r="377" customFormat="false" ht="12.75" hidden="false" customHeight="false" outlineLevel="0" collapsed="false">
      <c r="A377" s="220"/>
      <c r="B377" s="220"/>
      <c r="D377" s="222"/>
      <c r="E377" s="222"/>
      <c r="F377" s="223"/>
      <c r="H377" s="223"/>
      <c r="K377" s="223"/>
      <c r="M377" s="223"/>
    </row>
    <row r="378" customFormat="false" ht="12.75" hidden="false" customHeight="false" outlineLevel="0" collapsed="false">
      <c r="A378" s="220"/>
      <c r="B378" s="220"/>
      <c r="D378" s="222"/>
      <c r="E378" s="222"/>
      <c r="F378" s="223"/>
      <c r="H378" s="223"/>
      <c r="K378" s="223"/>
      <c r="M378" s="223"/>
    </row>
    <row r="379" customFormat="false" ht="12.75" hidden="false" customHeight="false" outlineLevel="0" collapsed="false">
      <c r="A379" s="220"/>
      <c r="B379" s="220"/>
      <c r="D379" s="222"/>
      <c r="E379" s="222"/>
      <c r="F379" s="223"/>
      <c r="H379" s="223"/>
      <c r="K379" s="223"/>
      <c r="M379" s="223"/>
    </row>
    <row r="380" customFormat="false" ht="12.75" hidden="false" customHeight="false" outlineLevel="0" collapsed="false">
      <c r="A380" s="220"/>
      <c r="B380" s="220"/>
      <c r="D380" s="222"/>
      <c r="E380" s="222"/>
      <c r="F380" s="223"/>
      <c r="H380" s="223"/>
      <c r="K380" s="223"/>
      <c r="M380" s="223"/>
    </row>
    <row r="381" customFormat="false" ht="12.75" hidden="false" customHeight="false" outlineLevel="0" collapsed="false">
      <c r="A381" s="220"/>
      <c r="B381" s="220"/>
      <c r="D381" s="222"/>
      <c r="E381" s="222"/>
      <c r="F381" s="223"/>
      <c r="H381" s="223"/>
      <c r="K381" s="223"/>
      <c r="M381" s="223"/>
    </row>
    <row r="382" customFormat="false" ht="12.75" hidden="false" customHeight="false" outlineLevel="0" collapsed="false">
      <c r="A382" s="220"/>
      <c r="B382" s="220"/>
      <c r="D382" s="222"/>
      <c r="E382" s="222"/>
      <c r="F382" s="223"/>
      <c r="H382" s="223"/>
      <c r="K382" s="223"/>
      <c r="M382" s="223"/>
    </row>
    <row r="383" customFormat="false" ht="12.75" hidden="false" customHeight="false" outlineLevel="0" collapsed="false">
      <c r="A383" s="220"/>
      <c r="B383" s="220"/>
      <c r="D383" s="222"/>
      <c r="E383" s="222"/>
      <c r="F383" s="223"/>
      <c r="H383" s="223"/>
      <c r="K383" s="223"/>
      <c r="M383" s="223"/>
    </row>
    <row r="384" customFormat="false" ht="12.75" hidden="false" customHeight="false" outlineLevel="0" collapsed="false">
      <c r="A384" s="220"/>
      <c r="B384" s="220"/>
      <c r="D384" s="222"/>
      <c r="E384" s="222"/>
      <c r="F384" s="223"/>
      <c r="H384" s="223"/>
      <c r="K384" s="223"/>
      <c r="M384" s="223"/>
    </row>
    <row r="385" customFormat="false" ht="12.75" hidden="false" customHeight="false" outlineLevel="0" collapsed="false">
      <c r="A385" s="220"/>
      <c r="B385" s="220"/>
      <c r="D385" s="222"/>
      <c r="E385" s="222"/>
      <c r="F385" s="223"/>
      <c r="H385" s="223"/>
      <c r="K385" s="223"/>
      <c r="M385" s="223"/>
    </row>
    <row r="386" customFormat="false" ht="12.75" hidden="false" customHeight="false" outlineLevel="0" collapsed="false">
      <c r="A386" s="220"/>
      <c r="B386" s="220"/>
      <c r="D386" s="222"/>
      <c r="E386" s="222"/>
      <c r="F386" s="223"/>
      <c r="H386" s="223"/>
      <c r="K386" s="223"/>
      <c r="M386" s="223"/>
    </row>
    <row r="387" customFormat="false" ht="12.75" hidden="false" customHeight="false" outlineLevel="0" collapsed="false">
      <c r="A387" s="220"/>
      <c r="B387" s="220"/>
      <c r="D387" s="222"/>
      <c r="E387" s="222"/>
      <c r="F387" s="223"/>
      <c r="H387" s="223"/>
      <c r="K387" s="223"/>
      <c r="M387" s="223"/>
    </row>
    <row r="388" customFormat="false" ht="12.75" hidden="false" customHeight="false" outlineLevel="0" collapsed="false">
      <c r="A388" s="220"/>
      <c r="B388" s="220"/>
      <c r="D388" s="222"/>
      <c r="E388" s="222"/>
      <c r="F388" s="223"/>
      <c r="H388" s="223"/>
      <c r="K388" s="223"/>
      <c r="M388" s="223"/>
    </row>
    <row r="389" customFormat="false" ht="12.75" hidden="false" customHeight="false" outlineLevel="0" collapsed="false">
      <c r="A389" s="220"/>
      <c r="B389" s="220"/>
      <c r="D389" s="222"/>
      <c r="E389" s="222"/>
      <c r="F389" s="223"/>
      <c r="H389" s="223"/>
      <c r="K389" s="223"/>
      <c r="M389" s="223"/>
    </row>
    <row r="390" customFormat="false" ht="12.75" hidden="false" customHeight="false" outlineLevel="0" collapsed="false">
      <c r="A390" s="220"/>
      <c r="B390" s="220"/>
      <c r="D390" s="222"/>
      <c r="E390" s="222"/>
      <c r="F390" s="223"/>
      <c r="H390" s="223"/>
      <c r="K390" s="223"/>
      <c r="M390" s="223"/>
    </row>
    <row r="391" customFormat="false" ht="12.75" hidden="false" customHeight="false" outlineLevel="0" collapsed="false">
      <c r="A391" s="220"/>
      <c r="B391" s="220"/>
      <c r="D391" s="222"/>
      <c r="E391" s="222"/>
      <c r="F391" s="223"/>
      <c r="H391" s="223"/>
      <c r="K391" s="223"/>
      <c r="M391" s="223"/>
    </row>
    <row r="392" customFormat="false" ht="12.75" hidden="false" customHeight="false" outlineLevel="0" collapsed="false">
      <c r="A392" s="220"/>
      <c r="B392" s="220"/>
      <c r="D392" s="222"/>
      <c r="E392" s="222"/>
      <c r="F392" s="223"/>
      <c r="H392" s="223"/>
      <c r="K392" s="223"/>
      <c r="M392" s="223"/>
    </row>
    <row r="393" customFormat="false" ht="12.75" hidden="false" customHeight="false" outlineLevel="0" collapsed="false">
      <c r="A393" s="220"/>
      <c r="B393" s="220"/>
      <c r="D393" s="222"/>
      <c r="E393" s="222"/>
      <c r="F393" s="223"/>
      <c r="H393" s="223"/>
      <c r="K393" s="223"/>
      <c r="M393" s="223"/>
    </row>
    <row r="394" customFormat="false" ht="12.75" hidden="false" customHeight="false" outlineLevel="0" collapsed="false">
      <c r="A394" s="220"/>
      <c r="B394" s="220"/>
      <c r="D394" s="222"/>
      <c r="E394" s="222"/>
      <c r="F394" s="223"/>
      <c r="H394" s="223"/>
      <c r="K394" s="223"/>
      <c r="M394" s="223"/>
    </row>
    <row r="395" customFormat="false" ht="12.75" hidden="false" customHeight="false" outlineLevel="0" collapsed="false">
      <c r="A395" s="220"/>
      <c r="B395" s="220"/>
      <c r="D395" s="222"/>
      <c r="E395" s="222"/>
      <c r="F395" s="223"/>
      <c r="H395" s="223"/>
      <c r="K395" s="223"/>
      <c r="M395" s="223"/>
    </row>
    <row r="396" customFormat="false" ht="12.75" hidden="false" customHeight="false" outlineLevel="0" collapsed="false">
      <c r="A396" s="220"/>
      <c r="B396" s="220"/>
      <c r="D396" s="222"/>
      <c r="E396" s="222"/>
      <c r="F396" s="223"/>
      <c r="H396" s="223"/>
      <c r="K396" s="223"/>
      <c r="M396" s="223"/>
    </row>
    <row r="397" customFormat="false" ht="12.75" hidden="false" customHeight="false" outlineLevel="0" collapsed="false">
      <c r="A397" s="220"/>
      <c r="B397" s="220"/>
      <c r="D397" s="222"/>
      <c r="E397" s="222"/>
      <c r="F397" s="223"/>
      <c r="H397" s="223"/>
      <c r="K397" s="223"/>
      <c r="M397" s="223"/>
    </row>
    <row r="398" customFormat="false" ht="12.75" hidden="false" customHeight="false" outlineLevel="0" collapsed="false">
      <c r="A398" s="220"/>
      <c r="B398" s="220"/>
      <c r="D398" s="222"/>
      <c r="E398" s="222"/>
      <c r="F398" s="223"/>
      <c r="H398" s="223"/>
      <c r="K398" s="223"/>
      <c r="M398" s="223"/>
    </row>
    <row r="399" customFormat="false" ht="12.75" hidden="false" customHeight="false" outlineLevel="0" collapsed="false">
      <c r="A399" s="220"/>
      <c r="B399" s="220"/>
      <c r="D399" s="222"/>
      <c r="E399" s="222"/>
      <c r="F399" s="223"/>
      <c r="H399" s="223"/>
      <c r="K399" s="223"/>
      <c r="M399" s="223"/>
    </row>
    <row r="400" customFormat="false" ht="12.75" hidden="false" customHeight="false" outlineLevel="0" collapsed="false">
      <c r="A400" s="220"/>
      <c r="B400" s="220"/>
      <c r="D400" s="222"/>
      <c r="E400" s="222"/>
      <c r="F400" s="223"/>
      <c r="H400" s="223"/>
      <c r="K400" s="223"/>
      <c r="M400" s="223"/>
    </row>
    <row r="401" customFormat="false" ht="12.75" hidden="false" customHeight="false" outlineLevel="0" collapsed="false">
      <c r="A401" s="220"/>
      <c r="B401" s="220"/>
      <c r="D401" s="222"/>
      <c r="E401" s="222"/>
      <c r="F401" s="223"/>
      <c r="H401" s="223"/>
      <c r="K401" s="223"/>
      <c r="M401" s="223"/>
    </row>
    <row r="402" customFormat="false" ht="12.75" hidden="false" customHeight="false" outlineLevel="0" collapsed="false">
      <c r="A402" s="220"/>
      <c r="B402" s="220"/>
      <c r="D402" s="222"/>
      <c r="E402" s="222"/>
      <c r="F402" s="223"/>
      <c r="H402" s="223"/>
      <c r="K402" s="223"/>
      <c r="M402" s="223"/>
    </row>
    <row r="403" customFormat="false" ht="12.75" hidden="false" customHeight="false" outlineLevel="0" collapsed="false">
      <c r="A403" s="220"/>
      <c r="B403" s="220"/>
      <c r="D403" s="222"/>
      <c r="E403" s="222"/>
      <c r="F403" s="223"/>
      <c r="H403" s="223"/>
      <c r="K403" s="223"/>
      <c r="M403" s="223"/>
    </row>
    <row r="404" customFormat="false" ht="12.75" hidden="false" customHeight="false" outlineLevel="0" collapsed="false">
      <c r="A404" s="220"/>
      <c r="B404" s="220"/>
      <c r="D404" s="222"/>
      <c r="E404" s="222"/>
      <c r="F404" s="223"/>
      <c r="H404" s="223"/>
      <c r="K404" s="223"/>
      <c r="M404" s="223"/>
    </row>
    <row r="405" customFormat="false" ht="12.75" hidden="false" customHeight="false" outlineLevel="0" collapsed="false">
      <c r="A405" s="220"/>
      <c r="B405" s="220"/>
      <c r="D405" s="222"/>
      <c r="E405" s="222"/>
      <c r="F405" s="223"/>
      <c r="H405" s="223"/>
      <c r="K405" s="223"/>
      <c r="M405" s="223"/>
    </row>
    <row r="406" customFormat="false" ht="12.75" hidden="false" customHeight="false" outlineLevel="0" collapsed="false">
      <c r="A406" s="220"/>
      <c r="B406" s="220"/>
      <c r="D406" s="222"/>
      <c r="E406" s="222"/>
      <c r="F406" s="223"/>
      <c r="H406" s="223"/>
      <c r="K406" s="223"/>
      <c r="M406" s="223"/>
    </row>
    <row r="407" customFormat="false" ht="12.75" hidden="false" customHeight="false" outlineLevel="0" collapsed="false">
      <c r="A407" s="220"/>
      <c r="B407" s="220"/>
      <c r="D407" s="222"/>
      <c r="E407" s="222"/>
      <c r="F407" s="223"/>
      <c r="H407" s="223"/>
      <c r="K407" s="223"/>
      <c r="M407" s="223"/>
    </row>
    <row r="408" customFormat="false" ht="12.75" hidden="false" customHeight="false" outlineLevel="0" collapsed="false">
      <c r="A408" s="220"/>
      <c r="B408" s="220"/>
      <c r="D408" s="222"/>
      <c r="E408" s="222"/>
      <c r="F408" s="223"/>
      <c r="H408" s="223"/>
      <c r="K408" s="223"/>
      <c r="M408" s="223"/>
    </row>
    <row r="409" customFormat="false" ht="12.75" hidden="false" customHeight="false" outlineLevel="0" collapsed="false">
      <c r="A409" s="220"/>
      <c r="B409" s="220"/>
      <c r="D409" s="222"/>
      <c r="E409" s="222"/>
      <c r="F409" s="223"/>
      <c r="H409" s="223"/>
      <c r="K409" s="223"/>
      <c r="M409" s="223"/>
    </row>
    <row r="410" customFormat="false" ht="12.75" hidden="false" customHeight="false" outlineLevel="0" collapsed="false">
      <c r="A410" s="220"/>
      <c r="B410" s="220"/>
      <c r="D410" s="222"/>
      <c r="E410" s="222"/>
      <c r="F410" s="223"/>
      <c r="H410" s="223"/>
      <c r="K410" s="223"/>
      <c r="M410" s="223"/>
    </row>
    <row r="411" customFormat="false" ht="12.75" hidden="false" customHeight="false" outlineLevel="0" collapsed="false">
      <c r="A411" s="220"/>
      <c r="B411" s="220"/>
      <c r="D411" s="222"/>
      <c r="E411" s="222"/>
      <c r="F411" s="223"/>
      <c r="H411" s="223"/>
      <c r="K411" s="223"/>
      <c r="M411" s="223"/>
    </row>
    <row r="412" customFormat="false" ht="12.75" hidden="false" customHeight="false" outlineLevel="0" collapsed="false">
      <c r="A412" s="220"/>
      <c r="B412" s="220"/>
      <c r="D412" s="222"/>
      <c r="E412" s="222"/>
      <c r="F412" s="223"/>
      <c r="H412" s="223"/>
      <c r="K412" s="223"/>
      <c r="M412" s="223"/>
    </row>
    <row r="413" customFormat="false" ht="12.75" hidden="false" customHeight="false" outlineLevel="0" collapsed="false">
      <c r="A413" s="220"/>
      <c r="B413" s="220"/>
      <c r="D413" s="222"/>
      <c r="E413" s="222"/>
      <c r="F413" s="223"/>
      <c r="H413" s="223"/>
      <c r="K413" s="223"/>
      <c r="M413" s="223"/>
    </row>
    <row r="414" customFormat="false" ht="12.75" hidden="false" customHeight="false" outlineLevel="0" collapsed="false">
      <c r="A414" s="220"/>
      <c r="B414" s="220"/>
      <c r="D414" s="222"/>
      <c r="E414" s="222"/>
      <c r="F414" s="223"/>
      <c r="H414" s="223"/>
      <c r="K414" s="223"/>
      <c r="M414" s="223"/>
    </row>
    <row r="415" customFormat="false" ht="12.75" hidden="false" customHeight="false" outlineLevel="0" collapsed="false">
      <c r="A415" s="220"/>
      <c r="B415" s="220"/>
      <c r="D415" s="222"/>
      <c r="E415" s="222"/>
      <c r="F415" s="223"/>
      <c r="H415" s="223"/>
      <c r="K415" s="223"/>
      <c r="M415" s="223"/>
    </row>
    <row r="416" customFormat="false" ht="12.75" hidden="false" customHeight="false" outlineLevel="0" collapsed="false">
      <c r="A416" s="220"/>
      <c r="B416" s="220"/>
      <c r="D416" s="222"/>
      <c r="E416" s="222"/>
      <c r="F416" s="223"/>
      <c r="H416" s="223"/>
      <c r="K416" s="223"/>
      <c r="M416" s="223"/>
    </row>
    <row r="417" customFormat="false" ht="12.75" hidden="false" customHeight="false" outlineLevel="0" collapsed="false">
      <c r="A417" s="220"/>
      <c r="B417" s="220"/>
      <c r="D417" s="222"/>
      <c r="E417" s="222"/>
      <c r="F417" s="223"/>
      <c r="H417" s="223"/>
      <c r="K417" s="223"/>
      <c r="M417" s="223"/>
    </row>
    <row r="418" customFormat="false" ht="12.75" hidden="false" customHeight="false" outlineLevel="0" collapsed="false">
      <c r="A418" s="220"/>
      <c r="B418" s="220"/>
      <c r="D418" s="222"/>
      <c r="E418" s="222"/>
      <c r="F418" s="223"/>
      <c r="H418" s="223"/>
      <c r="K418" s="223"/>
      <c r="M418" s="223"/>
    </row>
    <row r="419" customFormat="false" ht="12.75" hidden="false" customHeight="false" outlineLevel="0" collapsed="false">
      <c r="A419" s="220"/>
      <c r="B419" s="220"/>
      <c r="D419" s="222"/>
      <c r="E419" s="222"/>
      <c r="F419" s="223"/>
      <c r="H419" s="223"/>
      <c r="K419" s="223"/>
      <c r="M419" s="223"/>
    </row>
    <row r="420" customFormat="false" ht="12.75" hidden="false" customHeight="false" outlineLevel="0" collapsed="false">
      <c r="A420" s="220"/>
      <c r="B420" s="220"/>
      <c r="D420" s="222"/>
      <c r="E420" s="222"/>
      <c r="F420" s="223"/>
      <c r="H420" s="223"/>
      <c r="K420" s="223"/>
      <c r="M420" s="223"/>
    </row>
    <row r="421" customFormat="false" ht="12.75" hidden="false" customHeight="false" outlineLevel="0" collapsed="false">
      <c r="A421" s="220"/>
      <c r="B421" s="220"/>
      <c r="D421" s="222"/>
      <c r="E421" s="222"/>
      <c r="F421" s="223"/>
      <c r="H421" s="223"/>
      <c r="K421" s="223"/>
      <c r="M421" s="223"/>
    </row>
    <row r="422" customFormat="false" ht="12.75" hidden="false" customHeight="false" outlineLevel="0" collapsed="false">
      <c r="A422" s="220"/>
      <c r="B422" s="220"/>
      <c r="D422" s="222"/>
      <c r="E422" s="222"/>
      <c r="F422" s="223"/>
      <c r="H422" s="223"/>
      <c r="K422" s="223"/>
      <c r="M422" s="223"/>
    </row>
    <row r="423" customFormat="false" ht="12.75" hidden="false" customHeight="false" outlineLevel="0" collapsed="false">
      <c r="A423" s="220"/>
      <c r="B423" s="220"/>
      <c r="D423" s="222"/>
      <c r="E423" s="222"/>
      <c r="F423" s="223"/>
      <c r="H423" s="223"/>
      <c r="K423" s="223"/>
      <c r="M423" s="223"/>
    </row>
    <row r="424" customFormat="false" ht="12.75" hidden="false" customHeight="false" outlineLevel="0" collapsed="false">
      <c r="A424" s="220"/>
      <c r="B424" s="220"/>
      <c r="D424" s="222"/>
      <c r="E424" s="222"/>
      <c r="F424" s="223"/>
      <c r="H424" s="223"/>
      <c r="K424" s="223"/>
      <c r="M424" s="223"/>
    </row>
    <row r="425" customFormat="false" ht="12.75" hidden="false" customHeight="false" outlineLevel="0" collapsed="false">
      <c r="A425" s="220"/>
      <c r="B425" s="220"/>
      <c r="D425" s="222"/>
      <c r="E425" s="222"/>
      <c r="F425" s="223"/>
      <c r="H425" s="223"/>
      <c r="K425" s="223"/>
      <c r="M425" s="223"/>
    </row>
    <row r="426" customFormat="false" ht="12.75" hidden="false" customHeight="false" outlineLevel="0" collapsed="false">
      <c r="A426" s="220"/>
      <c r="B426" s="220"/>
      <c r="D426" s="222"/>
      <c r="E426" s="222"/>
      <c r="F426" s="223"/>
      <c r="H426" s="223"/>
      <c r="K426" s="223"/>
      <c r="M426" s="223"/>
    </row>
    <row r="427" customFormat="false" ht="12.75" hidden="false" customHeight="false" outlineLevel="0" collapsed="false">
      <c r="A427" s="220"/>
      <c r="B427" s="220"/>
      <c r="D427" s="222"/>
      <c r="E427" s="222"/>
      <c r="F427" s="223"/>
      <c r="H427" s="223"/>
      <c r="K427" s="223"/>
      <c r="M427" s="223"/>
    </row>
    <row r="428" customFormat="false" ht="12.75" hidden="false" customHeight="false" outlineLevel="0" collapsed="false">
      <c r="A428" s="220"/>
      <c r="B428" s="220"/>
      <c r="D428" s="222"/>
      <c r="E428" s="222"/>
      <c r="F428" s="223"/>
      <c r="H428" s="223"/>
      <c r="K428" s="223"/>
      <c r="M428" s="223"/>
    </row>
    <row r="429" customFormat="false" ht="12.75" hidden="false" customHeight="false" outlineLevel="0" collapsed="false">
      <c r="A429" s="220"/>
      <c r="B429" s="220"/>
      <c r="D429" s="222"/>
      <c r="E429" s="222"/>
      <c r="F429" s="223"/>
      <c r="H429" s="223"/>
      <c r="K429" s="223"/>
      <c r="M429" s="223"/>
    </row>
    <row r="430" customFormat="false" ht="12.75" hidden="false" customHeight="false" outlineLevel="0" collapsed="false">
      <c r="A430" s="220"/>
      <c r="B430" s="220"/>
      <c r="D430" s="222"/>
      <c r="E430" s="222"/>
      <c r="F430" s="223"/>
      <c r="H430" s="223"/>
      <c r="K430" s="223"/>
      <c r="M430" s="223"/>
    </row>
    <row r="431" customFormat="false" ht="12.75" hidden="false" customHeight="false" outlineLevel="0" collapsed="false">
      <c r="A431" s="220"/>
      <c r="B431" s="220"/>
      <c r="D431" s="222"/>
      <c r="E431" s="222"/>
      <c r="F431" s="223"/>
      <c r="H431" s="223"/>
      <c r="K431" s="223"/>
      <c r="M431" s="223"/>
    </row>
    <row r="432" customFormat="false" ht="12.75" hidden="false" customHeight="false" outlineLevel="0" collapsed="false">
      <c r="A432" s="220"/>
      <c r="B432" s="220"/>
      <c r="D432" s="222"/>
      <c r="E432" s="222"/>
      <c r="F432" s="223"/>
      <c r="H432" s="223"/>
      <c r="K432" s="223"/>
      <c r="M432" s="223"/>
    </row>
    <row r="433" customFormat="false" ht="12.75" hidden="false" customHeight="false" outlineLevel="0" collapsed="false">
      <c r="A433" s="220"/>
      <c r="B433" s="220"/>
      <c r="D433" s="222"/>
      <c r="E433" s="222"/>
      <c r="F433" s="223"/>
      <c r="H433" s="223"/>
      <c r="K433" s="223"/>
      <c r="M433" s="223"/>
    </row>
    <row r="434" customFormat="false" ht="12.75" hidden="false" customHeight="false" outlineLevel="0" collapsed="false">
      <c r="A434" s="220"/>
      <c r="B434" s="220"/>
      <c r="D434" s="222"/>
      <c r="E434" s="222"/>
      <c r="F434" s="223"/>
      <c r="H434" s="223"/>
      <c r="K434" s="223"/>
      <c r="M434" s="223"/>
    </row>
    <row r="435" customFormat="false" ht="12.75" hidden="false" customHeight="false" outlineLevel="0" collapsed="false">
      <c r="A435" s="220"/>
      <c r="B435" s="220"/>
      <c r="D435" s="222"/>
      <c r="E435" s="222"/>
      <c r="F435" s="223"/>
      <c r="H435" s="223"/>
      <c r="K435" s="223"/>
      <c r="M435" s="223"/>
    </row>
    <row r="436" customFormat="false" ht="12.75" hidden="false" customHeight="false" outlineLevel="0" collapsed="false">
      <c r="A436" s="220"/>
      <c r="B436" s="220"/>
      <c r="D436" s="222"/>
      <c r="E436" s="222"/>
      <c r="F436" s="223"/>
      <c r="H436" s="223"/>
      <c r="K436" s="223"/>
      <c r="M436" s="223"/>
    </row>
    <row r="437" customFormat="false" ht="12.75" hidden="false" customHeight="false" outlineLevel="0" collapsed="false">
      <c r="A437" s="220"/>
      <c r="B437" s="220"/>
      <c r="D437" s="222"/>
      <c r="E437" s="222"/>
      <c r="F437" s="223"/>
      <c r="H437" s="223"/>
      <c r="K437" s="223"/>
      <c r="M437" s="223"/>
    </row>
    <row r="438" customFormat="false" ht="12.75" hidden="false" customHeight="false" outlineLevel="0" collapsed="false">
      <c r="A438" s="220"/>
      <c r="B438" s="220"/>
      <c r="D438" s="222"/>
      <c r="E438" s="222"/>
      <c r="F438" s="223"/>
      <c r="H438" s="223"/>
      <c r="K438" s="223"/>
      <c r="M438" s="223"/>
    </row>
    <row r="439" customFormat="false" ht="12.75" hidden="false" customHeight="false" outlineLevel="0" collapsed="false">
      <c r="A439" s="220"/>
      <c r="B439" s="220"/>
      <c r="D439" s="222"/>
      <c r="E439" s="222"/>
      <c r="F439" s="223"/>
      <c r="H439" s="223"/>
      <c r="K439" s="223"/>
      <c r="M439" s="223"/>
    </row>
    <row r="440" customFormat="false" ht="12.75" hidden="false" customHeight="false" outlineLevel="0" collapsed="false">
      <c r="A440" s="220"/>
      <c r="B440" s="220"/>
      <c r="D440" s="222"/>
      <c r="E440" s="222"/>
      <c r="F440" s="223"/>
      <c r="H440" s="223"/>
      <c r="K440" s="223"/>
      <c r="M440" s="223"/>
    </row>
    <row r="441" customFormat="false" ht="12.75" hidden="false" customHeight="false" outlineLevel="0" collapsed="false">
      <c r="A441" s="220"/>
      <c r="B441" s="220"/>
      <c r="D441" s="222"/>
      <c r="E441" s="222"/>
      <c r="F441" s="223"/>
      <c r="H441" s="223"/>
      <c r="K441" s="223"/>
      <c r="M441" s="223"/>
    </row>
    <row r="442" customFormat="false" ht="12.75" hidden="false" customHeight="false" outlineLevel="0" collapsed="false">
      <c r="A442" s="220"/>
      <c r="B442" s="220"/>
      <c r="D442" s="222"/>
      <c r="E442" s="222"/>
      <c r="F442" s="223"/>
      <c r="H442" s="223"/>
      <c r="K442" s="223"/>
      <c r="M442" s="223"/>
    </row>
    <row r="443" customFormat="false" ht="12.75" hidden="false" customHeight="false" outlineLevel="0" collapsed="false">
      <c r="A443" s="220"/>
      <c r="B443" s="220"/>
      <c r="D443" s="222"/>
      <c r="E443" s="222"/>
      <c r="F443" s="223"/>
      <c r="H443" s="223"/>
      <c r="K443" s="223"/>
      <c r="M443" s="223"/>
    </row>
    <row r="444" customFormat="false" ht="12.75" hidden="false" customHeight="false" outlineLevel="0" collapsed="false">
      <c r="A444" s="220"/>
      <c r="B444" s="220"/>
      <c r="D444" s="222"/>
      <c r="E444" s="222"/>
      <c r="F444" s="223"/>
      <c r="H444" s="223"/>
      <c r="K444" s="223"/>
      <c r="M444" s="223"/>
    </row>
    <row r="445" customFormat="false" ht="12.75" hidden="false" customHeight="false" outlineLevel="0" collapsed="false">
      <c r="A445" s="220"/>
      <c r="B445" s="220"/>
      <c r="D445" s="222"/>
      <c r="E445" s="222"/>
      <c r="F445" s="223"/>
      <c r="H445" s="223"/>
      <c r="K445" s="223"/>
      <c r="M445" s="223"/>
    </row>
    <row r="446" customFormat="false" ht="12.75" hidden="false" customHeight="false" outlineLevel="0" collapsed="false">
      <c r="A446" s="220"/>
      <c r="B446" s="220"/>
      <c r="D446" s="222"/>
      <c r="E446" s="222"/>
      <c r="F446" s="223"/>
      <c r="H446" s="223"/>
      <c r="K446" s="223"/>
      <c r="M446" s="223"/>
    </row>
    <row r="447" customFormat="false" ht="12.75" hidden="false" customHeight="false" outlineLevel="0" collapsed="false">
      <c r="A447" s="220"/>
      <c r="B447" s="220"/>
      <c r="D447" s="222"/>
      <c r="E447" s="222"/>
      <c r="F447" s="223"/>
      <c r="H447" s="223"/>
      <c r="K447" s="223"/>
      <c r="M447" s="223"/>
    </row>
    <row r="448" customFormat="false" ht="12.75" hidden="false" customHeight="false" outlineLevel="0" collapsed="false">
      <c r="A448" s="220"/>
      <c r="B448" s="220"/>
      <c r="D448" s="222"/>
      <c r="E448" s="222"/>
      <c r="F448" s="223"/>
      <c r="H448" s="223"/>
      <c r="K448" s="223"/>
      <c r="M448" s="223"/>
    </row>
    <row r="449" customFormat="false" ht="12.75" hidden="false" customHeight="false" outlineLevel="0" collapsed="false">
      <c r="A449" s="220"/>
      <c r="B449" s="220"/>
      <c r="D449" s="222"/>
      <c r="E449" s="222"/>
      <c r="F449" s="223"/>
      <c r="H449" s="223"/>
      <c r="K449" s="223"/>
      <c r="M449" s="223"/>
    </row>
    <row r="450" customFormat="false" ht="12.75" hidden="false" customHeight="false" outlineLevel="0" collapsed="false">
      <c r="A450" s="220"/>
      <c r="B450" s="220"/>
      <c r="D450" s="222"/>
      <c r="E450" s="222"/>
      <c r="F450" s="223"/>
      <c r="H450" s="223"/>
      <c r="K450" s="223"/>
      <c r="M450" s="223"/>
    </row>
    <row r="451" customFormat="false" ht="12.75" hidden="false" customHeight="false" outlineLevel="0" collapsed="false">
      <c r="A451" s="220"/>
      <c r="B451" s="220"/>
      <c r="D451" s="222"/>
      <c r="E451" s="222"/>
      <c r="F451" s="223"/>
      <c r="H451" s="223"/>
      <c r="K451" s="223"/>
      <c r="M451" s="223"/>
    </row>
    <row r="452" customFormat="false" ht="12.75" hidden="false" customHeight="false" outlineLevel="0" collapsed="false">
      <c r="A452" s="220"/>
      <c r="B452" s="220"/>
      <c r="D452" s="222"/>
      <c r="E452" s="222"/>
      <c r="F452" s="223"/>
      <c r="H452" s="223"/>
      <c r="K452" s="223"/>
      <c r="M452" s="223"/>
    </row>
    <row r="453" customFormat="false" ht="12.75" hidden="false" customHeight="false" outlineLevel="0" collapsed="false">
      <c r="A453" s="220"/>
      <c r="B453" s="220"/>
      <c r="D453" s="222"/>
      <c r="E453" s="222"/>
      <c r="F453" s="223"/>
      <c r="H453" s="223"/>
      <c r="K453" s="223"/>
      <c r="M453" s="223"/>
    </row>
    <row r="454" customFormat="false" ht="12.75" hidden="false" customHeight="false" outlineLevel="0" collapsed="false">
      <c r="A454" s="220"/>
      <c r="B454" s="220"/>
      <c r="D454" s="222"/>
      <c r="E454" s="222"/>
      <c r="F454" s="223"/>
      <c r="H454" s="223"/>
      <c r="K454" s="223"/>
      <c r="M454" s="223"/>
    </row>
    <row r="455" customFormat="false" ht="12.75" hidden="false" customHeight="false" outlineLevel="0" collapsed="false">
      <c r="A455" s="220"/>
      <c r="B455" s="220"/>
      <c r="D455" s="222"/>
      <c r="E455" s="222"/>
      <c r="F455" s="223"/>
      <c r="H455" s="223"/>
      <c r="K455" s="223"/>
      <c r="M455" s="223"/>
    </row>
    <row r="456" customFormat="false" ht="12.75" hidden="false" customHeight="false" outlineLevel="0" collapsed="false">
      <c r="A456" s="220"/>
      <c r="B456" s="220"/>
      <c r="D456" s="222"/>
      <c r="E456" s="222"/>
      <c r="F456" s="223"/>
      <c r="H456" s="223"/>
      <c r="K456" s="223"/>
      <c r="M456" s="223"/>
    </row>
    <row r="457" customFormat="false" ht="12.75" hidden="false" customHeight="false" outlineLevel="0" collapsed="false">
      <c r="A457" s="220"/>
      <c r="B457" s="220"/>
      <c r="D457" s="222"/>
      <c r="E457" s="222"/>
      <c r="F457" s="223"/>
      <c r="H457" s="223"/>
      <c r="K457" s="223"/>
      <c r="M457" s="223"/>
    </row>
    <row r="458" customFormat="false" ht="12.75" hidden="false" customHeight="false" outlineLevel="0" collapsed="false">
      <c r="A458" s="220"/>
      <c r="B458" s="220"/>
      <c r="D458" s="222"/>
      <c r="E458" s="222"/>
      <c r="F458" s="223"/>
      <c r="H458" s="223"/>
      <c r="K458" s="223"/>
      <c r="M458" s="223"/>
    </row>
    <row r="459" customFormat="false" ht="12.75" hidden="false" customHeight="false" outlineLevel="0" collapsed="false">
      <c r="A459" s="220"/>
      <c r="B459" s="220"/>
      <c r="D459" s="222"/>
      <c r="E459" s="222"/>
      <c r="F459" s="223"/>
      <c r="H459" s="223"/>
      <c r="K459" s="223"/>
      <c r="M459" s="223"/>
    </row>
    <row r="460" customFormat="false" ht="12.75" hidden="false" customHeight="false" outlineLevel="0" collapsed="false">
      <c r="A460" s="220"/>
      <c r="B460" s="220"/>
      <c r="D460" s="222"/>
      <c r="E460" s="222"/>
      <c r="F460" s="223"/>
      <c r="H460" s="223"/>
      <c r="K460" s="223"/>
      <c r="M460" s="223"/>
    </row>
    <row r="461" customFormat="false" ht="12.75" hidden="false" customHeight="false" outlineLevel="0" collapsed="false">
      <c r="A461" s="220"/>
      <c r="B461" s="220"/>
      <c r="D461" s="222"/>
      <c r="E461" s="222"/>
      <c r="F461" s="223"/>
      <c r="H461" s="223"/>
      <c r="K461" s="223"/>
      <c r="M461" s="223"/>
    </row>
    <row r="462" customFormat="false" ht="12.75" hidden="false" customHeight="false" outlineLevel="0" collapsed="false">
      <c r="A462" s="220"/>
      <c r="B462" s="220"/>
      <c r="D462" s="222"/>
      <c r="E462" s="222"/>
      <c r="F462" s="223"/>
      <c r="H462" s="223"/>
      <c r="K462" s="223"/>
      <c r="M462" s="223"/>
    </row>
    <row r="463" customFormat="false" ht="12.75" hidden="false" customHeight="false" outlineLevel="0" collapsed="false">
      <c r="A463" s="220"/>
      <c r="B463" s="220"/>
      <c r="D463" s="222"/>
      <c r="E463" s="222"/>
      <c r="F463" s="223"/>
      <c r="H463" s="223"/>
      <c r="K463" s="223"/>
      <c r="M463" s="223"/>
    </row>
    <row r="464" customFormat="false" ht="12.75" hidden="false" customHeight="false" outlineLevel="0" collapsed="false">
      <c r="A464" s="220"/>
      <c r="B464" s="220"/>
      <c r="D464" s="222"/>
      <c r="E464" s="222"/>
      <c r="F464" s="223"/>
      <c r="H464" s="223"/>
      <c r="K464" s="223"/>
      <c r="M464" s="223"/>
    </row>
    <row r="465" customFormat="false" ht="12.75" hidden="false" customHeight="false" outlineLevel="0" collapsed="false">
      <c r="A465" s="220"/>
      <c r="B465" s="220"/>
      <c r="D465" s="222"/>
      <c r="E465" s="222"/>
      <c r="F465" s="223"/>
      <c r="H465" s="223"/>
      <c r="K465" s="223"/>
      <c r="M465" s="223"/>
    </row>
    <row r="466" customFormat="false" ht="12.75" hidden="false" customHeight="false" outlineLevel="0" collapsed="false">
      <c r="A466" s="220"/>
      <c r="B466" s="220"/>
      <c r="D466" s="222"/>
      <c r="E466" s="222"/>
      <c r="F466" s="223"/>
      <c r="H466" s="223"/>
      <c r="K466" s="223"/>
      <c r="M466" s="223"/>
    </row>
    <row r="467" customFormat="false" ht="12.75" hidden="false" customHeight="false" outlineLevel="0" collapsed="false">
      <c r="A467" s="220"/>
      <c r="B467" s="220"/>
      <c r="D467" s="222"/>
      <c r="E467" s="222"/>
      <c r="F467" s="223"/>
      <c r="H467" s="223"/>
      <c r="K467" s="223"/>
      <c r="M467" s="223"/>
    </row>
    <row r="468" customFormat="false" ht="12.75" hidden="false" customHeight="false" outlineLevel="0" collapsed="false">
      <c r="A468" s="220"/>
      <c r="B468" s="220"/>
      <c r="D468" s="222"/>
      <c r="E468" s="222"/>
      <c r="F468" s="223"/>
      <c r="H468" s="223"/>
      <c r="K468" s="223"/>
      <c r="M468" s="223"/>
    </row>
    <row r="469" customFormat="false" ht="12.75" hidden="false" customHeight="false" outlineLevel="0" collapsed="false">
      <c r="A469" s="220"/>
      <c r="B469" s="220"/>
      <c r="D469" s="222"/>
      <c r="E469" s="222"/>
      <c r="F469" s="223"/>
      <c r="H469" s="223"/>
      <c r="K469" s="223"/>
      <c r="M469" s="223"/>
    </row>
    <row r="470" customFormat="false" ht="12.75" hidden="false" customHeight="false" outlineLevel="0" collapsed="false">
      <c r="A470" s="220"/>
      <c r="B470" s="220"/>
      <c r="D470" s="222"/>
      <c r="E470" s="222"/>
      <c r="F470" s="223"/>
      <c r="H470" s="223"/>
      <c r="K470" s="223"/>
      <c r="M470" s="223"/>
    </row>
    <row r="471" customFormat="false" ht="12.75" hidden="false" customHeight="false" outlineLevel="0" collapsed="false">
      <c r="A471" s="220"/>
      <c r="B471" s="220"/>
      <c r="D471" s="222"/>
      <c r="E471" s="222"/>
      <c r="F471" s="223"/>
      <c r="H471" s="223"/>
      <c r="K471" s="223"/>
      <c r="M471" s="223"/>
    </row>
    <row r="472" customFormat="false" ht="12.75" hidden="false" customHeight="false" outlineLevel="0" collapsed="false">
      <c r="A472" s="220"/>
      <c r="B472" s="220"/>
      <c r="D472" s="222"/>
      <c r="E472" s="222"/>
      <c r="F472" s="223"/>
      <c r="H472" s="223"/>
      <c r="K472" s="223"/>
      <c r="M472" s="223"/>
    </row>
    <row r="473" customFormat="false" ht="12.75" hidden="false" customHeight="false" outlineLevel="0" collapsed="false">
      <c r="A473" s="220"/>
      <c r="B473" s="220"/>
      <c r="D473" s="222"/>
      <c r="E473" s="222"/>
      <c r="F473" s="223"/>
      <c r="H473" s="223"/>
      <c r="K473" s="223"/>
      <c r="M473" s="223"/>
    </row>
    <row r="474" customFormat="false" ht="12.75" hidden="false" customHeight="false" outlineLevel="0" collapsed="false">
      <c r="A474" s="220"/>
      <c r="B474" s="220"/>
      <c r="D474" s="222"/>
      <c r="E474" s="222"/>
      <c r="F474" s="223"/>
      <c r="H474" s="223"/>
      <c r="K474" s="223"/>
      <c r="M474" s="223"/>
    </row>
    <row r="475" customFormat="false" ht="12.75" hidden="false" customHeight="false" outlineLevel="0" collapsed="false">
      <c r="A475" s="220"/>
      <c r="B475" s="220"/>
      <c r="D475" s="222"/>
      <c r="E475" s="222"/>
      <c r="F475" s="223"/>
      <c r="H475" s="223"/>
      <c r="K475" s="223"/>
      <c r="M475" s="223"/>
    </row>
    <row r="476" customFormat="false" ht="12.75" hidden="false" customHeight="false" outlineLevel="0" collapsed="false">
      <c r="A476" s="220"/>
      <c r="B476" s="220"/>
      <c r="D476" s="222"/>
      <c r="E476" s="222"/>
      <c r="F476" s="223"/>
      <c r="H476" s="223"/>
      <c r="K476" s="223"/>
      <c r="M476" s="223"/>
    </row>
    <row r="477" customFormat="false" ht="12.75" hidden="false" customHeight="false" outlineLevel="0" collapsed="false">
      <c r="A477" s="220"/>
      <c r="B477" s="220"/>
      <c r="D477" s="222"/>
      <c r="E477" s="222"/>
      <c r="F477" s="223"/>
      <c r="H477" s="223"/>
      <c r="K477" s="223"/>
      <c r="M477" s="223"/>
    </row>
    <row r="478" customFormat="false" ht="12.75" hidden="false" customHeight="false" outlineLevel="0" collapsed="false">
      <c r="A478" s="220"/>
      <c r="B478" s="220"/>
      <c r="D478" s="222"/>
      <c r="E478" s="222"/>
      <c r="F478" s="223"/>
      <c r="H478" s="223"/>
      <c r="K478" s="223"/>
      <c r="M478" s="223"/>
    </row>
    <row r="479" customFormat="false" ht="12.75" hidden="false" customHeight="false" outlineLevel="0" collapsed="false">
      <c r="A479" s="220"/>
      <c r="B479" s="220"/>
      <c r="D479" s="222"/>
      <c r="E479" s="222"/>
      <c r="F479" s="223"/>
      <c r="H479" s="223"/>
      <c r="K479" s="223"/>
      <c r="M479" s="223"/>
    </row>
    <row r="480" customFormat="false" ht="12.75" hidden="false" customHeight="false" outlineLevel="0" collapsed="false">
      <c r="A480" s="220"/>
      <c r="B480" s="220"/>
      <c r="D480" s="222"/>
      <c r="E480" s="222"/>
      <c r="F480" s="223"/>
      <c r="H480" s="223"/>
      <c r="K480" s="223"/>
      <c r="M480" s="223"/>
    </row>
    <row r="481" customFormat="false" ht="12.75" hidden="false" customHeight="false" outlineLevel="0" collapsed="false">
      <c r="A481" s="220"/>
      <c r="B481" s="220"/>
      <c r="D481" s="222"/>
      <c r="E481" s="222"/>
      <c r="F481" s="223"/>
      <c r="H481" s="223"/>
      <c r="K481" s="223"/>
      <c r="M481" s="223"/>
    </row>
    <row r="482" customFormat="false" ht="12.75" hidden="false" customHeight="false" outlineLevel="0" collapsed="false">
      <c r="A482" s="220"/>
      <c r="B482" s="220"/>
      <c r="D482" s="222"/>
      <c r="E482" s="222"/>
      <c r="F482" s="223"/>
      <c r="H482" s="223"/>
      <c r="K482" s="223"/>
      <c r="M482" s="223"/>
    </row>
    <row r="483" customFormat="false" ht="12.75" hidden="false" customHeight="false" outlineLevel="0" collapsed="false">
      <c r="A483" s="220"/>
      <c r="B483" s="220"/>
      <c r="D483" s="222"/>
      <c r="E483" s="222"/>
      <c r="F483" s="223"/>
      <c r="H483" s="223"/>
      <c r="K483" s="223"/>
      <c r="M483" s="223"/>
    </row>
    <row r="484" customFormat="false" ht="12.75" hidden="false" customHeight="false" outlineLevel="0" collapsed="false">
      <c r="A484" s="220"/>
      <c r="B484" s="220"/>
      <c r="D484" s="222"/>
      <c r="E484" s="222"/>
      <c r="F484" s="223"/>
      <c r="H484" s="223"/>
      <c r="K484" s="223"/>
      <c r="M484" s="223"/>
    </row>
    <row r="485" customFormat="false" ht="12.75" hidden="false" customHeight="false" outlineLevel="0" collapsed="false">
      <c r="A485" s="220"/>
      <c r="B485" s="220"/>
      <c r="D485" s="222"/>
      <c r="E485" s="222"/>
      <c r="F485" s="223"/>
      <c r="H485" s="223"/>
      <c r="K485" s="223"/>
      <c r="M485" s="223"/>
    </row>
    <row r="486" customFormat="false" ht="12.75" hidden="false" customHeight="false" outlineLevel="0" collapsed="false">
      <c r="A486" s="220"/>
      <c r="B486" s="220"/>
      <c r="D486" s="222"/>
      <c r="E486" s="222"/>
      <c r="F486" s="223"/>
      <c r="H486" s="223"/>
      <c r="K486" s="223"/>
      <c r="M486" s="223"/>
    </row>
    <row r="487" customFormat="false" ht="12.75" hidden="false" customHeight="false" outlineLevel="0" collapsed="false">
      <c r="A487" s="220"/>
      <c r="B487" s="220"/>
      <c r="D487" s="222"/>
      <c r="E487" s="222"/>
      <c r="F487" s="223"/>
      <c r="H487" s="223"/>
      <c r="K487" s="223"/>
      <c r="M487" s="223"/>
    </row>
    <row r="488" customFormat="false" ht="12.75" hidden="false" customHeight="false" outlineLevel="0" collapsed="false">
      <c r="A488" s="220"/>
      <c r="B488" s="220"/>
      <c r="D488" s="222"/>
      <c r="E488" s="222"/>
      <c r="F488" s="223"/>
      <c r="H488" s="223"/>
      <c r="K488" s="223"/>
      <c r="M488" s="223"/>
    </row>
    <row r="489" customFormat="false" ht="12.75" hidden="false" customHeight="false" outlineLevel="0" collapsed="false">
      <c r="A489" s="220"/>
      <c r="B489" s="220"/>
      <c r="D489" s="222"/>
      <c r="E489" s="222"/>
      <c r="F489" s="223"/>
      <c r="H489" s="223"/>
      <c r="K489" s="223"/>
      <c r="M489" s="223"/>
    </row>
    <row r="490" customFormat="false" ht="12.75" hidden="false" customHeight="false" outlineLevel="0" collapsed="false">
      <c r="A490" s="220"/>
      <c r="B490" s="220"/>
      <c r="D490" s="222"/>
      <c r="E490" s="222"/>
      <c r="F490" s="223"/>
      <c r="H490" s="223"/>
      <c r="K490" s="223"/>
      <c r="M490" s="223"/>
    </row>
    <row r="491" customFormat="false" ht="12.75" hidden="false" customHeight="false" outlineLevel="0" collapsed="false">
      <c r="A491" s="220"/>
      <c r="B491" s="220"/>
      <c r="D491" s="222"/>
      <c r="E491" s="222"/>
      <c r="F491" s="223"/>
      <c r="H491" s="223"/>
      <c r="K491" s="223"/>
      <c r="M491" s="223"/>
    </row>
    <row r="492" customFormat="false" ht="12.75" hidden="false" customHeight="false" outlineLevel="0" collapsed="false">
      <c r="A492" s="220"/>
      <c r="B492" s="220"/>
      <c r="D492" s="222"/>
      <c r="E492" s="222"/>
      <c r="F492" s="223"/>
      <c r="H492" s="223"/>
      <c r="K492" s="223"/>
      <c r="M492" s="223"/>
    </row>
    <row r="493" customFormat="false" ht="12.75" hidden="false" customHeight="false" outlineLevel="0" collapsed="false">
      <c r="A493" s="220"/>
      <c r="B493" s="220"/>
      <c r="D493" s="222"/>
      <c r="E493" s="222"/>
      <c r="F493" s="223"/>
      <c r="H493" s="223"/>
      <c r="K493" s="223"/>
      <c r="M493" s="223"/>
    </row>
    <row r="494" customFormat="false" ht="12.75" hidden="false" customHeight="false" outlineLevel="0" collapsed="false">
      <c r="A494" s="220"/>
      <c r="B494" s="220"/>
      <c r="D494" s="222"/>
      <c r="E494" s="222"/>
      <c r="F494" s="223"/>
      <c r="H494" s="223"/>
      <c r="K494" s="223"/>
      <c r="M494" s="223"/>
    </row>
    <row r="495" customFormat="false" ht="12.75" hidden="false" customHeight="false" outlineLevel="0" collapsed="false">
      <c r="A495" s="220"/>
      <c r="B495" s="220"/>
      <c r="D495" s="222"/>
      <c r="E495" s="222"/>
      <c r="F495" s="223"/>
      <c r="H495" s="223"/>
      <c r="K495" s="223"/>
      <c r="M495" s="223"/>
    </row>
    <row r="496" customFormat="false" ht="12.75" hidden="false" customHeight="false" outlineLevel="0" collapsed="false">
      <c r="A496" s="220"/>
      <c r="B496" s="220"/>
      <c r="D496" s="222"/>
      <c r="E496" s="222"/>
      <c r="F496" s="223"/>
      <c r="H496" s="223"/>
      <c r="K496" s="223"/>
      <c r="M496" s="223"/>
    </row>
    <row r="497" customFormat="false" ht="12.75" hidden="false" customHeight="false" outlineLevel="0" collapsed="false">
      <c r="A497" s="220"/>
      <c r="B497" s="220"/>
      <c r="D497" s="222"/>
      <c r="E497" s="222"/>
      <c r="F497" s="223"/>
      <c r="H497" s="223"/>
      <c r="K497" s="223"/>
      <c r="M497" s="223"/>
    </row>
    <row r="498" customFormat="false" ht="12.75" hidden="false" customHeight="false" outlineLevel="0" collapsed="false">
      <c r="A498" s="220"/>
      <c r="B498" s="220"/>
      <c r="D498" s="222"/>
      <c r="E498" s="222"/>
      <c r="F498" s="223"/>
      <c r="H498" s="223"/>
      <c r="K498" s="223"/>
      <c r="M498" s="223"/>
    </row>
    <row r="499" customFormat="false" ht="12.75" hidden="false" customHeight="false" outlineLevel="0" collapsed="false">
      <c r="A499" s="220"/>
      <c r="B499" s="220"/>
      <c r="D499" s="222"/>
      <c r="E499" s="222"/>
      <c r="F499" s="223"/>
      <c r="H499" s="223"/>
      <c r="K499" s="223"/>
      <c r="M499" s="223"/>
    </row>
    <row r="500" customFormat="false" ht="12.75" hidden="false" customHeight="false" outlineLevel="0" collapsed="false">
      <c r="A500" s="220"/>
      <c r="B500" s="220"/>
      <c r="D500" s="222"/>
      <c r="E500" s="222"/>
      <c r="F500" s="223"/>
      <c r="H500" s="223"/>
      <c r="K500" s="223"/>
      <c r="M500" s="223"/>
    </row>
    <row r="501" customFormat="false" ht="12.75" hidden="false" customHeight="false" outlineLevel="0" collapsed="false">
      <c r="A501" s="220"/>
      <c r="B501" s="220"/>
      <c r="D501" s="222"/>
      <c r="E501" s="222"/>
      <c r="F501" s="223"/>
      <c r="H501" s="223"/>
      <c r="K501" s="223"/>
      <c r="M501" s="223"/>
    </row>
    <row r="502" customFormat="false" ht="12.75" hidden="false" customHeight="false" outlineLevel="0" collapsed="false">
      <c r="A502" s="220"/>
      <c r="B502" s="220"/>
      <c r="D502" s="222"/>
      <c r="E502" s="222"/>
      <c r="F502" s="223"/>
      <c r="H502" s="223"/>
      <c r="K502" s="223"/>
      <c r="M502" s="223"/>
    </row>
    <row r="503" customFormat="false" ht="12.75" hidden="false" customHeight="false" outlineLevel="0" collapsed="false">
      <c r="A503" s="220"/>
      <c r="B503" s="220"/>
      <c r="D503" s="222"/>
      <c r="E503" s="222"/>
      <c r="F503" s="223"/>
      <c r="H503" s="223"/>
      <c r="K503" s="223"/>
      <c r="M503" s="223"/>
    </row>
    <row r="504" customFormat="false" ht="12.75" hidden="false" customHeight="false" outlineLevel="0" collapsed="false">
      <c r="A504" s="220"/>
      <c r="B504" s="220"/>
      <c r="D504" s="222"/>
      <c r="E504" s="222"/>
      <c r="F504" s="223"/>
      <c r="H504" s="223"/>
      <c r="K504" s="223"/>
      <c r="M504" s="223"/>
    </row>
    <row r="505" customFormat="false" ht="12.75" hidden="false" customHeight="false" outlineLevel="0" collapsed="false">
      <c r="A505" s="220"/>
      <c r="B505" s="220"/>
      <c r="D505" s="222"/>
      <c r="E505" s="222"/>
      <c r="F505" s="223"/>
      <c r="H505" s="223"/>
      <c r="K505" s="223"/>
      <c r="M505" s="223"/>
    </row>
    <row r="506" customFormat="false" ht="12.75" hidden="false" customHeight="false" outlineLevel="0" collapsed="false">
      <c r="A506" s="220"/>
      <c r="B506" s="220"/>
      <c r="D506" s="222"/>
      <c r="E506" s="222"/>
      <c r="F506" s="223"/>
      <c r="H506" s="223"/>
      <c r="K506" s="223"/>
      <c r="M506" s="223"/>
    </row>
    <row r="507" customFormat="false" ht="12.75" hidden="false" customHeight="false" outlineLevel="0" collapsed="false">
      <c r="A507" s="220"/>
      <c r="B507" s="220"/>
      <c r="D507" s="222"/>
      <c r="E507" s="222"/>
      <c r="F507" s="223"/>
      <c r="H507" s="223"/>
      <c r="K507" s="223"/>
      <c r="M507" s="223"/>
    </row>
    <row r="508" customFormat="false" ht="12.75" hidden="false" customHeight="false" outlineLevel="0" collapsed="false">
      <c r="A508" s="220"/>
      <c r="B508" s="220"/>
      <c r="D508" s="222"/>
      <c r="E508" s="222"/>
      <c r="F508" s="223"/>
      <c r="H508" s="223"/>
      <c r="K508" s="223"/>
      <c r="M508" s="223"/>
    </row>
    <row r="509" customFormat="false" ht="12.75" hidden="false" customHeight="false" outlineLevel="0" collapsed="false">
      <c r="A509" s="220"/>
      <c r="B509" s="220"/>
      <c r="D509" s="222"/>
      <c r="E509" s="222"/>
      <c r="F509" s="223"/>
      <c r="H509" s="223"/>
      <c r="K509" s="223"/>
      <c r="M509" s="223"/>
    </row>
    <row r="510" customFormat="false" ht="12.75" hidden="false" customHeight="false" outlineLevel="0" collapsed="false">
      <c r="A510" s="220"/>
      <c r="B510" s="220"/>
      <c r="D510" s="222"/>
      <c r="E510" s="222"/>
      <c r="F510" s="223"/>
      <c r="H510" s="223"/>
      <c r="K510" s="223"/>
      <c r="M510" s="223"/>
    </row>
    <row r="511" customFormat="false" ht="12.75" hidden="false" customHeight="false" outlineLevel="0" collapsed="false">
      <c r="A511" s="220"/>
      <c r="B511" s="220"/>
      <c r="D511" s="222"/>
      <c r="E511" s="222"/>
      <c r="F511" s="223"/>
      <c r="H511" s="223"/>
      <c r="K511" s="223"/>
      <c r="M511" s="223"/>
    </row>
    <row r="512" customFormat="false" ht="12.75" hidden="false" customHeight="false" outlineLevel="0" collapsed="false">
      <c r="A512" s="220"/>
      <c r="B512" s="220"/>
      <c r="D512" s="222"/>
      <c r="E512" s="222"/>
      <c r="F512" s="223"/>
      <c r="H512" s="223"/>
      <c r="K512" s="223"/>
      <c r="M512" s="223"/>
    </row>
    <row r="513" customFormat="false" ht="12.75" hidden="false" customHeight="false" outlineLevel="0" collapsed="false">
      <c r="A513" s="220"/>
      <c r="B513" s="220"/>
      <c r="D513" s="222"/>
      <c r="E513" s="222"/>
      <c r="F513" s="223"/>
      <c r="H513" s="223"/>
      <c r="K513" s="223"/>
      <c r="M513" s="223"/>
    </row>
    <row r="514" customFormat="false" ht="12.75" hidden="false" customHeight="false" outlineLevel="0" collapsed="false">
      <c r="A514" s="220"/>
      <c r="B514" s="220"/>
      <c r="D514" s="222"/>
      <c r="E514" s="222"/>
      <c r="F514" s="223"/>
      <c r="H514" s="223"/>
      <c r="K514" s="223"/>
      <c r="M514" s="223"/>
    </row>
    <row r="515" customFormat="false" ht="12.75" hidden="false" customHeight="false" outlineLevel="0" collapsed="false">
      <c r="A515" s="220"/>
      <c r="B515" s="220"/>
      <c r="D515" s="222"/>
      <c r="E515" s="222"/>
      <c r="F515" s="223"/>
      <c r="H515" s="223"/>
      <c r="K515" s="223"/>
      <c r="M515" s="223"/>
    </row>
    <row r="516" customFormat="false" ht="12.75" hidden="false" customHeight="false" outlineLevel="0" collapsed="false">
      <c r="A516" s="220"/>
      <c r="B516" s="220"/>
      <c r="D516" s="222"/>
      <c r="E516" s="222"/>
      <c r="F516" s="223"/>
      <c r="H516" s="223"/>
      <c r="K516" s="223"/>
      <c r="M516" s="223"/>
    </row>
    <row r="517" customFormat="false" ht="12.75" hidden="false" customHeight="false" outlineLevel="0" collapsed="false">
      <c r="A517" s="220"/>
      <c r="B517" s="220"/>
      <c r="D517" s="222"/>
      <c r="E517" s="222"/>
      <c r="F517" s="223"/>
      <c r="H517" s="223"/>
      <c r="K517" s="223"/>
      <c r="M517" s="223"/>
    </row>
    <row r="518" customFormat="false" ht="12.75" hidden="false" customHeight="false" outlineLevel="0" collapsed="false">
      <c r="A518" s="220"/>
      <c r="B518" s="220"/>
      <c r="D518" s="222"/>
      <c r="E518" s="222"/>
      <c r="F518" s="223"/>
      <c r="H518" s="223"/>
      <c r="K518" s="223"/>
      <c r="M518" s="223"/>
    </row>
    <row r="519" customFormat="false" ht="12.75" hidden="false" customHeight="false" outlineLevel="0" collapsed="false">
      <c r="A519" s="220"/>
      <c r="B519" s="220"/>
      <c r="D519" s="222"/>
      <c r="E519" s="222"/>
      <c r="F519" s="223"/>
      <c r="H519" s="223"/>
      <c r="K519" s="223"/>
      <c r="M519" s="223"/>
    </row>
    <row r="520" customFormat="false" ht="12.75" hidden="false" customHeight="false" outlineLevel="0" collapsed="false">
      <c r="A520" s="220"/>
      <c r="B520" s="220"/>
      <c r="D520" s="222"/>
      <c r="E520" s="222"/>
      <c r="F520" s="223"/>
      <c r="H520" s="223"/>
      <c r="K520" s="223"/>
      <c r="M520" s="223"/>
    </row>
    <row r="521" customFormat="false" ht="12.75" hidden="false" customHeight="false" outlineLevel="0" collapsed="false">
      <c r="A521" s="220"/>
      <c r="B521" s="220"/>
      <c r="D521" s="222"/>
      <c r="E521" s="222"/>
      <c r="F521" s="223"/>
      <c r="H521" s="223"/>
      <c r="K521" s="223"/>
      <c r="M521" s="223"/>
    </row>
    <row r="522" customFormat="false" ht="12.75" hidden="false" customHeight="false" outlineLevel="0" collapsed="false">
      <c r="A522" s="220"/>
      <c r="B522" s="220"/>
      <c r="D522" s="222"/>
      <c r="E522" s="222"/>
      <c r="F522" s="223"/>
      <c r="H522" s="223"/>
      <c r="K522" s="223"/>
      <c r="M522" s="223"/>
    </row>
    <row r="523" customFormat="false" ht="12.75" hidden="false" customHeight="false" outlineLevel="0" collapsed="false">
      <c r="A523" s="220"/>
      <c r="B523" s="220"/>
      <c r="D523" s="222"/>
      <c r="E523" s="222"/>
      <c r="F523" s="223"/>
      <c r="H523" s="223"/>
      <c r="K523" s="223"/>
      <c r="M523" s="223"/>
    </row>
    <row r="524" customFormat="false" ht="12.75" hidden="false" customHeight="false" outlineLevel="0" collapsed="false">
      <c r="A524" s="220"/>
      <c r="B524" s="220"/>
      <c r="D524" s="222"/>
      <c r="E524" s="222"/>
      <c r="F524" s="223"/>
      <c r="H524" s="223"/>
      <c r="K524" s="223"/>
      <c r="M524" s="223"/>
    </row>
    <row r="525" customFormat="false" ht="12.75" hidden="false" customHeight="false" outlineLevel="0" collapsed="false">
      <c r="A525" s="220"/>
      <c r="B525" s="220"/>
      <c r="D525" s="222"/>
      <c r="E525" s="222"/>
      <c r="F525" s="223"/>
      <c r="H525" s="223"/>
      <c r="K525" s="223"/>
      <c r="M525" s="223"/>
    </row>
    <row r="526" customFormat="false" ht="12.75" hidden="false" customHeight="false" outlineLevel="0" collapsed="false">
      <c r="A526" s="220"/>
      <c r="B526" s="220"/>
      <c r="D526" s="222"/>
      <c r="E526" s="222"/>
      <c r="F526" s="223"/>
      <c r="H526" s="223"/>
      <c r="K526" s="223"/>
      <c r="M526" s="223"/>
    </row>
    <row r="527" customFormat="false" ht="12.75" hidden="false" customHeight="false" outlineLevel="0" collapsed="false">
      <c r="A527" s="220"/>
      <c r="B527" s="220"/>
      <c r="D527" s="222"/>
      <c r="E527" s="222"/>
      <c r="F527" s="223"/>
      <c r="H527" s="223"/>
      <c r="K527" s="223"/>
      <c r="M527" s="223"/>
    </row>
    <row r="528" customFormat="false" ht="12.75" hidden="false" customHeight="false" outlineLevel="0" collapsed="false">
      <c r="A528" s="220"/>
      <c r="B528" s="220"/>
      <c r="D528" s="222"/>
      <c r="E528" s="222"/>
      <c r="F528" s="223"/>
      <c r="H528" s="223"/>
      <c r="K528" s="223"/>
      <c r="M528" s="223"/>
    </row>
    <row r="529" customFormat="false" ht="12.75" hidden="false" customHeight="false" outlineLevel="0" collapsed="false">
      <c r="A529" s="220"/>
      <c r="B529" s="220"/>
      <c r="D529" s="222"/>
      <c r="E529" s="222"/>
      <c r="F529" s="223"/>
      <c r="H529" s="223"/>
      <c r="K529" s="223"/>
      <c r="M529" s="223"/>
    </row>
    <row r="530" customFormat="false" ht="12.75" hidden="false" customHeight="false" outlineLevel="0" collapsed="false">
      <c r="A530" s="220"/>
      <c r="B530" s="220"/>
      <c r="D530" s="222"/>
      <c r="E530" s="222"/>
      <c r="F530" s="223"/>
      <c r="H530" s="223"/>
      <c r="K530" s="223"/>
      <c r="M530" s="223"/>
    </row>
    <row r="531" customFormat="false" ht="12.75" hidden="false" customHeight="false" outlineLevel="0" collapsed="false">
      <c r="A531" s="220"/>
      <c r="B531" s="220"/>
      <c r="D531" s="222"/>
      <c r="E531" s="222"/>
      <c r="F531" s="223"/>
      <c r="H531" s="223"/>
      <c r="K531" s="223"/>
      <c r="M531" s="223"/>
    </row>
    <row r="532" customFormat="false" ht="12.75" hidden="false" customHeight="false" outlineLevel="0" collapsed="false">
      <c r="A532" s="220"/>
      <c r="B532" s="220"/>
      <c r="D532" s="222"/>
      <c r="E532" s="222"/>
      <c r="F532" s="223"/>
      <c r="H532" s="223"/>
      <c r="K532" s="223"/>
      <c r="M532" s="223"/>
    </row>
    <row r="533" customFormat="false" ht="12.75" hidden="false" customHeight="false" outlineLevel="0" collapsed="false">
      <c r="A533" s="220"/>
      <c r="B533" s="220"/>
      <c r="D533" s="222"/>
      <c r="E533" s="222"/>
      <c r="F533" s="223"/>
      <c r="H533" s="223"/>
      <c r="K533" s="223"/>
      <c r="M533" s="223"/>
    </row>
    <row r="534" customFormat="false" ht="12.75" hidden="false" customHeight="false" outlineLevel="0" collapsed="false">
      <c r="A534" s="220"/>
      <c r="B534" s="220"/>
      <c r="D534" s="222"/>
      <c r="E534" s="222"/>
      <c r="F534" s="223"/>
      <c r="H534" s="223"/>
      <c r="K534" s="223"/>
      <c r="M534" s="223"/>
    </row>
    <row r="535" customFormat="false" ht="12.75" hidden="false" customHeight="false" outlineLevel="0" collapsed="false">
      <c r="A535" s="220"/>
      <c r="B535" s="220"/>
      <c r="D535" s="222"/>
      <c r="E535" s="222"/>
      <c r="F535" s="223"/>
      <c r="H535" s="223"/>
      <c r="K535" s="223"/>
      <c r="M535" s="223"/>
    </row>
    <row r="536" customFormat="false" ht="12.75" hidden="false" customHeight="false" outlineLevel="0" collapsed="false">
      <c r="A536" s="220"/>
      <c r="B536" s="220"/>
      <c r="D536" s="222"/>
      <c r="E536" s="222"/>
      <c r="F536" s="223"/>
      <c r="H536" s="223"/>
      <c r="K536" s="223"/>
      <c r="M536" s="223"/>
    </row>
    <row r="537" customFormat="false" ht="12.75" hidden="false" customHeight="false" outlineLevel="0" collapsed="false">
      <c r="A537" s="220"/>
      <c r="B537" s="220"/>
      <c r="D537" s="222"/>
      <c r="E537" s="222"/>
      <c r="F537" s="223"/>
      <c r="H537" s="223"/>
      <c r="K537" s="223"/>
      <c r="M537" s="223"/>
    </row>
    <row r="538" customFormat="false" ht="12.75" hidden="false" customHeight="false" outlineLevel="0" collapsed="false">
      <c r="A538" s="220"/>
      <c r="B538" s="220"/>
      <c r="D538" s="222"/>
      <c r="E538" s="222"/>
      <c r="F538" s="223"/>
      <c r="H538" s="223"/>
      <c r="K538" s="223"/>
      <c r="M538" s="223"/>
    </row>
    <row r="539" customFormat="false" ht="12.75" hidden="false" customHeight="false" outlineLevel="0" collapsed="false">
      <c r="A539" s="220"/>
      <c r="B539" s="220"/>
      <c r="D539" s="222"/>
      <c r="E539" s="222"/>
      <c r="F539" s="223"/>
      <c r="H539" s="223"/>
      <c r="K539" s="223"/>
      <c r="M539" s="223"/>
    </row>
    <row r="540" customFormat="false" ht="12.75" hidden="false" customHeight="false" outlineLevel="0" collapsed="false">
      <c r="A540" s="220"/>
      <c r="B540" s="220"/>
      <c r="D540" s="222"/>
      <c r="E540" s="222"/>
      <c r="F540" s="223"/>
      <c r="H540" s="223"/>
      <c r="K540" s="223"/>
      <c r="M540" s="223"/>
    </row>
    <row r="541" customFormat="false" ht="12.75" hidden="false" customHeight="false" outlineLevel="0" collapsed="false">
      <c r="A541" s="220"/>
      <c r="B541" s="220"/>
      <c r="D541" s="222"/>
      <c r="E541" s="222"/>
      <c r="F541" s="223"/>
      <c r="H541" s="223"/>
      <c r="K541" s="223"/>
      <c r="M541" s="223"/>
    </row>
    <row r="542" customFormat="false" ht="12.75" hidden="false" customHeight="false" outlineLevel="0" collapsed="false">
      <c r="A542" s="220"/>
      <c r="B542" s="220"/>
      <c r="D542" s="222"/>
      <c r="E542" s="222"/>
      <c r="F542" s="223"/>
      <c r="H542" s="223"/>
      <c r="K542" s="223"/>
      <c r="M542" s="223"/>
    </row>
    <row r="543" customFormat="false" ht="12.75" hidden="false" customHeight="false" outlineLevel="0" collapsed="false">
      <c r="A543" s="220"/>
      <c r="B543" s="220"/>
      <c r="D543" s="222"/>
      <c r="E543" s="222"/>
      <c r="F543" s="223"/>
      <c r="H543" s="223"/>
      <c r="K543" s="223"/>
      <c r="M543" s="223"/>
    </row>
    <row r="544" customFormat="false" ht="12.75" hidden="false" customHeight="false" outlineLevel="0" collapsed="false">
      <c r="A544" s="220"/>
      <c r="B544" s="220"/>
      <c r="D544" s="222"/>
      <c r="E544" s="222"/>
      <c r="F544" s="223"/>
      <c r="H544" s="223"/>
      <c r="K544" s="223"/>
      <c r="M544" s="223"/>
    </row>
    <row r="545" customFormat="false" ht="12.75" hidden="false" customHeight="false" outlineLevel="0" collapsed="false">
      <c r="A545" s="220"/>
      <c r="B545" s="220"/>
      <c r="D545" s="222"/>
      <c r="E545" s="222"/>
      <c r="F545" s="223"/>
      <c r="H545" s="223"/>
      <c r="K545" s="223"/>
      <c r="M545" s="223"/>
    </row>
    <row r="546" customFormat="false" ht="12.75" hidden="false" customHeight="false" outlineLevel="0" collapsed="false">
      <c r="A546" s="220"/>
      <c r="B546" s="220"/>
      <c r="D546" s="222"/>
      <c r="E546" s="222"/>
      <c r="F546" s="223"/>
      <c r="H546" s="223"/>
      <c r="K546" s="223"/>
      <c r="M546" s="223"/>
    </row>
    <row r="547" customFormat="false" ht="12.75" hidden="false" customHeight="false" outlineLevel="0" collapsed="false">
      <c r="A547" s="220"/>
      <c r="B547" s="220"/>
      <c r="D547" s="222"/>
      <c r="E547" s="222"/>
      <c r="F547" s="223"/>
      <c r="H547" s="223"/>
      <c r="K547" s="223"/>
      <c r="M547" s="223"/>
    </row>
    <row r="548" customFormat="false" ht="12.75" hidden="false" customHeight="false" outlineLevel="0" collapsed="false">
      <c r="A548" s="220"/>
      <c r="B548" s="220"/>
      <c r="D548" s="222"/>
      <c r="E548" s="222"/>
      <c r="F548" s="223"/>
      <c r="H548" s="223"/>
      <c r="K548" s="223"/>
      <c r="M548" s="223"/>
    </row>
    <row r="549" customFormat="false" ht="12.75" hidden="false" customHeight="false" outlineLevel="0" collapsed="false">
      <c r="A549" s="220"/>
      <c r="B549" s="220"/>
      <c r="D549" s="222"/>
      <c r="E549" s="222"/>
      <c r="F549" s="223"/>
      <c r="H549" s="223"/>
      <c r="K549" s="223"/>
      <c r="M549" s="223"/>
    </row>
    <row r="550" customFormat="false" ht="12.75" hidden="false" customHeight="false" outlineLevel="0" collapsed="false">
      <c r="A550" s="220"/>
      <c r="B550" s="220"/>
      <c r="D550" s="222"/>
      <c r="E550" s="222"/>
      <c r="F550" s="223"/>
      <c r="H550" s="223"/>
      <c r="K550" s="223"/>
      <c r="M550" s="223"/>
    </row>
    <row r="551" customFormat="false" ht="12.75" hidden="false" customHeight="false" outlineLevel="0" collapsed="false">
      <c r="A551" s="220"/>
      <c r="B551" s="220"/>
      <c r="D551" s="222"/>
      <c r="E551" s="222"/>
      <c r="F551" s="223"/>
      <c r="H551" s="223"/>
      <c r="K551" s="223"/>
      <c r="M551" s="223"/>
    </row>
    <row r="552" customFormat="false" ht="12.75" hidden="false" customHeight="false" outlineLevel="0" collapsed="false">
      <c r="A552" s="220"/>
      <c r="B552" s="220"/>
      <c r="D552" s="222"/>
      <c r="E552" s="222"/>
      <c r="F552" s="223"/>
      <c r="H552" s="223"/>
      <c r="K552" s="223"/>
      <c r="M552" s="223"/>
    </row>
    <row r="553" customFormat="false" ht="12.75" hidden="false" customHeight="false" outlineLevel="0" collapsed="false">
      <c r="A553" s="220"/>
      <c r="B553" s="220"/>
      <c r="D553" s="222"/>
      <c r="E553" s="222"/>
      <c r="F553" s="223"/>
      <c r="H553" s="223"/>
      <c r="K553" s="223"/>
      <c r="M553" s="223"/>
    </row>
    <row r="554" customFormat="false" ht="12.75" hidden="false" customHeight="false" outlineLevel="0" collapsed="false">
      <c r="A554" s="220"/>
      <c r="B554" s="220"/>
      <c r="D554" s="222"/>
      <c r="E554" s="222"/>
      <c r="F554" s="223"/>
      <c r="H554" s="223"/>
      <c r="K554" s="223"/>
      <c r="M554" s="223"/>
    </row>
    <row r="555" customFormat="false" ht="12.75" hidden="false" customHeight="false" outlineLevel="0" collapsed="false">
      <c r="A555" s="220"/>
      <c r="B555" s="220"/>
      <c r="D555" s="222"/>
      <c r="E555" s="222"/>
      <c r="F555" s="223"/>
      <c r="H555" s="223"/>
      <c r="K555" s="223"/>
      <c r="M555" s="223"/>
    </row>
    <row r="556" customFormat="false" ht="12.75" hidden="false" customHeight="false" outlineLevel="0" collapsed="false">
      <c r="A556" s="220"/>
      <c r="B556" s="220"/>
      <c r="D556" s="222"/>
      <c r="E556" s="222"/>
      <c r="F556" s="223"/>
      <c r="H556" s="223"/>
      <c r="K556" s="223"/>
      <c r="M556" s="223"/>
    </row>
    <row r="557" customFormat="false" ht="12.75" hidden="false" customHeight="false" outlineLevel="0" collapsed="false">
      <c r="A557" s="220"/>
      <c r="B557" s="220"/>
      <c r="D557" s="222"/>
      <c r="E557" s="222"/>
      <c r="F557" s="223"/>
      <c r="H557" s="223"/>
      <c r="K557" s="223"/>
      <c r="M557" s="223"/>
    </row>
    <row r="558" customFormat="false" ht="12.75" hidden="false" customHeight="false" outlineLevel="0" collapsed="false">
      <c r="A558" s="220"/>
      <c r="B558" s="220"/>
      <c r="D558" s="222"/>
      <c r="E558" s="222"/>
      <c r="F558" s="223"/>
      <c r="H558" s="223"/>
      <c r="K558" s="223"/>
      <c r="M558" s="223"/>
    </row>
    <row r="559" customFormat="false" ht="12.75" hidden="false" customHeight="false" outlineLevel="0" collapsed="false">
      <c r="A559" s="220"/>
      <c r="B559" s="220"/>
      <c r="D559" s="222"/>
      <c r="E559" s="222"/>
      <c r="F559" s="223"/>
      <c r="H559" s="223"/>
      <c r="K559" s="223"/>
      <c r="M559" s="223"/>
    </row>
    <row r="560" customFormat="false" ht="12.75" hidden="false" customHeight="false" outlineLevel="0" collapsed="false">
      <c r="A560" s="220"/>
      <c r="B560" s="220"/>
      <c r="D560" s="222"/>
      <c r="E560" s="222"/>
      <c r="F560" s="223"/>
      <c r="H560" s="223"/>
      <c r="K560" s="223"/>
      <c r="M560" s="223"/>
    </row>
    <row r="561" customFormat="false" ht="12.75" hidden="false" customHeight="false" outlineLevel="0" collapsed="false">
      <c r="A561" s="220"/>
      <c r="B561" s="220"/>
      <c r="D561" s="222"/>
      <c r="E561" s="222"/>
      <c r="F561" s="223"/>
      <c r="H561" s="223"/>
      <c r="K561" s="223"/>
      <c r="M561" s="223"/>
    </row>
    <row r="562" customFormat="false" ht="12.75" hidden="false" customHeight="false" outlineLevel="0" collapsed="false">
      <c r="A562" s="220"/>
      <c r="B562" s="220"/>
      <c r="D562" s="222"/>
      <c r="E562" s="222"/>
      <c r="F562" s="223"/>
      <c r="H562" s="223"/>
      <c r="K562" s="223"/>
      <c r="M562" s="223"/>
    </row>
    <row r="563" customFormat="false" ht="12.75" hidden="false" customHeight="false" outlineLevel="0" collapsed="false">
      <c r="A563" s="220"/>
      <c r="B563" s="220"/>
      <c r="D563" s="222"/>
      <c r="E563" s="222"/>
      <c r="F563" s="223"/>
      <c r="H563" s="223"/>
      <c r="K563" s="223"/>
      <c r="M563" s="223"/>
    </row>
    <row r="564" customFormat="false" ht="12.75" hidden="false" customHeight="false" outlineLevel="0" collapsed="false">
      <c r="A564" s="220"/>
      <c r="B564" s="220"/>
      <c r="D564" s="222"/>
      <c r="E564" s="222"/>
      <c r="F564" s="223"/>
      <c r="H564" s="223"/>
      <c r="K564" s="223"/>
      <c r="M564" s="223"/>
    </row>
    <row r="565" customFormat="false" ht="12.75" hidden="false" customHeight="false" outlineLevel="0" collapsed="false">
      <c r="A565" s="220"/>
      <c r="B565" s="220"/>
      <c r="D565" s="222"/>
      <c r="E565" s="222"/>
      <c r="F565" s="223"/>
      <c r="H565" s="223"/>
      <c r="K565" s="223"/>
      <c r="M565" s="223"/>
    </row>
    <row r="566" customFormat="false" ht="12.75" hidden="false" customHeight="false" outlineLevel="0" collapsed="false">
      <c r="A566" s="220"/>
      <c r="B566" s="220"/>
      <c r="D566" s="222"/>
      <c r="E566" s="222"/>
      <c r="F566" s="223"/>
      <c r="H566" s="223"/>
      <c r="K566" s="223"/>
      <c r="M566" s="223"/>
    </row>
    <row r="567" customFormat="false" ht="12.75" hidden="false" customHeight="false" outlineLevel="0" collapsed="false">
      <c r="A567" s="220"/>
      <c r="B567" s="220"/>
      <c r="D567" s="222"/>
      <c r="E567" s="222"/>
      <c r="F567" s="223"/>
      <c r="H567" s="223"/>
      <c r="K567" s="223"/>
      <c r="M567" s="223"/>
    </row>
    <row r="568" customFormat="false" ht="12.75" hidden="false" customHeight="false" outlineLevel="0" collapsed="false">
      <c r="A568" s="220"/>
      <c r="B568" s="220"/>
      <c r="D568" s="222"/>
      <c r="E568" s="222"/>
      <c r="F568" s="223"/>
      <c r="H568" s="223"/>
      <c r="K568" s="223"/>
      <c r="M568" s="223"/>
    </row>
    <row r="569" customFormat="false" ht="12.75" hidden="false" customHeight="false" outlineLevel="0" collapsed="false">
      <c r="A569" s="220"/>
      <c r="B569" s="220"/>
      <c r="D569" s="222"/>
      <c r="E569" s="222"/>
      <c r="F569" s="223"/>
      <c r="H569" s="223"/>
      <c r="K569" s="223"/>
      <c r="M569" s="223"/>
    </row>
    <row r="570" customFormat="false" ht="12.75" hidden="false" customHeight="false" outlineLevel="0" collapsed="false">
      <c r="A570" s="220"/>
      <c r="B570" s="220"/>
      <c r="D570" s="222"/>
      <c r="E570" s="222"/>
      <c r="F570" s="223"/>
      <c r="H570" s="223"/>
      <c r="K570" s="223"/>
      <c r="M570" s="223"/>
    </row>
    <row r="571" customFormat="false" ht="12.75" hidden="false" customHeight="false" outlineLevel="0" collapsed="false">
      <c r="A571" s="220"/>
      <c r="B571" s="220"/>
      <c r="D571" s="222"/>
      <c r="E571" s="222"/>
      <c r="F571" s="223"/>
      <c r="H571" s="223"/>
      <c r="K571" s="223"/>
      <c r="M571" s="223"/>
    </row>
    <row r="572" customFormat="false" ht="12.75" hidden="false" customHeight="false" outlineLevel="0" collapsed="false">
      <c r="A572" s="220"/>
      <c r="B572" s="220"/>
      <c r="D572" s="222"/>
      <c r="E572" s="222"/>
      <c r="F572" s="223"/>
      <c r="H572" s="223"/>
      <c r="K572" s="223"/>
      <c r="M572" s="223"/>
    </row>
    <row r="573" customFormat="false" ht="12.75" hidden="false" customHeight="false" outlineLevel="0" collapsed="false">
      <c r="A573" s="220"/>
      <c r="B573" s="220"/>
      <c r="D573" s="222"/>
      <c r="E573" s="222"/>
      <c r="F573" s="223"/>
      <c r="H573" s="223"/>
      <c r="K573" s="223"/>
      <c r="M573" s="223"/>
    </row>
    <row r="574" customFormat="false" ht="12.75" hidden="false" customHeight="false" outlineLevel="0" collapsed="false">
      <c r="A574" s="220"/>
      <c r="B574" s="220"/>
      <c r="D574" s="222"/>
      <c r="E574" s="222"/>
      <c r="F574" s="223"/>
      <c r="H574" s="223"/>
      <c r="K574" s="223"/>
      <c r="M574" s="223"/>
    </row>
    <row r="575" customFormat="false" ht="12.75" hidden="false" customHeight="false" outlineLevel="0" collapsed="false">
      <c r="A575" s="220"/>
      <c r="B575" s="220"/>
      <c r="D575" s="222"/>
      <c r="E575" s="222"/>
      <c r="F575" s="223"/>
      <c r="H575" s="223"/>
      <c r="K575" s="223"/>
      <c r="M575" s="223"/>
    </row>
    <row r="576" customFormat="false" ht="12.75" hidden="false" customHeight="false" outlineLevel="0" collapsed="false">
      <c r="A576" s="220"/>
      <c r="B576" s="220"/>
      <c r="D576" s="222"/>
      <c r="E576" s="222"/>
      <c r="F576" s="223"/>
      <c r="H576" s="223"/>
      <c r="K576" s="223"/>
      <c r="M576" s="223"/>
    </row>
    <row r="577" customFormat="false" ht="12.75" hidden="false" customHeight="false" outlineLevel="0" collapsed="false">
      <c r="A577" s="220"/>
      <c r="B577" s="220"/>
      <c r="D577" s="222"/>
      <c r="E577" s="222"/>
      <c r="F577" s="223"/>
      <c r="H577" s="223"/>
      <c r="K577" s="223"/>
      <c r="M577" s="223"/>
    </row>
    <row r="578" customFormat="false" ht="12.75" hidden="false" customHeight="false" outlineLevel="0" collapsed="false">
      <c r="A578" s="220"/>
      <c r="B578" s="220"/>
      <c r="D578" s="222"/>
      <c r="E578" s="222"/>
      <c r="F578" s="223"/>
      <c r="H578" s="223"/>
      <c r="K578" s="223"/>
      <c r="M578" s="223"/>
    </row>
    <row r="579" customFormat="false" ht="12.75" hidden="false" customHeight="false" outlineLevel="0" collapsed="false">
      <c r="A579" s="220"/>
      <c r="B579" s="220"/>
      <c r="D579" s="222"/>
      <c r="E579" s="222"/>
      <c r="F579" s="223"/>
      <c r="H579" s="223"/>
      <c r="K579" s="223"/>
      <c r="M579" s="223"/>
    </row>
    <row r="580" customFormat="false" ht="12.75" hidden="false" customHeight="false" outlineLevel="0" collapsed="false">
      <c r="A580" s="220"/>
      <c r="B580" s="220"/>
      <c r="D580" s="222"/>
      <c r="E580" s="222"/>
      <c r="F580" s="223"/>
      <c r="H580" s="223"/>
      <c r="K580" s="223"/>
      <c r="M580" s="223"/>
    </row>
    <row r="581" customFormat="false" ht="12.75" hidden="false" customHeight="false" outlineLevel="0" collapsed="false">
      <c r="A581" s="220"/>
      <c r="B581" s="220"/>
      <c r="D581" s="222"/>
      <c r="E581" s="222"/>
      <c r="F581" s="223"/>
      <c r="H581" s="223"/>
      <c r="K581" s="223"/>
      <c r="M581" s="223"/>
    </row>
    <row r="582" customFormat="false" ht="12.75" hidden="false" customHeight="false" outlineLevel="0" collapsed="false">
      <c r="A582" s="220"/>
      <c r="B582" s="220"/>
      <c r="D582" s="222"/>
      <c r="E582" s="222"/>
      <c r="F582" s="223"/>
      <c r="H582" s="223"/>
      <c r="K582" s="223"/>
      <c r="M582" s="223"/>
    </row>
    <row r="583" customFormat="false" ht="12.75" hidden="false" customHeight="false" outlineLevel="0" collapsed="false">
      <c r="A583" s="220"/>
      <c r="B583" s="220"/>
      <c r="D583" s="222"/>
      <c r="E583" s="222"/>
      <c r="F583" s="223"/>
      <c r="H583" s="223"/>
      <c r="K583" s="223"/>
      <c r="M583" s="223"/>
    </row>
    <row r="584" customFormat="false" ht="12.75" hidden="false" customHeight="false" outlineLevel="0" collapsed="false">
      <c r="A584" s="220"/>
      <c r="B584" s="220"/>
      <c r="D584" s="222"/>
      <c r="E584" s="222"/>
      <c r="F584" s="223"/>
      <c r="H584" s="223"/>
      <c r="K584" s="223"/>
      <c r="M584" s="223"/>
    </row>
    <row r="585" customFormat="false" ht="12.75" hidden="false" customHeight="false" outlineLevel="0" collapsed="false">
      <c r="A585" s="220"/>
      <c r="B585" s="220"/>
      <c r="D585" s="222"/>
      <c r="E585" s="222"/>
      <c r="F585" s="223"/>
      <c r="H585" s="223"/>
      <c r="K585" s="223"/>
      <c r="M585" s="223"/>
    </row>
    <row r="586" customFormat="false" ht="12.75" hidden="false" customHeight="false" outlineLevel="0" collapsed="false">
      <c r="A586" s="220"/>
      <c r="B586" s="220"/>
      <c r="D586" s="222"/>
      <c r="E586" s="222"/>
      <c r="F586" s="223"/>
      <c r="H586" s="223"/>
      <c r="K586" s="223"/>
      <c r="M586" s="223"/>
    </row>
    <row r="587" customFormat="false" ht="12.75" hidden="false" customHeight="false" outlineLevel="0" collapsed="false">
      <c r="A587" s="220"/>
      <c r="B587" s="220"/>
      <c r="D587" s="222"/>
      <c r="E587" s="222"/>
      <c r="F587" s="223"/>
      <c r="H587" s="223"/>
      <c r="K587" s="223"/>
      <c r="M587" s="223"/>
    </row>
    <row r="588" customFormat="false" ht="12.75" hidden="false" customHeight="false" outlineLevel="0" collapsed="false">
      <c r="A588" s="220"/>
      <c r="B588" s="220"/>
      <c r="D588" s="222"/>
      <c r="E588" s="222"/>
      <c r="F588" s="223"/>
      <c r="H588" s="223"/>
      <c r="K588" s="223"/>
      <c r="M588" s="223"/>
    </row>
    <row r="589" customFormat="false" ht="12.75" hidden="false" customHeight="false" outlineLevel="0" collapsed="false">
      <c r="A589" s="220"/>
      <c r="B589" s="220"/>
      <c r="D589" s="222"/>
      <c r="E589" s="222"/>
      <c r="F589" s="223"/>
      <c r="H589" s="223"/>
      <c r="K589" s="223"/>
      <c r="M589" s="223"/>
    </row>
    <row r="590" customFormat="false" ht="12.75" hidden="false" customHeight="false" outlineLevel="0" collapsed="false">
      <c r="A590" s="220"/>
      <c r="B590" s="220"/>
      <c r="D590" s="222"/>
      <c r="E590" s="222"/>
      <c r="F590" s="223"/>
      <c r="H590" s="223"/>
      <c r="K590" s="223"/>
      <c r="M590" s="223"/>
    </row>
    <row r="591" customFormat="false" ht="12.75" hidden="false" customHeight="false" outlineLevel="0" collapsed="false">
      <c r="A591" s="220"/>
      <c r="B591" s="220"/>
      <c r="D591" s="222"/>
      <c r="E591" s="222"/>
      <c r="F591" s="223"/>
      <c r="H591" s="223"/>
      <c r="K591" s="223"/>
      <c r="M591" s="223"/>
    </row>
    <row r="592" customFormat="false" ht="12.75" hidden="false" customHeight="false" outlineLevel="0" collapsed="false">
      <c r="A592" s="220"/>
      <c r="B592" s="220"/>
      <c r="D592" s="222"/>
      <c r="E592" s="222"/>
      <c r="F592" s="223"/>
      <c r="H592" s="223"/>
      <c r="K592" s="223"/>
      <c r="M592" s="223"/>
    </row>
    <row r="593" customFormat="false" ht="12.75" hidden="false" customHeight="false" outlineLevel="0" collapsed="false">
      <c r="A593" s="220"/>
      <c r="B593" s="220"/>
      <c r="D593" s="222"/>
      <c r="E593" s="222"/>
      <c r="F593" s="223"/>
      <c r="H593" s="223"/>
      <c r="K593" s="223"/>
      <c r="M593" s="223"/>
    </row>
    <row r="594" customFormat="false" ht="12.75" hidden="false" customHeight="false" outlineLevel="0" collapsed="false">
      <c r="A594" s="220"/>
      <c r="B594" s="220"/>
      <c r="D594" s="222"/>
      <c r="E594" s="222"/>
      <c r="F594" s="223"/>
      <c r="H594" s="223"/>
      <c r="K594" s="223"/>
      <c r="M594" s="223"/>
    </row>
    <row r="595" customFormat="false" ht="12.75" hidden="false" customHeight="false" outlineLevel="0" collapsed="false">
      <c r="A595" s="220"/>
      <c r="B595" s="220"/>
      <c r="D595" s="222"/>
      <c r="E595" s="222"/>
      <c r="F595" s="223"/>
      <c r="H595" s="223"/>
      <c r="K595" s="223"/>
      <c r="M595" s="223"/>
    </row>
    <row r="596" customFormat="false" ht="12.75" hidden="false" customHeight="false" outlineLevel="0" collapsed="false">
      <c r="A596" s="220"/>
      <c r="B596" s="220"/>
      <c r="D596" s="222"/>
      <c r="E596" s="222"/>
      <c r="F596" s="223"/>
      <c r="H596" s="223"/>
      <c r="K596" s="223"/>
      <c r="M596" s="223"/>
    </row>
    <row r="597" customFormat="false" ht="12.75" hidden="false" customHeight="false" outlineLevel="0" collapsed="false">
      <c r="A597" s="220"/>
      <c r="B597" s="220"/>
      <c r="D597" s="222"/>
      <c r="E597" s="222"/>
      <c r="F597" s="223"/>
      <c r="H597" s="223"/>
      <c r="K597" s="223"/>
      <c r="M597" s="223"/>
    </row>
    <row r="598" customFormat="false" ht="12.75" hidden="false" customHeight="false" outlineLevel="0" collapsed="false">
      <c r="A598" s="220"/>
      <c r="B598" s="220"/>
      <c r="D598" s="222"/>
      <c r="E598" s="222"/>
      <c r="F598" s="223"/>
      <c r="H598" s="223"/>
      <c r="K598" s="223"/>
      <c r="M598" s="223"/>
    </row>
    <row r="599" customFormat="false" ht="12.75" hidden="false" customHeight="false" outlineLevel="0" collapsed="false">
      <c r="A599" s="220"/>
      <c r="B599" s="220"/>
      <c r="D599" s="222"/>
      <c r="E599" s="222"/>
      <c r="F599" s="223"/>
      <c r="H599" s="223"/>
      <c r="K599" s="223"/>
      <c r="M599" s="223"/>
    </row>
    <row r="600" customFormat="false" ht="12.75" hidden="false" customHeight="false" outlineLevel="0" collapsed="false">
      <c r="A600" s="220"/>
      <c r="B600" s="220"/>
      <c r="D600" s="222"/>
      <c r="E600" s="222"/>
      <c r="F600" s="223"/>
      <c r="H600" s="223"/>
      <c r="K600" s="223"/>
      <c r="M600" s="223"/>
    </row>
    <row r="601" customFormat="false" ht="12.75" hidden="false" customHeight="false" outlineLevel="0" collapsed="false">
      <c r="A601" s="220"/>
      <c r="B601" s="220"/>
      <c r="D601" s="222"/>
      <c r="E601" s="222"/>
      <c r="F601" s="223"/>
      <c r="H601" s="223"/>
      <c r="K601" s="223"/>
      <c r="M601" s="223"/>
    </row>
    <row r="602" customFormat="false" ht="12.75" hidden="false" customHeight="false" outlineLevel="0" collapsed="false">
      <c r="A602" s="220"/>
      <c r="B602" s="220"/>
      <c r="D602" s="222"/>
      <c r="E602" s="222"/>
      <c r="F602" s="223"/>
      <c r="H602" s="223"/>
      <c r="K602" s="223"/>
      <c r="M602" s="223"/>
    </row>
    <row r="603" customFormat="false" ht="12.75" hidden="false" customHeight="false" outlineLevel="0" collapsed="false">
      <c r="A603" s="220"/>
      <c r="B603" s="220"/>
      <c r="D603" s="222"/>
      <c r="E603" s="222"/>
      <c r="F603" s="223"/>
      <c r="H603" s="223"/>
      <c r="K603" s="223"/>
      <c r="M603" s="223"/>
    </row>
    <row r="604" customFormat="false" ht="12.75" hidden="false" customHeight="false" outlineLevel="0" collapsed="false">
      <c r="A604" s="220"/>
      <c r="B604" s="220"/>
      <c r="D604" s="222"/>
      <c r="E604" s="222"/>
      <c r="F604" s="223"/>
      <c r="H604" s="223"/>
      <c r="K604" s="223"/>
      <c r="M604" s="223"/>
    </row>
    <row r="605" customFormat="false" ht="12.75" hidden="false" customHeight="false" outlineLevel="0" collapsed="false">
      <c r="A605" s="220"/>
      <c r="B605" s="220"/>
      <c r="D605" s="222"/>
      <c r="E605" s="222"/>
      <c r="F605" s="223"/>
      <c r="H605" s="223"/>
      <c r="K605" s="223"/>
      <c r="M605" s="223"/>
    </row>
    <row r="606" customFormat="false" ht="12.75" hidden="false" customHeight="false" outlineLevel="0" collapsed="false">
      <c r="A606" s="220"/>
      <c r="B606" s="220"/>
      <c r="D606" s="222"/>
      <c r="E606" s="222"/>
      <c r="F606" s="223"/>
      <c r="H606" s="223"/>
      <c r="K606" s="223"/>
      <c r="M606" s="223"/>
    </row>
    <row r="607" customFormat="false" ht="12.75" hidden="false" customHeight="false" outlineLevel="0" collapsed="false">
      <c r="A607" s="220"/>
      <c r="B607" s="220"/>
      <c r="D607" s="222"/>
      <c r="E607" s="222"/>
      <c r="F607" s="223"/>
      <c r="H607" s="223"/>
      <c r="K607" s="223"/>
      <c r="M607" s="223"/>
    </row>
    <row r="608" customFormat="false" ht="12.75" hidden="false" customHeight="false" outlineLevel="0" collapsed="false">
      <c r="A608" s="220"/>
      <c r="B608" s="220"/>
      <c r="D608" s="222"/>
      <c r="E608" s="222"/>
      <c r="F608" s="223"/>
      <c r="H608" s="223"/>
      <c r="K608" s="223"/>
      <c r="M608" s="223"/>
    </row>
    <row r="609" customFormat="false" ht="12.75" hidden="false" customHeight="false" outlineLevel="0" collapsed="false">
      <c r="A609" s="220"/>
      <c r="B609" s="220"/>
      <c r="D609" s="222"/>
      <c r="E609" s="222"/>
      <c r="F609" s="223"/>
      <c r="H609" s="223"/>
      <c r="K609" s="223"/>
      <c r="M609" s="223"/>
    </row>
    <row r="610" customFormat="false" ht="12.75" hidden="false" customHeight="false" outlineLevel="0" collapsed="false">
      <c r="A610" s="220"/>
      <c r="B610" s="220"/>
      <c r="D610" s="222"/>
      <c r="E610" s="222"/>
      <c r="F610" s="223"/>
      <c r="H610" s="223"/>
      <c r="K610" s="223"/>
      <c r="M610" s="223"/>
    </row>
    <row r="611" customFormat="false" ht="12.75" hidden="false" customHeight="false" outlineLevel="0" collapsed="false">
      <c r="A611" s="220"/>
      <c r="B611" s="220"/>
      <c r="D611" s="222"/>
      <c r="E611" s="222"/>
      <c r="F611" s="223"/>
      <c r="H611" s="223"/>
      <c r="K611" s="223"/>
      <c r="M611" s="223"/>
    </row>
    <row r="612" customFormat="false" ht="12.75" hidden="false" customHeight="false" outlineLevel="0" collapsed="false">
      <c r="A612" s="220"/>
      <c r="B612" s="220"/>
      <c r="D612" s="222"/>
      <c r="E612" s="222"/>
      <c r="F612" s="223"/>
      <c r="H612" s="223"/>
      <c r="K612" s="223"/>
      <c r="M612" s="223"/>
    </row>
    <row r="613" customFormat="false" ht="12.75" hidden="false" customHeight="false" outlineLevel="0" collapsed="false">
      <c r="A613" s="220"/>
      <c r="B613" s="220"/>
      <c r="D613" s="222"/>
      <c r="E613" s="222"/>
      <c r="F613" s="223"/>
      <c r="H613" s="223"/>
      <c r="K613" s="223"/>
      <c r="M613" s="223"/>
    </row>
    <row r="614" customFormat="false" ht="12.75" hidden="false" customHeight="false" outlineLevel="0" collapsed="false">
      <c r="A614" s="220"/>
      <c r="B614" s="220"/>
      <c r="D614" s="222"/>
      <c r="E614" s="222"/>
      <c r="F614" s="223"/>
      <c r="H614" s="223"/>
      <c r="K614" s="223"/>
      <c r="M614" s="223"/>
    </row>
    <row r="615" customFormat="false" ht="12.75" hidden="false" customHeight="false" outlineLevel="0" collapsed="false">
      <c r="A615" s="220"/>
      <c r="B615" s="220"/>
      <c r="D615" s="222"/>
      <c r="E615" s="222"/>
      <c r="F615" s="223"/>
      <c r="H615" s="223"/>
      <c r="K615" s="223"/>
      <c r="M615" s="223"/>
    </row>
    <row r="616" customFormat="false" ht="12.75" hidden="false" customHeight="false" outlineLevel="0" collapsed="false">
      <c r="A616" s="220"/>
      <c r="B616" s="220"/>
      <c r="D616" s="222"/>
      <c r="E616" s="222"/>
      <c r="F616" s="223"/>
      <c r="H616" s="223"/>
      <c r="K616" s="223"/>
      <c r="M616" s="223"/>
    </row>
    <row r="617" customFormat="false" ht="12.75" hidden="false" customHeight="false" outlineLevel="0" collapsed="false">
      <c r="A617" s="220"/>
      <c r="B617" s="220"/>
      <c r="D617" s="222"/>
      <c r="E617" s="222"/>
      <c r="F617" s="223"/>
      <c r="H617" s="223"/>
      <c r="K617" s="223"/>
      <c r="M617" s="223"/>
    </row>
    <row r="618" customFormat="false" ht="12.75" hidden="false" customHeight="false" outlineLevel="0" collapsed="false">
      <c r="A618" s="220"/>
      <c r="B618" s="220"/>
      <c r="D618" s="222"/>
      <c r="E618" s="222"/>
      <c r="F618" s="223"/>
      <c r="H618" s="223"/>
      <c r="K618" s="223"/>
      <c r="M618" s="223"/>
    </row>
    <row r="619" customFormat="false" ht="12.75" hidden="false" customHeight="false" outlineLevel="0" collapsed="false">
      <c r="A619" s="220"/>
      <c r="B619" s="220"/>
      <c r="D619" s="222"/>
      <c r="E619" s="222"/>
      <c r="F619" s="223"/>
      <c r="H619" s="223"/>
      <c r="K619" s="223"/>
      <c r="M619" s="223"/>
    </row>
    <row r="620" customFormat="false" ht="12.75" hidden="false" customHeight="false" outlineLevel="0" collapsed="false">
      <c r="A620" s="220"/>
      <c r="B620" s="220"/>
      <c r="D620" s="222"/>
      <c r="E620" s="222"/>
      <c r="F620" s="223"/>
      <c r="H620" s="223"/>
      <c r="K620" s="223"/>
      <c r="M620" s="223"/>
    </row>
    <row r="621" customFormat="false" ht="12.75" hidden="false" customHeight="false" outlineLevel="0" collapsed="false">
      <c r="A621" s="220"/>
      <c r="B621" s="220"/>
      <c r="D621" s="222"/>
      <c r="E621" s="222"/>
      <c r="F621" s="223"/>
      <c r="H621" s="223"/>
      <c r="K621" s="223"/>
      <c r="M621" s="223"/>
    </row>
    <row r="622" customFormat="false" ht="12.75" hidden="false" customHeight="false" outlineLevel="0" collapsed="false">
      <c r="A622" s="220"/>
      <c r="B622" s="220"/>
      <c r="D622" s="222"/>
      <c r="E622" s="222"/>
      <c r="F622" s="223"/>
      <c r="H622" s="223"/>
      <c r="K622" s="223"/>
      <c r="M622" s="223"/>
    </row>
    <row r="623" customFormat="false" ht="12.75" hidden="false" customHeight="false" outlineLevel="0" collapsed="false">
      <c r="A623" s="220"/>
      <c r="B623" s="220"/>
      <c r="D623" s="222"/>
      <c r="E623" s="222"/>
      <c r="F623" s="223"/>
      <c r="H623" s="223"/>
      <c r="K623" s="223"/>
      <c r="M623" s="223"/>
    </row>
    <row r="624" customFormat="false" ht="12.75" hidden="false" customHeight="false" outlineLevel="0" collapsed="false">
      <c r="A624" s="220"/>
      <c r="B624" s="220"/>
      <c r="D624" s="222"/>
      <c r="E624" s="222"/>
      <c r="F624" s="223"/>
      <c r="H624" s="223"/>
      <c r="K624" s="223"/>
      <c r="M624" s="223"/>
    </row>
    <row r="625" customFormat="false" ht="12.75" hidden="false" customHeight="false" outlineLevel="0" collapsed="false">
      <c r="A625" s="220"/>
      <c r="B625" s="220"/>
      <c r="D625" s="222"/>
      <c r="E625" s="222"/>
      <c r="F625" s="223"/>
      <c r="H625" s="223"/>
      <c r="K625" s="223"/>
      <c r="M625" s="223"/>
    </row>
    <row r="626" customFormat="false" ht="12.75" hidden="false" customHeight="false" outlineLevel="0" collapsed="false">
      <c r="A626" s="220"/>
      <c r="B626" s="220"/>
      <c r="D626" s="222"/>
      <c r="E626" s="222"/>
      <c r="F626" s="223"/>
      <c r="H626" s="223"/>
      <c r="K626" s="223"/>
      <c r="M626" s="223"/>
    </row>
    <row r="627" customFormat="false" ht="12.75" hidden="false" customHeight="false" outlineLevel="0" collapsed="false">
      <c r="A627" s="220"/>
      <c r="B627" s="220"/>
      <c r="D627" s="222"/>
      <c r="E627" s="222"/>
      <c r="F627" s="223"/>
      <c r="H627" s="223"/>
      <c r="K627" s="223"/>
      <c r="M627" s="223"/>
    </row>
    <row r="628" customFormat="false" ht="12.75" hidden="false" customHeight="false" outlineLevel="0" collapsed="false">
      <c r="A628" s="220"/>
      <c r="B628" s="220"/>
      <c r="D628" s="222"/>
      <c r="E628" s="222"/>
      <c r="F628" s="223"/>
      <c r="H628" s="223"/>
      <c r="K628" s="223"/>
      <c r="M628" s="223"/>
    </row>
    <row r="629" customFormat="false" ht="12.75" hidden="false" customHeight="false" outlineLevel="0" collapsed="false">
      <c r="A629" s="220"/>
      <c r="B629" s="220"/>
      <c r="D629" s="222"/>
      <c r="E629" s="222"/>
      <c r="F629" s="223"/>
      <c r="H629" s="223"/>
      <c r="K629" s="223"/>
      <c r="M629" s="223"/>
    </row>
    <row r="630" customFormat="false" ht="12.75" hidden="false" customHeight="false" outlineLevel="0" collapsed="false">
      <c r="A630" s="220"/>
      <c r="B630" s="220"/>
      <c r="D630" s="222"/>
      <c r="E630" s="222"/>
      <c r="F630" s="223"/>
      <c r="H630" s="223"/>
      <c r="K630" s="223"/>
      <c r="M630" s="223"/>
    </row>
    <row r="631" customFormat="false" ht="12.75" hidden="false" customHeight="false" outlineLevel="0" collapsed="false">
      <c r="A631" s="220"/>
      <c r="B631" s="220"/>
      <c r="D631" s="222"/>
      <c r="E631" s="222"/>
      <c r="F631" s="223"/>
      <c r="H631" s="223"/>
      <c r="K631" s="223"/>
      <c r="M631" s="223"/>
    </row>
    <row r="632" customFormat="false" ht="12.75" hidden="false" customHeight="false" outlineLevel="0" collapsed="false">
      <c r="A632" s="220"/>
      <c r="B632" s="220"/>
      <c r="D632" s="222"/>
      <c r="E632" s="222"/>
      <c r="F632" s="223"/>
      <c r="H632" s="223"/>
      <c r="K632" s="223"/>
      <c r="M632" s="223"/>
    </row>
    <row r="633" customFormat="false" ht="12.75" hidden="false" customHeight="false" outlineLevel="0" collapsed="false">
      <c r="A633" s="220"/>
      <c r="B633" s="220"/>
      <c r="D633" s="222"/>
      <c r="E633" s="222"/>
      <c r="F633" s="223"/>
      <c r="H633" s="223"/>
      <c r="K633" s="223"/>
      <c r="M633" s="223"/>
    </row>
    <row r="634" customFormat="false" ht="12.75" hidden="false" customHeight="false" outlineLevel="0" collapsed="false">
      <c r="A634" s="220"/>
      <c r="B634" s="220"/>
      <c r="D634" s="222"/>
      <c r="E634" s="222"/>
      <c r="F634" s="223"/>
      <c r="H634" s="223"/>
      <c r="K634" s="223"/>
      <c r="M634" s="223"/>
    </row>
    <row r="635" customFormat="false" ht="12.75" hidden="false" customHeight="false" outlineLevel="0" collapsed="false">
      <c r="A635" s="220"/>
      <c r="B635" s="220"/>
      <c r="D635" s="222"/>
      <c r="E635" s="222"/>
      <c r="F635" s="223"/>
      <c r="H635" s="223"/>
      <c r="K635" s="223"/>
      <c r="M635" s="223"/>
    </row>
    <row r="636" customFormat="false" ht="12.75" hidden="false" customHeight="false" outlineLevel="0" collapsed="false">
      <c r="A636" s="220"/>
      <c r="B636" s="220"/>
      <c r="D636" s="222"/>
      <c r="E636" s="222"/>
      <c r="F636" s="223"/>
      <c r="H636" s="223"/>
      <c r="K636" s="223"/>
      <c r="M636" s="223"/>
    </row>
    <row r="637" customFormat="false" ht="12.75" hidden="false" customHeight="false" outlineLevel="0" collapsed="false">
      <c r="A637" s="220"/>
      <c r="B637" s="220"/>
      <c r="D637" s="222"/>
      <c r="E637" s="222"/>
      <c r="F637" s="223"/>
      <c r="H637" s="223"/>
      <c r="K637" s="223"/>
      <c r="M637" s="223"/>
    </row>
    <row r="638" customFormat="false" ht="12.75" hidden="false" customHeight="false" outlineLevel="0" collapsed="false">
      <c r="A638" s="220"/>
      <c r="B638" s="220"/>
      <c r="D638" s="222"/>
      <c r="E638" s="222"/>
      <c r="F638" s="223"/>
      <c r="H638" s="223"/>
      <c r="K638" s="223"/>
      <c r="M638" s="223"/>
    </row>
    <row r="639" customFormat="false" ht="12.75" hidden="false" customHeight="false" outlineLevel="0" collapsed="false">
      <c r="A639" s="220"/>
      <c r="B639" s="220"/>
      <c r="D639" s="222"/>
      <c r="E639" s="222"/>
      <c r="F639" s="223"/>
      <c r="H639" s="223"/>
      <c r="K639" s="223"/>
      <c r="M639" s="223"/>
    </row>
    <row r="640" customFormat="false" ht="12.75" hidden="false" customHeight="false" outlineLevel="0" collapsed="false">
      <c r="A640" s="220"/>
      <c r="B640" s="220"/>
      <c r="D640" s="222"/>
      <c r="E640" s="222"/>
      <c r="F640" s="223"/>
      <c r="H640" s="223"/>
      <c r="K640" s="223"/>
      <c r="M640" s="223"/>
    </row>
    <row r="641" customFormat="false" ht="12.75" hidden="false" customHeight="false" outlineLevel="0" collapsed="false">
      <c r="A641" s="220"/>
      <c r="B641" s="220"/>
      <c r="D641" s="222"/>
      <c r="E641" s="222"/>
      <c r="F641" s="223"/>
      <c r="H641" s="223"/>
      <c r="K641" s="223"/>
      <c r="M641" s="223"/>
    </row>
    <row r="642" customFormat="false" ht="12.75" hidden="false" customHeight="false" outlineLevel="0" collapsed="false">
      <c r="A642" s="220"/>
      <c r="B642" s="220"/>
      <c r="D642" s="222"/>
      <c r="E642" s="222"/>
      <c r="F642" s="223"/>
      <c r="H642" s="223"/>
      <c r="K642" s="223"/>
      <c r="M642" s="223"/>
    </row>
    <row r="643" customFormat="false" ht="12.75" hidden="false" customHeight="false" outlineLevel="0" collapsed="false">
      <c r="A643" s="220"/>
      <c r="B643" s="220"/>
      <c r="D643" s="222"/>
      <c r="E643" s="222"/>
      <c r="F643" s="223"/>
      <c r="H643" s="223"/>
      <c r="K643" s="223"/>
      <c r="M643" s="223"/>
    </row>
    <row r="644" customFormat="false" ht="12.75" hidden="false" customHeight="false" outlineLevel="0" collapsed="false">
      <c r="A644" s="220"/>
      <c r="B644" s="220"/>
      <c r="D644" s="222"/>
      <c r="E644" s="222"/>
      <c r="F644" s="223"/>
      <c r="H644" s="223"/>
      <c r="K644" s="223"/>
      <c r="M644" s="223"/>
    </row>
    <row r="645" customFormat="false" ht="12.75" hidden="false" customHeight="false" outlineLevel="0" collapsed="false">
      <c r="A645" s="220"/>
      <c r="B645" s="220"/>
      <c r="D645" s="222"/>
      <c r="E645" s="222"/>
      <c r="F645" s="223"/>
      <c r="H645" s="223"/>
      <c r="K645" s="223"/>
      <c r="M645" s="223"/>
    </row>
    <row r="646" customFormat="false" ht="12.75" hidden="false" customHeight="false" outlineLevel="0" collapsed="false">
      <c r="A646" s="220"/>
      <c r="B646" s="220"/>
      <c r="D646" s="222"/>
      <c r="E646" s="222"/>
      <c r="F646" s="223"/>
      <c r="H646" s="223"/>
      <c r="K646" s="223"/>
      <c r="M646" s="223"/>
    </row>
    <row r="647" customFormat="false" ht="12.75" hidden="false" customHeight="false" outlineLevel="0" collapsed="false">
      <c r="A647" s="220"/>
      <c r="B647" s="220"/>
      <c r="D647" s="222"/>
      <c r="E647" s="222"/>
      <c r="F647" s="223"/>
      <c r="H647" s="223"/>
      <c r="K647" s="223"/>
      <c r="M647" s="223"/>
    </row>
    <row r="648" customFormat="false" ht="12.75" hidden="false" customHeight="false" outlineLevel="0" collapsed="false">
      <c r="A648" s="220"/>
      <c r="B648" s="220"/>
      <c r="D648" s="222"/>
      <c r="E648" s="222"/>
      <c r="F648" s="223"/>
      <c r="H648" s="223"/>
      <c r="K648" s="223"/>
      <c r="M648" s="223"/>
    </row>
    <row r="649" customFormat="false" ht="12.75" hidden="false" customHeight="false" outlineLevel="0" collapsed="false">
      <c r="A649" s="220"/>
      <c r="B649" s="220"/>
      <c r="D649" s="222"/>
      <c r="E649" s="222"/>
      <c r="F649" s="223"/>
      <c r="H649" s="223"/>
      <c r="K649" s="223"/>
      <c r="M649" s="223"/>
    </row>
    <row r="650" customFormat="false" ht="12.75" hidden="false" customHeight="false" outlineLevel="0" collapsed="false">
      <c r="A650" s="220"/>
      <c r="B650" s="220"/>
      <c r="D650" s="222"/>
      <c r="E650" s="222"/>
      <c r="F650" s="223"/>
      <c r="H650" s="223"/>
      <c r="K650" s="223"/>
      <c r="M650" s="223"/>
    </row>
    <row r="651" customFormat="false" ht="12.75" hidden="false" customHeight="false" outlineLevel="0" collapsed="false">
      <c r="A651" s="220"/>
      <c r="B651" s="220"/>
      <c r="D651" s="222"/>
      <c r="E651" s="222"/>
      <c r="F651" s="223"/>
      <c r="H651" s="223"/>
      <c r="K651" s="223"/>
      <c r="M651" s="223"/>
    </row>
    <row r="652" customFormat="false" ht="12.75" hidden="false" customHeight="false" outlineLevel="0" collapsed="false">
      <c r="A652" s="220"/>
      <c r="B652" s="220"/>
      <c r="D652" s="222"/>
      <c r="E652" s="222"/>
      <c r="F652" s="223"/>
      <c r="H652" s="223"/>
      <c r="K652" s="223"/>
      <c r="M652" s="223"/>
    </row>
    <row r="653" customFormat="false" ht="12.75" hidden="false" customHeight="false" outlineLevel="0" collapsed="false">
      <c r="A653" s="220"/>
      <c r="B653" s="220"/>
      <c r="D653" s="222"/>
      <c r="E653" s="222"/>
      <c r="F653" s="223"/>
      <c r="H653" s="223"/>
      <c r="K653" s="223"/>
      <c r="M653" s="223"/>
    </row>
    <row r="654" customFormat="false" ht="12.75" hidden="false" customHeight="false" outlineLevel="0" collapsed="false">
      <c r="A654" s="220"/>
      <c r="B654" s="220"/>
      <c r="D654" s="222"/>
      <c r="E654" s="222"/>
      <c r="F654" s="223"/>
      <c r="H654" s="223"/>
      <c r="K654" s="223"/>
      <c r="M654" s="223"/>
    </row>
    <row r="655" customFormat="false" ht="12.75" hidden="false" customHeight="false" outlineLevel="0" collapsed="false">
      <c r="A655" s="220"/>
      <c r="B655" s="220"/>
      <c r="D655" s="222"/>
      <c r="E655" s="222"/>
      <c r="F655" s="223"/>
      <c r="H655" s="223"/>
      <c r="K655" s="223"/>
      <c r="M655" s="223"/>
    </row>
    <row r="656" customFormat="false" ht="12.75" hidden="false" customHeight="false" outlineLevel="0" collapsed="false">
      <c r="A656" s="220"/>
      <c r="B656" s="220"/>
      <c r="D656" s="222"/>
      <c r="E656" s="222"/>
      <c r="F656" s="223"/>
      <c r="H656" s="223"/>
      <c r="K656" s="223"/>
      <c r="M656" s="223"/>
    </row>
    <row r="657" customFormat="false" ht="12.75" hidden="false" customHeight="false" outlineLevel="0" collapsed="false">
      <c r="A657" s="220"/>
      <c r="B657" s="220"/>
      <c r="D657" s="222"/>
      <c r="E657" s="222"/>
      <c r="F657" s="223"/>
      <c r="H657" s="223"/>
      <c r="K657" s="223"/>
      <c r="M657" s="223"/>
    </row>
    <row r="658" customFormat="false" ht="12.75" hidden="false" customHeight="false" outlineLevel="0" collapsed="false">
      <c r="A658" s="220"/>
      <c r="B658" s="220"/>
      <c r="D658" s="222"/>
      <c r="E658" s="222"/>
      <c r="F658" s="223"/>
      <c r="H658" s="223"/>
      <c r="K658" s="223"/>
      <c r="M658" s="223"/>
    </row>
    <row r="659" customFormat="false" ht="12.75" hidden="false" customHeight="false" outlineLevel="0" collapsed="false">
      <c r="A659" s="220"/>
      <c r="B659" s="220"/>
      <c r="D659" s="222"/>
      <c r="E659" s="222"/>
      <c r="F659" s="223"/>
      <c r="H659" s="223"/>
      <c r="K659" s="223"/>
      <c r="M659" s="223"/>
    </row>
    <row r="660" customFormat="false" ht="12.75" hidden="false" customHeight="false" outlineLevel="0" collapsed="false">
      <c r="A660" s="220"/>
      <c r="B660" s="220"/>
      <c r="D660" s="222"/>
      <c r="E660" s="222"/>
      <c r="F660" s="223"/>
      <c r="H660" s="223"/>
      <c r="K660" s="223"/>
      <c r="M660" s="223"/>
    </row>
    <row r="661" customFormat="false" ht="12.75" hidden="false" customHeight="false" outlineLevel="0" collapsed="false">
      <c r="A661" s="220"/>
      <c r="B661" s="220"/>
      <c r="D661" s="222"/>
      <c r="E661" s="222"/>
      <c r="F661" s="223"/>
      <c r="H661" s="223"/>
      <c r="K661" s="223"/>
      <c r="M661" s="223"/>
    </row>
    <row r="662" customFormat="false" ht="12.75" hidden="false" customHeight="false" outlineLevel="0" collapsed="false">
      <c r="A662" s="220"/>
      <c r="B662" s="220"/>
      <c r="D662" s="222"/>
      <c r="E662" s="222"/>
      <c r="F662" s="223"/>
      <c r="H662" s="223"/>
      <c r="K662" s="223"/>
      <c r="M662" s="223"/>
    </row>
    <row r="663" customFormat="false" ht="12.75" hidden="false" customHeight="false" outlineLevel="0" collapsed="false">
      <c r="A663" s="220"/>
      <c r="B663" s="220"/>
      <c r="D663" s="222"/>
      <c r="E663" s="222"/>
      <c r="F663" s="223"/>
      <c r="H663" s="223"/>
      <c r="K663" s="223"/>
      <c r="M663" s="223"/>
    </row>
    <row r="664" customFormat="false" ht="12.75" hidden="false" customHeight="false" outlineLevel="0" collapsed="false">
      <c r="A664" s="220"/>
      <c r="B664" s="220"/>
      <c r="D664" s="222"/>
      <c r="E664" s="222"/>
      <c r="F664" s="223"/>
      <c r="H664" s="223"/>
      <c r="K664" s="223"/>
      <c r="M664" s="223"/>
    </row>
    <row r="665" customFormat="false" ht="12.75" hidden="false" customHeight="false" outlineLevel="0" collapsed="false">
      <c r="A665" s="220"/>
      <c r="B665" s="220"/>
      <c r="D665" s="222"/>
      <c r="E665" s="222"/>
      <c r="F665" s="223"/>
      <c r="H665" s="223"/>
      <c r="K665" s="223"/>
      <c r="M665" s="223"/>
    </row>
    <row r="666" customFormat="false" ht="12.75" hidden="false" customHeight="false" outlineLevel="0" collapsed="false">
      <c r="A666" s="220"/>
      <c r="B666" s="220"/>
      <c r="D666" s="222"/>
      <c r="E666" s="222"/>
      <c r="F666" s="223"/>
      <c r="H666" s="223"/>
      <c r="K666" s="223"/>
      <c r="M666" s="223"/>
    </row>
    <row r="667" customFormat="false" ht="12.75" hidden="false" customHeight="false" outlineLevel="0" collapsed="false">
      <c r="A667" s="220"/>
      <c r="B667" s="220"/>
      <c r="D667" s="222"/>
      <c r="E667" s="222"/>
      <c r="F667" s="223"/>
      <c r="H667" s="223"/>
      <c r="K667" s="223"/>
      <c r="M667" s="223"/>
    </row>
    <row r="668" customFormat="false" ht="12.75" hidden="false" customHeight="false" outlineLevel="0" collapsed="false">
      <c r="A668" s="220"/>
      <c r="B668" s="220"/>
      <c r="D668" s="222"/>
      <c r="E668" s="222"/>
      <c r="F668" s="223"/>
      <c r="H668" s="223"/>
      <c r="K668" s="223"/>
      <c r="M668" s="223"/>
    </row>
    <row r="669" customFormat="false" ht="12.75" hidden="false" customHeight="false" outlineLevel="0" collapsed="false">
      <c r="A669" s="220"/>
      <c r="B669" s="220"/>
      <c r="D669" s="222"/>
      <c r="E669" s="222"/>
      <c r="F669" s="223"/>
      <c r="H669" s="223"/>
      <c r="K669" s="223"/>
      <c r="M669" s="223"/>
    </row>
    <row r="670" customFormat="false" ht="12.75" hidden="false" customHeight="false" outlineLevel="0" collapsed="false">
      <c r="A670" s="220"/>
      <c r="B670" s="220"/>
      <c r="D670" s="222"/>
      <c r="E670" s="222"/>
      <c r="F670" s="223"/>
      <c r="H670" s="223"/>
      <c r="K670" s="223"/>
      <c r="M670" s="223"/>
    </row>
    <row r="671" customFormat="false" ht="12.75" hidden="false" customHeight="false" outlineLevel="0" collapsed="false">
      <c r="A671" s="220"/>
      <c r="B671" s="220"/>
      <c r="D671" s="222"/>
      <c r="E671" s="222"/>
      <c r="F671" s="223"/>
      <c r="H671" s="223"/>
      <c r="K671" s="223"/>
      <c r="M671" s="223"/>
    </row>
    <row r="672" customFormat="false" ht="12.75" hidden="false" customHeight="false" outlineLevel="0" collapsed="false">
      <c r="A672" s="220"/>
      <c r="B672" s="220"/>
      <c r="D672" s="222"/>
      <c r="E672" s="222"/>
      <c r="F672" s="223"/>
      <c r="H672" s="223"/>
      <c r="K672" s="223"/>
      <c r="M672" s="223"/>
    </row>
    <row r="673" customFormat="false" ht="12.75" hidden="false" customHeight="false" outlineLevel="0" collapsed="false">
      <c r="A673" s="220"/>
      <c r="B673" s="220"/>
      <c r="D673" s="222"/>
      <c r="E673" s="222"/>
      <c r="F673" s="223"/>
      <c r="H673" s="223"/>
      <c r="K673" s="223"/>
      <c r="M673" s="223"/>
    </row>
    <row r="674" customFormat="false" ht="12.75" hidden="false" customHeight="false" outlineLevel="0" collapsed="false">
      <c r="A674" s="220"/>
      <c r="B674" s="220"/>
      <c r="D674" s="222"/>
      <c r="E674" s="222"/>
      <c r="F674" s="223"/>
      <c r="H674" s="223"/>
      <c r="K674" s="223"/>
      <c r="M674" s="223"/>
    </row>
    <row r="675" customFormat="false" ht="12.75" hidden="false" customHeight="false" outlineLevel="0" collapsed="false">
      <c r="A675" s="220"/>
      <c r="B675" s="220"/>
      <c r="D675" s="222"/>
      <c r="E675" s="222"/>
      <c r="F675" s="223"/>
      <c r="H675" s="223"/>
      <c r="K675" s="223"/>
      <c r="M675" s="223"/>
    </row>
    <row r="676" customFormat="false" ht="12.75" hidden="false" customHeight="false" outlineLevel="0" collapsed="false">
      <c r="A676" s="220"/>
      <c r="B676" s="220"/>
      <c r="D676" s="222"/>
      <c r="E676" s="222"/>
      <c r="F676" s="223"/>
      <c r="H676" s="223"/>
      <c r="K676" s="223"/>
      <c r="M676" s="223"/>
    </row>
    <row r="677" customFormat="false" ht="12.75" hidden="false" customHeight="false" outlineLevel="0" collapsed="false">
      <c r="A677" s="220"/>
      <c r="B677" s="220"/>
      <c r="D677" s="222"/>
      <c r="E677" s="222"/>
      <c r="F677" s="223"/>
      <c r="H677" s="223"/>
      <c r="K677" s="223"/>
      <c r="M677" s="223"/>
    </row>
    <row r="678" customFormat="false" ht="12.75" hidden="false" customHeight="false" outlineLevel="0" collapsed="false">
      <c r="A678" s="220"/>
      <c r="B678" s="220"/>
      <c r="D678" s="222"/>
      <c r="E678" s="222"/>
      <c r="F678" s="223"/>
      <c r="H678" s="223"/>
      <c r="K678" s="223"/>
      <c r="M678" s="223"/>
    </row>
    <row r="679" customFormat="false" ht="12.75" hidden="false" customHeight="false" outlineLevel="0" collapsed="false">
      <c r="A679" s="220"/>
      <c r="B679" s="220"/>
      <c r="D679" s="222"/>
      <c r="E679" s="222"/>
      <c r="F679" s="223"/>
      <c r="H679" s="223"/>
      <c r="K679" s="223"/>
      <c r="M679" s="223"/>
    </row>
    <row r="680" customFormat="false" ht="12.75" hidden="false" customHeight="false" outlineLevel="0" collapsed="false">
      <c r="A680" s="220"/>
      <c r="B680" s="220"/>
      <c r="D680" s="222"/>
      <c r="E680" s="222"/>
      <c r="F680" s="223"/>
      <c r="H680" s="223"/>
      <c r="K680" s="223"/>
      <c r="M680" s="223"/>
    </row>
    <row r="681" customFormat="false" ht="12.75" hidden="false" customHeight="false" outlineLevel="0" collapsed="false">
      <c r="A681" s="220"/>
      <c r="B681" s="220"/>
      <c r="D681" s="222"/>
      <c r="E681" s="222"/>
      <c r="F681" s="223"/>
      <c r="H681" s="223"/>
      <c r="K681" s="223"/>
      <c r="M681" s="223"/>
    </row>
    <row r="682" customFormat="false" ht="12.75" hidden="false" customHeight="false" outlineLevel="0" collapsed="false">
      <c r="A682" s="220"/>
      <c r="B682" s="220"/>
      <c r="D682" s="222"/>
      <c r="E682" s="222"/>
      <c r="F682" s="223"/>
      <c r="H682" s="223"/>
      <c r="K682" s="223"/>
      <c r="M682" s="223"/>
    </row>
    <row r="683" customFormat="false" ht="12.75" hidden="false" customHeight="false" outlineLevel="0" collapsed="false">
      <c r="A683" s="220"/>
      <c r="B683" s="220"/>
      <c r="D683" s="222"/>
      <c r="E683" s="222"/>
      <c r="F683" s="223"/>
      <c r="H683" s="223"/>
      <c r="K683" s="223"/>
      <c r="M683" s="223"/>
    </row>
    <row r="684" customFormat="false" ht="12.75" hidden="false" customHeight="false" outlineLevel="0" collapsed="false">
      <c r="A684" s="220"/>
      <c r="B684" s="220"/>
      <c r="D684" s="222"/>
      <c r="E684" s="222"/>
      <c r="F684" s="223"/>
      <c r="H684" s="223"/>
      <c r="K684" s="223"/>
      <c r="M684" s="223"/>
    </row>
    <row r="685" customFormat="false" ht="12.75" hidden="false" customHeight="false" outlineLevel="0" collapsed="false">
      <c r="A685" s="220"/>
      <c r="B685" s="220"/>
      <c r="D685" s="222"/>
      <c r="E685" s="222"/>
      <c r="F685" s="223"/>
      <c r="H685" s="223"/>
      <c r="K685" s="223"/>
      <c r="M685" s="223"/>
    </row>
    <row r="686" customFormat="false" ht="12.75" hidden="false" customHeight="false" outlineLevel="0" collapsed="false">
      <c r="A686" s="220"/>
      <c r="B686" s="220"/>
      <c r="D686" s="222"/>
      <c r="E686" s="222"/>
      <c r="F686" s="223"/>
      <c r="H686" s="223"/>
      <c r="K686" s="223"/>
      <c r="M686" s="223"/>
    </row>
    <row r="687" customFormat="false" ht="12.75" hidden="false" customHeight="false" outlineLevel="0" collapsed="false">
      <c r="A687" s="220"/>
      <c r="B687" s="220"/>
      <c r="D687" s="222"/>
      <c r="E687" s="222"/>
      <c r="F687" s="223"/>
      <c r="H687" s="223"/>
      <c r="K687" s="223"/>
      <c r="M687" s="223"/>
    </row>
    <row r="688" customFormat="false" ht="12.75" hidden="false" customHeight="false" outlineLevel="0" collapsed="false">
      <c r="A688" s="220"/>
      <c r="B688" s="220"/>
      <c r="D688" s="222"/>
      <c r="E688" s="222"/>
      <c r="F688" s="223"/>
      <c r="H688" s="223"/>
      <c r="K688" s="223"/>
      <c r="M688" s="223"/>
    </row>
    <row r="689" customFormat="false" ht="12.75" hidden="false" customHeight="false" outlineLevel="0" collapsed="false">
      <c r="A689" s="220"/>
      <c r="B689" s="220"/>
      <c r="D689" s="222"/>
      <c r="E689" s="222"/>
      <c r="F689" s="223"/>
      <c r="H689" s="223"/>
      <c r="K689" s="223"/>
      <c r="M689" s="223"/>
    </row>
    <row r="690" customFormat="false" ht="12.75" hidden="false" customHeight="false" outlineLevel="0" collapsed="false">
      <c r="A690" s="220"/>
      <c r="B690" s="220"/>
      <c r="D690" s="222"/>
      <c r="E690" s="222"/>
      <c r="F690" s="223"/>
      <c r="H690" s="223"/>
      <c r="K690" s="223"/>
      <c r="M690" s="223"/>
    </row>
    <row r="691" customFormat="false" ht="12.75" hidden="false" customHeight="false" outlineLevel="0" collapsed="false">
      <c r="A691" s="220"/>
      <c r="B691" s="220"/>
      <c r="D691" s="222"/>
      <c r="E691" s="222"/>
      <c r="F691" s="223"/>
      <c r="H691" s="223"/>
      <c r="K691" s="223"/>
      <c r="M691" s="223"/>
    </row>
    <row r="692" customFormat="false" ht="12.75" hidden="false" customHeight="false" outlineLevel="0" collapsed="false">
      <c r="A692" s="220"/>
      <c r="B692" s="220"/>
      <c r="D692" s="222"/>
      <c r="E692" s="222"/>
      <c r="F692" s="223"/>
      <c r="H692" s="223"/>
      <c r="K692" s="223"/>
      <c r="M692" s="223"/>
    </row>
    <row r="693" customFormat="false" ht="12.75" hidden="false" customHeight="false" outlineLevel="0" collapsed="false">
      <c r="A693" s="220"/>
      <c r="B693" s="220"/>
      <c r="D693" s="222"/>
      <c r="E693" s="222"/>
      <c r="F693" s="223"/>
      <c r="H693" s="223"/>
      <c r="K693" s="223"/>
      <c r="M693" s="223"/>
    </row>
    <row r="694" customFormat="false" ht="12.75" hidden="false" customHeight="false" outlineLevel="0" collapsed="false">
      <c r="A694" s="220"/>
      <c r="B694" s="220"/>
      <c r="D694" s="222"/>
      <c r="E694" s="222"/>
      <c r="F694" s="223"/>
      <c r="H694" s="223"/>
      <c r="K694" s="223"/>
      <c r="M694" s="223"/>
    </row>
    <row r="695" customFormat="false" ht="12.75" hidden="false" customHeight="false" outlineLevel="0" collapsed="false">
      <c r="A695" s="220"/>
      <c r="B695" s="220"/>
      <c r="D695" s="222"/>
      <c r="E695" s="222"/>
      <c r="F695" s="223"/>
      <c r="H695" s="223"/>
      <c r="K695" s="223"/>
      <c r="M695" s="223"/>
    </row>
    <row r="696" customFormat="false" ht="12.75" hidden="false" customHeight="false" outlineLevel="0" collapsed="false">
      <c r="A696" s="220"/>
      <c r="B696" s="220"/>
      <c r="D696" s="222"/>
      <c r="E696" s="222"/>
      <c r="F696" s="223"/>
      <c r="H696" s="223"/>
      <c r="K696" s="223"/>
      <c r="M696" s="223"/>
    </row>
    <row r="697" customFormat="false" ht="12.75" hidden="false" customHeight="false" outlineLevel="0" collapsed="false">
      <c r="A697" s="220"/>
      <c r="B697" s="220"/>
      <c r="D697" s="222"/>
      <c r="E697" s="222"/>
      <c r="F697" s="223"/>
      <c r="H697" s="223"/>
      <c r="K697" s="223"/>
      <c r="M697" s="223"/>
    </row>
    <row r="698" customFormat="false" ht="12.75" hidden="false" customHeight="false" outlineLevel="0" collapsed="false">
      <c r="A698" s="220"/>
      <c r="B698" s="220"/>
      <c r="D698" s="222"/>
      <c r="E698" s="222"/>
      <c r="F698" s="223"/>
      <c r="H698" s="223"/>
      <c r="K698" s="223"/>
      <c r="M698" s="223"/>
    </row>
    <row r="699" customFormat="false" ht="12.75" hidden="false" customHeight="false" outlineLevel="0" collapsed="false">
      <c r="A699" s="220"/>
      <c r="B699" s="220"/>
      <c r="D699" s="222"/>
      <c r="E699" s="222"/>
      <c r="F699" s="223"/>
      <c r="H699" s="223"/>
      <c r="K699" s="223"/>
      <c r="M699" s="223"/>
    </row>
    <row r="700" customFormat="false" ht="12.75" hidden="false" customHeight="false" outlineLevel="0" collapsed="false">
      <c r="A700" s="220"/>
      <c r="B700" s="220"/>
      <c r="D700" s="222"/>
      <c r="E700" s="222"/>
      <c r="F700" s="223"/>
      <c r="H700" s="223"/>
      <c r="K700" s="223"/>
      <c r="M700" s="223"/>
    </row>
    <row r="701" customFormat="false" ht="12.75" hidden="false" customHeight="false" outlineLevel="0" collapsed="false">
      <c r="A701" s="220"/>
      <c r="B701" s="220"/>
      <c r="D701" s="222"/>
      <c r="E701" s="222"/>
      <c r="F701" s="223"/>
      <c r="H701" s="223"/>
      <c r="K701" s="223"/>
      <c r="M701" s="223"/>
    </row>
    <row r="702" customFormat="false" ht="12.75" hidden="false" customHeight="false" outlineLevel="0" collapsed="false">
      <c r="A702" s="220"/>
      <c r="B702" s="220"/>
      <c r="D702" s="222"/>
      <c r="E702" s="222"/>
      <c r="F702" s="223"/>
      <c r="H702" s="223"/>
      <c r="K702" s="223"/>
      <c r="M702" s="223"/>
    </row>
    <row r="703" customFormat="false" ht="12.75" hidden="false" customHeight="false" outlineLevel="0" collapsed="false">
      <c r="A703" s="220"/>
      <c r="B703" s="220"/>
      <c r="D703" s="222"/>
      <c r="E703" s="222"/>
      <c r="F703" s="223"/>
      <c r="H703" s="223"/>
      <c r="K703" s="223"/>
      <c r="M703" s="223"/>
    </row>
    <row r="704" customFormat="false" ht="12.75" hidden="false" customHeight="false" outlineLevel="0" collapsed="false">
      <c r="A704" s="220"/>
      <c r="B704" s="220"/>
      <c r="D704" s="222"/>
      <c r="E704" s="222"/>
      <c r="F704" s="223"/>
      <c r="H704" s="223"/>
      <c r="K704" s="223"/>
      <c r="M704" s="223"/>
    </row>
    <row r="705" customFormat="false" ht="12.75" hidden="false" customHeight="false" outlineLevel="0" collapsed="false">
      <c r="A705" s="220"/>
      <c r="B705" s="220"/>
      <c r="D705" s="222"/>
      <c r="E705" s="222"/>
      <c r="F705" s="223"/>
      <c r="H705" s="223"/>
      <c r="K705" s="223"/>
      <c r="M705" s="223"/>
    </row>
    <row r="706" customFormat="false" ht="12.75" hidden="false" customHeight="false" outlineLevel="0" collapsed="false">
      <c r="A706" s="220"/>
      <c r="B706" s="220"/>
      <c r="D706" s="222"/>
      <c r="E706" s="222"/>
      <c r="F706" s="223"/>
      <c r="H706" s="223"/>
      <c r="K706" s="223"/>
      <c r="M706" s="223"/>
    </row>
    <row r="707" customFormat="false" ht="12.75" hidden="false" customHeight="false" outlineLevel="0" collapsed="false">
      <c r="A707" s="220"/>
      <c r="B707" s="220"/>
      <c r="D707" s="222"/>
      <c r="E707" s="222"/>
      <c r="F707" s="223"/>
      <c r="H707" s="223"/>
      <c r="K707" s="223"/>
      <c r="M707" s="223"/>
    </row>
    <row r="708" customFormat="false" ht="12.75" hidden="false" customHeight="false" outlineLevel="0" collapsed="false">
      <c r="A708" s="220"/>
      <c r="B708" s="220"/>
      <c r="D708" s="222"/>
      <c r="E708" s="222"/>
      <c r="F708" s="223"/>
      <c r="H708" s="223"/>
      <c r="K708" s="223"/>
      <c r="M708" s="223"/>
    </row>
    <row r="709" customFormat="false" ht="12.75" hidden="false" customHeight="false" outlineLevel="0" collapsed="false">
      <c r="A709" s="220"/>
      <c r="B709" s="220"/>
      <c r="D709" s="222"/>
      <c r="E709" s="222"/>
      <c r="F709" s="223"/>
      <c r="H709" s="223"/>
      <c r="K709" s="223"/>
      <c r="M709" s="223"/>
    </row>
    <row r="710" customFormat="false" ht="12.75" hidden="false" customHeight="false" outlineLevel="0" collapsed="false">
      <c r="A710" s="220"/>
      <c r="B710" s="220"/>
      <c r="D710" s="222"/>
      <c r="E710" s="222"/>
      <c r="F710" s="223"/>
      <c r="H710" s="223"/>
      <c r="K710" s="223"/>
      <c r="M710" s="223"/>
    </row>
    <row r="711" customFormat="false" ht="12.75" hidden="false" customHeight="false" outlineLevel="0" collapsed="false">
      <c r="A711" s="220"/>
      <c r="B711" s="220"/>
      <c r="D711" s="222"/>
      <c r="E711" s="222"/>
      <c r="F711" s="223"/>
      <c r="H711" s="223"/>
      <c r="K711" s="223"/>
      <c r="M711" s="223"/>
    </row>
    <row r="712" customFormat="false" ht="12.75" hidden="false" customHeight="false" outlineLevel="0" collapsed="false">
      <c r="A712" s="220"/>
      <c r="B712" s="220"/>
      <c r="D712" s="222"/>
      <c r="E712" s="222"/>
      <c r="F712" s="223"/>
      <c r="H712" s="223"/>
      <c r="K712" s="223"/>
      <c r="M712" s="223"/>
    </row>
    <row r="713" customFormat="false" ht="12.75" hidden="false" customHeight="false" outlineLevel="0" collapsed="false">
      <c r="A713" s="220"/>
      <c r="B713" s="220"/>
      <c r="D713" s="222"/>
      <c r="E713" s="222"/>
      <c r="F713" s="223"/>
      <c r="H713" s="223"/>
      <c r="K713" s="223"/>
      <c r="M713" s="223"/>
    </row>
    <row r="714" customFormat="false" ht="12.75" hidden="false" customHeight="false" outlineLevel="0" collapsed="false">
      <c r="A714" s="220"/>
      <c r="B714" s="220"/>
      <c r="D714" s="222"/>
      <c r="E714" s="222"/>
      <c r="F714" s="223"/>
      <c r="H714" s="223"/>
      <c r="K714" s="223"/>
      <c r="M714" s="223"/>
    </row>
    <row r="715" customFormat="false" ht="12.75" hidden="false" customHeight="false" outlineLevel="0" collapsed="false">
      <c r="A715" s="220"/>
      <c r="B715" s="220"/>
      <c r="D715" s="222"/>
      <c r="E715" s="222"/>
      <c r="F715" s="223"/>
      <c r="H715" s="223"/>
      <c r="K715" s="223"/>
      <c r="M715" s="223"/>
    </row>
    <row r="716" customFormat="false" ht="12.75" hidden="false" customHeight="false" outlineLevel="0" collapsed="false">
      <c r="A716" s="220"/>
      <c r="B716" s="220"/>
      <c r="D716" s="222"/>
      <c r="E716" s="222"/>
      <c r="F716" s="223"/>
      <c r="H716" s="223"/>
      <c r="K716" s="223"/>
      <c r="M716" s="223"/>
    </row>
    <row r="717" customFormat="false" ht="12.75" hidden="false" customHeight="false" outlineLevel="0" collapsed="false">
      <c r="A717" s="220"/>
      <c r="B717" s="220"/>
      <c r="D717" s="222"/>
      <c r="E717" s="222"/>
      <c r="F717" s="223"/>
      <c r="H717" s="223"/>
      <c r="K717" s="223"/>
      <c r="M717" s="223"/>
    </row>
    <row r="718" customFormat="false" ht="12.75" hidden="false" customHeight="false" outlineLevel="0" collapsed="false">
      <c r="A718" s="220"/>
      <c r="B718" s="220"/>
      <c r="D718" s="222"/>
      <c r="E718" s="222"/>
      <c r="F718" s="223"/>
      <c r="H718" s="223"/>
      <c r="K718" s="223"/>
      <c r="M718" s="223"/>
    </row>
    <row r="719" customFormat="false" ht="12.75" hidden="false" customHeight="false" outlineLevel="0" collapsed="false">
      <c r="A719" s="220"/>
      <c r="B719" s="220"/>
      <c r="D719" s="222"/>
      <c r="E719" s="222"/>
      <c r="F719" s="223"/>
      <c r="H719" s="223"/>
      <c r="K719" s="223"/>
      <c r="M719" s="223"/>
    </row>
    <row r="720" customFormat="false" ht="12.75" hidden="false" customHeight="false" outlineLevel="0" collapsed="false">
      <c r="A720" s="220"/>
      <c r="B720" s="220"/>
      <c r="D720" s="222"/>
      <c r="E720" s="222"/>
      <c r="F720" s="223"/>
      <c r="H720" s="223"/>
      <c r="K720" s="223"/>
      <c r="M720" s="223"/>
    </row>
    <row r="721" customFormat="false" ht="12.75" hidden="false" customHeight="false" outlineLevel="0" collapsed="false">
      <c r="A721" s="220"/>
      <c r="B721" s="220"/>
      <c r="D721" s="222"/>
      <c r="E721" s="222"/>
      <c r="F721" s="223"/>
      <c r="H721" s="223"/>
      <c r="K721" s="223"/>
      <c r="M721" s="223"/>
    </row>
    <row r="722" customFormat="false" ht="12.75" hidden="false" customHeight="false" outlineLevel="0" collapsed="false">
      <c r="A722" s="220"/>
      <c r="B722" s="220"/>
      <c r="D722" s="222"/>
      <c r="E722" s="222"/>
      <c r="F722" s="223"/>
      <c r="H722" s="223"/>
      <c r="K722" s="223"/>
      <c r="M722" s="223"/>
    </row>
    <row r="723" customFormat="false" ht="12.75" hidden="false" customHeight="false" outlineLevel="0" collapsed="false">
      <c r="A723" s="220"/>
      <c r="B723" s="220"/>
      <c r="D723" s="222"/>
      <c r="E723" s="222"/>
      <c r="F723" s="223"/>
      <c r="H723" s="223"/>
      <c r="K723" s="223"/>
      <c r="M723" s="223"/>
    </row>
    <row r="724" customFormat="false" ht="12.75" hidden="false" customHeight="false" outlineLevel="0" collapsed="false">
      <c r="A724" s="220"/>
      <c r="B724" s="220"/>
      <c r="D724" s="222"/>
      <c r="E724" s="222"/>
      <c r="F724" s="223"/>
      <c r="H724" s="223"/>
      <c r="K724" s="223"/>
      <c r="M724" s="223"/>
    </row>
    <row r="725" customFormat="false" ht="12.75" hidden="false" customHeight="false" outlineLevel="0" collapsed="false">
      <c r="A725" s="220"/>
      <c r="B725" s="220"/>
      <c r="D725" s="222"/>
      <c r="E725" s="222"/>
      <c r="F725" s="223"/>
      <c r="H725" s="223"/>
      <c r="K725" s="223"/>
      <c r="M725" s="223"/>
    </row>
    <row r="726" customFormat="false" ht="12.75" hidden="false" customHeight="false" outlineLevel="0" collapsed="false">
      <c r="A726" s="220"/>
      <c r="B726" s="220"/>
      <c r="D726" s="222"/>
      <c r="E726" s="222"/>
      <c r="F726" s="223"/>
      <c r="H726" s="223"/>
      <c r="K726" s="223"/>
      <c r="M726" s="223"/>
    </row>
    <row r="727" customFormat="false" ht="12.75" hidden="false" customHeight="false" outlineLevel="0" collapsed="false">
      <c r="A727" s="220"/>
      <c r="B727" s="220"/>
      <c r="D727" s="222"/>
      <c r="E727" s="222"/>
      <c r="F727" s="223"/>
      <c r="H727" s="223"/>
      <c r="K727" s="223"/>
      <c r="M727" s="223"/>
    </row>
    <row r="728" customFormat="false" ht="12.75" hidden="false" customHeight="false" outlineLevel="0" collapsed="false">
      <c r="A728" s="220"/>
      <c r="B728" s="220"/>
      <c r="D728" s="222"/>
      <c r="E728" s="222"/>
      <c r="F728" s="223"/>
      <c r="H728" s="223"/>
      <c r="K728" s="223"/>
      <c r="M728" s="223"/>
    </row>
    <row r="729" customFormat="false" ht="12.75" hidden="false" customHeight="false" outlineLevel="0" collapsed="false">
      <c r="A729" s="220"/>
      <c r="B729" s="220"/>
      <c r="D729" s="222"/>
      <c r="E729" s="222"/>
      <c r="F729" s="223"/>
      <c r="H729" s="223"/>
      <c r="K729" s="223"/>
      <c r="M729" s="223"/>
    </row>
    <row r="730" customFormat="false" ht="12.75" hidden="false" customHeight="false" outlineLevel="0" collapsed="false">
      <c r="A730" s="220"/>
      <c r="B730" s="220"/>
      <c r="D730" s="222"/>
      <c r="E730" s="222"/>
      <c r="F730" s="223"/>
      <c r="H730" s="223"/>
      <c r="K730" s="223"/>
      <c r="M730" s="223"/>
    </row>
    <row r="731" customFormat="false" ht="12.75" hidden="false" customHeight="false" outlineLevel="0" collapsed="false">
      <c r="A731" s="220"/>
      <c r="B731" s="220"/>
      <c r="D731" s="222"/>
      <c r="E731" s="222"/>
      <c r="F731" s="223"/>
      <c r="H731" s="223"/>
      <c r="K731" s="223"/>
      <c r="M731" s="223"/>
    </row>
    <row r="732" customFormat="false" ht="12.75" hidden="false" customHeight="false" outlineLevel="0" collapsed="false">
      <c r="A732" s="220"/>
      <c r="B732" s="220"/>
      <c r="D732" s="222"/>
      <c r="E732" s="222"/>
      <c r="F732" s="223"/>
      <c r="H732" s="223"/>
      <c r="K732" s="223"/>
      <c r="M732" s="223"/>
    </row>
    <row r="733" customFormat="false" ht="12.75" hidden="false" customHeight="false" outlineLevel="0" collapsed="false">
      <c r="A733" s="220"/>
      <c r="B733" s="220"/>
      <c r="D733" s="222"/>
      <c r="E733" s="222"/>
      <c r="F733" s="223"/>
      <c r="H733" s="223"/>
      <c r="K733" s="223"/>
      <c r="M733" s="223"/>
    </row>
    <row r="734" customFormat="false" ht="12.75" hidden="false" customHeight="false" outlineLevel="0" collapsed="false">
      <c r="A734" s="220"/>
      <c r="B734" s="220"/>
      <c r="D734" s="222"/>
      <c r="E734" s="222"/>
      <c r="F734" s="223"/>
      <c r="H734" s="223"/>
      <c r="K734" s="223"/>
      <c r="M734" s="223"/>
    </row>
    <row r="735" customFormat="false" ht="12.75" hidden="false" customHeight="false" outlineLevel="0" collapsed="false">
      <c r="A735" s="220"/>
      <c r="B735" s="220"/>
      <c r="D735" s="222"/>
      <c r="E735" s="222"/>
      <c r="F735" s="223"/>
      <c r="H735" s="223"/>
      <c r="K735" s="223"/>
      <c r="M735" s="223"/>
    </row>
    <row r="736" customFormat="false" ht="12.75" hidden="false" customHeight="false" outlineLevel="0" collapsed="false">
      <c r="A736" s="220"/>
      <c r="B736" s="220"/>
      <c r="D736" s="222"/>
      <c r="E736" s="222"/>
      <c r="F736" s="223"/>
      <c r="H736" s="223"/>
      <c r="K736" s="223"/>
      <c r="M736" s="223"/>
    </row>
    <row r="737" customFormat="false" ht="12.75" hidden="false" customHeight="false" outlineLevel="0" collapsed="false">
      <c r="A737" s="220"/>
      <c r="B737" s="220"/>
      <c r="D737" s="222"/>
      <c r="E737" s="222"/>
      <c r="F737" s="223"/>
      <c r="H737" s="223"/>
      <c r="K737" s="223"/>
      <c r="M737" s="223"/>
    </row>
    <row r="738" customFormat="false" ht="12.75" hidden="false" customHeight="false" outlineLevel="0" collapsed="false">
      <c r="A738" s="220"/>
      <c r="B738" s="220"/>
      <c r="D738" s="222"/>
      <c r="E738" s="222"/>
      <c r="F738" s="223"/>
      <c r="H738" s="223"/>
      <c r="K738" s="223"/>
      <c r="M738" s="223"/>
    </row>
    <row r="739" customFormat="false" ht="12.75" hidden="false" customHeight="false" outlineLevel="0" collapsed="false">
      <c r="A739" s="220"/>
      <c r="B739" s="220"/>
      <c r="D739" s="222"/>
      <c r="E739" s="222"/>
      <c r="F739" s="223"/>
      <c r="H739" s="223"/>
      <c r="K739" s="223"/>
      <c r="M739" s="223"/>
    </row>
    <row r="740" customFormat="false" ht="12.75" hidden="false" customHeight="false" outlineLevel="0" collapsed="false">
      <c r="A740" s="220"/>
      <c r="B740" s="220"/>
      <c r="D740" s="222"/>
      <c r="E740" s="222"/>
      <c r="F740" s="223"/>
      <c r="H740" s="223"/>
      <c r="K740" s="223"/>
      <c r="M740" s="223"/>
    </row>
    <row r="741" customFormat="false" ht="12.75" hidden="false" customHeight="false" outlineLevel="0" collapsed="false">
      <c r="A741" s="220"/>
      <c r="B741" s="220"/>
      <c r="D741" s="222"/>
      <c r="E741" s="222"/>
      <c r="F741" s="223"/>
      <c r="H741" s="223"/>
      <c r="K741" s="223"/>
      <c r="M741" s="223"/>
    </row>
    <row r="742" customFormat="false" ht="12.75" hidden="false" customHeight="false" outlineLevel="0" collapsed="false">
      <c r="A742" s="220"/>
      <c r="B742" s="220"/>
      <c r="D742" s="222"/>
      <c r="E742" s="222"/>
      <c r="F742" s="223"/>
      <c r="H742" s="223"/>
      <c r="K742" s="223"/>
      <c r="M742" s="223"/>
    </row>
    <row r="743" customFormat="false" ht="12.75" hidden="false" customHeight="false" outlineLevel="0" collapsed="false">
      <c r="A743" s="220"/>
      <c r="B743" s="220"/>
      <c r="D743" s="222"/>
      <c r="E743" s="222"/>
      <c r="F743" s="223"/>
      <c r="H743" s="223"/>
      <c r="K743" s="223"/>
      <c r="M743" s="223"/>
    </row>
    <row r="744" customFormat="false" ht="12.75" hidden="false" customHeight="false" outlineLevel="0" collapsed="false">
      <c r="A744" s="220"/>
      <c r="B744" s="220"/>
      <c r="D744" s="222"/>
      <c r="E744" s="222"/>
      <c r="F744" s="223"/>
      <c r="H744" s="223"/>
      <c r="K744" s="223"/>
      <c r="M744" s="223"/>
    </row>
    <row r="745" customFormat="false" ht="12.75" hidden="false" customHeight="false" outlineLevel="0" collapsed="false">
      <c r="A745" s="220"/>
      <c r="B745" s="220"/>
      <c r="D745" s="222"/>
      <c r="E745" s="222"/>
      <c r="F745" s="223"/>
      <c r="H745" s="223"/>
      <c r="K745" s="223"/>
      <c r="M745" s="223"/>
    </row>
    <row r="746" customFormat="false" ht="12.75" hidden="false" customHeight="false" outlineLevel="0" collapsed="false">
      <c r="A746" s="220"/>
      <c r="B746" s="220"/>
      <c r="D746" s="222"/>
      <c r="E746" s="222"/>
      <c r="F746" s="223"/>
      <c r="H746" s="223"/>
      <c r="K746" s="223"/>
      <c r="M746" s="223"/>
    </row>
    <row r="747" customFormat="false" ht="12.75" hidden="false" customHeight="false" outlineLevel="0" collapsed="false">
      <c r="A747" s="220"/>
      <c r="B747" s="220"/>
      <c r="D747" s="222"/>
      <c r="E747" s="222"/>
      <c r="F747" s="223"/>
      <c r="H747" s="223"/>
      <c r="K747" s="223"/>
      <c r="M747" s="223"/>
    </row>
    <row r="748" customFormat="false" ht="12.75" hidden="false" customHeight="false" outlineLevel="0" collapsed="false">
      <c r="A748" s="220"/>
      <c r="B748" s="220"/>
      <c r="D748" s="222"/>
      <c r="E748" s="222"/>
      <c r="F748" s="223"/>
      <c r="H748" s="223"/>
      <c r="K748" s="223"/>
      <c r="M748" s="223"/>
    </row>
    <row r="749" customFormat="false" ht="12.75" hidden="false" customHeight="false" outlineLevel="0" collapsed="false">
      <c r="A749" s="220"/>
      <c r="B749" s="220"/>
      <c r="D749" s="222"/>
      <c r="E749" s="222"/>
      <c r="F749" s="223"/>
      <c r="H749" s="223"/>
      <c r="K749" s="223"/>
      <c r="M749" s="223"/>
    </row>
    <row r="750" customFormat="false" ht="12.75" hidden="false" customHeight="false" outlineLevel="0" collapsed="false">
      <c r="A750" s="220"/>
      <c r="B750" s="220"/>
      <c r="D750" s="222"/>
      <c r="E750" s="222"/>
      <c r="F750" s="223"/>
      <c r="H750" s="223"/>
      <c r="K750" s="223"/>
      <c r="M750" s="223"/>
    </row>
    <row r="751" customFormat="false" ht="12.75" hidden="false" customHeight="false" outlineLevel="0" collapsed="false">
      <c r="A751" s="220"/>
      <c r="B751" s="220"/>
      <c r="D751" s="222"/>
      <c r="E751" s="222"/>
      <c r="F751" s="223"/>
      <c r="H751" s="223"/>
      <c r="K751" s="223"/>
      <c r="M751" s="223"/>
    </row>
    <row r="752" customFormat="false" ht="12.75" hidden="false" customHeight="false" outlineLevel="0" collapsed="false">
      <c r="A752" s="220"/>
      <c r="B752" s="220"/>
      <c r="D752" s="222"/>
      <c r="E752" s="222"/>
      <c r="F752" s="223"/>
      <c r="H752" s="223"/>
      <c r="K752" s="223"/>
      <c r="M752" s="223"/>
    </row>
    <row r="753" customFormat="false" ht="12.75" hidden="false" customHeight="false" outlineLevel="0" collapsed="false">
      <c r="A753" s="220"/>
      <c r="B753" s="220"/>
      <c r="D753" s="222"/>
      <c r="E753" s="222"/>
      <c r="F753" s="223"/>
      <c r="H753" s="223"/>
      <c r="K753" s="223"/>
      <c r="M753" s="223"/>
    </row>
    <row r="754" customFormat="false" ht="12.75" hidden="false" customHeight="false" outlineLevel="0" collapsed="false">
      <c r="A754" s="220"/>
      <c r="B754" s="220"/>
      <c r="D754" s="222"/>
      <c r="E754" s="222"/>
      <c r="F754" s="223"/>
      <c r="H754" s="223"/>
      <c r="K754" s="223"/>
      <c r="M754" s="223"/>
    </row>
    <row r="755" customFormat="false" ht="12.75" hidden="false" customHeight="false" outlineLevel="0" collapsed="false">
      <c r="A755" s="220"/>
      <c r="B755" s="220"/>
      <c r="D755" s="222"/>
      <c r="E755" s="222"/>
      <c r="F755" s="223"/>
      <c r="H755" s="223"/>
      <c r="K755" s="223"/>
      <c r="M755" s="223"/>
    </row>
    <row r="756" customFormat="false" ht="12.75" hidden="false" customHeight="false" outlineLevel="0" collapsed="false">
      <c r="A756" s="220"/>
      <c r="B756" s="220"/>
      <c r="D756" s="222"/>
      <c r="E756" s="222"/>
      <c r="F756" s="223"/>
      <c r="H756" s="223"/>
      <c r="K756" s="223"/>
      <c r="M756" s="223"/>
    </row>
    <row r="757" customFormat="false" ht="12.75" hidden="false" customHeight="false" outlineLevel="0" collapsed="false">
      <c r="A757" s="220"/>
      <c r="B757" s="220"/>
      <c r="D757" s="222"/>
      <c r="E757" s="222"/>
      <c r="F757" s="223"/>
      <c r="H757" s="223"/>
      <c r="K757" s="223"/>
      <c r="M757" s="223"/>
    </row>
    <row r="758" customFormat="false" ht="12.75" hidden="false" customHeight="false" outlineLevel="0" collapsed="false">
      <c r="A758" s="220"/>
      <c r="B758" s="220"/>
      <c r="D758" s="222"/>
      <c r="E758" s="222"/>
      <c r="F758" s="223"/>
      <c r="H758" s="223"/>
      <c r="K758" s="223"/>
      <c r="M758" s="223"/>
    </row>
    <row r="759" customFormat="false" ht="12.75" hidden="false" customHeight="false" outlineLevel="0" collapsed="false">
      <c r="A759" s="220"/>
      <c r="B759" s="220"/>
      <c r="D759" s="222"/>
      <c r="E759" s="222"/>
      <c r="F759" s="223"/>
      <c r="H759" s="223"/>
      <c r="K759" s="223"/>
      <c r="M759" s="223"/>
    </row>
    <row r="760" customFormat="false" ht="12.75" hidden="false" customHeight="false" outlineLevel="0" collapsed="false">
      <c r="A760" s="220"/>
      <c r="B760" s="220"/>
      <c r="D760" s="222"/>
      <c r="E760" s="222"/>
      <c r="F760" s="223"/>
      <c r="H760" s="223"/>
      <c r="K760" s="223"/>
      <c r="M760" s="223"/>
    </row>
    <row r="761" customFormat="false" ht="12.75" hidden="false" customHeight="false" outlineLevel="0" collapsed="false">
      <c r="A761" s="220"/>
      <c r="B761" s="220"/>
      <c r="D761" s="222"/>
      <c r="E761" s="222"/>
      <c r="F761" s="223"/>
      <c r="H761" s="223"/>
      <c r="K761" s="223"/>
      <c r="M761" s="223"/>
    </row>
    <row r="762" customFormat="false" ht="12.75" hidden="false" customHeight="false" outlineLevel="0" collapsed="false">
      <c r="A762" s="220"/>
      <c r="B762" s="220"/>
      <c r="D762" s="222"/>
      <c r="E762" s="222"/>
      <c r="F762" s="223"/>
      <c r="H762" s="223"/>
      <c r="K762" s="223"/>
      <c r="M762" s="223"/>
    </row>
    <row r="763" customFormat="false" ht="12.75" hidden="false" customHeight="false" outlineLevel="0" collapsed="false">
      <c r="A763" s="220"/>
      <c r="B763" s="220"/>
      <c r="D763" s="222"/>
      <c r="E763" s="222"/>
      <c r="F763" s="223"/>
      <c r="H763" s="223"/>
      <c r="K763" s="223"/>
      <c r="M763" s="223"/>
    </row>
    <row r="764" customFormat="false" ht="12.75" hidden="false" customHeight="false" outlineLevel="0" collapsed="false">
      <c r="A764" s="220"/>
      <c r="B764" s="220"/>
      <c r="D764" s="222"/>
      <c r="E764" s="222"/>
      <c r="F764" s="223"/>
      <c r="H764" s="223"/>
      <c r="K764" s="223"/>
      <c r="M764" s="223"/>
    </row>
    <row r="765" customFormat="false" ht="12.75" hidden="false" customHeight="false" outlineLevel="0" collapsed="false">
      <c r="A765" s="220"/>
      <c r="B765" s="220"/>
      <c r="D765" s="222"/>
      <c r="E765" s="222"/>
      <c r="F765" s="223"/>
      <c r="H765" s="223"/>
      <c r="K765" s="223"/>
      <c r="M765" s="223"/>
    </row>
    <row r="766" customFormat="false" ht="12.75" hidden="false" customHeight="false" outlineLevel="0" collapsed="false">
      <c r="A766" s="220"/>
      <c r="B766" s="220"/>
      <c r="D766" s="222"/>
      <c r="E766" s="222"/>
      <c r="F766" s="223"/>
      <c r="H766" s="223"/>
      <c r="K766" s="223"/>
      <c r="M766" s="223"/>
    </row>
    <row r="767" customFormat="false" ht="12.75" hidden="false" customHeight="false" outlineLevel="0" collapsed="false">
      <c r="A767" s="220"/>
      <c r="B767" s="220"/>
      <c r="D767" s="222"/>
      <c r="E767" s="222"/>
      <c r="F767" s="223"/>
      <c r="H767" s="223"/>
      <c r="K767" s="223"/>
      <c r="M767" s="223"/>
    </row>
    <row r="768" customFormat="false" ht="12.75" hidden="false" customHeight="false" outlineLevel="0" collapsed="false">
      <c r="A768" s="220"/>
      <c r="B768" s="220"/>
      <c r="D768" s="222"/>
      <c r="E768" s="222"/>
      <c r="F768" s="223"/>
      <c r="H768" s="223"/>
      <c r="K768" s="223"/>
      <c r="M768" s="223"/>
    </row>
    <row r="769" customFormat="false" ht="12.75" hidden="false" customHeight="false" outlineLevel="0" collapsed="false">
      <c r="A769" s="220"/>
      <c r="B769" s="220"/>
      <c r="D769" s="222"/>
      <c r="E769" s="222"/>
      <c r="F769" s="223"/>
      <c r="H769" s="223"/>
      <c r="K769" s="223"/>
      <c r="M769" s="223"/>
    </row>
    <row r="770" customFormat="false" ht="12.75" hidden="false" customHeight="false" outlineLevel="0" collapsed="false">
      <c r="A770" s="220"/>
      <c r="B770" s="220"/>
      <c r="D770" s="222"/>
      <c r="E770" s="222"/>
      <c r="F770" s="223"/>
      <c r="H770" s="223"/>
      <c r="K770" s="223"/>
      <c r="M770" s="223"/>
    </row>
    <row r="771" customFormat="false" ht="12.75" hidden="false" customHeight="false" outlineLevel="0" collapsed="false">
      <c r="A771" s="220"/>
      <c r="B771" s="220"/>
      <c r="D771" s="222"/>
      <c r="E771" s="222"/>
      <c r="F771" s="223"/>
      <c r="H771" s="223"/>
      <c r="K771" s="223"/>
      <c r="M771" s="223"/>
    </row>
    <row r="772" customFormat="false" ht="12.75" hidden="false" customHeight="false" outlineLevel="0" collapsed="false">
      <c r="A772" s="220"/>
      <c r="B772" s="220"/>
      <c r="D772" s="222"/>
      <c r="E772" s="222"/>
      <c r="F772" s="223"/>
      <c r="H772" s="223"/>
      <c r="K772" s="223"/>
      <c r="M772" s="223"/>
    </row>
    <row r="773" customFormat="false" ht="12.75" hidden="false" customHeight="false" outlineLevel="0" collapsed="false">
      <c r="A773" s="220"/>
      <c r="B773" s="220"/>
      <c r="D773" s="222"/>
      <c r="E773" s="222"/>
      <c r="F773" s="223"/>
      <c r="H773" s="223"/>
      <c r="K773" s="223"/>
      <c r="M773" s="223"/>
    </row>
    <row r="774" customFormat="false" ht="12.75" hidden="false" customHeight="false" outlineLevel="0" collapsed="false">
      <c r="A774" s="220"/>
      <c r="B774" s="220"/>
      <c r="D774" s="222"/>
      <c r="E774" s="222"/>
      <c r="F774" s="223"/>
      <c r="H774" s="223"/>
      <c r="K774" s="223"/>
      <c r="M774" s="223"/>
    </row>
    <row r="775" customFormat="false" ht="12.75" hidden="false" customHeight="false" outlineLevel="0" collapsed="false">
      <c r="A775" s="220"/>
      <c r="B775" s="220"/>
      <c r="D775" s="222"/>
      <c r="E775" s="222"/>
      <c r="F775" s="223"/>
      <c r="H775" s="223"/>
      <c r="K775" s="223"/>
      <c r="M775" s="223"/>
    </row>
    <row r="776" customFormat="false" ht="12.75" hidden="false" customHeight="false" outlineLevel="0" collapsed="false">
      <c r="A776" s="220"/>
      <c r="B776" s="220"/>
      <c r="D776" s="222"/>
      <c r="E776" s="222"/>
      <c r="F776" s="223"/>
      <c r="H776" s="223"/>
      <c r="K776" s="223"/>
      <c r="M776" s="223"/>
    </row>
    <row r="777" customFormat="false" ht="12.75" hidden="false" customHeight="false" outlineLevel="0" collapsed="false">
      <c r="A777" s="220"/>
      <c r="B777" s="220"/>
      <c r="D777" s="222"/>
      <c r="E777" s="222"/>
      <c r="F777" s="223"/>
      <c r="H777" s="223"/>
      <c r="K777" s="223"/>
      <c r="M777" s="223"/>
    </row>
    <row r="778" customFormat="false" ht="12.75" hidden="false" customHeight="false" outlineLevel="0" collapsed="false">
      <c r="A778" s="220"/>
      <c r="B778" s="220"/>
      <c r="D778" s="222"/>
      <c r="E778" s="222"/>
      <c r="F778" s="223"/>
      <c r="H778" s="223"/>
      <c r="K778" s="223"/>
      <c r="M778" s="223"/>
    </row>
    <row r="779" customFormat="false" ht="12.75" hidden="false" customHeight="false" outlineLevel="0" collapsed="false">
      <c r="A779" s="220"/>
      <c r="B779" s="220"/>
      <c r="D779" s="222"/>
      <c r="E779" s="222"/>
      <c r="F779" s="223"/>
      <c r="H779" s="223"/>
      <c r="K779" s="223"/>
      <c r="M779" s="223"/>
    </row>
    <row r="780" customFormat="false" ht="12.75" hidden="false" customHeight="false" outlineLevel="0" collapsed="false">
      <c r="A780" s="220"/>
      <c r="B780" s="220"/>
      <c r="D780" s="222"/>
      <c r="E780" s="222"/>
      <c r="F780" s="223"/>
      <c r="H780" s="223"/>
      <c r="K780" s="223"/>
      <c r="M780" s="223"/>
    </row>
    <row r="781" customFormat="false" ht="12.75" hidden="false" customHeight="false" outlineLevel="0" collapsed="false">
      <c r="A781" s="220"/>
      <c r="B781" s="220"/>
      <c r="D781" s="222"/>
      <c r="E781" s="222"/>
      <c r="F781" s="223"/>
      <c r="H781" s="223"/>
      <c r="K781" s="223"/>
      <c r="M781" s="223"/>
    </row>
    <row r="782" customFormat="false" ht="12.75" hidden="false" customHeight="false" outlineLevel="0" collapsed="false">
      <c r="A782" s="220"/>
      <c r="B782" s="220"/>
      <c r="D782" s="222"/>
      <c r="E782" s="222"/>
      <c r="F782" s="223"/>
      <c r="H782" s="223"/>
      <c r="K782" s="223"/>
      <c r="M782" s="223"/>
    </row>
    <row r="783" customFormat="false" ht="12.75" hidden="false" customHeight="false" outlineLevel="0" collapsed="false">
      <c r="A783" s="220"/>
      <c r="B783" s="220"/>
      <c r="D783" s="222"/>
      <c r="E783" s="222"/>
      <c r="F783" s="223"/>
      <c r="H783" s="223"/>
      <c r="K783" s="223"/>
      <c r="M783" s="223"/>
    </row>
    <row r="784" customFormat="false" ht="12.75" hidden="false" customHeight="false" outlineLevel="0" collapsed="false">
      <c r="A784" s="220"/>
      <c r="B784" s="220"/>
      <c r="D784" s="222"/>
      <c r="E784" s="222"/>
      <c r="F784" s="223"/>
      <c r="H784" s="223"/>
      <c r="K784" s="223"/>
      <c r="M784" s="223"/>
    </row>
    <row r="785" customFormat="false" ht="12.75" hidden="false" customHeight="false" outlineLevel="0" collapsed="false">
      <c r="A785" s="220"/>
      <c r="B785" s="220"/>
      <c r="D785" s="222"/>
      <c r="E785" s="222"/>
      <c r="F785" s="223"/>
      <c r="H785" s="223"/>
      <c r="K785" s="223"/>
      <c r="M785" s="223"/>
    </row>
    <row r="786" customFormat="false" ht="12.75" hidden="false" customHeight="false" outlineLevel="0" collapsed="false">
      <c r="A786" s="220"/>
      <c r="B786" s="220"/>
      <c r="D786" s="222"/>
      <c r="E786" s="222"/>
      <c r="F786" s="223"/>
      <c r="H786" s="223"/>
      <c r="K786" s="223"/>
      <c r="M786" s="223"/>
    </row>
    <row r="787" customFormat="false" ht="12.75" hidden="false" customHeight="false" outlineLevel="0" collapsed="false">
      <c r="A787" s="220"/>
      <c r="B787" s="220"/>
      <c r="D787" s="222"/>
      <c r="E787" s="222"/>
      <c r="F787" s="223"/>
      <c r="H787" s="223"/>
      <c r="K787" s="223"/>
      <c r="M787" s="223"/>
    </row>
    <row r="788" customFormat="false" ht="12.75" hidden="false" customHeight="false" outlineLevel="0" collapsed="false">
      <c r="A788" s="220"/>
      <c r="B788" s="220"/>
      <c r="D788" s="222"/>
      <c r="E788" s="222"/>
      <c r="F788" s="223"/>
      <c r="H788" s="223"/>
      <c r="K788" s="223"/>
      <c r="M788" s="223"/>
    </row>
    <row r="789" customFormat="false" ht="12.75" hidden="false" customHeight="false" outlineLevel="0" collapsed="false">
      <c r="A789" s="220"/>
      <c r="B789" s="220"/>
      <c r="D789" s="222"/>
      <c r="E789" s="222"/>
      <c r="F789" s="223"/>
      <c r="H789" s="223"/>
      <c r="K789" s="223"/>
      <c r="M789" s="223"/>
    </row>
    <row r="790" customFormat="false" ht="12.75" hidden="false" customHeight="false" outlineLevel="0" collapsed="false">
      <c r="A790" s="220"/>
      <c r="B790" s="220"/>
      <c r="D790" s="222"/>
      <c r="E790" s="222"/>
      <c r="F790" s="223"/>
      <c r="H790" s="223"/>
      <c r="K790" s="223"/>
      <c r="M790" s="223"/>
    </row>
    <row r="791" customFormat="false" ht="12.75" hidden="false" customHeight="false" outlineLevel="0" collapsed="false">
      <c r="A791" s="220"/>
      <c r="B791" s="220"/>
      <c r="D791" s="222"/>
      <c r="E791" s="222"/>
      <c r="F791" s="223"/>
      <c r="H791" s="223"/>
      <c r="K791" s="223"/>
      <c r="M791" s="223"/>
    </row>
    <row r="792" customFormat="false" ht="12.75" hidden="false" customHeight="false" outlineLevel="0" collapsed="false">
      <c r="A792" s="220"/>
      <c r="B792" s="220"/>
      <c r="D792" s="222"/>
      <c r="E792" s="222"/>
      <c r="F792" s="223"/>
      <c r="H792" s="223"/>
      <c r="K792" s="223"/>
      <c r="M792" s="223"/>
    </row>
    <row r="793" customFormat="false" ht="12.75" hidden="false" customHeight="false" outlineLevel="0" collapsed="false">
      <c r="A793" s="220"/>
      <c r="B793" s="220"/>
      <c r="D793" s="222"/>
      <c r="E793" s="222"/>
      <c r="F793" s="223"/>
      <c r="H793" s="223"/>
      <c r="K793" s="223"/>
      <c r="M793" s="223"/>
    </row>
    <row r="794" customFormat="false" ht="12.75" hidden="false" customHeight="false" outlineLevel="0" collapsed="false">
      <c r="A794" s="220"/>
      <c r="B794" s="220"/>
      <c r="D794" s="222"/>
      <c r="E794" s="222"/>
      <c r="F794" s="223"/>
      <c r="H794" s="223"/>
      <c r="K794" s="223"/>
      <c r="M794" s="223"/>
    </row>
    <row r="795" customFormat="false" ht="12.75" hidden="false" customHeight="false" outlineLevel="0" collapsed="false">
      <c r="A795" s="220"/>
      <c r="B795" s="220"/>
      <c r="D795" s="222"/>
      <c r="E795" s="222"/>
      <c r="F795" s="223"/>
      <c r="H795" s="223"/>
      <c r="K795" s="223"/>
      <c r="M795" s="223"/>
    </row>
    <row r="796" customFormat="false" ht="12.75" hidden="false" customHeight="false" outlineLevel="0" collapsed="false">
      <c r="A796" s="220"/>
      <c r="B796" s="220"/>
      <c r="D796" s="222"/>
      <c r="E796" s="222"/>
      <c r="F796" s="223"/>
      <c r="H796" s="223"/>
      <c r="K796" s="223"/>
      <c r="M796" s="223"/>
    </row>
    <row r="797" customFormat="false" ht="12.75" hidden="false" customHeight="false" outlineLevel="0" collapsed="false">
      <c r="A797" s="220"/>
      <c r="B797" s="220"/>
      <c r="D797" s="222"/>
      <c r="E797" s="222"/>
      <c r="F797" s="223"/>
      <c r="H797" s="223"/>
      <c r="K797" s="223"/>
      <c r="M797" s="223"/>
    </row>
    <row r="798" customFormat="false" ht="12.75" hidden="false" customHeight="false" outlineLevel="0" collapsed="false">
      <c r="A798" s="220"/>
      <c r="B798" s="220"/>
      <c r="D798" s="222"/>
      <c r="E798" s="222"/>
      <c r="F798" s="223"/>
      <c r="H798" s="223"/>
      <c r="K798" s="223"/>
      <c r="M798" s="223"/>
    </row>
    <row r="799" customFormat="false" ht="12.75" hidden="false" customHeight="false" outlineLevel="0" collapsed="false">
      <c r="A799" s="220"/>
      <c r="B799" s="220"/>
      <c r="D799" s="222"/>
      <c r="E799" s="222"/>
      <c r="F799" s="223"/>
      <c r="H799" s="223"/>
      <c r="K799" s="223"/>
      <c r="M799" s="223"/>
    </row>
    <row r="800" customFormat="false" ht="12.75" hidden="false" customHeight="false" outlineLevel="0" collapsed="false">
      <c r="A800" s="220"/>
      <c r="B800" s="220"/>
      <c r="D800" s="222"/>
      <c r="E800" s="222"/>
      <c r="F800" s="223"/>
      <c r="H800" s="223"/>
      <c r="K800" s="223"/>
      <c r="M800" s="223"/>
    </row>
    <row r="801" customFormat="false" ht="12.75" hidden="false" customHeight="false" outlineLevel="0" collapsed="false">
      <c r="A801" s="220"/>
      <c r="B801" s="220"/>
      <c r="D801" s="222"/>
      <c r="E801" s="222"/>
      <c r="F801" s="223"/>
      <c r="H801" s="223"/>
      <c r="K801" s="223"/>
      <c r="M801" s="223"/>
    </row>
    <row r="802" customFormat="false" ht="12.75" hidden="false" customHeight="false" outlineLevel="0" collapsed="false">
      <c r="A802" s="220"/>
      <c r="B802" s="220"/>
      <c r="D802" s="222"/>
      <c r="E802" s="222"/>
      <c r="F802" s="223"/>
      <c r="H802" s="223"/>
      <c r="K802" s="223"/>
      <c r="M802" s="223"/>
    </row>
    <row r="803" customFormat="false" ht="12.75" hidden="false" customHeight="false" outlineLevel="0" collapsed="false">
      <c r="A803" s="220"/>
      <c r="B803" s="220"/>
      <c r="D803" s="222"/>
      <c r="E803" s="222"/>
      <c r="F803" s="223"/>
      <c r="H803" s="223"/>
      <c r="K803" s="223"/>
      <c r="M803" s="223"/>
    </row>
    <row r="804" customFormat="false" ht="12.75" hidden="false" customHeight="false" outlineLevel="0" collapsed="false">
      <c r="A804" s="220"/>
      <c r="B804" s="220"/>
      <c r="D804" s="222"/>
      <c r="E804" s="222"/>
      <c r="F804" s="223"/>
      <c r="H804" s="223"/>
      <c r="K804" s="223"/>
      <c r="M804" s="223"/>
    </row>
    <row r="805" customFormat="false" ht="12.75" hidden="false" customHeight="false" outlineLevel="0" collapsed="false">
      <c r="A805" s="220"/>
      <c r="B805" s="220"/>
      <c r="D805" s="222"/>
      <c r="E805" s="222"/>
      <c r="F805" s="223"/>
      <c r="H805" s="223"/>
      <c r="K805" s="223"/>
      <c r="M805" s="223"/>
    </row>
    <row r="806" customFormat="false" ht="12.75" hidden="false" customHeight="false" outlineLevel="0" collapsed="false">
      <c r="A806" s="220"/>
      <c r="B806" s="220"/>
      <c r="D806" s="222"/>
      <c r="E806" s="222"/>
      <c r="F806" s="223"/>
      <c r="H806" s="223"/>
      <c r="K806" s="223"/>
      <c r="M806" s="223"/>
    </row>
    <row r="807" customFormat="false" ht="12.75" hidden="false" customHeight="false" outlineLevel="0" collapsed="false">
      <c r="A807" s="220"/>
      <c r="B807" s="220"/>
      <c r="D807" s="222"/>
      <c r="E807" s="222"/>
      <c r="F807" s="223"/>
      <c r="H807" s="223"/>
      <c r="K807" s="223"/>
      <c r="M807" s="223"/>
    </row>
    <row r="808" customFormat="false" ht="12.75" hidden="false" customHeight="false" outlineLevel="0" collapsed="false">
      <c r="A808" s="220"/>
      <c r="B808" s="220"/>
      <c r="D808" s="222"/>
      <c r="E808" s="222"/>
      <c r="F808" s="223"/>
      <c r="H808" s="223"/>
      <c r="K808" s="223"/>
      <c r="M808" s="223"/>
    </row>
    <row r="809" customFormat="false" ht="12.75" hidden="false" customHeight="false" outlineLevel="0" collapsed="false">
      <c r="A809" s="220"/>
      <c r="B809" s="220"/>
      <c r="D809" s="222"/>
      <c r="E809" s="222"/>
      <c r="F809" s="223"/>
      <c r="H809" s="223"/>
      <c r="K809" s="223"/>
      <c r="M809" s="223"/>
    </row>
    <row r="810" customFormat="false" ht="12.75" hidden="false" customHeight="false" outlineLevel="0" collapsed="false">
      <c r="A810" s="220"/>
      <c r="B810" s="220"/>
      <c r="D810" s="222"/>
      <c r="E810" s="222"/>
      <c r="F810" s="223"/>
      <c r="H810" s="223"/>
      <c r="K810" s="223"/>
      <c r="M810" s="223"/>
    </row>
    <row r="811" customFormat="false" ht="12.75" hidden="false" customHeight="false" outlineLevel="0" collapsed="false">
      <c r="A811" s="220"/>
      <c r="B811" s="220"/>
      <c r="D811" s="222"/>
      <c r="E811" s="222"/>
      <c r="F811" s="223"/>
      <c r="H811" s="223"/>
      <c r="K811" s="223"/>
      <c r="M811" s="223"/>
    </row>
    <row r="812" customFormat="false" ht="12.75" hidden="false" customHeight="false" outlineLevel="0" collapsed="false">
      <c r="A812" s="220"/>
      <c r="B812" s="220"/>
      <c r="D812" s="222"/>
      <c r="E812" s="222"/>
      <c r="F812" s="223"/>
      <c r="H812" s="223"/>
      <c r="K812" s="223"/>
      <c r="M812" s="223"/>
    </row>
    <row r="813" customFormat="false" ht="12.75" hidden="false" customHeight="false" outlineLevel="0" collapsed="false">
      <c r="A813" s="220"/>
      <c r="B813" s="220"/>
      <c r="D813" s="222"/>
      <c r="E813" s="222"/>
      <c r="F813" s="223"/>
      <c r="H813" s="223"/>
      <c r="K813" s="223"/>
      <c r="M813" s="223"/>
    </row>
    <row r="814" customFormat="false" ht="12.75" hidden="false" customHeight="false" outlineLevel="0" collapsed="false">
      <c r="A814" s="220"/>
      <c r="B814" s="220"/>
      <c r="D814" s="222"/>
      <c r="E814" s="222"/>
      <c r="F814" s="223"/>
      <c r="H814" s="223"/>
      <c r="K814" s="223"/>
      <c r="M814" s="223"/>
    </row>
    <row r="815" customFormat="false" ht="12.75" hidden="false" customHeight="false" outlineLevel="0" collapsed="false">
      <c r="A815" s="220"/>
      <c r="B815" s="220"/>
      <c r="D815" s="222"/>
      <c r="E815" s="222"/>
      <c r="F815" s="223"/>
      <c r="H815" s="223"/>
      <c r="K815" s="223"/>
      <c r="M815" s="223"/>
    </row>
    <row r="816" customFormat="false" ht="12.75" hidden="false" customHeight="false" outlineLevel="0" collapsed="false">
      <c r="A816" s="220"/>
      <c r="B816" s="220"/>
      <c r="D816" s="222"/>
      <c r="E816" s="222"/>
      <c r="F816" s="223"/>
      <c r="H816" s="223"/>
      <c r="K816" s="223"/>
      <c r="M816" s="223"/>
    </row>
    <row r="817" customFormat="false" ht="12.75" hidden="false" customHeight="false" outlineLevel="0" collapsed="false">
      <c r="A817" s="220"/>
      <c r="B817" s="220"/>
      <c r="D817" s="222"/>
      <c r="E817" s="222"/>
      <c r="F817" s="223"/>
      <c r="H817" s="223"/>
      <c r="K817" s="223"/>
      <c r="M817" s="223"/>
    </row>
    <row r="818" customFormat="false" ht="12.75" hidden="false" customHeight="false" outlineLevel="0" collapsed="false">
      <c r="A818" s="220"/>
      <c r="B818" s="220"/>
      <c r="D818" s="222"/>
      <c r="E818" s="222"/>
      <c r="F818" s="223"/>
      <c r="H818" s="223"/>
      <c r="K818" s="223"/>
      <c r="M818" s="223"/>
    </row>
    <row r="819" customFormat="false" ht="12.75" hidden="false" customHeight="false" outlineLevel="0" collapsed="false">
      <c r="A819" s="220"/>
      <c r="B819" s="220"/>
      <c r="D819" s="222"/>
      <c r="E819" s="222"/>
      <c r="F819" s="223"/>
      <c r="H819" s="223"/>
      <c r="K819" s="223"/>
      <c r="M819" s="223"/>
    </row>
    <row r="820" customFormat="false" ht="12.75" hidden="false" customHeight="false" outlineLevel="0" collapsed="false">
      <c r="A820" s="220"/>
      <c r="B820" s="220"/>
      <c r="D820" s="222"/>
      <c r="E820" s="222"/>
      <c r="F820" s="223"/>
      <c r="H820" s="223"/>
      <c r="K820" s="223"/>
      <c r="M820" s="223"/>
    </row>
    <row r="821" customFormat="false" ht="12.75" hidden="false" customHeight="false" outlineLevel="0" collapsed="false">
      <c r="A821" s="220"/>
      <c r="B821" s="220"/>
      <c r="D821" s="222"/>
      <c r="E821" s="222"/>
      <c r="F821" s="223"/>
      <c r="H821" s="223"/>
      <c r="K821" s="223"/>
      <c r="M821" s="223"/>
    </row>
    <row r="822" customFormat="false" ht="12.75" hidden="false" customHeight="false" outlineLevel="0" collapsed="false">
      <c r="A822" s="220"/>
      <c r="B822" s="220"/>
      <c r="D822" s="222"/>
      <c r="E822" s="222"/>
      <c r="F822" s="223"/>
      <c r="H822" s="223"/>
      <c r="K822" s="223"/>
      <c r="M822" s="223"/>
    </row>
    <row r="823" customFormat="false" ht="12.75" hidden="false" customHeight="false" outlineLevel="0" collapsed="false">
      <c r="A823" s="220"/>
      <c r="B823" s="220"/>
      <c r="D823" s="222"/>
      <c r="E823" s="222"/>
      <c r="F823" s="223"/>
      <c r="H823" s="223"/>
      <c r="K823" s="223"/>
      <c r="M823" s="223"/>
    </row>
    <row r="824" customFormat="false" ht="12.75" hidden="false" customHeight="false" outlineLevel="0" collapsed="false">
      <c r="A824" s="220"/>
      <c r="B824" s="220"/>
      <c r="D824" s="222"/>
      <c r="E824" s="222"/>
      <c r="F824" s="223"/>
      <c r="H824" s="223"/>
      <c r="K824" s="223"/>
      <c r="M824" s="223"/>
    </row>
    <row r="825" customFormat="false" ht="12.75" hidden="false" customHeight="false" outlineLevel="0" collapsed="false">
      <c r="A825" s="220"/>
      <c r="B825" s="220"/>
      <c r="D825" s="222"/>
      <c r="E825" s="222"/>
      <c r="F825" s="223"/>
      <c r="H825" s="223"/>
      <c r="K825" s="223"/>
      <c r="M825" s="223"/>
    </row>
    <row r="826" customFormat="false" ht="12.75" hidden="false" customHeight="false" outlineLevel="0" collapsed="false">
      <c r="A826" s="220"/>
      <c r="B826" s="220"/>
      <c r="D826" s="222"/>
      <c r="E826" s="222"/>
      <c r="F826" s="223"/>
      <c r="H826" s="223"/>
      <c r="K826" s="223"/>
      <c r="M826" s="223"/>
    </row>
    <row r="827" customFormat="false" ht="12.75" hidden="false" customHeight="false" outlineLevel="0" collapsed="false">
      <c r="A827" s="220"/>
      <c r="B827" s="220"/>
      <c r="D827" s="222"/>
      <c r="E827" s="222"/>
      <c r="F827" s="223"/>
      <c r="H827" s="223"/>
      <c r="K827" s="223"/>
      <c r="M827" s="223"/>
    </row>
    <row r="828" customFormat="false" ht="12.75" hidden="false" customHeight="false" outlineLevel="0" collapsed="false">
      <c r="A828" s="220"/>
      <c r="B828" s="220"/>
      <c r="D828" s="222"/>
      <c r="E828" s="222"/>
      <c r="F828" s="223"/>
      <c r="H828" s="223"/>
      <c r="K828" s="223"/>
      <c r="M828" s="223"/>
    </row>
    <row r="829" customFormat="false" ht="12.75" hidden="false" customHeight="false" outlineLevel="0" collapsed="false">
      <c r="A829" s="220"/>
      <c r="B829" s="220"/>
      <c r="D829" s="222"/>
      <c r="E829" s="222"/>
      <c r="F829" s="223"/>
      <c r="H829" s="223"/>
      <c r="K829" s="223"/>
      <c r="M829" s="223"/>
    </row>
    <row r="830" customFormat="false" ht="12.75" hidden="false" customHeight="false" outlineLevel="0" collapsed="false">
      <c r="A830" s="220"/>
      <c r="B830" s="220"/>
      <c r="D830" s="222"/>
      <c r="E830" s="222"/>
      <c r="F830" s="223"/>
      <c r="H830" s="223"/>
      <c r="K830" s="223"/>
      <c r="M830" s="223"/>
    </row>
    <row r="831" customFormat="false" ht="12.75" hidden="false" customHeight="false" outlineLevel="0" collapsed="false">
      <c r="A831" s="220"/>
      <c r="B831" s="220"/>
      <c r="D831" s="222"/>
      <c r="E831" s="222"/>
      <c r="F831" s="223"/>
      <c r="H831" s="223"/>
      <c r="K831" s="223"/>
      <c r="M831" s="223"/>
    </row>
    <row r="832" customFormat="false" ht="12.75" hidden="false" customHeight="false" outlineLevel="0" collapsed="false">
      <c r="A832" s="220"/>
      <c r="B832" s="220"/>
      <c r="D832" s="222"/>
      <c r="E832" s="222"/>
      <c r="F832" s="223"/>
      <c r="H832" s="223"/>
      <c r="K832" s="223"/>
      <c r="M832" s="223"/>
    </row>
    <row r="833" customFormat="false" ht="12.75" hidden="false" customHeight="false" outlineLevel="0" collapsed="false">
      <c r="A833" s="220"/>
      <c r="B833" s="220"/>
      <c r="D833" s="222"/>
      <c r="E833" s="222"/>
      <c r="F833" s="223"/>
      <c r="H833" s="223"/>
      <c r="K833" s="223"/>
      <c r="M833" s="223"/>
    </row>
    <row r="834" customFormat="false" ht="12.75" hidden="false" customHeight="false" outlineLevel="0" collapsed="false">
      <c r="A834" s="220"/>
      <c r="B834" s="220"/>
      <c r="D834" s="222"/>
      <c r="E834" s="222"/>
      <c r="F834" s="223"/>
      <c r="H834" s="223"/>
      <c r="K834" s="223"/>
      <c r="M834" s="223"/>
    </row>
    <row r="835" customFormat="false" ht="12.75" hidden="false" customHeight="false" outlineLevel="0" collapsed="false">
      <c r="A835" s="220"/>
      <c r="B835" s="220"/>
      <c r="D835" s="222"/>
      <c r="E835" s="222"/>
      <c r="F835" s="223"/>
      <c r="H835" s="223"/>
      <c r="K835" s="223"/>
      <c r="M835" s="223"/>
    </row>
    <row r="836" customFormat="false" ht="12.75" hidden="false" customHeight="false" outlineLevel="0" collapsed="false">
      <c r="A836" s="220"/>
      <c r="B836" s="220"/>
      <c r="D836" s="222"/>
      <c r="E836" s="222"/>
      <c r="F836" s="223"/>
      <c r="H836" s="223"/>
      <c r="K836" s="223"/>
      <c r="M836" s="223"/>
    </row>
    <row r="837" customFormat="false" ht="12.75" hidden="false" customHeight="false" outlineLevel="0" collapsed="false">
      <c r="A837" s="220"/>
      <c r="B837" s="220"/>
      <c r="D837" s="222"/>
      <c r="E837" s="222"/>
      <c r="F837" s="223"/>
      <c r="H837" s="223"/>
      <c r="K837" s="223"/>
      <c r="M837" s="223"/>
    </row>
    <row r="838" customFormat="false" ht="12.75" hidden="false" customHeight="false" outlineLevel="0" collapsed="false">
      <c r="A838" s="220"/>
      <c r="B838" s="220"/>
      <c r="D838" s="222"/>
      <c r="E838" s="222"/>
      <c r="F838" s="223"/>
      <c r="H838" s="223"/>
      <c r="K838" s="223"/>
      <c r="M838" s="223"/>
    </row>
    <row r="839" customFormat="false" ht="12.75" hidden="false" customHeight="false" outlineLevel="0" collapsed="false">
      <c r="A839" s="220"/>
      <c r="B839" s="220"/>
      <c r="D839" s="222"/>
      <c r="E839" s="222"/>
      <c r="F839" s="223"/>
      <c r="H839" s="223"/>
      <c r="K839" s="223"/>
      <c r="M839" s="223"/>
    </row>
    <row r="840" customFormat="false" ht="12.75" hidden="false" customHeight="false" outlineLevel="0" collapsed="false">
      <c r="A840" s="220"/>
      <c r="B840" s="220"/>
      <c r="D840" s="222"/>
      <c r="E840" s="222"/>
      <c r="F840" s="223"/>
      <c r="H840" s="223"/>
      <c r="K840" s="223"/>
      <c r="M840" s="223"/>
    </row>
    <row r="841" customFormat="false" ht="12.75" hidden="false" customHeight="false" outlineLevel="0" collapsed="false">
      <c r="A841" s="220"/>
      <c r="B841" s="220"/>
      <c r="D841" s="222"/>
      <c r="E841" s="222"/>
      <c r="F841" s="223"/>
      <c r="H841" s="223"/>
      <c r="K841" s="223"/>
      <c r="M841" s="223"/>
    </row>
    <row r="842" customFormat="false" ht="12.75" hidden="false" customHeight="false" outlineLevel="0" collapsed="false">
      <c r="A842" s="220"/>
      <c r="B842" s="220"/>
      <c r="D842" s="222"/>
      <c r="E842" s="222"/>
      <c r="F842" s="223"/>
      <c r="H842" s="223"/>
      <c r="K842" s="223"/>
      <c r="M842" s="223"/>
    </row>
    <row r="843" customFormat="false" ht="12.75" hidden="false" customHeight="false" outlineLevel="0" collapsed="false">
      <c r="A843" s="220"/>
      <c r="B843" s="220"/>
      <c r="D843" s="222"/>
      <c r="E843" s="222"/>
      <c r="F843" s="223"/>
      <c r="H843" s="223"/>
      <c r="K843" s="223"/>
      <c r="M843" s="223"/>
    </row>
    <row r="844" customFormat="false" ht="12.75" hidden="false" customHeight="false" outlineLevel="0" collapsed="false">
      <c r="A844" s="220"/>
      <c r="B844" s="220"/>
      <c r="D844" s="222"/>
      <c r="E844" s="222"/>
      <c r="F844" s="223"/>
      <c r="H844" s="223"/>
      <c r="K844" s="223"/>
      <c r="M844" s="223"/>
    </row>
    <row r="845" customFormat="false" ht="12.75" hidden="false" customHeight="false" outlineLevel="0" collapsed="false">
      <c r="A845" s="220"/>
      <c r="B845" s="220"/>
      <c r="D845" s="222"/>
      <c r="E845" s="222"/>
      <c r="F845" s="223"/>
      <c r="H845" s="223"/>
      <c r="K845" s="223"/>
      <c r="M845" s="223"/>
    </row>
    <row r="846" customFormat="false" ht="12.75" hidden="false" customHeight="false" outlineLevel="0" collapsed="false">
      <c r="A846" s="220"/>
      <c r="B846" s="220"/>
      <c r="D846" s="222"/>
      <c r="E846" s="222"/>
      <c r="F846" s="223"/>
      <c r="H846" s="223"/>
      <c r="K846" s="223"/>
      <c r="M846" s="223"/>
    </row>
    <row r="847" customFormat="false" ht="12.75" hidden="false" customHeight="false" outlineLevel="0" collapsed="false">
      <c r="A847" s="220"/>
      <c r="B847" s="220"/>
      <c r="D847" s="222"/>
      <c r="E847" s="222"/>
      <c r="F847" s="223"/>
      <c r="H847" s="223"/>
      <c r="K847" s="223"/>
      <c r="M847" s="223"/>
    </row>
    <row r="848" customFormat="false" ht="12.75" hidden="false" customHeight="false" outlineLevel="0" collapsed="false">
      <c r="A848" s="220"/>
      <c r="B848" s="220"/>
      <c r="D848" s="222"/>
      <c r="E848" s="222"/>
      <c r="F848" s="223"/>
      <c r="H848" s="223"/>
      <c r="K848" s="223"/>
      <c r="M848" s="223"/>
    </row>
    <row r="849" customFormat="false" ht="12.75" hidden="false" customHeight="false" outlineLevel="0" collapsed="false">
      <c r="A849" s="220"/>
      <c r="B849" s="220"/>
      <c r="D849" s="222"/>
      <c r="E849" s="222"/>
      <c r="F849" s="223"/>
      <c r="H849" s="223"/>
      <c r="K849" s="223"/>
      <c r="M849" s="223"/>
    </row>
    <row r="850" customFormat="false" ht="12.75" hidden="false" customHeight="false" outlineLevel="0" collapsed="false">
      <c r="A850" s="220"/>
      <c r="B850" s="220"/>
      <c r="D850" s="222"/>
      <c r="E850" s="222"/>
      <c r="F850" s="223"/>
      <c r="H850" s="223"/>
      <c r="K850" s="223"/>
      <c r="M850" s="223"/>
    </row>
    <row r="851" customFormat="false" ht="12.75" hidden="false" customHeight="false" outlineLevel="0" collapsed="false">
      <c r="A851" s="220"/>
      <c r="B851" s="220"/>
      <c r="D851" s="222"/>
      <c r="E851" s="222"/>
      <c r="F851" s="223"/>
      <c r="H851" s="223"/>
      <c r="K851" s="223"/>
      <c r="M851" s="223"/>
    </row>
    <row r="852" customFormat="false" ht="12.75" hidden="false" customHeight="false" outlineLevel="0" collapsed="false">
      <c r="A852" s="220"/>
      <c r="B852" s="220"/>
      <c r="D852" s="222"/>
      <c r="E852" s="222"/>
      <c r="F852" s="223"/>
      <c r="H852" s="223"/>
      <c r="K852" s="223"/>
      <c r="M852" s="223"/>
    </row>
    <row r="853" customFormat="false" ht="12.75" hidden="false" customHeight="false" outlineLevel="0" collapsed="false">
      <c r="A853" s="220"/>
      <c r="B853" s="220"/>
      <c r="D853" s="222"/>
      <c r="E853" s="222"/>
      <c r="F853" s="223"/>
      <c r="H853" s="223"/>
      <c r="K853" s="223"/>
      <c r="M853" s="223"/>
    </row>
    <row r="854" customFormat="false" ht="12.75" hidden="false" customHeight="false" outlineLevel="0" collapsed="false">
      <c r="A854" s="220"/>
      <c r="B854" s="220"/>
      <c r="D854" s="222"/>
      <c r="E854" s="222"/>
      <c r="F854" s="223"/>
      <c r="H854" s="223"/>
      <c r="K854" s="223"/>
      <c r="M854" s="223"/>
    </row>
    <row r="855" customFormat="false" ht="12.75" hidden="false" customHeight="false" outlineLevel="0" collapsed="false">
      <c r="A855" s="220"/>
      <c r="B855" s="220"/>
      <c r="D855" s="222"/>
      <c r="E855" s="222"/>
      <c r="F855" s="223"/>
      <c r="H855" s="223"/>
      <c r="K855" s="223"/>
      <c r="M855" s="223"/>
    </row>
    <row r="856" customFormat="false" ht="12.75" hidden="false" customHeight="false" outlineLevel="0" collapsed="false">
      <c r="A856" s="220"/>
      <c r="B856" s="220"/>
      <c r="D856" s="222"/>
      <c r="E856" s="222"/>
      <c r="F856" s="223"/>
      <c r="H856" s="223"/>
      <c r="K856" s="223"/>
      <c r="M856" s="223"/>
    </row>
    <row r="857" customFormat="false" ht="12.75" hidden="false" customHeight="false" outlineLevel="0" collapsed="false">
      <c r="A857" s="220"/>
      <c r="B857" s="220"/>
      <c r="D857" s="222"/>
      <c r="E857" s="222"/>
      <c r="F857" s="223"/>
      <c r="H857" s="223"/>
      <c r="K857" s="223"/>
      <c r="M857" s="223"/>
    </row>
    <row r="858" customFormat="false" ht="12.75" hidden="false" customHeight="false" outlineLevel="0" collapsed="false">
      <c r="A858" s="220"/>
      <c r="B858" s="220"/>
      <c r="D858" s="222"/>
      <c r="E858" s="222"/>
      <c r="F858" s="223"/>
      <c r="H858" s="223"/>
      <c r="K858" s="223"/>
      <c r="M858" s="223"/>
    </row>
    <row r="859" customFormat="false" ht="12.75" hidden="false" customHeight="false" outlineLevel="0" collapsed="false">
      <c r="A859" s="220"/>
      <c r="B859" s="220"/>
      <c r="D859" s="222"/>
      <c r="E859" s="222"/>
      <c r="F859" s="223"/>
      <c r="H859" s="223"/>
      <c r="K859" s="223"/>
      <c r="M859" s="223"/>
    </row>
    <row r="860" customFormat="false" ht="12.75" hidden="false" customHeight="false" outlineLevel="0" collapsed="false">
      <c r="A860" s="220"/>
      <c r="B860" s="220"/>
      <c r="D860" s="222"/>
      <c r="E860" s="222"/>
      <c r="F860" s="223"/>
      <c r="H860" s="223"/>
      <c r="K860" s="223"/>
      <c r="M860" s="223"/>
    </row>
    <row r="861" customFormat="false" ht="12.75" hidden="false" customHeight="false" outlineLevel="0" collapsed="false">
      <c r="A861" s="220"/>
      <c r="B861" s="220"/>
      <c r="D861" s="222"/>
      <c r="E861" s="222"/>
      <c r="F861" s="223"/>
      <c r="H861" s="223"/>
      <c r="K861" s="223"/>
      <c r="M861" s="223"/>
    </row>
    <row r="862" customFormat="false" ht="12.75" hidden="false" customHeight="false" outlineLevel="0" collapsed="false">
      <c r="A862" s="220"/>
      <c r="B862" s="220"/>
      <c r="D862" s="222"/>
      <c r="E862" s="222"/>
      <c r="F862" s="223"/>
      <c r="H862" s="223"/>
      <c r="K862" s="223"/>
      <c r="M862" s="223"/>
    </row>
    <row r="863" customFormat="false" ht="12.75" hidden="false" customHeight="false" outlineLevel="0" collapsed="false">
      <c r="A863" s="220"/>
      <c r="B863" s="220"/>
      <c r="D863" s="222"/>
      <c r="E863" s="222"/>
      <c r="F863" s="223"/>
      <c r="H863" s="223"/>
      <c r="K863" s="223"/>
      <c r="M863" s="223"/>
    </row>
    <row r="864" customFormat="false" ht="12.75" hidden="false" customHeight="false" outlineLevel="0" collapsed="false">
      <c r="A864" s="220"/>
      <c r="B864" s="220"/>
      <c r="D864" s="222"/>
      <c r="E864" s="222"/>
      <c r="F864" s="223"/>
      <c r="H864" s="223"/>
      <c r="K864" s="223"/>
      <c r="M864" s="223"/>
    </row>
    <row r="865" customFormat="false" ht="12.75" hidden="false" customHeight="false" outlineLevel="0" collapsed="false">
      <c r="A865" s="220"/>
      <c r="B865" s="220"/>
      <c r="D865" s="222"/>
      <c r="E865" s="222"/>
      <c r="F865" s="223"/>
      <c r="H865" s="223"/>
      <c r="K865" s="223"/>
      <c r="M865" s="223"/>
    </row>
    <row r="866" customFormat="false" ht="12.75" hidden="false" customHeight="false" outlineLevel="0" collapsed="false">
      <c r="A866" s="220"/>
      <c r="B866" s="220"/>
      <c r="D866" s="222"/>
      <c r="E866" s="222"/>
      <c r="F866" s="223"/>
      <c r="H866" s="223"/>
      <c r="K866" s="223"/>
      <c r="M866" s="223"/>
    </row>
    <row r="867" customFormat="false" ht="12.75" hidden="false" customHeight="false" outlineLevel="0" collapsed="false">
      <c r="A867" s="220"/>
      <c r="B867" s="220"/>
      <c r="D867" s="222"/>
      <c r="E867" s="222"/>
      <c r="F867" s="223"/>
      <c r="H867" s="223"/>
      <c r="K867" s="223"/>
      <c r="M867" s="223"/>
    </row>
    <row r="868" customFormat="false" ht="12.75" hidden="false" customHeight="false" outlineLevel="0" collapsed="false">
      <c r="A868" s="220"/>
      <c r="B868" s="220"/>
      <c r="D868" s="222"/>
      <c r="E868" s="222"/>
      <c r="F868" s="223"/>
      <c r="H868" s="223"/>
      <c r="K868" s="223"/>
      <c r="M868" s="223"/>
    </row>
    <row r="869" customFormat="false" ht="12.75" hidden="false" customHeight="false" outlineLevel="0" collapsed="false">
      <c r="A869" s="220"/>
      <c r="B869" s="220"/>
      <c r="D869" s="222"/>
      <c r="E869" s="222"/>
      <c r="F869" s="223"/>
      <c r="H869" s="223"/>
      <c r="K869" s="223"/>
      <c r="M869" s="223"/>
    </row>
    <row r="870" customFormat="false" ht="12.75" hidden="false" customHeight="false" outlineLevel="0" collapsed="false">
      <c r="A870" s="220"/>
      <c r="B870" s="220"/>
      <c r="D870" s="222"/>
      <c r="E870" s="222"/>
      <c r="F870" s="223"/>
      <c r="H870" s="223"/>
      <c r="K870" s="223"/>
      <c r="M870" s="223"/>
    </row>
    <row r="871" customFormat="false" ht="12.75" hidden="false" customHeight="false" outlineLevel="0" collapsed="false">
      <c r="A871" s="220"/>
      <c r="B871" s="220"/>
      <c r="D871" s="222"/>
      <c r="E871" s="222"/>
      <c r="F871" s="223"/>
      <c r="H871" s="223"/>
      <c r="K871" s="223"/>
      <c r="M871" s="223"/>
    </row>
    <row r="872" customFormat="false" ht="12.75" hidden="false" customHeight="false" outlineLevel="0" collapsed="false">
      <c r="A872" s="220"/>
      <c r="B872" s="220"/>
      <c r="D872" s="222"/>
      <c r="E872" s="222"/>
      <c r="F872" s="223"/>
      <c r="H872" s="223"/>
      <c r="K872" s="223"/>
      <c r="M872" s="223"/>
    </row>
    <row r="873" customFormat="false" ht="12.75" hidden="false" customHeight="false" outlineLevel="0" collapsed="false">
      <c r="A873" s="220"/>
      <c r="B873" s="220"/>
      <c r="D873" s="222"/>
      <c r="E873" s="222"/>
      <c r="F873" s="223"/>
      <c r="H873" s="223"/>
      <c r="K873" s="223"/>
      <c r="M873" s="223"/>
    </row>
    <row r="874" customFormat="false" ht="12.75" hidden="false" customHeight="false" outlineLevel="0" collapsed="false">
      <c r="A874" s="220"/>
      <c r="B874" s="220"/>
      <c r="D874" s="222"/>
      <c r="E874" s="222"/>
      <c r="F874" s="223"/>
      <c r="H874" s="223"/>
      <c r="K874" s="223"/>
      <c r="M874" s="223"/>
    </row>
    <row r="875" customFormat="false" ht="12.75" hidden="false" customHeight="false" outlineLevel="0" collapsed="false">
      <c r="A875" s="220"/>
      <c r="B875" s="220"/>
      <c r="D875" s="222"/>
      <c r="E875" s="222"/>
      <c r="F875" s="223"/>
      <c r="H875" s="223"/>
      <c r="K875" s="223"/>
      <c r="M875" s="223"/>
    </row>
    <row r="876" customFormat="false" ht="12.75" hidden="false" customHeight="false" outlineLevel="0" collapsed="false">
      <c r="A876" s="220"/>
      <c r="B876" s="220"/>
      <c r="D876" s="222"/>
      <c r="E876" s="222"/>
      <c r="F876" s="223"/>
      <c r="H876" s="223"/>
      <c r="K876" s="223"/>
      <c r="M876" s="223"/>
    </row>
    <row r="877" customFormat="false" ht="12.75" hidden="false" customHeight="false" outlineLevel="0" collapsed="false">
      <c r="A877" s="220"/>
      <c r="B877" s="220"/>
      <c r="D877" s="222"/>
      <c r="E877" s="222"/>
      <c r="F877" s="223"/>
      <c r="H877" s="223"/>
      <c r="K877" s="223"/>
      <c r="M877" s="223"/>
    </row>
    <row r="878" customFormat="false" ht="12.75" hidden="false" customHeight="false" outlineLevel="0" collapsed="false">
      <c r="A878" s="220"/>
      <c r="B878" s="220"/>
      <c r="D878" s="222"/>
      <c r="E878" s="222"/>
      <c r="F878" s="223"/>
      <c r="H878" s="223"/>
      <c r="K878" s="223"/>
      <c r="M878" s="223"/>
    </row>
    <row r="879" customFormat="false" ht="12.75" hidden="false" customHeight="false" outlineLevel="0" collapsed="false">
      <c r="A879" s="220"/>
      <c r="B879" s="220"/>
      <c r="D879" s="222"/>
      <c r="E879" s="222"/>
      <c r="F879" s="223"/>
      <c r="H879" s="223"/>
      <c r="K879" s="223"/>
      <c r="M879" s="223"/>
    </row>
    <row r="880" customFormat="false" ht="12.75" hidden="false" customHeight="false" outlineLevel="0" collapsed="false">
      <c r="A880" s="220"/>
      <c r="B880" s="220"/>
      <c r="D880" s="222"/>
      <c r="E880" s="222"/>
      <c r="F880" s="223"/>
      <c r="H880" s="223"/>
      <c r="K880" s="223"/>
      <c r="M880" s="223"/>
    </row>
    <row r="881" customFormat="false" ht="12.75" hidden="false" customHeight="false" outlineLevel="0" collapsed="false">
      <c r="A881" s="220"/>
      <c r="B881" s="220"/>
      <c r="D881" s="222"/>
      <c r="E881" s="222"/>
      <c r="F881" s="223"/>
      <c r="H881" s="223"/>
      <c r="K881" s="223"/>
      <c r="M881" s="223"/>
    </row>
    <row r="882" customFormat="false" ht="12.75" hidden="false" customHeight="false" outlineLevel="0" collapsed="false">
      <c r="A882" s="220"/>
      <c r="B882" s="220"/>
      <c r="D882" s="222"/>
      <c r="E882" s="222"/>
      <c r="F882" s="223"/>
      <c r="H882" s="223"/>
      <c r="K882" s="223"/>
      <c r="M882" s="223"/>
    </row>
    <row r="883" customFormat="false" ht="12.75" hidden="false" customHeight="false" outlineLevel="0" collapsed="false">
      <c r="A883" s="220"/>
      <c r="B883" s="220"/>
      <c r="D883" s="222"/>
      <c r="E883" s="222"/>
      <c r="F883" s="223"/>
      <c r="H883" s="223"/>
      <c r="K883" s="223"/>
      <c r="M883" s="223"/>
    </row>
    <row r="884" customFormat="false" ht="12.75" hidden="false" customHeight="false" outlineLevel="0" collapsed="false">
      <c r="A884" s="220"/>
      <c r="B884" s="220"/>
      <c r="D884" s="222"/>
      <c r="E884" s="222"/>
      <c r="F884" s="223"/>
      <c r="H884" s="223"/>
      <c r="K884" s="223"/>
      <c r="M884" s="223"/>
    </row>
    <row r="885" customFormat="false" ht="12.75" hidden="false" customHeight="false" outlineLevel="0" collapsed="false">
      <c r="A885" s="220"/>
      <c r="B885" s="220"/>
      <c r="D885" s="222"/>
      <c r="E885" s="222"/>
      <c r="F885" s="223"/>
      <c r="H885" s="223"/>
      <c r="K885" s="223"/>
      <c r="M885" s="223"/>
    </row>
    <row r="886" customFormat="false" ht="12.75" hidden="false" customHeight="false" outlineLevel="0" collapsed="false">
      <c r="A886" s="220"/>
      <c r="B886" s="220"/>
      <c r="D886" s="222"/>
      <c r="E886" s="222"/>
      <c r="F886" s="223"/>
      <c r="H886" s="223"/>
      <c r="K886" s="223"/>
      <c r="M886" s="223"/>
    </row>
    <row r="887" customFormat="false" ht="12.75" hidden="false" customHeight="false" outlineLevel="0" collapsed="false">
      <c r="A887" s="220"/>
      <c r="B887" s="220"/>
      <c r="D887" s="222"/>
      <c r="E887" s="222"/>
      <c r="F887" s="223"/>
      <c r="H887" s="223"/>
      <c r="K887" s="223"/>
      <c r="M887" s="223"/>
    </row>
    <row r="888" customFormat="false" ht="12.75" hidden="false" customHeight="false" outlineLevel="0" collapsed="false">
      <c r="A888" s="220"/>
      <c r="B888" s="220"/>
      <c r="D888" s="222"/>
      <c r="E888" s="222"/>
      <c r="F888" s="223"/>
      <c r="H888" s="223"/>
      <c r="K888" s="223"/>
      <c r="M888" s="223"/>
    </row>
    <row r="889" customFormat="false" ht="12.75" hidden="false" customHeight="false" outlineLevel="0" collapsed="false">
      <c r="A889" s="220"/>
      <c r="B889" s="220"/>
      <c r="D889" s="222"/>
      <c r="E889" s="222"/>
      <c r="F889" s="223"/>
      <c r="H889" s="223"/>
      <c r="K889" s="223"/>
      <c r="M889" s="223"/>
    </row>
    <row r="890" customFormat="false" ht="12.75" hidden="false" customHeight="false" outlineLevel="0" collapsed="false">
      <c r="A890" s="220"/>
      <c r="B890" s="220"/>
      <c r="D890" s="222"/>
      <c r="E890" s="222"/>
      <c r="F890" s="223"/>
      <c r="H890" s="223"/>
      <c r="K890" s="223"/>
      <c r="M890" s="223"/>
    </row>
    <row r="891" customFormat="false" ht="12.75" hidden="false" customHeight="false" outlineLevel="0" collapsed="false">
      <c r="A891" s="220"/>
      <c r="B891" s="220"/>
      <c r="D891" s="222"/>
      <c r="E891" s="222"/>
      <c r="F891" s="223"/>
      <c r="H891" s="223"/>
      <c r="K891" s="223"/>
      <c r="M891" s="223"/>
    </row>
    <row r="892" customFormat="false" ht="12.75" hidden="false" customHeight="false" outlineLevel="0" collapsed="false">
      <c r="A892" s="220"/>
      <c r="B892" s="220"/>
      <c r="D892" s="222"/>
      <c r="E892" s="222"/>
      <c r="F892" s="223"/>
      <c r="H892" s="223"/>
      <c r="K892" s="223"/>
      <c r="M892" s="223"/>
    </row>
    <row r="893" customFormat="false" ht="12.75" hidden="false" customHeight="false" outlineLevel="0" collapsed="false">
      <c r="A893" s="220"/>
      <c r="B893" s="220"/>
      <c r="D893" s="222"/>
      <c r="E893" s="222"/>
      <c r="F893" s="223"/>
      <c r="H893" s="223"/>
      <c r="K893" s="223"/>
      <c r="M893" s="223"/>
    </row>
    <row r="894" customFormat="false" ht="12.75" hidden="false" customHeight="false" outlineLevel="0" collapsed="false">
      <c r="A894" s="220"/>
      <c r="B894" s="220"/>
      <c r="D894" s="222"/>
      <c r="E894" s="222"/>
      <c r="F894" s="223"/>
      <c r="H894" s="223"/>
      <c r="K894" s="223"/>
      <c r="M894" s="223"/>
    </row>
    <row r="895" customFormat="false" ht="12.75" hidden="false" customHeight="false" outlineLevel="0" collapsed="false">
      <c r="A895" s="220"/>
      <c r="B895" s="220"/>
      <c r="D895" s="222"/>
      <c r="E895" s="222"/>
      <c r="F895" s="223"/>
      <c r="H895" s="223"/>
      <c r="K895" s="223"/>
      <c r="M895" s="223"/>
    </row>
    <row r="896" customFormat="false" ht="12.75" hidden="false" customHeight="false" outlineLevel="0" collapsed="false">
      <c r="A896" s="220"/>
      <c r="B896" s="220"/>
      <c r="D896" s="222"/>
      <c r="E896" s="222"/>
      <c r="F896" s="223"/>
      <c r="H896" s="223"/>
      <c r="K896" s="223"/>
      <c r="M896" s="223"/>
    </row>
    <row r="897" customFormat="false" ht="12.75" hidden="false" customHeight="false" outlineLevel="0" collapsed="false">
      <c r="A897" s="220"/>
      <c r="B897" s="220"/>
      <c r="D897" s="222"/>
      <c r="E897" s="222"/>
      <c r="F897" s="223"/>
      <c r="H897" s="223"/>
      <c r="K897" s="223"/>
      <c r="M897" s="223"/>
    </row>
    <row r="898" customFormat="false" ht="12.75" hidden="false" customHeight="false" outlineLevel="0" collapsed="false">
      <c r="A898" s="220"/>
      <c r="B898" s="220"/>
      <c r="D898" s="222"/>
      <c r="E898" s="222"/>
      <c r="F898" s="223"/>
      <c r="H898" s="223"/>
      <c r="K898" s="223"/>
      <c r="M898" s="223"/>
    </row>
    <row r="899" customFormat="false" ht="12.75" hidden="false" customHeight="false" outlineLevel="0" collapsed="false">
      <c r="A899" s="220"/>
      <c r="B899" s="220"/>
      <c r="D899" s="222"/>
      <c r="E899" s="222"/>
      <c r="F899" s="223"/>
      <c r="H899" s="223"/>
      <c r="K899" s="223"/>
      <c r="M899" s="223"/>
    </row>
    <row r="900" customFormat="false" ht="12.75" hidden="false" customHeight="false" outlineLevel="0" collapsed="false">
      <c r="A900" s="220"/>
      <c r="B900" s="220"/>
      <c r="D900" s="222"/>
      <c r="E900" s="222"/>
      <c r="F900" s="223"/>
      <c r="H900" s="223"/>
      <c r="K900" s="223"/>
      <c r="M900" s="223"/>
    </row>
    <row r="901" customFormat="false" ht="12.75" hidden="false" customHeight="false" outlineLevel="0" collapsed="false">
      <c r="A901" s="220"/>
      <c r="B901" s="220"/>
      <c r="D901" s="222"/>
      <c r="E901" s="222"/>
      <c r="F901" s="223"/>
      <c r="H901" s="223"/>
      <c r="K901" s="223"/>
      <c r="M901" s="223"/>
    </row>
    <row r="902" customFormat="false" ht="12.75" hidden="false" customHeight="false" outlineLevel="0" collapsed="false">
      <c r="A902" s="220"/>
      <c r="B902" s="220"/>
      <c r="D902" s="222"/>
      <c r="E902" s="222"/>
      <c r="F902" s="223"/>
      <c r="H902" s="223"/>
      <c r="K902" s="223"/>
      <c r="M902" s="223"/>
    </row>
    <row r="903" customFormat="false" ht="12.75" hidden="false" customHeight="false" outlineLevel="0" collapsed="false">
      <c r="A903" s="220"/>
      <c r="B903" s="220"/>
      <c r="D903" s="222"/>
      <c r="E903" s="222"/>
      <c r="F903" s="223"/>
      <c r="H903" s="223"/>
      <c r="K903" s="223"/>
      <c r="M903" s="223"/>
    </row>
    <row r="904" customFormat="false" ht="12.75" hidden="false" customHeight="false" outlineLevel="0" collapsed="false">
      <c r="A904" s="220"/>
      <c r="B904" s="220"/>
      <c r="D904" s="222"/>
      <c r="E904" s="222"/>
      <c r="F904" s="223"/>
      <c r="H904" s="223"/>
      <c r="K904" s="223"/>
      <c r="M904" s="223"/>
    </row>
    <row r="905" customFormat="false" ht="12.75" hidden="false" customHeight="false" outlineLevel="0" collapsed="false">
      <c r="A905" s="220"/>
      <c r="B905" s="220"/>
      <c r="D905" s="222"/>
      <c r="E905" s="222"/>
      <c r="F905" s="223"/>
      <c r="H905" s="223"/>
      <c r="K905" s="223"/>
      <c r="M905" s="223"/>
    </row>
    <row r="906" customFormat="false" ht="12.75" hidden="false" customHeight="false" outlineLevel="0" collapsed="false">
      <c r="A906" s="220"/>
      <c r="B906" s="220"/>
      <c r="D906" s="222"/>
      <c r="E906" s="222"/>
      <c r="F906" s="223"/>
      <c r="H906" s="223"/>
      <c r="K906" s="223"/>
      <c r="M906" s="223"/>
    </row>
    <row r="907" customFormat="false" ht="12.75" hidden="false" customHeight="false" outlineLevel="0" collapsed="false">
      <c r="A907" s="220"/>
      <c r="B907" s="220"/>
      <c r="D907" s="222"/>
      <c r="E907" s="222"/>
      <c r="F907" s="223"/>
      <c r="H907" s="223"/>
      <c r="K907" s="223"/>
      <c r="M907" s="223"/>
    </row>
    <row r="908" customFormat="false" ht="12.75" hidden="false" customHeight="false" outlineLevel="0" collapsed="false">
      <c r="A908" s="220"/>
      <c r="B908" s="220"/>
      <c r="D908" s="222"/>
      <c r="E908" s="222"/>
      <c r="F908" s="223"/>
      <c r="H908" s="223"/>
      <c r="K908" s="223"/>
      <c r="M908" s="223"/>
    </row>
    <row r="909" customFormat="false" ht="12.75" hidden="false" customHeight="false" outlineLevel="0" collapsed="false">
      <c r="A909" s="220"/>
      <c r="B909" s="220"/>
      <c r="D909" s="222"/>
      <c r="E909" s="222"/>
      <c r="F909" s="223"/>
      <c r="H909" s="223"/>
      <c r="K909" s="223"/>
      <c r="M909" s="223"/>
    </row>
    <row r="910" customFormat="false" ht="12.75" hidden="false" customHeight="false" outlineLevel="0" collapsed="false">
      <c r="A910" s="220"/>
      <c r="B910" s="220"/>
      <c r="D910" s="222"/>
      <c r="E910" s="222"/>
      <c r="F910" s="223"/>
      <c r="H910" s="223"/>
      <c r="K910" s="223"/>
      <c r="M910" s="223"/>
    </row>
    <row r="911" customFormat="false" ht="12.75" hidden="false" customHeight="false" outlineLevel="0" collapsed="false">
      <c r="A911" s="220"/>
      <c r="B911" s="220"/>
      <c r="D911" s="222"/>
      <c r="E911" s="222"/>
      <c r="F911" s="223"/>
      <c r="H911" s="223"/>
      <c r="K911" s="223"/>
      <c r="M911" s="223"/>
    </row>
    <row r="912" customFormat="false" ht="12.75" hidden="false" customHeight="false" outlineLevel="0" collapsed="false">
      <c r="A912" s="220"/>
      <c r="B912" s="220"/>
      <c r="D912" s="222"/>
      <c r="E912" s="222"/>
      <c r="F912" s="223"/>
      <c r="H912" s="223"/>
      <c r="K912" s="223"/>
      <c r="M912" s="223"/>
    </row>
    <row r="913" customFormat="false" ht="12.75" hidden="false" customHeight="false" outlineLevel="0" collapsed="false">
      <c r="A913" s="220"/>
      <c r="B913" s="220"/>
      <c r="D913" s="222"/>
      <c r="E913" s="222"/>
      <c r="F913" s="223"/>
      <c r="H913" s="223"/>
      <c r="K913" s="223"/>
      <c r="M913" s="223"/>
    </row>
    <row r="914" customFormat="false" ht="12.75" hidden="false" customHeight="false" outlineLevel="0" collapsed="false">
      <c r="A914" s="220"/>
      <c r="B914" s="220"/>
      <c r="D914" s="222"/>
      <c r="E914" s="222"/>
      <c r="F914" s="223"/>
      <c r="H914" s="223"/>
      <c r="K914" s="223"/>
      <c r="M914" s="223"/>
    </row>
    <row r="915" customFormat="false" ht="12.75" hidden="false" customHeight="false" outlineLevel="0" collapsed="false">
      <c r="A915" s="220"/>
      <c r="B915" s="220"/>
      <c r="D915" s="222"/>
      <c r="E915" s="222"/>
      <c r="F915" s="223"/>
      <c r="H915" s="223"/>
      <c r="K915" s="223"/>
      <c r="M915" s="223"/>
    </row>
    <row r="916" customFormat="false" ht="12.75" hidden="false" customHeight="false" outlineLevel="0" collapsed="false">
      <c r="A916" s="220"/>
      <c r="B916" s="220"/>
      <c r="D916" s="222"/>
      <c r="E916" s="222"/>
      <c r="F916" s="223"/>
      <c r="H916" s="223"/>
      <c r="K916" s="223"/>
      <c r="M916" s="223"/>
    </row>
    <row r="917" customFormat="false" ht="12.75" hidden="false" customHeight="false" outlineLevel="0" collapsed="false">
      <c r="A917" s="220"/>
      <c r="B917" s="220"/>
      <c r="D917" s="222"/>
      <c r="E917" s="222"/>
      <c r="F917" s="223"/>
      <c r="H917" s="223"/>
      <c r="K917" s="223"/>
      <c r="M917" s="223"/>
    </row>
    <row r="918" customFormat="false" ht="12.75" hidden="false" customHeight="false" outlineLevel="0" collapsed="false">
      <c r="A918" s="220"/>
      <c r="B918" s="220"/>
      <c r="D918" s="222"/>
      <c r="E918" s="222"/>
      <c r="F918" s="223"/>
      <c r="H918" s="223"/>
      <c r="K918" s="223"/>
      <c r="M918" s="223"/>
    </row>
    <row r="919" customFormat="false" ht="12.75" hidden="false" customHeight="false" outlineLevel="0" collapsed="false">
      <c r="A919" s="220"/>
      <c r="B919" s="220"/>
      <c r="D919" s="222"/>
      <c r="E919" s="222"/>
      <c r="F919" s="223"/>
      <c r="H919" s="223"/>
      <c r="K919" s="223"/>
      <c r="M919" s="223"/>
    </row>
    <row r="920" customFormat="false" ht="12.75" hidden="false" customHeight="false" outlineLevel="0" collapsed="false">
      <c r="A920" s="220"/>
      <c r="B920" s="220"/>
      <c r="D920" s="222"/>
      <c r="E920" s="222"/>
      <c r="F920" s="223"/>
      <c r="H920" s="223"/>
      <c r="K920" s="223"/>
      <c r="M920" s="223"/>
    </row>
    <row r="921" customFormat="false" ht="12.75" hidden="false" customHeight="false" outlineLevel="0" collapsed="false">
      <c r="A921" s="220"/>
      <c r="B921" s="220"/>
      <c r="D921" s="222"/>
      <c r="E921" s="222"/>
      <c r="F921" s="223"/>
      <c r="H921" s="223"/>
      <c r="K921" s="223"/>
      <c r="M921" s="223"/>
    </row>
    <row r="922" customFormat="false" ht="12.75" hidden="false" customHeight="false" outlineLevel="0" collapsed="false">
      <c r="A922" s="220"/>
      <c r="B922" s="220"/>
      <c r="D922" s="222"/>
      <c r="E922" s="222"/>
      <c r="F922" s="223"/>
      <c r="H922" s="223"/>
      <c r="K922" s="223"/>
      <c r="M922" s="223"/>
    </row>
    <row r="923" customFormat="false" ht="12.75" hidden="false" customHeight="false" outlineLevel="0" collapsed="false">
      <c r="A923" s="220"/>
      <c r="B923" s="220"/>
      <c r="D923" s="222"/>
      <c r="E923" s="222"/>
      <c r="F923" s="223"/>
      <c r="H923" s="223"/>
      <c r="K923" s="223"/>
      <c r="M923" s="223"/>
    </row>
    <row r="924" customFormat="false" ht="12.75" hidden="false" customHeight="false" outlineLevel="0" collapsed="false">
      <c r="A924" s="220"/>
      <c r="B924" s="220"/>
      <c r="D924" s="222"/>
      <c r="E924" s="222"/>
      <c r="F924" s="223"/>
      <c r="H924" s="223"/>
      <c r="K924" s="223"/>
      <c r="M924" s="223"/>
    </row>
    <row r="925" customFormat="false" ht="12.75" hidden="false" customHeight="false" outlineLevel="0" collapsed="false">
      <c r="A925" s="220"/>
      <c r="B925" s="220"/>
      <c r="D925" s="222"/>
      <c r="E925" s="222"/>
      <c r="F925" s="223"/>
      <c r="H925" s="223"/>
      <c r="K925" s="223"/>
      <c r="M925" s="223"/>
    </row>
    <row r="926" customFormat="false" ht="12.75" hidden="false" customHeight="false" outlineLevel="0" collapsed="false">
      <c r="A926" s="220"/>
      <c r="B926" s="220"/>
      <c r="D926" s="222"/>
      <c r="E926" s="222"/>
      <c r="F926" s="223"/>
      <c r="H926" s="223"/>
      <c r="K926" s="223"/>
      <c r="M926" s="223"/>
    </row>
    <row r="927" customFormat="false" ht="12.75" hidden="false" customHeight="false" outlineLevel="0" collapsed="false">
      <c r="A927" s="220"/>
      <c r="B927" s="220"/>
      <c r="D927" s="222"/>
      <c r="E927" s="222"/>
      <c r="F927" s="223"/>
      <c r="H927" s="223"/>
      <c r="K927" s="223"/>
      <c r="M927" s="223"/>
    </row>
    <row r="928" customFormat="false" ht="12.75" hidden="false" customHeight="false" outlineLevel="0" collapsed="false">
      <c r="A928" s="220"/>
      <c r="B928" s="220"/>
      <c r="D928" s="222"/>
      <c r="E928" s="222"/>
      <c r="F928" s="223"/>
      <c r="H928" s="223"/>
      <c r="K928" s="223"/>
      <c r="M928" s="223"/>
    </row>
    <row r="929" customFormat="false" ht="12.75" hidden="false" customHeight="false" outlineLevel="0" collapsed="false">
      <c r="A929" s="220"/>
      <c r="B929" s="220"/>
      <c r="D929" s="222"/>
      <c r="E929" s="222"/>
      <c r="F929" s="223"/>
      <c r="H929" s="223"/>
      <c r="K929" s="223"/>
      <c r="M929" s="223"/>
    </row>
    <row r="930" customFormat="false" ht="12.75" hidden="false" customHeight="false" outlineLevel="0" collapsed="false">
      <c r="A930" s="220"/>
      <c r="B930" s="220"/>
      <c r="D930" s="222"/>
      <c r="E930" s="222"/>
      <c r="F930" s="223"/>
      <c r="H930" s="223"/>
      <c r="K930" s="223"/>
      <c r="M930" s="223"/>
    </row>
    <row r="931" customFormat="false" ht="12.75" hidden="false" customHeight="false" outlineLevel="0" collapsed="false">
      <c r="A931" s="220"/>
      <c r="B931" s="220"/>
      <c r="D931" s="222"/>
      <c r="E931" s="222"/>
      <c r="F931" s="223"/>
      <c r="H931" s="223"/>
      <c r="K931" s="223"/>
      <c r="M931" s="223"/>
    </row>
    <row r="932" customFormat="false" ht="12.75" hidden="false" customHeight="false" outlineLevel="0" collapsed="false">
      <c r="A932" s="220"/>
      <c r="B932" s="220"/>
      <c r="D932" s="222"/>
      <c r="E932" s="222"/>
      <c r="F932" s="223"/>
      <c r="H932" s="223"/>
      <c r="K932" s="223"/>
      <c r="M932" s="223"/>
    </row>
    <row r="933" customFormat="false" ht="12.75" hidden="false" customHeight="false" outlineLevel="0" collapsed="false">
      <c r="A933" s="220"/>
      <c r="B933" s="220"/>
      <c r="D933" s="222"/>
      <c r="E933" s="222"/>
      <c r="F933" s="223"/>
      <c r="H933" s="223"/>
      <c r="K933" s="223"/>
      <c r="M933" s="223"/>
    </row>
    <row r="934" customFormat="false" ht="12.75" hidden="false" customHeight="false" outlineLevel="0" collapsed="false">
      <c r="A934" s="220"/>
      <c r="B934" s="220"/>
      <c r="D934" s="222"/>
      <c r="E934" s="222"/>
      <c r="F934" s="223"/>
      <c r="H934" s="223"/>
      <c r="K934" s="223"/>
      <c r="M934" s="223"/>
    </row>
    <row r="935" customFormat="false" ht="12.75" hidden="false" customHeight="false" outlineLevel="0" collapsed="false">
      <c r="A935" s="220"/>
      <c r="B935" s="220"/>
      <c r="D935" s="222"/>
      <c r="E935" s="222"/>
      <c r="F935" s="223"/>
      <c r="H935" s="223"/>
      <c r="K935" s="223"/>
      <c r="M935" s="223"/>
    </row>
    <row r="936" customFormat="false" ht="12.75" hidden="false" customHeight="false" outlineLevel="0" collapsed="false">
      <c r="A936" s="220"/>
      <c r="B936" s="220"/>
      <c r="D936" s="222"/>
      <c r="E936" s="222"/>
      <c r="F936" s="223"/>
      <c r="H936" s="223"/>
      <c r="K936" s="223"/>
      <c r="M936" s="223"/>
    </row>
    <row r="937" customFormat="false" ht="12.75" hidden="false" customHeight="false" outlineLevel="0" collapsed="false">
      <c r="A937" s="220"/>
      <c r="B937" s="220"/>
      <c r="D937" s="222"/>
      <c r="E937" s="222"/>
      <c r="F937" s="223"/>
      <c r="H937" s="223"/>
      <c r="K937" s="223"/>
      <c r="M937" s="223"/>
    </row>
    <row r="938" customFormat="false" ht="12.75" hidden="false" customHeight="false" outlineLevel="0" collapsed="false">
      <c r="A938" s="220"/>
      <c r="B938" s="220"/>
      <c r="D938" s="222"/>
      <c r="E938" s="222"/>
      <c r="F938" s="223"/>
      <c r="H938" s="223"/>
      <c r="K938" s="223"/>
      <c r="M938" s="223"/>
    </row>
    <row r="939" customFormat="false" ht="12.75" hidden="false" customHeight="false" outlineLevel="0" collapsed="false">
      <c r="A939" s="220"/>
      <c r="B939" s="220"/>
      <c r="D939" s="222"/>
      <c r="E939" s="222"/>
      <c r="F939" s="223"/>
      <c r="H939" s="223"/>
      <c r="K939" s="223"/>
      <c r="M939" s="223"/>
    </row>
    <row r="940" customFormat="false" ht="12.75" hidden="false" customHeight="false" outlineLevel="0" collapsed="false">
      <c r="A940" s="220"/>
      <c r="B940" s="220"/>
      <c r="D940" s="222"/>
      <c r="E940" s="222"/>
      <c r="F940" s="223"/>
      <c r="H940" s="223"/>
      <c r="K940" s="223"/>
      <c r="M940" s="223"/>
    </row>
    <row r="941" customFormat="false" ht="12.75" hidden="false" customHeight="false" outlineLevel="0" collapsed="false">
      <c r="A941" s="220"/>
      <c r="B941" s="220"/>
      <c r="D941" s="222"/>
      <c r="E941" s="222"/>
      <c r="F941" s="223"/>
      <c r="H941" s="223"/>
      <c r="K941" s="223"/>
      <c r="M941" s="223"/>
    </row>
    <row r="942" customFormat="false" ht="12.75" hidden="false" customHeight="false" outlineLevel="0" collapsed="false">
      <c r="A942" s="220"/>
      <c r="B942" s="220"/>
      <c r="D942" s="222"/>
      <c r="E942" s="222"/>
      <c r="F942" s="223"/>
      <c r="H942" s="223"/>
      <c r="K942" s="223"/>
      <c r="M942" s="223"/>
    </row>
    <row r="943" customFormat="false" ht="12.75" hidden="false" customHeight="false" outlineLevel="0" collapsed="false">
      <c r="A943" s="220"/>
      <c r="B943" s="220"/>
      <c r="D943" s="222"/>
      <c r="E943" s="222"/>
      <c r="F943" s="223"/>
      <c r="H943" s="223"/>
      <c r="K943" s="223"/>
      <c r="M943" s="223"/>
    </row>
    <row r="944" customFormat="false" ht="12.75" hidden="false" customHeight="false" outlineLevel="0" collapsed="false">
      <c r="A944" s="220"/>
      <c r="B944" s="220"/>
      <c r="D944" s="222"/>
      <c r="E944" s="222"/>
      <c r="F944" s="223"/>
      <c r="H944" s="223"/>
      <c r="K944" s="223"/>
      <c r="M944" s="223"/>
    </row>
    <row r="945" customFormat="false" ht="12.75" hidden="false" customHeight="false" outlineLevel="0" collapsed="false">
      <c r="A945" s="220"/>
      <c r="B945" s="220"/>
      <c r="D945" s="222"/>
      <c r="E945" s="222"/>
      <c r="F945" s="223"/>
      <c r="H945" s="223"/>
      <c r="K945" s="223"/>
      <c r="M945" s="223"/>
    </row>
    <row r="946" customFormat="false" ht="12.75" hidden="false" customHeight="false" outlineLevel="0" collapsed="false">
      <c r="A946" s="220"/>
      <c r="B946" s="220"/>
      <c r="D946" s="222"/>
      <c r="E946" s="222"/>
      <c r="F946" s="223"/>
      <c r="H946" s="223"/>
      <c r="K946" s="223"/>
      <c r="M946" s="223"/>
    </row>
    <row r="947" customFormat="false" ht="12.75" hidden="false" customHeight="false" outlineLevel="0" collapsed="false">
      <c r="A947" s="220"/>
      <c r="B947" s="220"/>
      <c r="D947" s="222"/>
      <c r="E947" s="222"/>
      <c r="F947" s="223"/>
      <c r="H947" s="223"/>
      <c r="K947" s="223"/>
      <c r="M947" s="223"/>
    </row>
    <row r="948" customFormat="false" ht="12.75" hidden="false" customHeight="false" outlineLevel="0" collapsed="false">
      <c r="A948" s="220"/>
      <c r="B948" s="220"/>
      <c r="D948" s="222"/>
      <c r="E948" s="222"/>
      <c r="F948" s="223"/>
      <c r="H948" s="223"/>
      <c r="K948" s="223"/>
      <c r="M948" s="223"/>
    </row>
    <row r="949" customFormat="false" ht="12.75" hidden="false" customHeight="false" outlineLevel="0" collapsed="false">
      <c r="A949" s="220"/>
      <c r="B949" s="220"/>
      <c r="D949" s="222"/>
      <c r="E949" s="222"/>
      <c r="F949" s="223"/>
      <c r="H949" s="223"/>
      <c r="K949" s="223"/>
      <c r="M949" s="223"/>
    </row>
    <row r="950" customFormat="false" ht="12.75" hidden="false" customHeight="false" outlineLevel="0" collapsed="false">
      <c r="A950" s="220"/>
      <c r="B950" s="220"/>
      <c r="D950" s="222"/>
      <c r="E950" s="222"/>
      <c r="F950" s="223"/>
      <c r="H950" s="223"/>
      <c r="K950" s="223"/>
      <c r="M950" s="223"/>
    </row>
    <row r="951" customFormat="false" ht="12.75" hidden="false" customHeight="false" outlineLevel="0" collapsed="false">
      <c r="A951" s="220"/>
      <c r="B951" s="220"/>
      <c r="D951" s="222"/>
      <c r="E951" s="222"/>
      <c r="F951" s="223"/>
      <c r="H951" s="223"/>
      <c r="K951" s="223"/>
      <c r="M951" s="223"/>
    </row>
    <row r="952" customFormat="false" ht="12.75" hidden="false" customHeight="false" outlineLevel="0" collapsed="false">
      <c r="A952" s="220"/>
      <c r="B952" s="220"/>
      <c r="D952" s="222"/>
      <c r="E952" s="222"/>
      <c r="F952" s="223"/>
      <c r="H952" s="223"/>
      <c r="K952" s="223"/>
      <c r="M952" s="223"/>
    </row>
    <row r="953" customFormat="false" ht="12.75" hidden="false" customHeight="false" outlineLevel="0" collapsed="false">
      <c r="A953" s="220"/>
      <c r="B953" s="220"/>
      <c r="D953" s="222"/>
      <c r="E953" s="222"/>
      <c r="F953" s="223"/>
      <c r="H953" s="223"/>
      <c r="K953" s="223"/>
      <c r="M953" s="223"/>
    </row>
    <row r="954" customFormat="false" ht="12.75" hidden="false" customHeight="false" outlineLevel="0" collapsed="false">
      <c r="A954" s="220"/>
      <c r="B954" s="220"/>
      <c r="D954" s="222"/>
      <c r="E954" s="222"/>
      <c r="F954" s="223"/>
      <c r="H954" s="223"/>
      <c r="K954" s="223"/>
      <c r="M954" s="223"/>
    </row>
    <row r="955" customFormat="false" ht="12.75" hidden="false" customHeight="false" outlineLevel="0" collapsed="false">
      <c r="A955" s="220"/>
      <c r="B955" s="220"/>
      <c r="D955" s="222"/>
      <c r="E955" s="222"/>
      <c r="F955" s="223"/>
      <c r="H955" s="223"/>
      <c r="K955" s="223"/>
      <c r="M955" s="223"/>
    </row>
    <row r="956" customFormat="false" ht="12.75" hidden="false" customHeight="false" outlineLevel="0" collapsed="false">
      <c r="A956" s="220"/>
      <c r="B956" s="220"/>
      <c r="D956" s="222"/>
      <c r="E956" s="222"/>
      <c r="F956" s="223"/>
      <c r="H956" s="223"/>
      <c r="K956" s="223"/>
      <c r="M956" s="223"/>
    </row>
    <row r="957" customFormat="false" ht="12.75" hidden="false" customHeight="false" outlineLevel="0" collapsed="false">
      <c r="A957" s="220"/>
      <c r="B957" s="220"/>
      <c r="D957" s="222"/>
      <c r="E957" s="222"/>
      <c r="F957" s="223"/>
      <c r="H957" s="223"/>
      <c r="K957" s="223"/>
      <c r="M957" s="223"/>
    </row>
    <row r="958" customFormat="false" ht="12.75" hidden="false" customHeight="false" outlineLevel="0" collapsed="false">
      <c r="A958" s="220"/>
      <c r="B958" s="220"/>
      <c r="D958" s="222"/>
      <c r="E958" s="222"/>
      <c r="F958" s="223"/>
      <c r="H958" s="223"/>
      <c r="K958" s="223"/>
      <c r="M958" s="223"/>
    </row>
    <row r="959" customFormat="false" ht="12.75" hidden="false" customHeight="false" outlineLevel="0" collapsed="false">
      <c r="A959" s="220"/>
      <c r="B959" s="220"/>
      <c r="D959" s="222"/>
      <c r="E959" s="222"/>
      <c r="F959" s="223"/>
      <c r="H959" s="223"/>
      <c r="K959" s="223"/>
      <c r="M959" s="223"/>
    </row>
    <row r="960" customFormat="false" ht="12.75" hidden="false" customHeight="false" outlineLevel="0" collapsed="false">
      <c r="A960" s="220"/>
      <c r="B960" s="220"/>
      <c r="D960" s="222"/>
      <c r="E960" s="222"/>
      <c r="F960" s="223"/>
      <c r="H960" s="223"/>
      <c r="K960" s="223"/>
      <c r="M960" s="223"/>
    </row>
    <row r="961" customFormat="false" ht="12.75" hidden="false" customHeight="false" outlineLevel="0" collapsed="false">
      <c r="A961" s="220"/>
      <c r="B961" s="220"/>
      <c r="D961" s="222"/>
      <c r="E961" s="222"/>
      <c r="F961" s="223"/>
      <c r="H961" s="223"/>
      <c r="K961" s="223"/>
      <c r="M961" s="223"/>
    </row>
    <row r="962" customFormat="false" ht="12.75" hidden="false" customHeight="false" outlineLevel="0" collapsed="false">
      <c r="A962" s="220"/>
      <c r="B962" s="220"/>
      <c r="D962" s="222"/>
      <c r="E962" s="222"/>
      <c r="F962" s="223"/>
      <c r="H962" s="223"/>
      <c r="K962" s="223"/>
      <c r="M962" s="223"/>
    </row>
    <row r="963" customFormat="false" ht="12.75" hidden="false" customHeight="false" outlineLevel="0" collapsed="false">
      <c r="A963" s="220"/>
      <c r="B963" s="220"/>
      <c r="D963" s="222"/>
      <c r="E963" s="222"/>
      <c r="F963" s="223"/>
      <c r="H963" s="223"/>
      <c r="K963" s="223"/>
      <c r="M963" s="223"/>
    </row>
    <row r="964" customFormat="false" ht="12.75" hidden="false" customHeight="false" outlineLevel="0" collapsed="false">
      <c r="A964" s="220"/>
      <c r="B964" s="220"/>
      <c r="D964" s="222"/>
      <c r="E964" s="222"/>
      <c r="F964" s="223"/>
      <c r="H964" s="223"/>
      <c r="K964" s="223"/>
      <c r="M964" s="223"/>
    </row>
    <row r="965" customFormat="false" ht="12.75" hidden="false" customHeight="false" outlineLevel="0" collapsed="false">
      <c r="A965" s="220"/>
      <c r="B965" s="220"/>
      <c r="D965" s="222"/>
      <c r="E965" s="222"/>
      <c r="F965" s="223"/>
      <c r="H965" s="223"/>
      <c r="K965" s="223"/>
      <c r="M965" s="223"/>
    </row>
    <row r="966" customFormat="false" ht="12.75" hidden="false" customHeight="false" outlineLevel="0" collapsed="false">
      <c r="A966" s="220"/>
      <c r="B966" s="220"/>
      <c r="D966" s="222"/>
      <c r="E966" s="222"/>
      <c r="F966" s="223"/>
      <c r="H966" s="223"/>
      <c r="K966" s="223"/>
      <c r="M966" s="223"/>
    </row>
    <row r="967" customFormat="false" ht="12.75" hidden="false" customHeight="false" outlineLevel="0" collapsed="false">
      <c r="A967" s="220"/>
      <c r="B967" s="220"/>
      <c r="D967" s="222"/>
      <c r="E967" s="222"/>
      <c r="F967" s="223"/>
      <c r="H967" s="223"/>
      <c r="K967" s="223"/>
      <c r="M967" s="223"/>
    </row>
    <row r="968" customFormat="false" ht="12.75" hidden="false" customHeight="false" outlineLevel="0" collapsed="false">
      <c r="A968" s="220"/>
      <c r="B968" s="220"/>
      <c r="D968" s="222"/>
      <c r="E968" s="222"/>
      <c r="F968" s="223"/>
      <c r="H968" s="223"/>
      <c r="K968" s="223"/>
      <c r="M968" s="223"/>
    </row>
    <row r="969" customFormat="false" ht="12.75" hidden="false" customHeight="false" outlineLevel="0" collapsed="false">
      <c r="A969" s="220"/>
      <c r="B969" s="220"/>
      <c r="D969" s="222"/>
      <c r="E969" s="222"/>
      <c r="F969" s="223"/>
      <c r="H969" s="223"/>
      <c r="K969" s="223"/>
      <c r="M969" s="223"/>
    </row>
    <row r="970" customFormat="false" ht="12.75" hidden="false" customHeight="false" outlineLevel="0" collapsed="false">
      <c r="A970" s="220"/>
      <c r="B970" s="220"/>
      <c r="D970" s="222"/>
      <c r="E970" s="222"/>
      <c r="F970" s="223"/>
      <c r="H970" s="223"/>
      <c r="K970" s="223"/>
      <c r="M970" s="223"/>
    </row>
    <row r="971" customFormat="false" ht="12.75" hidden="false" customHeight="false" outlineLevel="0" collapsed="false">
      <c r="A971" s="220"/>
      <c r="B971" s="220"/>
      <c r="D971" s="222"/>
      <c r="E971" s="222"/>
      <c r="F971" s="223"/>
      <c r="H971" s="223"/>
      <c r="K971" s="223"/>
      <c r="M971" s="223"/>
    </row>
    <row r="972" customFormat="false" ht="12.75" hidden="false" customHeight="false" outlineLevel="0" collapsed="false">
      <c r="A972" s="220"/>
      <c r="B972" s="220"/>
      <c r="D972" s="222"/>
      <c r="E972" s="222"/>
      <c r="F972" s="223"/>
      <c r="H972" s="223"/>
      <c r="K972" s="223"/>
      <c r="M972" s="223"/>
    </row>
    <row r="973" customFormat="false" ht="12.75" hidden="false" customHeight="false" outlineLevel="0" collapsed="false">
      <c r="A973" s="220"/>
      <c r="B973" s="220"/>
      <c r="D973" s="222"/>
      <c r="E973" s="222"/>
      <c r="F973" s="223"/>
      <c r="H973" s="223"/>
      <c r="K973" s="223"/>
      <c r="M973" s="223"/>
    </row>
    <row r="974" customFormat="false" ht="12.75" hidden="false" customHeight="false" outlineLevel="0" collapsed="false">
      <c r="A974" s="220"/>
      <c r="B974" s="220"/>
      <c r="D974" s="222"/>
      <c r="E974" s="222"/>
      <c r="F974" s="223"/>
      <c r="H974" s="223"/>
      <c r="K974" s="223"/>
      <c r="M974" s="223"/>
    </row>
    <row r="975" customFormat="false" ht="12.75" hidden="false" customHeight="false" outlineLevel="0" collapsed="false">
      <c r="A975" s="220"/>
      <c r="B975" s="220"/>
      <c r="D975" s="222"/>
      <c r="E975" s="222"/>
      <c r="F975" s="223"/>
      <c r="H975" s="223"/>
      <c r="K975" s="223"/>
      <c r="M975" s="223"/>
    </row>
    <row r="976" customFormat="false" ht="12.75" hidden="false" customHeight="false" outlineLevel="0" collapsed="false">
      <c r="A976" s="220"/>
      <c r="B976" s="220"/>
      <c r="D976" s="222"/>
      <c r="E976" s="222"/>
      <c r="F976" s="223"/>
      <c r="H976" s="223"/>
      <c r="K976" s="223"/>
      <c r="M976" s="223"/>
    </row>
    <row r="977" customFormat="false" ht="12.75" hidden="false" customHeight="false" outlineLevel="0" collapsed="false">
      <c r="A977" s="220"/>
      <c r="B977" s="220"/>
      <c r="D977" s="222"/>
      <c r="E977" s="222"/>
      <c r="F977" s="223"/>
      <c r="H977" s="223"/>
      <c r="K977" s="223"/>
      <c r="M977" s="223"/>
    </row>
    <row r="978" customFormat="false" ht="12.75" hidden="false" customHeight="false" outlineLevel="0" collapsed="false">
      <c r="A978" s="220"/>
      <c r="B978" s="220"/>
      <c r="D978" s="222"/>
      <c r="E978" s="222"/>
      <c r="F978" s="223"/>
      <c r="H978" s="223"/>
      <c r="K978" s="223"/>
      <c r="M978" s="223"/>
    </row>
    <row r="979" customFormat="false" ht="12.75" hidden="false" customHeight="false" outlineLevel="0" collapsed="false">
      <c r="A979" s="220"/>
      <c r="B979" s="220"/>
      <c r="D979" s="222"/>
      <c r="E979" s="222"/>
      <c r="F979" s="223"/>
      <c r="H979" s="223"/>
      <c r="K979" s="223"/>
      <c r="M979" s="223"/>
    </row>
    <row r="980" customFormat="false" ht="12.75" hidden="false" customHeight="false" outlineLevel="0" collapsed="false">
      <c r="A980" s="220"/>
      <c r="B980" s="220"/>
      <c r="D980" s="222"/>
      <c r="E980" s="222"/>
      <c r="F980" s="223"/>
      <c r="H980" s="223"/>
      <c r="K980" s="223"/>
      <c r="M980" s="223"/>
    </row>
    <row r="981" customFormat="false" ht="12.75" hidden="false" customHeight="false" outlineLevel="0" collapsed="false">
      <c r="A981" s="220"/>
      <c r="B981" s="220"/>
      <c r="D981" s="222"/>
      <c r="E981" s="222"/>
      <c r="F981" s="223"/>
      <c r="H981" s="223"/>
      <c r="K981" s="223"/>
      <c r="M981" s="223"/>
    </row>
    <row r="982" customFormat="false" ht="12.75" hidden="false" customHeight="false" outlineLevel="0" collapsed="false">
      <c r="A982" s="220"/>
      <c r="B982" s="220"/>
      <c r="D982" s="222"/>
      <c r="E982" s="222"/>
      <c r="F982" s="223"/>
      <c r="H982" s="223"/>
      <c r="K982" s="223"/>
      <c r="M982" s="223"/>
    </row>
    <row r="983" customFormat="false" ht="12.75" hidden="false" customHeight="false" outlineLevel="0" collapsed="false">
      <c r="A983" s="220"/>
      <c r="B983" s="220"/>
      <c r="D983" s="222"/>
      <c r="E983" s="222"/>
      <c r="F983" s="223"/>
      <c r="H983" s="223"/>
      <c r="K983" s="223"/>
      <c r="M983" s="223"/>
    </row>
    <row r="984" customFormat="false" ht="12.75" hidden="false" customHeight="false" outlineLevel="0" collapsed="false">
      <c r="A984" s="220"/>
      <c r="B984" s="220"/>
      <c r="D984" s="222"/>
      <c r="E984" s="222"/>
      <c r="F984" s="223"/>
      <c r="H984" s="223"/>
      <c r="K984" s="223"/>
      <c r="M984" s="223"/>
    </row>
    <row r="985" customFormat="false" ht="12.75" hidden="false" customHeight="false" outlineLevel="0" collapsed="false">
      <c r="A985" s="220"/>
      <c r="B985" s="220"/>
      <c r="D985" s="222"/>
      <c r="E985" s="222"/>
      <c r="F985" s="223"/>
      <c r="H985" s="223"/>
      <c r="K985" s="223"/>
      <c r="M985" s="223"/>
    </row>
    <row r="986" customFormat="false" ht="12.75" hidden="false" customHeight="false" outlineLevel="0" collapsed="false">
      <c r="A986" s="220"/>
      <c r="B986" s="220"/>
      <c r="D986" s="222"/>
      <c r="E986" s="222"/>
      <c r="F986" s="223"/>
      <c r="H986" s="223"/>
      <c r="K986" s="223"/>
      <c r="M986" s="223"/>
    </row>
    <row r="987" customFormat="false" ht="12.75" hidden="false" customHeight="false" outlineLevel="0" collapsed="false">
      <c r="A987" s="220"/>
      <c r="B987" s="220"/>
      <c r="D987" s="222"/>
      <c r="E987" s="222"/>
      <c r="F987" s="223"/>
      <c r="H987" s="223"/>
      <c r="K987" s="223"/>
      <c r="M987" s="223"/>
    </row>
    <row r="988" customFormat="false" ht="12.75" hidden="false" customHeight="false" outlineLevel="0" collapsed="false">
      <c r="A988" s="220"/>
      <c r="B988" s="220"/>
      <c r="D988" s="222"/>
      <c r="E988" s="222"/>
      <c r="F988" s="223"/>
      <c r="H988" s="223"/>
      <c r="K988" s="223"/>
      <c r="M988" s="223"/>
    </row>
    <row r="989" customFormat="false" ht="12.75" hidden="false" customHeight="false" outlineLevel="0" collapsed="false">
      <c r="A989" s="220"/>
      <c r="B989" s="220"/>
      <c r="D989" s="222"/>
      <c r="E989" s="222"/>
      <c r="F989" s="223"/>
      <c r="H989" s="223"/>
      <c r="K989" s="223"/>
      <c r="M989" s="223"/>
    </row>
    <row r="990" customFormat="false" ht="12.75" hidden="false" customHeight="false" outlineLevel="0" collapsed="false">
      <c r="A990" s="220"/>
      <c r="B990" s="220"/>
      <c r="D990" s="222"/>
      <c r="E990" s="222"/>
      <c r="F990" s="223"/>
      <c r="H990" s="223"/>
      <c r="K990" s="223"/>
      <c r="M990" s="223"/>
    </row>
    <row r="991" customFormat="false" ht="12.75" hidden="false" customHeight="false" outlineLevel="0" collapsed="false">
      <c r="A991" s="220"/>
      <c r="B991" s="220"/>
      <c r="D991" s="222"/>
      <c r="E991" s="222"/>
      <c r="F991" s="223"/>
      <c r="H991" s="223"/>
      <c r="K991" s="223"/>
      <c r="M991" s="223"/>
    </row>
    <row r="992" customFormat="false" ht="12.75" hidden="false" customHeight="false" outlineLevel="0" collapsed="false">
      <c r="A992" s="220"/>
      <c r="B992" s="220"/>
      <c r="D992" s="222"/>
      <c r="E992" s="222"/>
      <c r="F992" s="223"/>
      <c r="H992" s="223"/>
      <c r="K992" s="223"/>
      <c r="M992" s="223"/>
    </row>
    <row r="993" customFormat="false" ht="12.75" hidden="false" customHeight="false" outlineLevel="0" collapsed="false">
      <c r="A993" s="220"/>
      <c r="B993" s="220"/>
      <c r="D993" s="222"/>
      <c r="E993" s="222"/>
      <c r="F993" s="223"/>
      <c r="H993" s="223"/>
      <c r="K993" s="223"/>
      <c r="M993" s="223"/>
    </row>
    <row r="994" customFormat="false" ht="12.75" hidden="false" customHeight="false" outlineLevel="0" collapsed="false">
      <c r="A994" s="220"/>
      <c r="B994" s="220"/>
      <c r="D994" s="222"/>
      <c r="E994" s="222"/>
      <c r="F994" s="223"/>
      <c r="H994" s="223"/>
      <c r="K994" s="223"/>
      <c r="M994" s="223"/>
    </row>
    <row r="995" customFormat="false" ht="12.75" hidden="false" customHeight="false" outlineLevel="0" collapsed="false">
      <c r="A995" s="220"/>
      <c r="B995" s="220"/>
      <c r="D995" s="222"/>
      <c r="E995" s="222"/>
      <c r="F995" s="223"/>
      <c r="H995" s="223"/>
      <c r="K995" s="223"/>
      <c r="M995" s="223"/>
    </row>
    <row r="996" customFormat="false" ht="12.75" hidden="false" customHeight="false" outlineLevel="0" collapsed="false">
      <c r="A996" s="220"/>
      <c r="B996" s="220"/>
      <c r="D996" s="222"/>
      <c r="E996" s="222"/>
      <c r="F996" s="223"/>
      <c r="H996" s="223"/>
      <c r="K996" s="223"/>
      <c r="M996" s="223"/>
    </row>
    <row r="997" customFormat="false" ht="12.75" hidden="false" customHeight="false" outlineLevel="0" collapsed="false">
      <c r="A997" s="220"/>
      <c r="B997" s="220"/>
      <c r="D997" s="222"/>
      <c r="E997" s="222"/>
      <c r="F997" s="223"/>
      <c r="H997" s="223"/>
      <c r="K997" s="223"/>
      <c r="M997" s="223"/>
    </row>
    <row r="998" customFormat="false" ht="12.75" hidden="false" customHeight="false" outlineLevel="0" collapsed="false">
      <c r="A998" s="220"/>
      <c r="B998" s="220"/>
      <c r="D998" s="222"/>
      <c r="E998" s="222"/>
      <c r="F998" s="223"/>
      <c r="H998" s="223"/>
      <c r="K998" s="223"/>
      <c r="M998" s="223"/>
    </row>
    <row r="999" customFormat="false" ht="12.75" hidden="false" customHeight="false" outlineLevel="0" collapsed="false">
      <c r="A999" s="220"/>
      <c r="B999" s="220"/>
      <c r="D999" s="222"/>
      <c r="E999" s="222"/>
      <c r="F999" s="223"/>
      <c r="H999" s="223"/>
      <c r="K999" s="223"/>
      <c r="M999" s="223"/>
    </row>
    <row r="1000" customFormat="false" ht="12.75" hidden="false" customHeight="false" outlineLevel="0" collapsed="false">
      <c r="A1000" s="220"/>
      <c r="B1000" s="220"/>
      <c r="D1000" s="222"/>
      <c r="E1000" s="222"/>
      <c r="F1000" s="223"/>
      <c r="H1000" s="223"/>
      <c r="K1000" s="223"/>
      <c r="M1000" s="223"/>
    </row>
    <row r="1001" customFormat="false" ht="12.75" hidden="false" customHeight="false" outlineLevel="0" collapsed="false">
      <c r="A1001" s="220"/>
      <c r="B1001" s="220"/>
      <c r="D1001" s="222"/>
      <c r="E1001" s="222"/>
      <c r="F1001" s="223"/>
      <c r="H1001" s="223"/>
      <c r="K1001" s="223"/>
      <c r="M1001" s="223"/>
    </row>
    <row r="1002" customFormat="false" ht="12.75" hidden="false" customHeight="false" outlineLevel="0" collapsed="false">
      <c r="A1002" s="220"/>
      <c r="B1002" s="220"/>
      <c r="D1002" s="222"/>
      <c r="E1002" s="222"/>
      <c r="F1002" s="223"/>
      <c r="H1002" s="223"/>
      <c r="K1002" s="223"/>
      <c r="M1002" s="223"/>
    </row>
    <row r="1003" customFormat="false" ht="12.75" hidden="false" customHeight="false" outlineLevel="0" collapsed="false">
      <c r="A1003" s="220"/>
      <c r="B1003" s="220"/>
      <c r="D1003" s="222"/>
      <c r="E1003" s="222"/>
      <c r="F1003" s="223"/>
      <c r="H1003" s="223"/>
      <c r="K1003" s="223"/>
      <c r="M1003" s="223"/>
    </row>
    <row r="1004" customFormat="false" ht="12.75" hidden="false" customHeight="false" outlineLevel="0" collapsed="false">
      <c r="A1004" s="220"/>
      <c r="B1004" s="220"/>
      <c r="D1004" s="222"/>
      <c r="E1004" s="222"/>
      <c r="F1004" s="223"/>
      <c r="H1004" s="223"/>
      <c r="K1004" s="223"/>
      <c r="M1004" s="223"/>
    </row>
    <row r="1005" customFormat="false" ht="12.75" hidden="false" customHeight="false" outlineLevel="0" collapsed="false">
      <c r="A1005" s="220"/>
      <c r="B1005" s="220"/>
      <c r="D1005" s="222"/>
      <c r="E1005" s="222"/>
      <c r="F1005" s="223"/>
      <c r="H1005" s="223"/>
      <c r="K1005" s="223"/>
      <c r="M1005" s="223"/>
    </row>
    <row r="1006" customFormat="false" ht="12.75" hidden="false" customHeight="false" outlineLevel="0" collapsed="false">
      <c r="A1006" s="220"/>
      <c r="B1006" s="220"/>
      <c r="D1006" s="222"/>
      <c r="E1006" s="222"/>
      <c r="F1006" s="223"/>
      <c r="H1006" s="223"/>
      <c r="K1006" s="223"/>
      <c r="M1006" s="223"/>
    </row>
    <row r="1007" customFormat="false" ht="12.75" hidden="false" customHeight="false" outlineLevel="0" collapsed="false">
      <c r="A1007" s="220"/>
      <c r="B1007" s="220"/>
      <c r="D1007" s="222"/>
      <c r="E1007" s="222"/>
      <c r="F1007" s="223"/>
      <c r="H1007" s="223"/>
      <c r="K1007" s="223"/>
      <c r="M1007" s="223"/>
    </row>
    <row r="1008" customFormat="false" ht="12.75" hidden="false" customHeight="false" outlineLevel="0" collapsed="false">
      <c r="A1008" s="220"/>
      <c r="B1008" s="220"/>
      <c r="D1008" s="222"/>
      <c r="E1008" s="222"/>
      <c r="F1008" s="223"/>
      <c r="H1008" s="223"/>
      <c r="K1008" s="223"/>
      <c r="M1008" s="223"/>
    </row>
    <row r="1009" customFormat="false" ht="12.75" hidden="false" customHeight="false" outlineLevel="0" collapsed="false">
      <c r="A1009" s="220"/>
      <c r="B1009" s="220"/>
      <c r="D1009" s="222"/>
      <c r="E1009" s="222"/>
      <c r="F1009" s="223"/>
      <c r="H1009" s="223"/>
      <c r="K1009" s="223"/>
      <c r="M1009" s="223"/>
    </row>
    <row r="1010" customFormat="false" ht="12.75" hidden="false" customHeight="false" outlineLevel="0" collapsed="false">
      <c r="A1010" s="220"/>
      <c r="B1010" s="220"/>
      <c r="D1010" s="222"/>
      <c r="E1010" s="222"/>
      <c r="F1010" s="223"/>
      <c r="H1010" s="223"/>
      <c r="K1010" s="223"/>
      <c r="M1010" s="223"/>
    </row>
    <row r="1011" customFormat="false" ht="12.75" hidden="false" customHeight="false" outlineLevel="0" collapsed="false">
      <c r="A1011" s="220"/>
      <c r="B1011" s="220"/>
      <c r="D1011" s="222"/>
      <c r="E1011" s="222"/>
      <c r="F1011" s="223"/>
      <c r="H1011" s="223"/>
      <c r="K1011" s="223"/>
      <c r="M1011" s="223"/>
    </row>
    <row r="1012" customFormat="false" ht="12.75" hidden="false" customHeight="false" outlineLevel="0" collapsed="false">
      <c r="A1012" s="220"/>
      <c r="B1012" s="220"/>
      <c r="D1012" s="222"/>
      <c r="E1012" s="222"/>
      <c r="F1012" s="223"/>
      <c r="H1012" s="223"/>
      <c r="K1012" s="223"/>
      <c r="M1012" s="223"/>
    </row>
    <row r="1013" customFormat="false" ht="12.75" hidden="false" customHeight="false" outlineLevel="0" collapsed="false">
      <c r="A1013" s="220"/>
      <c r="B1013" s="220"/>
      <c r="D1013" s="222"/>
      <c r="E1013" s="222"/>
      <c r="F1013" s="223"/>
      <c r="H1013" s="223"/>
      <c r="K1013" s="223"/>
      <c r="M1013" s="223"/>
    </row>
    <row r="1014" customFormat="false" ht="12.75" hidden="false" customHeight="false" outlineLevel="0" collapsed="false">
      <c r="A1014" s="220"/>
      <c r="B1014" s="220"/>
      <c r="D1014" s="222"/>
      <c r="E1014" s="222"/>
      <c r="F1014" s="223"/>
      <c r="H1014" s="223"/>
      <c r="K1014" s="223"/>
      <c r="M1014" s="223"/>
    </row>
    <row r="1015" customFormat="false" ht="12.75" hidden="false" customHeight="false" outlineLevel="0" collapsed="false">
      <c r="A1015" s="220"/>
      <c r="B1015" s="220"/>
      <c r="D1015" s="222"/>
      <c r="E1015" s="222"/>
      <c r="F1015" s="223"/>
      <c r="H1015" s="223"/>
      <c r="K1015" s="223"/>
      <c r="M1015" s="223"/>
    </row>
    <row r="1016" customFormat="false" ht="12.75" hidden="false" customHeight="false" outlineLevel="0" collapsed="false">
      <c r="A1016" s="220"/>
      <c r="B1016" s="220"/>
      <c r="D1016" s="222"/>
      <c r="E1016" s="222"/>
      <c r="F1016" s="223"/>
      <c r="H1016" s="223"/>
      <c r="K1016" s="223"/>
      <c r="M1016" s="223"/>
    </row>
    <row r="1017" customFormat="false" ht="12.75" hidden="false" customHeight="false" outlineLevel="0" collapsed="false">
      <c r="A1017" s="220"/>
      <c r="B1017" s="220"/>
      <c r="D1017" s="222"/>
      <c r="E1017" s="222"/>
      <c r="F1017" s="223"/>
      <c r="H1017" s="223"/>
      <c r="K1017" s="223"/>
      <c r="M1017" s="223"/>
    </row>
    <row r="1018" customFormat="false" ht="12.75" hidden="false" customHeight="false" outlineLevel="0" collapsed="false">
      <c r="A1018" s="220"/>
      <c r="B1018" s="220"/>
      <c r="D1018" s="222"/>
      <c r="E1018" s="222"/>
      <c r="F1018" s="223"/>
      <c r="H1018" s="223"/>
      <c r="K1018" s="223"/>
      <c r="M1018" s="223"/>
    </row>
    <row r="1019" customFormat="false" ht="12.75" hidden="false" customHeight="false" outlineLevel="0" collapsed="false">
      <c r="A1019" s="220"/>
      <c r="B1019" s="220"/>
      <c r="D1019" s="222"/>
      <c r="E1019" s="222"/>
      <c r="F1019" s="223"/>
      <c r="H1019" s="223"/>
      <c r="K1019" s="223"/>
      <c r="M1019" s="223"/>
    </row>
    <row r="1020" customFormat="false" ht="12.75" hidden="false" customHeight="false" outlineLevel="0" collapsed="false">
      <c r="A1020" s="220"/>
      <c r="B1020" s="220"/>
      <c r="D1020" s="222"/>
      <c r="E1020" s="222"/>
      <c r="F1020" s="223"/>
      <c r="H1020" s="223"/>
      <c r="K1020" s="223"/>
      <c r="M1020" s="223"/>
    </row>
    <row r="1021" customFormat="false" ht="12.75" hidden="false" customHeight="false" outlineLevel="0" collapsed="false">
      <c r="A1021" s="220"/>
      <c r="B1021" s="220"/>
      <c r="D1021" s="222"/>
      <c r="E1021" s="222"/>
      <c r="F1021" s="223"/>
      <c r="H1021" s="223"/>
      <c r="K1021" s="223"/>
      <c r="M1021" s="223"/>
    </row>
    <row r="1022" customFormat="false" ht="12.75" hidden="false" customHeight="false" outlineLevel="0" collapsed="false">
      <c r="A1022" s="220"/>
      <c r="B1022" s="220"/>
      <c r="D1022" s="222"/>
      <c r="E1022" s="222"/>
      <c r="F1022" s="223"/>
      <c r="H1022" s="223"/>
      <c r="K1022" s="223"/>
      <c r="M1022" s="223"/>
    </row>
    <row r="1023" customFormat="false" ht="12.75" hidden="false" customHeight="false" outlineLevel="0" collapsed="false">
      <c r="A1023" s="220"/>
      <c r="B1023" s="220"/>
      <c r="D1023" s="222"/>
      <c r="E1023" s="222"/>
      <c r="F1023" s="223"/>
      <c r="H1023" s="223"/>
      <c r="K1023" s="223"/>
      <c r="M1023" s="223"/>
    </row>
    <row r="1024" customFormat="false" ht="12.75" hidden="false" customHeight="false" outlineLevel="0" collapsed="false">
      <c r="A1024" s="220"/>
      <c r="B1024" s="220"/>
      <c r="D1024" s="222"/>
      <c r="E1024" s="222"/>
      <c r="F1024" s="223"/>
      <c r="H1024" s="223"/>
      <c r="K1024" s="223"/>
      <c r="M1024" s="223"/>
    </row>
    <row r="1025" customFormat="false" ht="12.75" hidden="false" customHeight="false" outlineLevel="0" collapsed="false">
      <c r="A1025" s="220"/>
      <c r="B1025" s="220"/>
      <c r="D1025" s="222"/>
      <c r="E1025" s="222"/>
      <c r="F1025" s="223"/>
      <c r="H1025" s="223"/>
      <c r="K1025" s="223"/>
      <c r="M1025" s="223"/>
    </row>
    <row r="1026" customFormat="false" ht="12.75" hidden="false" customHeight="false" outlineLevel="0" collapsed="false">
      <c r="A1026" s="220"/>
      <c r="B1026" s="220"/>
      <c r="D1026" s="222"/>
      <c r="E1026" s="222"/>
      <c r="F1026" s="223"/>
      <c r="H1026" s="223"/>
      <c r="K1026" s="223"/>
      <c r="M1026" s="223"/>
    </row>
    <row r="1027" customFormat="false" ht="12.75" hidden="false" customHeight="false" outlineLevel="0" collapsed="false">
      <c r="A1027" s="220"/>
      <c r="B1027" s="220"/>
      <c r="D1027" s="222"/>
      <c r="E1027" s="222"/>
      <c r="F1027" s="223"/>
      <c r="H1027" s="223"/>
      <c r="K1027" s="223"/>
      <c r="M1027" s="223"/>
    </row>
    <row r="1028" customFormat="false" ht="12.75" hidden="false" customHeight="false" outlineLevel="0" collapsed="false">
      <c r="A1028" s="220"/>
      <c r="B1028" s="220"/>
      <c r="D1028" s="222"/>
      <c r="E1028" s="222"/>
      <c r="F1028" s="223"/>
      <c r="H1028" s="223"/>
      <c r="K1028" s="223"/>
      <c r="M1028" s="223"/>
    </row>
    <row r="1029" customFormat="false" ht="12.75" hidden="false" customHeight="false" outlineLevel="0" collapsed="false">
      <c r="A1029" s="220"/>
      <c r="B1029" s="220"/>
      <c r="D1029" s="222"/>
      <c r="E1029" s="222"/>
      <c r="F1029" s="223"/>
      <c r="H1029" s="223"/>
      <c r="K1029" s="223"/>
      <c r="M1029" s="223"/>
    </row>
    <row r="1030" customFormat="false" ht="12.75" hidden="false" customHeight="false" outlineLevel="0" collapsed="false">
      <c r="A1030" s="220"/>
      <c r="B1030" s="220"/>
      <c r="D1030" s="222"/>
      <c r="E1030" s="222"/>
      <c r="F1030" s="223"/>
      <c r="H1030" s="223"/>
      <c r="K1030" s="223"/>
      <c r="M1030" s="223"/>
    </row>
    <row r="1031" customFormat="false" ht="12.75" hidden="false" customHeight="false" outlineLevel="0" collapsed="false">
      <c r="A1031" s="220"/>
      <c r="B1031" s="220"/>
      <c r="D1031" s="222"/>
      <c r="E1031" s="222"/>
      <c r="F1031" s="223"/>
      <c r="H1031" s="223"/>
      <c r="K1031" s="223"/>
      <c r="M1031" s="223"/>
    </row>
    <row r="1032" customFormat="false" ht="12.75" hidden="false" customHeight="false" outlineLevel="0" collapsed="false">
      <c r="A1032" s="220"/>
      <c r="B1032" s="220"/>
      <c r="D1032" s="222"/>
      <c r="E1032" s="222"/>
      <c r="F1032" s="223"/>
      <c r="H1032" s="223"/>
      <c r="K1032" s="223"/>
      <c r="M1032" s="223"/>
    </row>
    <row r="1033" customFormat="false" ht="12.75" hidden="false" customHeight="false" outlineLevel="0" collapsed="false">
      <c r="A1033" s="220"/>
      <c r="B1033" s="220"/>
      <c r="D1033" s="222"/>
      <c r="E1033" s="222"/>
      <c r="F1033" s="223"/>
      <c r="H1033" s="223"/>
      <c r="K1033" s="223"/>
      <c r="M1033" s="223"/>
    </row>
    <row r="1034" customFormat="false" ht="12.75" hidden="false" customHeight="false" outlineLevel="0" collapsed="false">
      <c r="A1034" s="220"/>
      <c r="B1034" s="220"/>
      <c r="D1034" s="222"/>
      <c r="E1034" s="222"/>
      <c r="F1034" s="223"/>
      <c r="H1034" s="223"/>
      <c r="K1034" s="223"/>
      <c r="M1034" s="223"/>
    </row>
    <row r="1035" customFormat="false" ht="12.75" hidden="false" customHeight="false" outlineLevel="0" collapsed="false">
      <c r="A1035" s="220"/>
      <c r="B1035" s="220"/>
      <c r="D1035" s="222"/>
      <c r="E1035" s="222"/>
      <c r="F1035" s="223"/>
      <c r="H1035" s="223"/>
      <c r="K1035" s="223"/>
      <c r="M1035" s="223"/>
    </row>
    <row r="1036" customFormat="false" ht="12.75" hidden="false" customHeight="false" outlineLevel="0" collapsed="false">
      <c r="A1036" s="220"/>
      <c r="B1036" s="220"/>
      <c r="D1036" s="222"/>
      <c r="E1036" s="222"/>
      <c r="F1036" s="223"/>
      <c r="H1036" s="223"/>
      <c r="K1036" s="223"/>
      <c r="M1036" s="223"/>
    </row>
    <row r="1037" customFormat="false" ht="12.75" hidden="false" customHeight="false" outlineLevel="0" collapsed="false">
      <c r="A1037" s="220"/>
      <c r="B1037" s="220"/>
      <c r="D1037" s="222"/>
      <c r="E1037" s="222"/>
      <c r="F1037" s="223"/>
      <c r="H1037" s="223"/>
      <c r="K1037" s="223"/>
      <c r="M1037" s="223"/>
    </row>
    <row r="1038" customFormat="false" ht="12.75" hidden="false" customHeight="false" outlineLevel="0" collapsed="false">
      <c r="A1038" s="220"/>
      <c r="B1038" s="220"/>
      <c r="D1038" s="222"/>
      <c r="E1038" s="222"/>
      <c r="F1038" s="223"/>
      <c r="H1038" s="223"/>
      <c r="K1038" s="223"/>
      <c r="M1038" s="223"/>
    </row>
    <row r="1039" customFormat="false" ht="12.75" hidden="false" customHeight="false" outlineLevel="0" collapsed="false">
      <c r="A1039" s="220"/>
      <c r="B1039" s="220"/>
      <c r="D1039" s="222"/>
      <c r="E1039" s="222"/>
      <c r="F1039" s="223"/>
      <c r="H1039" s="223"/>
      <c r="K1039" s="223"/>
      <c r="M1039" s="223"/>
    </row>
    <row r="1040" customFormat="false" ht="12.75" hidden="false" customHeight="false" outlineLevel="0" collapsed="false">
      <c r="A1040" s="220"/>
      <c r="B1040" s="220"/>
      <c r="D1040" s="222"/>
      <c r="E1040" s="222"/>
      <c r="F1040" s="223"/>
      <c r="H1040" s="223"/>
      <c r="K1040" s="223"/>
      <c r="M1040" s="223"/>
    </row>
    <row r="1041" customFormat="false" ht="12.75" hidden="false" customHeight="false" outlineLevel="0" collapsed="false">
      <c r="A1041" s="220"/>
      <c r="B1041" s="220"/>
      <c r="D1041" s="222"/>
      <c r="E1041" s="222"/>
      <c r="F1041" s="223"/>
      <c r="H1041" s="223"/>
      <c r="K1041" s="223"/>
      <c r="M1041" s="223"/>
    </row>
    <row r="1042" customFormat="false" ht="12.75" hidden="false" customHeight="false" outlineLevel="0" collapsed="false">
      <c r="A1042" s="220"/>
      <c r="B1042" s="220"/>
      <c r="D1042" s="222"/>
      <c r="E1042" s="222"/>
      <c r="F1042" s="223"/>
      <c r="H1042" s="223"/>
      <c r="K1042" s="223"/>
      <c r="M1042" s="223"/>
    </row>
    <row r="1043" customFormat="false" ht="12.75" hidden="false" customHeight="false" outlineLevel="0" collapsed="false">
      <c r="A1043" s="220"/>
      <c r="B1043" s="220"/>
      <c r="D1043" s="222"/>
      <c r="E1043" s="222"/>
      <c r="F1043" s="223"/>
      <c r="H1043" s="223"/>
      <c r="K1043" s="223"/>
      <c r="M1043" s="223"/>
    </row>
    <row r="1044" customFormat="false" ht="12.75" hidden="false" customHeight="false" outlineLevel="0" collapsed="false">
      <c r="A1044" s="220"/>
      <c r="B1044" s="220"/>
      <c r="D1044" s="222"/>
      <c r="E1044" s="222"/>
      <c r="F1044" s="223"/>
      <c r="H1044" s="223"/>
      <c r="K1044" s="223"/>
      <c r="M1044" s="223"/>
    </row>
    <row r="1045" customFormat="false" ht="12.75" hidden="false" customHeight="false" outlineLevel="0" collapsed="false">
      <c r="A1045" s="220"/>
      <c r="B1045" s="220"/>
      <c r="D1045" s="222"/>
      <c r="E1045" s="222"/>
      <c r="F1045" s="223"/>
      <c r="H1045" s="223"/>
      <c r="K1045" s="223"/>
      <c r="M1045" s="223"/>
    </row>
    <row r="1046" customFormat="false" ht="12.75" hidden="false" customHeight="false" outlineLevel="0" collapsed="false">
      <c r="A1046" s="220"/>
      <c r="B1046" s="220"/>
      <c r="D1046" s="222"/>
      <c r="E1046" s="222"/>
      <c r="F1046" s="223"/>
      <c r="H1046" s="223"/>
      <c r="K1046" s="223"/>
      <c r="M1046" s="223"/>
    </row>
    <row r="1047" customFormat="false" ht="12.75" hidden="false" customHeight="false" outlineLevel="0" collapsed="false">
      <c r="A1047" s="220"/>
      <c r="B1047" s="220"/>
      <c r="D1047" s="222"/>
      <c r="E1047" s="222"/>
      <c r="F1047" s="223"/>
      <c r="H1047" s="223"/>
      <c r="K1047" s="223"/>
      <c r="M1047" s="223"/>
    </row>
    <row r="1048" customFormat="false" ht="12.75" hidden="false" customHeight="false" outlineLevel="0" collapsed="false">
      <c r="A1048" s="220"/>
      <c r="B1048" s="220"/>
      <c r="D1048" s="222"/>
      <c r="E1048" s="222"/>
      <c r="F1048" s="223"/>
      <c r="H1048" s="223"/>
      <c r="K1048" s="223"/>
      <c r="M1048" s="223"/>
    </row>
    <row r="1049" customFormat="false" ht="12.75" hidden="false" customHeight="false" outlineLevel="0" collapsed="false">
      <c r="A1049" s="220"/>
      <c r="B1049" s="220"/>
      <c r="D1049" s="222"/>
      <c r="E1049" s="222"/>
      <c r="F1049" s="223"/>
      <c r="H1049" s="223"/>
      <c r="K1049" s="223"/>
      <c r="M1049" s="223"/>
    </row>
    <row r="1050" customFormat="false" ht="12.75" hidden="false" customHeight="false" outlineLevel="0" collapsed="false">
      <c r="A1050" s="220"/>
      <c r="B1050" s="220"/>
      <c r="D1050" s="222"/>
      <c r="E1050" s="222"/>
      <c r="F1050" s="223"/>
      <c r="H1050" s="223"/>
      <c r="K1050" s="223"/>
      <c r="M1050" s="223"/>
    </row>
    <row r="1051" customFormat="false" ht="12.75" hidden="false" customHeight="false" outlineLevel="0" collapsed="false">
      <c r="A1051" s="220"/>
      <c r="B1051" s="220"/>
      <c r="D1051" s="222"/>
      <c r="E1051" s="222"/>
      <c r="F1051" s="223"/>
      <c r="H1051" s="223"/>
      <c r="K1051" s="223"/>
      <c r="M1051" s="223"/>
    </row>
    <row r="1052" customFormat="false" ht="12.75" hidden="false" customHeight="false" outlineLevel="0" collapsed="false">
      <c r="A1052" s="220"/>
      <c r="B1052" s="220"/>
      <c r="D1052" s="222"/>
      <c r="E1052" s="222"/>
      <c r="F1052" s="223"/>
      <c r="H1052" s="223"/>
      <c r="K1052" s="223"/>
      <c r="M1052" s="223"/>
    </row>
    <row r="1053" customFormat="false" ht="12.75" hidden="false" customHeight="false" outlineLevel="0" collapsed="false">
      <c r="A1053" s="220"/>
      <c r="B1053" s="220"/>
      <c r="D1053" s="222"/>
      <c r="E1053" s="222"/>
      <c r="F1053" s="223"/>
      <c r="H1053" s="223"/>
      <c r="K1053" s="223"/>
      <c r="M1053" s="223"/>
    </row>
    <row r="1054" customFormat="false" ht="12.75" hidden="false" customHeight="false" outlineLevel="0" collapsed="false">
      <c r="A1054" s="220"/>
      <c r="B1054" s="220"/>
      <c r="D1054" s="222"/>
      <c r="E1054" s="222"/>
      <c r="F1054" s="223"/>
      <c r="H1054" s="223"/>
      <c r="K1054" s="223"/>
      <c r="M1054" s="223"/>
    </row>
    <row r="1055" customFormat="false" ht="12.75" hidden="false" customHeight="false" outlineLevel="0" collapsed="false">
      <c r="A1055" s="220"/>
      <c r="B1055" s="220"/>
      <c r="D1055" s="222"/>
      <c r="E1055" s="222"/>
      <c r="F1055" s="223"/>
      <c r="H1055" s="223"/>
      <c r="K1055" s="223"/>
      <c r="M1055" s="223"/>
    </row>
    <row r="1056" customFormat="false" ht="12.75" hidden="false" customHeight="false" outlineLevel="0" collapsed="false">
      <c r="A1056" s="220"/>
      <c r="B1056" s="220"/>
      <c r="D1056" s="222"/>
      <c r="E1056" s="222"/>
      <c r="F1056" s="223"/>
      <c r="H1056" s="223"/>
      <c r="K1056" s="223"/>
      <c r="M1056" s="223"/>
    </row>
    <row r="1057" customFormat="false" ht="12.75" hidden="false" customHeight="false" outlineLevel="0" collapsed="false">
      <c r="A1057" s="220"/>
      <c r="B1057" s="220"/>
      <c r="D1057" s="222"/>
      <c r="E1057" s="222"/>
      <c r="F1057" s="223"/>
      <c r="H1057" s="223"/>
      <c r="K1057" s="223"/>
      <c r="M1057" s="223"/>
    </row>
    <row r="1058" customFormat="false" ht="12.75" hidden="false" customHeight="false" outlineLevel="0" collapsed="false">
      <c r="A1058" s="220"/>
      <c r="B1058" s="220"/>
      <c r="D1058" s="222"/>
      <c r="E1058" s="222"/>
      <c r="F1058" s="223"/>
      <c r="H1058" s="223"/>
      <c r="K1058" s="223"/>
      <c r="M1058" s="223"/>
    </row>
    <row r="1059" customFormat="false" ht="12.75" hidden="false" customHeight="false" outlineLevel="0" collapsed="false">
      <c r="A1059" s="220"/>
      <c r="B1059" s="220"/>
      <c r="D1059" s="222"/>
      <c r="E1059" s="222"/>
      <c r="F1059" s="223"/>
      <c r="H1059" s="223"/>
      <c r="K1059" s="223"/>
      <c r="M1059" s="223"/>
    </row>
    <row r="1060" customFormat="false" ht="12.75" hidden="false" customHeight="false" outlineLevel="0" collapsed="false">
      <c r="A1060" s="220"/>
      <c r="B1060" s="220"/>
      <c r="D1060" s="222"/>
      <c r="E1060" s="222"/>
      <c r="F1060" s="223"/>
      <c r="H1060" s="223"/>
      <c r="K1060" s="223"/>
      <c r="M1060" s="223"/>
    </row>
    <row r="1061" customFormat="false" ht="12.75" hidden="false" customHeight="false" outlineLevel="0" collapsed="false">
      <c r="A1061" s="220"/>
      <c r="B1061" s="220"/>
      <c r="D1061" s="222"/>
      <c r="E1061" s="222"/>
      <c r="F1061" s="223"/>
      <c r="H1061" s="223"/>
      <c r="K1061" s="223"/>
      <c r="M1061" s="223"/>
    </row>
    <row r="1062" customFormat="false" ht="12.75" hidden="false" customHeight="false" outlineLevel="0" collapsed="false">
      <c r="A1062" s="220"/>
      <c r="B1062" s="220"/>
      <c r="D1062" s="222"/>
      <c r="E1062" s="222"/>
      <c r="F1062" s="223"/>
      <c r="H1062" s="223"/>
      <c r="K1062" s="223"/>
      <c r="M1062" s="223"/>
    </row>
    <row r="1063" customFormat="false" ht="12.75" hidden="false" customHeight="false" outlineLevel="0" collapsed="false">
      <c r="A1063" s="220"/>
      <c r="B1063" s="220"/>
      <c r="D1063" s="222"/>
      <c r="E1063" s="222"/>
      <c r="F1063" s="223"/>
      <c r="H1063" s="223"/>
      <c r="K1063" s="223"/>
      <c r="M1063" s="223"/>
    </row>
    <row r="1064" customFormat="false" ht="12.75" hidden="false" customHeight="false" outlineLevel="0" collapsed="false">
      <c r="A1064" s="220"/>
      <c r="B1064" s="220"/>
      <c r="D1064" s="222"/>
      <c r="E1064" s="222"/>
      <c r="F1064" s="223"/>
      <c r="H1064" s="223"/>
      <c r="K1064" s="223"/>
      <c r="M1064" s="223"/>
    </row>
    <row r="1065" customFormat="false" ht="12.75" hidden="false" customHeight="false" outlineLevel="0" collapsed="false">
      <c r="A1065" s="220"/>
      <c r="B1065" s="220"/>
      <c r="D1065" s="222"/>
      <c r="E1065" s="222"/>
      <c r="F1065" s="223"/>
      <c r="H1065" s="223"/>
      <c r="K1065" s="223"/>
      <c r="M1065" s="223"/>
    </row>
    <row r="1066" customFormat="false" ht="12.75" hidden="false" customHeight="false" outlineLevel="0" collapsed="false">
      <c r="A1066" s="220"/>
      <c r="B1066" s="220"/>
      <c r="D1066" s="222"/>
      <c r="E1066" s="222"/>
      <c r="F1066" s="223"/>
      <c r="H1066" s="223"/>
      <c r="K1066" s="223"/>
      <c r="M1066" s="223"/>
    </row>
    <row r="1067" customFormat="false" ht="12.75" hidden="false" customHeight="false" outlineLevel="0" collapsed="false">
      <c r="A1067" s="220"/>
      <c r="B1067" s="220"/>
      <c r="D1067" s="222"/>
      <c r="E1067" s="222"/>
      <c r="F1067" s="223"/>
      <c r="H1067" s="223"/>
      <c r="K1067" s="223"/>
      <c r="M1067" s="223"/>
    </row>
    <row r="1068" customFormat="false" ht="12.75" hidden="false" customHeight="false" outlineLevel="0" collapsed="false">
      <c r="A1068" s="220"/>
      <c r="B1068" s="220"/>
      <c r="D1068" s="222"/>
      <c r="E1068" s="222"/>
      <c r="F1068" s="223"/>
      <c r="H1068" s="223"/>
      <c r="K1068" s="223"/>
      <c r="M1068" s="223"/>
    </row>
    <row r="1069" customFormat="false" ht="12.75" hidden="false" customHeight="false" outlineLevel="0" collapsed="false">
      <c r="A1069" s="220"/>
      <c r="B1069" s="220"/>
      <c r="D1069" s="222"/>
      <c r="E1069" s="222"/>
      <c r="F1069" s="223"/>
      <c r="H1069" s="223"/>
      <c r="K1069" s="223"/>
      <c r="M1069" s="223"/>
    </row>
    <row r="1070" customFormat="false" ht="12.75" hidden="false" customHeight="false" outlineLevel="0" collapsed="false">
      <c r="A1070" s="220"/>
      <c r="B1070" s="220"/>
      <c r="D1070" s="222"/>
      <c r="E1070" s="222"/>
      <c r="F1070" s="223"/>
      <c r="H1070" s="223"/>
      <c r="K1070" s="223"/>
      <c r="M1070" s="223"/>
    </row>
    <row r="1071" customFormat="false" ht="12.75" hidden="false" customHeight="false" outlineLevel="0" collapsed="false">
      <c r="A1071" s="220"/>
      <c r="B1071" s="220"/>
      <c r="D1071" s="222"/>
      <c r="E1071" s="222"/>
      <c r="F1071" s="223"/>
      <c r="H1071" s="223"/>
      <c r="K1071" s="223"/>
      <c r="M1071" s="223"/>
    </row>
    <row r="1072" customFormat="false" ht="12.75" hidden="false" customHeight="false" outlineLevel="0" collapsed="false">
      <c r="A1072" s="220"/>
      <c r="B1072" s="220"/>
      <c r="D1072" s="222"/>
      <c r="E1072" s="222"/>
      <c r="F1072" s="223"/>
      <c r="H1072" s="223"/>
      <c r="K1072" s="223"/>
      <c r="M1072" s="223"/>
    </row>
    <row r="1073" customFormat="false" ht="12.75" hidden="false" customHeight="false" outlineLevel="0" collapsed="false">
      <c r="A1073" s="220"/>
      <c r="B1073" s="220"/>
      <c r="D1073" s="222"/>
      <c r="E1073" s="222"/>
      <c r="F1073" s="223"/>
      <c r="H1073" s="223"/>
      <c r="K1073" s="223"/>
      <c r="M1073" s="223"/>
    </row>
    <row r="1074" customFormat="false" ht="12.75" hidden="false" customHeight="false" outlineLevel="0" collapsed="false">
      <c r="A1074" s="220"/>
      <c r="B1074" s="220"/>
      <c r="D1074" s="222"/>
      <c r="E1074" s="222"/>
      <c r="F1074" s="223"/>
      <c r="H1074" s="223"/>
      <c r="K1074" s="223"/>
      <c r="M1074" s="223"/>
    </row>
    <row r="1075" customFormat="false" ht="12.75" hidden="false" customHeight="false" outlineLevel="0" collapsed="false">
      <c r="A1075" s="220"/>
      <c r="B1075" s="220"/>
      <c r="D1075" s="222"/>
      <c r="E1075" s="222"/>
      <c r="F1075" s="223"/>
      <c r="H1075" s="223"/>
      <c r="K1075" s="223"/>
      <c r="M1075" s="223"/>
    </row>
    <row r="1076" customFormat="false" ht="12.75" hidden="false" customHeight="false" outlineLevel="0" collapsed="false">
      <c r="A1076" s="220"/>
      <c r="B1076" s="220"/>
      <c r="D1076" s="222"/>
      <c r="E1076" s="222"/>
      <c r="F1076" s="223"/>
      <c r="H1076" s="223"/>
      <c r="K1076" s="223"/>
      <c r="M1076" s="223"/>
    </row>
    <row r="1077" customFormat="false" ht="12.75" hidden="false" customHeight="false" outlineLevel="0" collapsed="false">
      <c r="A1077" s="220"/>
      <c r="B1077" s="220"/>
      <c r="D1077" s="222"/>
      <c r="E1077" s="222"/>
      <c r="F1077" s="223"/>
      <c r="H1077" s="223"/>
      <c r="K1077" s="223"/>
      <c r="M1077" s="223"/>
    </row>
    <row r="1078" customFormat="false" ht="12.75" hidden="false" customHeight="false" outlineLevel="0" collapsed="false">
      <c r="A1078" s="220"/>
      <c r="B1078" s="220"/>
      <c r="D1078" s="222"/>
      <c r="E1078" s="222"/>
      <c r="F1078" s="223"/>
      <c r="H1078" s="223"/>
      <c r="K1078" s="223"/>
      <c r="M1078" s="223"/>
    </row>
    <row r="1079" customFormat="false" ht="12.75" hidden="false" customHeight="false" outlineLevel="0" collapsed="false">
      <c r="A1079" s="220"/>
      <c r="B1079" s="220"/>
      <c r="D1079" s="222"/>
      <c r="E1079" s="222"/>
      <c r="F1079" s="223"/>
      <c r="H1079" s="223"/>
      <c r="K1079" s="223"/>
      <c r="M1079" s="223"/>
    </row>
    <row r="1080" customFormat="false" ht="12.75" hidden="false" customHeight="false" outlineLevel="0" collapsed="false">
      <c r="A1080" s="220"/>
      <c r="B1080" s="220"/>
      <c r="D1080" s="222"/>
      <c r="E1080" s="222"/>
      <c r="F1080" s="223"/>
      <c r="H1080" s="223"/>
      <c r="K1080" s="223"/>
      <c r="M1080" s="223"/>
    </row>
    <row r="1081" customFormat="false" ht="12.75" hidden="false" customHeight="false" outlineLevel="0" collapsed="false">
      <c r="A1081" s="220"/>
      <c r="B1081" s="220"/>
      <c r="D1081" s="222"/>
      <c r="E1081" s="222"/>
      <c r="F1081" s="223"/>
      <c r="H1081" s="223"/>
      <c r="K1081" s="223"/>
      <c r="M1081" s="223"/>
    </row>
    <row r="1082" customFormat="false" ht="12.75" hidden="false" customHeight="false" outlineLevel="0" collapsed="false">
      <c r="A1082" s="220"/>
      <c r="B1082" s="220"/>
      <c r="D1082" s="222"/>
      <c r="E1082" s="222"/>
      <c r="F1082" s="223"/>
      <c r="H1082" s="223"/>
      <c r="K1082" s="223"/>
      <c r="M1082" s="223"/>
    </row>
    <row r="1083" customFormat="false" ht="12.75" hidden="false" customHeight="false" outlineLevel="0" collapsed="false">
      <c r="A1083" s="220"/>
      <c r="B1083" s="220"/>
      <c r="D1083" s="222"/>
      <c r="E1083" s="222"/>
      <c r="F1083" s="223"/>
      <c r="H1083" s="223"/>
      <c r="K1083" s="223"/>
      <c r="M1083" s="223"/>
    </row>
    <row r="1084" customFormat="false" ht="12.75" hidden="false" customHeight="false" outlineLevel="0" collapsed="false">
      <c r="A1084" s="220"/>
      <c r="B1084" s="220"/>
      <c r="D1084" s="222"/>
      <c r="E1084" s="222"/>
      <c r="F1084" s="223"/>
      <c r="H1084" s="223"/>
      <c r="K1084" s="223"/>
      <c r="M1084" s="223"/>
    </row>
    <row r="1085" customFormat="false" ht="12.75" hidden="false" customHeight="false" outlineLevel="0" collapsed="false">
      <c r="A1085" s="220"/>
      <c r="B1085" s="220"/>
      <c r="D1085" s="222"/>
      <c r="E1085" s="222"/>
      <c r="F1085" s="223"/>
      <c r="H1085" s="223"/>
      <c r="K1085" s="223"/>
      <c r="M1085" s="223"/>
    </row>
    <row r="1086" customFormat="false" ht="12.75" hidden="false" customHeight="false" outlineLevel="0" collapsed="false">
      <c r="A1086" s="220"/>
      <c r="B1086" s="220"/>
      <c r="D1086" s="222"/>
      <c r="E1086" s="222"/>
      <c r="F1086" s="223"/>
      <c r="H1086" s="223"/>
      <c r="K1086" s="223"/>
      <c r="M1086" s="223"/>
    </row>
    <row r="1087" customFormat="false" ht="12.75" hidden="false" customHeight="false" outlineLevel="0" collapsed="false">
      <c r="A1087" s="220"/>
      <c r="B1087" s="220"/>
      <c r="D1087" s="222"/>
      <c r="E1087" s="222"/>
      <c r="F1087" s="223"/>
      <c r="H1087" s="223"/>
      <c r="K1087" s="223"/>
      <c r="M1087" s="223"/>
    </row>
    <row r="1088" customFormat="false" ht="12.75" hidden="false" customHeight="false" outlineLevel="0" collapsed="false">
      <c r="A1088" s="220"/>
      <c r="B1088" s="220"/>
      <c r="D1088" s="222"/>
      <c r="E1088" s="222"/>
      <c r="F1088" s="223"/>
      <c r="H1088" s="223"/>
      <c r="K1088" s="223"/>
      <c r="M1088" s="223"/>
    </row>
    <row r="1089" customFormat="false" ht="12.75" hidden="false" customHeight="false" outlineLevel="0" collapsed="false">
      <c r="A1089" s="220"/>
      <c r="B1089" s="220"/>
      <c r="D1089" s="222"/>
      <c r="E1089" s="222"/>
      <c r="F1089" s="223"/>
      <c r="H1089" s="223"/>
      <c r="K1089" s="223"/>
      <c r="M1089" s="223"/>
    </row>
    <row r="1090" customFormat="false" ht="12.75" hidden="false" customHeight="false" outlineLevel="0" collapsed="false">
      <c r="A1090" s="220"/>
      <c r="B1090" s="220"/>
      <c r="D1090" s="222"/>
      <c r="E1090" s="222"/>
      <c r="F1090" s="223"/>
      <c r="H1090" s="223"/>
      <c r="K1090" s="223"/>
      <c r="M1090" s="223"/>
    </row>
    <row r="1091" customFormat="false" ht="12.75" hidden="false" customHeight="false" outlineLevel="0" collapsed="false">
      <c r="A1091" s="220"/>
      <c r="B1091" s="220"/>
      <c r="D1091" s="222"/>
      <c r="E1091" s="222"/>
      <c r="F1091" s="223"/>
      <c r="H1091" s="223"/>
      <c r="K1091" s="223"/>
      <c r="M1091" s="223"/>
    </row>
    <row r="1092" customFormat="false" ht="12.75" hidden="false" customHeight="false" outlineLevel="0" collapsed="false">
      <c r="A1092" s="220"/>
      <c r="B1092" s="220"/>
      <c r="D1092" s="222"/>
      <c r="E1092" s="222"/>
      <c r="F1092" s="223"/>
      <c r="H1092" s="223"/>
      <c r="K1092" s="223"/>
      <c r="M1092" s="223"/>
    </row>
    <row r="1093" customFormat="false" ht="12.75" hidden="false" customHeight="false" outlineLevel="0" collapsed="false">
      <c r="A1093" s="220"/>
      <c r="B1093" s="220"/>
      <c r="D1093" s="222"/>
      <c r="E1093" s="222"/>
      <c r="F1093" s="223"/>
      <c r="H1093" s="223"/>
      <c r="K1093" s="223"/>
      <c r="M1093" s="223"/>
    </row>
    <row r="1094" customFormat="false" ht="12.75" hidden="false" customHeight="false" outlineLevel="0" collapsed="false">
      <c r="A1094" s="220"/>
      <c r="B1094" s="220"/>
      <c r="D1094" s="222"/>
      <c r="E1094" s="222"/>
      <c r="F1094" s="223"/>
      <c r="H1094" s="223"/>
      <c r="K1094" s="223"/>
      <c r="M1094" s="223"/>
    </row>
    <row r="1095" customFormat="false" ht="12.75" hidden="false" customHeight="false" outlineLevel="0" collapsed="false">
      <c r="A1095" s="220"/>
      <c r="B1095" s="220"/>
      <c r="D1095" s="222"/>
      <c r="E1095" s="222"/>
      <c r="F1095" s="223"/>
      <c r="H1095" s="223"/>
      <c r="K1095" s="223"/>
      <c r="M1095" s="223"/>
    </row>
    <row r="1096" customFormat="false" ht="12.75" hidden="false" customHeight="false" outlineLevel="0" collapsed="false">
      <c r="A1096" s="220"/>
      <c r="B1096" s="220"/>
      <c r="D1096" s="222"/>
      <c r="E1096" s="222"/>
      <c r="F1096" s="223"/>
      <c r="H1096" s="223"/>
      <c r="K1096" s="223"/>
      <c r="M1096" s="223"/>
    </row>
    <row r="1097" customFormat="false" ht="12.75" hidden="false" customHeight="false" outlineLevel="0" collapsed="false">
      <c r="A1097" s="220"/>
      <c r="B1097" s="220"/>
      <c r="D1097" s="222"/>
      <c r="E1097" s="222"/>
      <c r="F1097" s="223"/>
      <c r="H1097" s="223"/>
      <c r="K1097" s="223"/>
      <c r="M1097" s="223"/>
    </row>
    <row r="1098" customFormat="false" ht="12.75" hidden="false" customHeight="false" outlineLevel="0" collapsed="false">
      <c r="A1098" s="220"/>
      <c r="B1098" s="220"/>
      <c r="D1098" s="222"/>
      <c r="E1098" s="222"/>
      <c r="F1098" s="223"/>
      <c r="H1098" s="223"/>
      <c r="K1098" s="223"/>
      <c r="M1098" s="223"/>
    </row>
    <row r="1099" customFormat="false" ht="12.75" hidden="false" customHeight="false" outlineLevel="0" collapsed="false">
      <c r="A1099" s="220"/>
      <c r="B1099" s="220"/>
      <c r="D1099" s="222"/>
      <c r="E1099" s="222"/>
      <c r="F1099" s="223"/>
      <c r="H1099" s="223"/>
      <c r="K1099" s="223"/>
      <c r="M1099" s="223"/>
    </row>
    <row r="1100" customFormat="false" ht="12.75" hidden="false" customHeight="false" outlineLevel="0" collapsed="false">
      <c r="A1100" s="220"/>
      <c r="B1100" s="220"/>
      <c r="D1100" s="222"/>
      <c r="E1100" s="222"/>
      <c r="F1100" s="223"/>
      <c r="H1100" s="223"/>
      <c r="K1100" s="223"/>
      <c r="M1100" s="223"/>
    </row>
    <row r="1101" customFormat="false" ht="12.75" hidden="false" customHeight="false" outlineLevel="0" collapsed="false">
      <c r="A1101" s="220"/>
      <c r="B1101" s="220"/>
      <c r="D1101" s="222"/>
      <c r="E1101" s="222"/>
      <c r="F1101" s="223"/>
      <c r="H1101" s="223"/>
      <c r="K1101" s="223"/>
      <c r="M1101" s="223"/>
    </row>
    <row r="1102" customFormat="false" ht="12.75" hidden="false" customHeight="false" outlineLevel="0" collapsed="false">
      <c r="A1102" s="220"/>
      <c r="B1102" s="220"/>
      <c r="D1102" s="222"/>
      <c r="E1102" s="222"/>
      <c r="F1102" s="223"/>
      <c r="H1102" s="223"/>
      <c r="K1102" s="223"/>
      <c r="M1102" s="223"/>
    </row>
    <row r="1103" customFormat="false" ht="12.75" hidden="false" customHeight="false" outlineLevel="0" collapsed="false">
      <c r="A1103" s="220"/>
      <c r="B1103" s="220"/>
      <c r="D1103" s="222"/>
      <c r="E1103" s="222"/>
      <c r="F1103" s="223"/>
      <c r="H1103" s="223"/>
      <c r="K1103" s="223"/>
      <c r="M1103" s="223"/>
    </row>
    <row r="1104" customFormat="false" ht="12.75" hidden="false" customHeight="false" outlineLevel="0" collapsed="false">
      <c r="A1104" s="220"/>
      <c r="B1104" s="220"/>
      <c r="D1104" s="222"/>
      <c r="E1104" s="222"/>
      <c r="F1104" s="223"/>
      <c r="H1104" s="223"/>
      <c r="K1104" s="223"/>
      <c r="M1104" s="223"/>
    </row>
    <row r="1105" customFormat="false" ht="12.75" hidden="false" customHeight="false" outlineLevel="0" collapsed="false">
      <c r="A1105" s="220"/>
      <c r="B1105" s="220"/>
      <c r="D1105" s="222"/>
      <c r="E1105" s="222"/>
      <c r="F1105" s="223"/>
      <c r="H1105" s="223"/>
      <c r="K1105" s="223"/>
      <c r="M1105" s="223"/>
    </row>
    <row r="1106" customFormat="false" ht="12.75" hidden="false" customHeight="false" outlineLevel="0" collapsed="false">
      <c r="A1106" s="220"/>
      <c r="B1106" s="220"/>
      <c r="D1106" s="222"/>
      <c r="E1106" s="222"/>
      <c r="F1106" s="223"/>
      <c r="H1106" s="223"/>
      <c r="K1106" s="223"/>
      <c r="M1106" s="223"/>
    </row>
    <row r="1107" customFormat="false" ht="12.75" hidden="false" customHeight="false" outlineLevel="0" collapsed="false">
      <c r="A1107" s="220"/>
      <c r="B1107" s="220"/>
      <c r="D1107" s="222"/>
      <c r="E1107" s="222"/>
      <c r="F1107" s="223"/>
      <c r="H1107" s="223"/>
      <c r="K1107" s="223"/>
      <c r="M1107" s="223"/>
    </row>
    <row r="1108" customFormat="false" ht="12.75" hidden="false" customHeight="false" outlineLevel="0" collapsed="false">
      <c r="A1108" s="220"/>
      <c r="B1108" s="220"/>
      <c r="D1108" s="222"/>
      <c r="E1108" s="222"/>
      <c r="F1108" s="223"/>
      <c r="H1108" s="223"/>
      <c r="K1108" s="223"/>
      <c r="M1108" s="223"/>
    </row>
    <row r="1109" customFormat="false" ht="12.75" hidden="false" customHeight="false" outlineLevel="0" collapsed="false">
      <c r="A1109" s="220"/>
      <c r="B1109" s="220"/>
      <c r="D1109" s="222"/>
      <c r="E1109" s="222"/>
      <c r="F1109" s="223"/>
      <c r="H1109" s="223"/>
      <c r="K1109" s="223"/>
      <c r="M1109" s="223"/>
    </row>
    <row r="1110" customFormat="false" ht="12.75" hidden="false" customHeight="false" outlineLevel="0" collapsed="false">
      <c r="A1110" s="220"/>
      <c r="B1110" s="220"/>
      <c r="D1110" s="222"/>
      <c r="E1110" s="222"/>
      <c r="F1110" s="223"/>
      <c r="H1110" s="223"/>
      <c r="K1110" s="223"/>
      <c r="M1110" s="223"/>
    </row>
    <row r="1111" customFormat="false" ht="12.75" hidden="false" customHeight="false" outlineLevel="0" collapsed="false">
      <c r="A1111" s="220"/>
      <c r="B1111" s="220"/>
      <c r="D1111" s="222"/>
      <c r="E1111" s="222"/>
      <c r="F1111" s="223"/>
      <c r="H1111" s="223"/>
      <c r="K1111" s="223"/>
      <c r="M1111" s="223"/>
    </row>
    <row r="1112" customFormat="false" ht="12.75" hidden="false" customHeight="false" outlineLevel="0" collapsed="false">
      <c r="A1112" s="220"/>
      <c r="B1112" s="220"/>
      <c r="D1112" s="222"/>
      <c r="E1112" s="222"/>
      <c r="F1112" s="223"/>
      <c r="H1112" s="223"/>
      <c r="K1112" s="223"/>
      <c r="M1112" s="223"/>
    </row>
    <row r="1113" customFormat="false" ht="12.75" hidden="false" customHeight="false" outlineLevel="0" collapsed="false">
      <c r="A1113" s="220"/>
      <c r="B1113" s="220"/>
      <c r="D1113" s="222"/>
      <c r="E1113" s="222"/>
      <c r="F1113" s="223"/>
      <c r="H1113" s="223"/>
      <c r="K1113" s="223"/>
      <c r="M1113" s="223"/>
    </row>
    <row r="1114" customFormat="false" ht="12.75" hidden="false" customHeight="false" outlineLevel="0" collapsed="false">
      <c r="A1114" s="220"/>
      <c r="B1114" s="220"/>
      <c r="D1114" s="222"/>
      <c r="E1114" s="222"/>
      <c r="F1114" s="223"/>
      <c r="H1114" s="223"/>
      <c r="K1114" s="223"/>
      <c r="M1114" s="223"/>
    </row>
    <row r="1115" customFormat="false" ht="12.75" hidden="false" customHeight="false" outlineLevel="0" collapsed="false">
      <c r="A1115" s="220"/>
      <c r="B1115" s="220"/>
      <c r="D1115" s="222"/>
      <c r="E1115" s="222"/>
      <c r="F1115" s="223"/>
      <c r="H1115" s="223"/>
      <c r="K1115" s="223"/>
      <c r="M1115" s="223"/>
    </row>
    <row r="1116" customFormat="false" ht="12.75" hidden="false" customHeight="false" outlineLevel="0" collapsed="false">
      <c r="A1116" s="220"/>
      <c r="B1116" s="220"/>
      <c r="D1116" s="222"/>
      <c r="E1116" s="222"/>
      <c r="F1116" s="223"/>
      <c r="H1116" s="223"/>
      <c r="K1116" s="223"/>
      <c r="M1116" s="223"/>
    </row>
    <row r="1117" customFormat="false" ht="12.75" hidden="false" customHeight="false" outlineLevel="0" collapsed="false">
      <c r="A1117" s="220"/>
      <c r="B1117" s="220"/>
      <c r="D1117" s="222"/>
      <c r="E1117" s="222"/>
      <c r="F1117" s="223"/>
      <c r="H1117" s="223"/>
      <c r="K1117" s="223"/>
      <c r="M1117" s="223"/>
    </row>
    <row r="1118" customFormat="false" ht="12.75" hidden="false" customHeight="false" outlineLevel="0" collapsed="false">
      <c r="A1118" s="220"/>
      <c r="B1118" s="220"/>
      <c r="D1118" s="222"/>
      <c r="E1118" s="222"/>
      <c r="F1118" s="223"/>
      <c r="H1118" s="223"/>
      <c r="K1118" s="223"/>
      <c r="M1118" s="223"/>
    </row>
    <row r="1119" customFormat="false" ht="12.75" hidden="false" customHeight="false" outlineLevel="0" collapsed="false">
      <c r="A1119" s="220"/>
      <c r="B1119" s="220"/>
      <c r="D1119" s="222"/>
      <c r="E1119" s="222"/>
      <c r="F1119" s="223"/>
      <c r="H1119" s="223"/>
      <c r="K1119" s="223"/>
      <c r="M1119" s="223"/>
    </row>
    <row r="1120" customFormat="false" ht="12.75" hidden="false" customHeight="false" outlineLevel="0" collapsed="false">
      <c r="A1120" s="220"/>
      <c r="B1120" s="220"/>
      <c r="D1120" s="222"/>
      <c r="E1120" s="222"/>
      <c r="F1120" s="223"/>
      <c r="H1120" s="223"/>
      <c r="K1120" s="223"/>
      <c r="M1120" s="223"/>
    </row>
    <row r="1121" customFormat="false" ht="12.75" hidden="false" customHeight="false" outlineLevel="0" collapsed="false">
      <c r="A1121" s="220"/>
      <c r="B1121" s="220"/>
      <c r="D1121" s="222"/>
      <c r="E1121" s="222"/>
      <c r="F1121" s="223"/>
      <c r="H1121" s="223"/>
      <c r="K1121" s="223"/>
      <c r="M1121" s="223"/>
    </row>
    <row r="1122" customFormat="false" ht="12.75" hidden="false" customHeight="false" outlineLevel="0" collapsed="false">
      <c r="A1122" s="220"/>
      <c r="B1122" s="220"/>
      <c r="D1122" s="222"/>
      <c r="E1122" s="222"/>
      <c r="F1122" s="223"/>
      <c r="H1122" s="223"/>
      <c r="K1122" s="223"/>
      <c r="M1122" s="223"/>
    </row>
    <row r="1123" customFormat="false" ht="12.75" hidden="false" customHeight="false" outlineLevel="0" collapsed="false">
      <c r="A1123" s="220"/>
      <c r="B1123" s="220"/>
      <c r="D1123" s="222"/>
      <c r="E1123" s="222"/>
      <c r="F1123" s="223"/>
      <c r="H1123" s="223"/>
      <c r="K1123" s="223"/>
      <c r="M1123" s="223"/>
    </row>
    <row r="1124" customFormat="false" ht="12.75" hidden="false" customHeight="false" outlineLevel="0" collapsed="false">
      <c r="A1124" s="220"/>
      <c r="B1124" s="220"/>
      <c r="D1124" s="222"/>
      <c r="E1124" s="222"/>
      <c r="F1124" s="223"/>
      <c r="H1124" s="223"/>
      <c r="K1124" s="223"/>
      <c r="M1124" s="223"/>
    </row>
    <row r="1125" customFormat="false" ht="12.75" hidden="false" customHeight="false" outlineLevel="0" collapsed="false">
      <c r="A1125" s="220"/>
      <c r="B1125" s="220"/>
      <c r="D1125" s="222"/>
      <c r="E1125" s="222"/>
      <c r="F1125" s="223"/>
      <c r="H1125" s="223"/>
      <c r="K1125" s="223"/>
      <c r="M1125" s="223"/>
    </row>
    <row r="1126" customFormat="false" ht="12.75" hidden="false" customHeight="false" outlineLevel="0" collapsed="false">
      <c r="A1126" s="220"/>
      <c r="B1126" s="220"/>
      <c r="D1126" s="222"/>
      <c r="E1126" s="222"/>
      <c r="F1126" s="223"/>
      <c r="H1126" s="223"/>
      <c r="K1126" s="223"/>
      <c r="M1126" s="223"/>
    </row>
    <row r="1127" customFormat="false" ht="12.75" hidden="false" customHeight="false" outlineLevel="0" collapsed="false">
      <c r="A1127" s="220"/>
      <c r="B1127" s="220"/>
      <c r="D1127" s="222"/>
      <c r="E1127" s="222"/>
      <c r="F1127" s="223"/>
      <c r="H1127" s="223"/>
      <c r="K1127" s="223"/>
      <c r="M1127" s="223"/>
    </row>
    <row r="1128" customFormat="false" ht="12.75" hidden="false" customHeight="false" outlineLevel="0" collapsed="false">
      <c r="A1128" s="220"/>
      <c r="B1128" s="220"/>
      <c r="D1128" s="222"/>
      <c r="E1128" s="222"/>
      <c r="F1128" s="223"/>
      <c r="H1128" s="223"/>
      <c r="K1128" s="223"/>
      <c r="M1128" s="223"/>
    </row>
    <row r="1129" customFormat="false" ht="12.75" hidden="false" customHeight="false" outlineLevel="0" collapsed="false">
      <c r="A1129" s="220"/>
      <c r="B1129" s="220"/>
      <c r="D1129" s="222"/>
      <c r="E1129" s="222"/>
      <c r="F1129" s="223"/>
      <c r="H1129" s="223"/>
      <c r="K1129" s="223"/>
      <c r="M1129" s="223"/>
    </row>
    <row r="1130" customFormat="false" ht="12.75" hidden="false" customHeight="false" outlineLevel="0" collapsed="false">
      <c r="A1130" s="220"/>
      <c r="B1130" s="220"/>
      <c r="D1130" s="222"/>
      <c r="E1130" s="222"/>
      <c r="F1130" s="223"/>
      <c r="H1130" s="223"/>
      <c r="K1130" s="223"/>
      <c r="M1130" s="223"/>
    </row>
    <row r="1131" customFormat="false" ht="12.75" hidden="false" customHeight="false" outlineLevel="0" collapsed="false">
      <c r="A1131" s="220"/>
      <c r="B1131" s="220"/>
      <c r="D1131" s="222"/>
      <c r="E1131" s="222"/>
      <c r="F1131" s="223"/>
      <c r="H1131" s="223"/>
      <c r="K1131" s="223"/>
      <c r="M1131" s="223"/>
    </row>
    <row r="1132" customFormat="false" ht="12.75" hidden="false" customHeight="false" outlineLevel="0" collapsed="false">
      <c r="A1132" s="220"/>
      <c r="B1132" s="220"/>
      <c r="D1132" s="222"/>
      <c r="E1132" s="222"/>
      <c r="F1132" s="223"/>
      <c r="H1132" s="223"/>
      <c r="K1132" s="223"/>
      <c r="M1132" s="223"/>
    </row>
    <row r="1133" customFormat="false" ht="12.75" hidden="false" customHeight="false" outlineLevel="0" collapsed="false">
      <c r="A1133" s="220"/>
      <c r="B1133" s="220"/>
      <c r="D1133" s="222"/>
      <c r="E1133" s="222"/>
      <c r="F1133" s="223"/>
      <c r="H1133" s="223"/>
      <c r="K1133" s="223"/>
      <c r="M1133" s="223"/>
    </row>
    <row r="1134" customFormat="false" ht="12.75" hidden="false" customHeight="false" outlineLevel="0" collapsed="false">
      <c r="A1134" s="220"/>
      <c r="B1134" s="220"/>
      <c r="D1134" s="222"/>
      <c r="E1134" s="222"/>
      <c r="F1134" s="223"/>
      <c r="H1134" s="223"/>
      <c r="K1134" s="223"/>
      <c r="M1134" s="223"/>
    </row>
    <row r="1135" customFormat="false" ht="12.75" hidden="false" customHeight="false" outlineLevel="0" collapsed="false">
      <c r="A1135" s="220"/>
      <c r="B1135" s="220"/>
      <c r="D1135" s="222"/>
      <c r="E1135" s="222"/>
      <c r="F1135" s="223"/>
      <c r="H1135" s="223"/>
      <c r="K1135" s="223"/>
      <c r="M1135" s="223"/>
    </row>
    <row r="1136" customFormat="false" ht="12.75" hidden="false" customHeight="false" outlineLevel="0" collapsed="false">
      <c r="A1136" s="220"/>
      <c r="B1136" s="220"/>
      <c r="D1136" s="222"/>
      <c r="E1136" s="222"/>
      <c r="F1136" s="223"/>
      <c r="H1136" s="223"/>
      <c r="K1136" s="223"/>
      <c r="M1136" s="223"/>
    </row>
    <row r="1137" customFormat="false" ht="12.75" hidden="false" customHeight="false" outlineLevel="0" collapsed="false">
      <c r="A1137" s="220"/>
      <c r="B1137" s="220"/>
      <c r="D1137" s="222"/>
      <c r="E1137" s="222"/>
      <c r="F1137" s="223"/>
      <c r="H1137" s="223"/>
      <c r="K1137" s="223"/>
      <c r="M1137" s="223"/>
    </row>
    <row r="1138" customFormat="false" ht="12.75" hidden="false" customHeight="false" outlineLevel="0" collapsed="false">
      <c r="A1138" s="220"/>
      <c r="B1138" s="220"/>
      <c r="D1138" s="222"/>
      <c r="E1138" s="222"/>
      <c r="F1138" s="223"/>
      <c r="H1138" s="223"/>
      <c r="K1138" s="223"/>
      <c r="M1138" s="223"/>
    </row>
    <row r="1139" customFormat="false" ht="12.75" hidden="false" customHeight="false" outlineLevel="0" collapsed="false">
      <c r="A1139" s="220"/>
      <c r="B1139" s="220"/>
      <c r="D1139" s="222"/>
      <c r="E1139" s="222"/>
      <c r="F1139" s="223"/>
      <c r="H1139" s="223"/>
      <c r="K1139" s="223"/>
      <c r="M1139" s="223"/>
    </row>
    <row r="1140" customFormat="false" ht="12.75" hidden="false" customHeight="false" outlineLevel="0" collapsed="false">
      <c r="A1140" s="220"/>
      <c r="B1140" s="220"/>
      <c r="D1140" s="222"/>
      <c r="E1140" s="222"/>
      <c r="F1140" s="223"/>
      <c r="H1140" s="223"/>
      <c r="K1140" s="223"/>
      <c r="M1140" s="223"/>
    </row>
    <row r="1141" customFormat="false" ht="12.75" hidden="false" customHeight="false" outlineLevel="0" collapsed="false">
      <c r="A1141" s="220"/>
      <c r="B1141" s="220"/>
      <c r="D1141" s="222"/>
      <c r="E1141" s="222"/>
      <c r="F1141" s="223"/>
      <c r="H1141" s="223"/>
      <c r="K1141" s="223"/>
      <c r="M1141" s="223"/>
    </row>
    <row r="1142" customFormat="false" ht="12.75" hidden="false" customHeight="false" outlineLevel="0" collapsed="false">
      <c r="A1142" s="220"/>
      <c r="B1142" s="220"/>
      <c r="D1142" s="222"/>
      <c r="E1142" s="222"/>
      <c r="F1142" s="223"/>
      <c r="H1142" s="223"/>
      <c r="K1142" s="223"/>
      <c r="M1142" s="223"/>
    </row>
    <row r="1143" customFormat="false" ht="12.75" hidden="false" customHeight="false" outlineLevel="0" collapsed="false">
      <c r="A1143" s="220"/>
      <c r="B1143" s="220"/>
      <c r="D1143" s="222"/>
      <c r="E1143" s="222"/>
      <c r="F1143" s="223"/>
      <c r="H1143" s="223"/>
      <c r="K1143" s="223"/>
      <c r="M1143" s="223"/>
    </row>
    <row r="1144" customFormat="false" ht="12.75" hidden="false" customHeight="false" outlineLevel="0" collapsed="false">
      <c r="A1144" s="220"/>
      <c r="B1144" s="220"/>
      <c r="D1144" s="222"/>
      <c r="E1144" s="222"/>
      <c r="F1144" s="223"/>
      <c r="H1144" s="223"/>
      <c r="K1144" s="223"/>
      <c r="M1144" s="223"/>
    </row>
    <row r="1145" customFormat="false" ht="12.75" hidden="false" customHeight="false" outlineLevel="0" collapsed="false">
      <c r="A1145" s="220"/>
      <c r="B1145" s="220"/>
      <c r="D1145" s="222"/>
      <c r="E1145" s="222"/>
      <c r="F1145" s="223"/>
      <c r="H1145" s="223"/>
      <c r="K1145" s="223"/>
      <c r="M1145" s="223"/>
    </row>
    <row r="1146" customFormat="false" ht="12.75" hidden="false" customHeight="false" outlineLevel="0" collapsed="false">
      <c r="A1146" s="220"/>
      <c r="B1146" s="220"/>
      <c r="D1146" s="222"/>
      <c r="E1146" s="222"/>
      <c r="F1146" s="223"/>
      <c r="H1146" s="223"/>
      <c r="K1146" s="223"/>
      <c r="M1146" s="223"/>
    </row>
    <row r="1147" customFormat="false" ht="12.75" hidden="false" customHeight="false" outlineLevel="0" collapsed="false">
      <c r="A1147" s="220"/>
      <c r="B1147" s="220"/>
      <c r="D1147" s="222"/>
      <c r="E1147" s="222"/>
      <c r="F1147" s="223"/>
      <c r="H1147" s="223"/>
      <c r="K1147" s="223"/>
      <c r="M1147" s="223"/>
    </row>
    <row r="1148" customFormat="false" ht="12.75" hidden="false" customHeight="false" outlineLevel="0" collapsed="false">
      <c r="A1148" s="220"/>
      <c r="B1148" s="220"/>
      <c r="D1148" s="222"/>
      <c r="E1148" s="222"/>
      <c r="F1148" s="223"/>
      <c r="H1148" s="223"/>
      <c r="K1148" s="223"/>
      <c r="M1148" s="223"/>
    </row>
    <row r="1149" customFormat="false" ht="12.75" hidden="false" customHeight="false" outlineLevel="0" collapsed="false">
      <c r="A1149" s="220"/>
      <c r="B1149" s="220"/>
      <c r="D1149" s="222"/>
      <c r="E1149" s="222"/>
      <c r="F1149" s="223"/>
      <c r="H1149" s="223"/>
      <c r="K1149" s="223"/>
      <c r="M1149" s="223"/>
    </row>
    <row r="1150" customFormat="false" ht="12.75" hidden="false" customHeight="false" outlineLevel="0" collapsed="false">
      <c r="A1150" s="220"/>
      <c r="B1150" s="220"/>
      <c r="D1150" s="222"/>
      <c r="E1150" s="222"/>
      <c r="F1150" s="223"/>
      <c r="H1150" s="223"/>
      <c r="K1150" s="223"/>
      <c r="M1150" s="223"/>
    </row>
    <row r="1151" customFormat="false" ht="12.75" hidden="false" customHeight="false" outlineLevel="0" collapsed="false">
      <c r="A1151" s="220"/>
      <c r="B1151" s="220"/>
      <c r="D1151" s="222"/>
      <c r="E1151" s="222"/>
      <c r="F1151" s="223"/>
      <c r="H1151" s="223"/>
      <c r="K1151" s="223"/>
      <c r="M1151" s="223"/>
    </row>
    <row r="1152" customFormat="false" ht="12.75" hidden="false" customHeight="false" outlineLevel="0" collapsed="false">
      <c r="A1152" s="220"/>
      <c r="B1152" s="220"/>
      <c r="D1152" s="222"/>
      <c r="E1152" s="222"/>
      <c r="F1152" s="223"/>
      <c r="H1152" s="223"/>
      <c r="K1152" s="223"/>
      <c r="M1152" s="223"/>
    </row>
    <row r="1153" customFormat="false" ht="12.75" hidden="false" customHeight="false" outlineLevel="0" collapsed="false">
      <c r="A1153" s="220"/>
      <c r="B1153" s="220"/>
      <c r="D1153" s="222"/>
      <c r="E1153" s="222"/>
      <c r="F1153" s="223"/>
      <c r="H1153" s="223"/>
      <c r="K1153" s="223"/>
      <c r="M1153" s="223"/>
    </row>
    <row r="1154" customFormat="false" ht="12.75" hidden="false" customHeight="false" outlineLevel="0" collapsed="false">
      <c r="A1154" s="220"/>
      <c r="B1154" s="220"/>
      <c r="D1154" s="222"/>
      <c r="E1154" s="222"/>
      <c r="F1154" s="223"/>
      <c r="H1154" s="223"/>
      <c r="K1154" s="223"/>
      <c r="M1154" s="223"/>
    </row>
    <row r="1155" customFormat="false" ht="12.75" hidden="false" customHeight="false" outlineLevel="0" collapsed="false">
      <c r="A1155" s="220"/>
      <c r="B1155" s="220"/>
      <c r="D1155" s="222"/>
      <c r="E1155" s="222"/>
      <c r="F1155" s="223"/>
      <c r="H1155" s="223"/>
      <c r="K1155" s="223"/>
      <c r="M1155" s="223"/>
    </row>
    <row r="1156" customFormat="false" ht="12.75" hidden="false" customHeight="false" outlineLevel="0" collapsed="false">
      <c r="A1156" s="220"/>
      <c r="B1156" s="220"/>
      <c r="D1156" s="222"/>
      <c r="E1156" s="222"/>
      <c r="F1156" s="223"/>
      <c r="H1156" s="223"/>
      <c r="K1156" s="223"/>
      <c r="M1156" s="223"/>
    </row>
    <row r="1157" customFormat="false" ht="12.75" hidden="false" customHeight="false" outlineLevel="0" collapsed="false">
      <c r="A1157" s="220"/>
      <c r="B1157" s="220"/>
      <c r="D1157" s="222"/>
      <c r="E1157" s="222"/>
      <c r="F1157" s="223"/>
      <c r="H1157" s="223"/>
      <c r="K1157" s="223"/>
      <c r="M1157" s="223"/>
    </row>
    <row r="1158" customFormat="false" ht="12.75" hidden="false" customHeight="false" outlineLevel="0" collapsed="false">
      <c r="A1158" s="220"/>
      <c r="B1158" s="220"/>
      <c r="D1158" s="222"/>
      <c r="E1158" s="222"/>
      <c r="F1158" s="223"/>
      <c r="H1158" s="223"/>
      <c r="K1158" s="223"/>
      <c r="M1158" s="223"/>
    </row>
    <row r="1159" customFormat="false" ht="12.75" hidden="false" customHeight="false" outlineLevel="0" collapsed="false">
      <c r="A1159" s="220"/>
      <c r="B1159" s="220"/>
      <c r="D1159" s="222"/>
      <c r="E1159" s="222"/>
      <c r="F1159" s="223"/>
      <c r="H1159" s="223"/>
      <c r="K1159" s="223"/>
      <c r="M1159" s="223"/>
    </row>
    <row r="1160" customFormat="false" ht="12.75" hidden="false" customHeight="false" outlineLevel="0" collapsed="false">
      <c r="A1160" s="220"/>
      <c r="B1160" s="220"/>
      <c r="D1160" s="222"/>
      <c r="E1160" s="222"/>
      <c r="F1160" s="223"/>
      <c r="H1160" s="223"/>
      <c r="K1160" s="223"/>
      <c r="M1160" s="223"/>
    </row>
    <row r="1161" customFormat="false" ht="12.75" hidden="false" customHeight="false" outlineLevel="0" collapsed="false">
      <c r="A1161" s="220"/>
      <c r="B1161" s="220"/>
      <c r="D1161" s="222"/>
      <c r="E1161" s="222"/>
      <c r="F1161" s="223"/>
      <c r="H1161" s="223"/>
      <c r="K1161" s="223"/>
      <c r="M1161" s="223"/>
    </row>
    <row r="1162" customFormat="false" ht="12.75" hidden="false" customHeight="false" outlineLevel="0" collapsed="false">
      <c r="A1162" s="220"/>
      <c r="B1162" s="220"/>
      <c r="D1162" s="222"/>
      <c r="E1162" s="222"/>
      <c r="F1162" s="223"/>
      <c r="H1162" s="223"/>
      <c r="K1162" s="223"/>
      <c r="M1162" s="223"/>
    </row>
    <row r="1163" customFormat="false" ht="12.75" hidden="false" customHeight="false" outlineLevel="0" collapsed="false">
      <c r="A1163" s="220"/>
      <c r="B1163" s="220"/>
      <c r="D1163" s="222"/>
      <c r="E1163" s="222"/>
      <c r="F1163" s="223"/>
      <c r="H1163" s="223"/>
      <c r="K1163" s="223"/>
      <c r="M1163" s="223"/>
    </row>
    <row r="1164" customFormat="false" ht="12.75" hidden="false" customHeight="false" outlineLevel="0" collapsed="false">
      <c r="A1164" s="220"/>
      <c r="B1164" s="220"/>
      <c r="D1164" s="222"/>
      <c r="E1164" s="222"/>
      <c r="F1164" s="223"/>
      <c r="H1164" s="223"/>
      <c r="K1164" s="223"/>
      <c r="M1164" s="223"/>
    </row>
    <row r="1165" customFormat="false" ht="12.75" hidden="false" customHeight="false" outlineLevel="0" collapsed="false">
      <c r="A1165" s="220"/>
      <c r="B1165" s="220"/>
      <c r="D1165" s="222"/>
      <c r="E1165" s="222"/>
      <c r="F1165" s="223"/>
      <c r="H1165" s="223"/>
      <c r="K1165" s="223"/>
      <c r="M1165" s="223"/>
    </row>
    <row r="1166" customFormat="false" ht="12.75" hidden="false" customHeight="false" outlineLevel="0" collapsed="false">
      <c r="A1166" s="220"/>
      <c r="B1166" s="220"/>
      <c r="D1166" s="222"/>
      <c r="E1166" s="222"/>
      <c r="F1166" s="223"/>
      <c r="H1166" s="223"/>
      <c r="K1166" s="223"/>
      <c r="M1166" s="223"/>
    </row>
    <row r="1167" customFormat="false" ht="12.75" hidden="false" customHeight="false" outlineLevel="0" collapsed="false">
      <c r="A1167" s="220"/>
      <c r="B1167" s="220"/>
      <c r="D1167" s="222"/>
      <c r="E1167" s="222"/>
      <c r="F1167" s="223"/>
      <c r="H1167" s="223"/>
      <c r="K1167" s="223"/>
      <c r="M1167" s="223"/>
    </row>
    <row r="1168" customFormat="false" ht="12.75" hidden="false" customHeight="false" outlineLevel="0" collapsed="false">
      <c r="A1168" s="220"/>
      <c r="B1168" s="220"/>
      <c r="D1168" s="222"/>
      <c r="E1168" s="222"/>
      <c r="F1168" s="223"/>
      <c r="H1168" s="223"/>
      <c r="K1168" s="223"/>
      <c r="M1168" s="223"/>
    </row>
    <row r="1169" customFormat="false" ht="12.75" hidden="false" customHeight="false" outlineLevel="0" collapsed="false">
      <c r="A1169" s="220"/>
      <c r="B1169" s="220"/>
      <c r="D1169" s="222"/>
      <c r="E1169" s="222"/>
      <c r="F1169" s="223"/>
      <c r="H1169" s="223"/>
      <c r="K1169" s="223"/>
      <c r="M1169" s="223"/>
    </row>
    <row r="1170" customFormat="false" ht="12.75" hidden="false" customHeight="false" outlineLevel="0" collapsed="false">
      <c r="A1170" s="220"/>
      <c r="B1170" s="220"/>
      <c r="D1170" s="222"/>
      <c r="E1170" s="222"/>
      <c r="F1170" s="223"/>
      <c r="H1170" s="223"/>
      <c r="K1170" s="223"/>
      <c r="M1170" s="223"/>
    </row>
    <row r="1171" customFormat="false" ht="12.75" hidden="false" customHeight="false" outlineLevel="0" collapsed="false">
      <c r="A1171" s="220"/>
      <c r="B1171" s="220"/>
      <c r="D1171" s="222"/>
      <c r="E1171" s="222"/>
      <c r="F1171" s="223"/>
      <c r="H1171" s="223"/>
      <c r="K1171" s="223"/>
      <c r="M1171" s="223"/>
    </row>
    <row r="1172" customFormat="false" ht="12.75" hidden="false" customHeight="false" outlineLevel="0" collapsed="false">
      <c r="A1172" s="220"/>
      <c r="B1172" s="220"/>
      <c r="D1172" s="222"/>
      <c r="E1172" s="222"/>
      <c r="F1172" s="223"/>
      <c r="H1172" s="223"/>
      <c r="K1172" s="223"/>
      <c r="M1172" s="223"/>
    </row>
    <row r="1173" customFormat="false" ht="12.75" hidden="false" customHeight="false" outlineLevel="0" collapsed="false">
      <c r="A1173" s="220"/>
      <c r="B1173" s="220"/>
      <c r="D1173" s="222"/>
      <c r="E1173" s="222"/>
      <c r="F1173" s="223"/>
      <c r="H1173" s="223"/>
      <c r="K1173" s="223"/>
      <c r="M1173" s="223"/>
    </row>
    <row r="1174" customFormat="false" ht="12.75" hidden="false" customHeight="false" outlineLevel="0" collapsed="false">
      <c r="A1174" s="220"/>
      <c r="B1174" s="220"/>
      <c r="D1174" s="222"/>
      <c r="E1174" s="222"/>
      <c r="F1174" s="223"/>
      <c r="H1174" s="223"/>
      <c r="K1174" s="223"/>
      <c r="M1174" s="223"/>
    </row>
    <row r="1175" customFormat="false" ht="12.75" hidden="false" customHeight="false" outlineLevel="0" collapsed="false">
      <c r="A1175" s="220"/>
      <c r="B1175" s="220"/>
      <c r="D1175" s="222"/>
      <c r="E1175" s="222"/>
      <c r="F1175" s="223"/>
      <c r="H1175" s="223"/>
      <c r="K1175" s="223"/>
      <c r="M1175" s="223"/>
    </row>
    <row r="1176" customFormat="false" ht="12.75" hidden="false" customHeight="false" outlineLevel="0" collapsed="false">
      <c r="A1176" s="220"/>
      <c r="B1176" s="220"/>
      <c r="D1176" s="222"/>
      <c r="E1176" s="222"/>
      <c r="F1176" s="223"/>
      <c r="H1176" s="223"/>
      <c r="K1176" s="223"/>
      <c r="M1176" s="223"/>
    </row>
    <row r="1177" customFormat="false" ht="12.75" hidden="false" customHeight="false" outlineLevel="0" collapsed="false">
      <c r="A1177" s="220"/>
      <c r="B1177" s="220"/>
      <c r="D1177" s="222"/>
      <c r="E1177" s="222"/>
      <c r="F1177" s="223"/>
      <c r="H1177" s="223"/>
      <c r="K1177" s="223"/>
      <c r="M1177" s="223"/>
    </row>
    <row r="1178" customFormat="false" ht="12.75" hidden="false" customHeight="false" outlineLevel="0" collapsed="false">
      <c r="A1178" s="220"/>
      <c r="B1178" s="220"/>
      <c r="D1178" s="222"/>
      <c r="E1178" s="222"/>
      <c r="F1178" s="223"/>
      <c r="H1178" s="223"/>
      <c r="K1178" s="223"/>
      <c r="M1178" s="223"/>
    </row>
    <row r="1179" customFormat="false" ht="12.75" hidden="false" customHeight="false" outlineLevel="0" collapsed="false">
      <c r="A1179" s="220"/>
      <c r="B1179" s="220"/>
      <c r="D1179" s="222"/>
      <c r="E1179" s="222"/>
      <c r="F1179" s="223"/>
      <c r="H1179" s="223"/>
      <c r="K1179" s="223"/>
      <c r="M1179" s="223"/>
    </row>
    <row r="1180" customFormat="false" ht="12.75" hidden="false" customHeight="false" outlineLevel="0" collapsed="false">
      <c r="A1180" s="220"/>
      <c r="B1180" s="220"/>
      <c r="D1180" s="222"/>
      <c r="E1180" s="222"/>
      <c r="F1180" s="223"/>
      <c r="H1180" s="223"/>
      <c r="K1180" s="223"/>
      <c r="M1180" s="223"/>
    </row>
    <row r="1181" customFormat="false" ht="12.75" hidden="false" customHeight="false" outlineLevel="0" collapsed="false">
      <c r="A1181" s="220"/>
      <c r="B1181" s="220"/>
      <c r="D1181" s="222"/>
      <c r="E1181" s="222"/>
      <c r="F1181" s="223"/>
      <c r="H1181" s="223"/>
      <c r="K1181" s="223"/>
      <c r="M1181" s="223"/>
    </row>
    <row r="1182" customFormat="false" ht="12.75" hidden="false" customHeight="false" outlineLevel="0" collapsed="false">
      <c r="A1182" s="220"/>
      <c r="B1182" s="220"/>
      <c r="D1182" s="222"/>
      <c r="E1182" s="222"/>
      <c r="F1182" s="223"/>
      <c r="H1182" s="223"/>
      <c r="K1182" s="223"/>
      <c r="M1182" s="223"/>
    </row>
    <row r="1183" customFormat="false" ht="12.75" hidden="false" customHeight="false" outlineLevel="0" collapsed="false">
      <c r="A1183" s="220"/>
      <c r="B1183" s="220"/>
      <c r="D1183" s="222"/>
      <c r="E1183" s="222"/>
      <c r="F1183" s="223"/>
      <c r="H1183" s="223"/>
      <c r="K1183" s="223"/>
      <c r="M1183" s="223"/>
    </row>
    <row r="1184" customFormat="false" ht="12.75" hidden="false" customHeight="false" outlineLevel="0" collapsed="false">
      <c r="A1184" s="220"/>
      <c r="B1184" s="220"/>
      <c r="D1184" s="222"/>
      <c r="E1184" s="222"/>
      <c r="F1184" s="223"/>
      <c r="H1184" s="223"/>
      <c r="K1184" s="223"/>
      <c r="M1184" s="223"/>
    </row>
    <row r="1185" customFormat="false" ht="12.75" hidden="false" customHeight="false" outlineLevel="0" collapsed="false">
      <c r="A1185" s="220"/>
      <c r="B1185" s="220"/>
      <c r="D1185" s="222"/>
      <c r="E1185" s="222"/>
      <c r="F1185" s="223"/>
      <c r="H1185" s="223"/>
      <c r="K1185" s="223"/>
      <c r="M1185" s="223"/>
    </row>
    <row r="1186" customFormat="false" ht="12.75" hidden="false" customHeight="false" outlineLevel="0" collapsed="false">
      <c r="A1186" s="220"/>
      <c r="B1186" s="220"/>
      <c r="D1186" s="222"/>
      <c r="E1186" s="222"/>
      <c r="F1186" s="223"/>
      <c r="H1186" s="223"/>
      <c r="K1186" s="223"/>
      <c r="M1186" s="223"/>
    </row>
    <row r="1187" customFormat="false" ht="12.75" hidden="false" customHeight="false" outlineLevel="0" collapsed="false">
      <c r="A1187" s="220"/>
      <c r="B1187" s="220"/>
      <c r="D1187" s="222"/>
      <c r="E1187" s="222"/>
      <c r="F1187" s="223"/>
      <c r="H1187" s="223"/>
      <c r="K1187" s="223"/>
      <c r="M1187" s="223"/>
    </row>
    <row r="1188" customFormat="false" ht="12.75" hidden="false" customHeight="false" outlineLevel="0" collapsed="false">
      <c r="A1188" s="220"/>
      <c r="B1188" s="220"/>
      <c r="D1188" s="222"/>
      <c r="E1188" s="222"/>
      <c r="F1188" s="223"/>
      <c r="H1188" s="223"/>
      <c r="K1188" s="223"/>
      <c r="M1188" s="223"/>
    </row>
    <row r="1189" customFormat="false" ht="12.75" hidden="false" customHeight="false" outlineLevel="0" collapsed="false">
      <c r="A1189" s="220"/>
      <c r="B1189" s="220"/>
      <c r="D1189" s="222"/>
      <c r="E1189" s="222"/>
      <c r="F1189" s="223"/>
      <c r="H1189" s="223"/>
      <c r="K1189" s="223"/>
      <c r="M1189" s="223"/>
    </row>
    <row r="1190" customFormat="false" ht="12.75" hidden="false" customHeight="false" outlineLevel="0" collapsed="false">
      <c r="A1190" s="220"/>
      <c r="B1190" s="220"/>
      <c r="D1190" s="222"/>
      <c r="E1190" s="222"/>
      <c r="F1190" s="223"/>
      <c r="H1190" s="223"/>
      <c r="K1190" s="223"/>
      <c r="M1190" s="223"/>
    </row>
    <row r="1191" customFormat="false" ht="12.75" hidden="false" customHeight="false" outlineLevel="0" collapsed="false">
      <c r="A1191" s="220"/>
      <c r="B1191" s="220"/>
      <c r="D1191" s="222"/>
      <c r="E1191" s="222"/>
      <c r="F1191" s="223"/>
      <c r="H1191" s="223"/>
      <c r="K1191" s="223"/>
      <c r="M1191" s="223"/>
    </row>
    <row r="1192" customFormat="false" ht="12.75" hidden="false" customHeight="false" outlineLevel="0" collapsed="false">
      <c r="A1192" s="220"/>
      <c r="B1192" s="220"/>
      <c r="D1192" s="222"/>
      <c r="E1192" s="222"/>
      <c r="F1192" s="223"/>
      <c r="H1192" s="223"/>
      <c r="K1192" s="223"/>
      <c r="M1192" s="223"/>
    </row>
    <row r="1193" customFormat="false" ht="12.75" hidden="false" customHeight="false" outlineLevel="0" collapsed="false">
      <c r="A1193" s="220"/>
      <c r="B1193" s="220"/>
      <c r="D1193" s="222"/>
      <c r="E1193" s="222"/>
      <c r="F1193" s="223"/>
      <c r="H1193" s="223"/>
      <c r="K1193" s="223"/>
      <c r="M1193" s="223"/>
    </row>
    <row r="1194" customFormat="false" ht="12.75" hidden="false" customHeight="false" outlineLevel="0" collapsed="false">
      <c r="A1194" s="220"/>
      <c r="B1194" s="220"/>
      <c r="D1194" s="222"/>
      <c r="E1194" s="222"/>
      <c r="F1194" s="223"/>
      <c r="H1194" s="223"/>
      <c r="K1194" s="223"/>
      <c r="M1194" s="223"/>
    </row>
    <row r="1195" customFormat="false" ht="12.75" hidden="false" customHeight="false" outlineLevel="0" collapsed="false">
      <c r="A1195" s="220"/>
      <c r="B1195" s="220"/>
      <c r="D1195" s="222"/>
      <c r="E1195" s="222"/>
      <c r="F1195" s="223"/>
      <c r="H1195" s="223"/>
      <c r="K1195" s="223"/>
      <c r="M1195" s="223"/>
    </row>
    <row r="1196" customFormat="false" ht="12.75" hidden="false" customHeight="false" outlineLevel="0" collapsed="false">
      <c r="A1196" s="220"/>
      <c r="B1196" s="220"/>
      <c r="D1196" s="222"/>
      <c r="E1196" s="222"/>
      <c r="F1196" s="223"/>
      <c r="H1196" s="223"/>
      <c r="K1196" s="223"/>
      <c r="M1196" s="223"/>
    </row>
    <row r="1197" customFormat="false" ht="12.75" hidden="false" customHeight="false" outlineLevel="0" collapsed="false">
      <c r="A1197" s="220"/>
      <c r="B1197" s="220"/>
      <c r="D1197" s="222"/>
      <c r="E1197" s="222"/>
      <c r="F1197" s="223"/>
      <c r="H1197" s="223"/>
      <c r="K1197" s="223"/>
      <c r="M1197" s="223"/>
    </row>
    <row r="1198" customFormat="false" ht="12.75" hidden="false" customHeight="false" outlineLevel="0" collapsed="false">
      <c r="A1198" s="220"/>
      <c r="B1198" s="220"/>
      <c r="D1198" s="222"/>
      <c r="E1198" s="222"/>
      <c r="F1198" s="223"/>
      <c r="H1198" s="223"/>
      <c r="K1198" s="223"/>
      <c r="M1198" s="223"/>
    </row>
    <row r="1199" customFormat="false" ht="12.75" hidden="false" customHeight="false" outlineLevel="0" collapsed="false">
      <c r="A1199" s="220"/>
      <c r="B1199" s="220"/>
      <c r="D1199" s="222"/>
      <c r="E1199" s="222"/>
      <c r="F1199" s="223"/>
      <c r="H1199" s="223"/>
      <c r="K1199" s="223"/>
      <c r="M1199" s="223"/>
    </row>
    <row r="1200" customFormat="false" ht="12.75" hidden="false" customHeight="false" outlineLevel="0" collapsed="false">
      <c r="A1200" s="220"/>
      <c r="B1200" s="220"/>
      <c r="D1200" s="222"/>
      <c r="E1200" s="222"/>
      <c r="F1200" s="223"/>
      <c r="H1200" s="223"/>
      <c r="K1200" s="223"/>
      <c r="M1200" s="223"/>
    </row>
    <row r="1201" customFormat="false" ht="12.75" hidden="false" customHeight="false" outlineLevel="0" collapsed="false">
      <c r="A1201" s="220"/>
      <c r="B1201" s="220"/>
      <c r="D1201" s="222"/>
      <c r="E1201" s="222"/>
      <c r="F1201" s="223"/>
      <c r="H1201" s="223"/>
      <c r="K1201" s="223"/>
      <c r="M1201" s="223"/>
    </row>
    <row r="1202" customFormat="false" ht="12.75" hidden="false" customHeight="false" outlineLevel="0" collapsed="false">
      <c r="A1202" s="220"/>
      <c r="B1202" s="220"/>
      <c r="D1202" s="222"/>
      <c r="E1202" s="222"/>
      <c r="F1202" s="223"/>
      <c r="H1202" s="223"/>
      <c r="K1202" s="223"/>
      <c r="M1202" s="223"/>
    </row>
    <row r="1203" customFormat="false" ht="12.75" hidden="false" customHeight="false" outlineLevel="0" collapsed="false">
      <c r="A1203" s="220"/>
      <c r="B1203" s="220"/>
      <c r="D1203" s="222"/>
      <c r="E1203" s="222"/>
      <c r="F1203" s="223"/>
      <c r="H1203" s="223"/>
      <c r="K1203" s="223"/>
      <c r="M1203" s="223"/>
    </row>
    <row r="1204" customFormat="false" ht="12.75" hidden="false" customHeight="false" outlineLevel="0" collapsed="false">
      <c r="A1204" s="220"/>
      <c r="B1204" s="220"/>
      <c r="D1204" s="222"/>
      <c r="E1204" s="222"/>
      <c r="F1204" s="223"/>
      <c r="H1204" s="223"/>
      <c r="K1204" s="223"/>
      <c r="M1204" s="223"/>
    </row>
    <row r="1205" customFormat="false" ht="12.75" hidden="false" customHeight="false" outlineLevel="0" collapsed="false">
      <c r="A1205" s="220"/>
      <c r="B1205" s="220"/>
      <c r="D1205" s="222"/>
      <c r="E1205" s="222"/>
      <c r="F1205" s="223"/>
      <c r="H1205" s="223"/>
      <c r="K1205" s="223"/>
      <c r="M1205" s="223"/>
    </row>
    <row r="1206" customFormat="false" ht="12.75" hidden="false" customHeight="false" outlineLevel="0" collapsed="false">
      <c r="A1206" s="220"/>
      <c r="B1206" s="220"/>
      <c r="D1206" s="222"/>
      <c r="E1206" s="222"/>
      <c r="F1206" s="223"/>
      <c r="H1206" s="223"/>
      <c r="K1206" s="223"/>
      <c r="M1206" s="223"/>
    </row>
    <row r="1207" customFormat="false" ht="12.75" hidden="false" customHeight="false" outlineLevel="0" collapsed="false">
      <c r="A1207" s="220"/>
      <c r="B1207" s="220"/>
      <c r="D1207" s="222"/>
      <c r="E1207" s="222"/>
      <c r="F1207" s="223"/>
      <c r="H1207" s="223"/>
      <c r="K1207" s="223"/>
      <c r="M1207" s="223"/>
    </row>
    <row r="1208" customFormat="false" ht="12.75" hidden="false" customHeight="false" outlineLevel="0" collapsed="false">
      <c r="A1208" s="220"/>
      <c r="B1208" s="220"/>
      <c r="D1208" s="222"/>
      <c r="E1208" s="222"/>
      <c r="F1208" s="223"/>
      <c r="H1208" s="223"/>
      <c r="K1208" s="223"/>
      <c r="M1208" s="223"/>
    </row>
    <row r="1209" customFormat="false" ht="12.75" hidden="false" customHeight="false" outlineLevel="0" collapsed="false">
      <c r="A1209" s="220"/>
      <c r="B1209" s="220"/>
      <c r="D1209" s="222"/>
      <c r="E1209" s="222"/>
      <c r="F1209" s="223"/>
      <c r="H1209" s="223"/>
      <c r="K1209" s="223"/>
      <c r="M1209" s="223"/>
    </row>
    <row r="1210" customFormat="false" ht="12.75" hidden="false" customHeight="false" outlineLevel="0" collapsed="false">
      <c r="A1210" s="220"/>
      <c r="B1210" s="220"/>
      <c r="D1210" s="222"/>
      <c r="E1210" s="222"/>
      <c r="F1210" s="223"/>
      <c r="H1210" s="223"/>
      <c r="K1210" s="223"/>
      <c r="M1210" s="223"/>
    </row>
    <row r="1211" customFormat="false" ht="12.75" hidden="false" customHeight="false" outlineLevel="0" collapsed="false">
      <c r="A1211" s="220"/>
      <c r="B1211" s="220"/>
      <c r="D1211" s="222"/>
      <c r="E1211" s="222"/>
      <c r="F1211" s="223"/>
      <c r="H1211" s="223"/>
      <c r="K1211" s="223"/>
      <c r="M1211" s="223"/>
    </row>
    <row r="1212" customFormat="false" ht="12.75" hidden="false" customHeight="false" outlineLevel="0" collapsed="false">
      <c r="A1212" s="220"/>
      <c r="B1212" s="220"/>
      <c r="D1212" s="222"/>
      <c r="E1212" s="222"/>
      <c r="F1212" s="223"/>
      <c r="H1212" s="223"/>
      <c r="K1212" s="223"/>
      <c r="M1212" s="223"/>
    </row>
    <row r="1213" customFormat="false" ht="12.75" hidden="false" customHeight="false" outlineLevel="0" collapsed="false">
      <c r="A1213" s="220"/>
      <c r="B1213" s="220"/>
      <c r="D1213" s="222"/>
      <c r="E1213" s="222"/>
      <c r="F1213" s="223"/>
      <c r="H1213" s="223"/>
      <c r="K1213" s="223"/>
      <c r="M1213" s="223"/>
    </row>
    <row r="1214" customFormat="false" ht="12.75" hidden="false" customHeight="false" outlineLevel="0" collapsed="false">
      <c r="A1214" s="220"/>
      <c r="B1214" s="220"/>
      <c r="D1214" s="222"/>
      <c r="E1214" s="222"/>
      <c r="F1214" s="223"/>
      <c r="H1214" s="223"/>
      <c r="K1214" s="223"/>
      <c r="M1214" s="223"/>
    </row>
    <row r="1215" customFormat="false" ht="12.75" hidden="false" customHeight="false" outlineLevel="0" collapsed="false">
      <c r="A1215" s="220"/>
      <c r="B1215" s="220"/>
      <c r="D1215" s="222"/>
      <c r="E1215" s="222"/>
      <c r="F1215" s="223"/>
      <c r="H1215" s="223"/>
      <c r="K1215" s="223"/>
      <c r="M1215" s="223"/>
    </row>
    <row r="1216" customFormat="false" ht="12.75" hidden="false" customHeight="false" outlineLevel="0" collapsed="false">
      <c r="A1216" s="220"/>
      <c r="B1216" s="220"/>
      <c r="D1216" s="222"/>
      <c r="E1216" s="222"/>
      <c r="F1216" s="223"/>
      <c r="H1216" s="223"/>
      <c r="K1216" s="223"/>
      <c r="M1216" s="223"/>
    </row>
    <row r="1217" customFormat="false" ht="12.75" hidden="false" customHeight="false" outlineLevel="0" collapsed="false">
      <c r="A1217" s="220"/>
      <c r="B1217" s="220"/>
      <c r="D1217" s="222"/>
      <c r="E1217" s="222"/>
      <c r="F1217" s="223"/>
      <c r="H1217" s="223"/>
      <c r="K1217" s="223"/>
      <c r="M1217" s="223"/>
    </row>
    <row r="1218" customFormat="false" ht="12.75" hidden="false" customHeight="false" outlineLevel="0" collapsed="false">
      <c r="A1218" s="220"/>
      <c r="B1218" s="220"/>
      <c r="D1218" s="222"/>
      <c r="E1218" s="222"/>
      <c r="F1218" s="223"/>
      <c r="H1218" s="223"/>
      <c r="K1218" s="223"/>
      <c r="M1218" s="223"/>
    </row>
    <row r="1219" customFormat="false" ht="12.75" hidden="false" customHeight="false" outlineLevel="0" collapsed="false">
      <c r="A1219" s="220"/>
      <c r="B1219" s="220"/>
      <c r="D1219" s="222"/>
      <c r="E1219" s="222"/>
      <c r="F1219" s="223"/>
      <c r="H1219" s="223"/>
      <c r="K1219" s="223"/>
      <c r="M1219" s="223"/>
    </row>
    <row r="1220" customFormat="false" ht="12.75" hidden="false" customHeight="false" outlineLevel="0" collapsed="false">
      <c r="A1220" s="220"/>
      <c r="B1220" s="220"/>
      <c r="D1220" s="222"/>
      <c r="E1220" s="222"/>
      <c r="F1220" s="223"/>
      <c r="H1220" s="223"/>
      <c r="K1220" s="223"/>
      <c r="M1220" s="223"/>
    </row>
    <row r="1221" customFormat="false" ht="12.75" hidden="false" customHeight="false" outlineLevel="0" collapsed="false">
      <c r="A1221" s="220"/>
      <c r="B1221" s="220"/>
      <c r="D1221" s="222"/>
      <c r="E1221" s="222"/>
      <c r="F1221" s="223"/>
      <c r="H1221" s="223"/>
      <c r="K1221" s="223"/>
      <c r="M1221" s="223"/>
    </row>
    <row r="1222" customFormat="false" ht="12.75" hidden="false" customHeight="false" outlineLevel="0" collapsed="false">
      <c r="A1222" s="220"/>
      <c r="B1222" s="220"/>
      <c r="D1222" s="222"/>
      <c r="E1222" s="222"/>
      <c r="F1222" s="223"/>
      <c r="H1222" s="223"/>
      <c r="K1222" s="223"/>
      <c r="M1222" s="223"/>
    </row>
    <row r="1223" customFormat="false" ht="12.75" hidden="false" customHeight="false" outlineLevel="0" collapsed="false">
      <c r="A1223" s="220"/>
      <c r="B1223" s="220"/>
      <c r="D1223" s="222"/>
      <c r="E1223" s="222"/>
      <c r="F1223" s="223"/>
      <c r="H1223" s="223"/>
      <c r="K1223" s="223"/>
      <c r="M1223" s="223"/>
    </row>
    <row r="1224" customFormat="false" ht="12.75" hidden="false" customHeight="false" outlineLevel="0" collapsed="false">
      <c r="A1224" s="220"/>
      <c r="B1224" s="220"/>
      <c r="D1224" s="222"/>
      <c r="E1224" s="222"/>
      <c r="F1224" s="223"/>
      <c r="H1224" s="223"/>
      <c r="K1224" s="223"/>
      <c r="M1224" s="223"/>
    </row>
    <row r="1225" customFormat="false" ht="12.75" hidden="false" customHeight="false" outlineLevel="0" collapsed="false">
      <c r="A1225" s="220"/>
      <c r="B1225" s="220"/>
      <c r="D1225" s="222"/>
      <c r="E1225" s="222"/>
      <c r="F1225" s="223"/>
      <c r="H1225" s="223"/>
      <c r="K1225" s="223"/>
      <c r="M1225" s="223"/>
    </row>
    <row r="1226" customFormat="false" ht="12.75" hidden="false" customHeight="false" outlineLevel="0" collapsed="false">
      <c r="A1226" s="220"/>
      <c r="B1226" s="220"/>
      <c r="D1226" s="222"/>
      <c r="E1226" s="222"/>
      <c r="F1226" s="223"/>
      <c r="H1226" s="223"/>
      <c r="K1226" s="223"/>
      <c r="M1226" s="223"/>
    </row>
    <row r="1227" customFormat="false" ht="12.75" hidden="false" customHeight="false" outlineLevel="0" collapsed="false">
      <c r="A1227" s="220"/>
      <c r="B1227" s="220"/>
      <c r="D1227" s="222"/>
      <c r="E1227" s="222"/>
      <c r="F1227" s="223"/>
      <c r="H1227" s="223"/>
      <c r="K1227" s="223"/>
      <c r="M1227" s="223"/>
    </row>
    <row r="1228" customFormat="false" ht="12.75" hidden="false" customHeight="false" outlineLevel="0" collapsed="false">
      <c r="A1228" s="220"/>
      <c r="B1228" s="220"/>
      <c r="D1228" s="222"/>
      <c r="E1228" s="222"/>
      <c r="F1228" s="223"/>
      <c r="H1228" s="223"/>
      <c r="K1228" s="223"/>
      <c r="M1228" s="223"/>
    </row>
    <row r="1229" customFormat="false" ht="12.75" hidden="false" customHeight="false" outlineLevel="0" collapsed="false">
      <c r="A1229" s="220"/>
      <c r="B1229" s="220"/>
      <c r="D1229" s="222"/>
      <c r="E1229" s="222"/>
      <c r="F1229" s="223"/>
      <c r="H1229" s="223"/>
      <c r="K1229" s="223"/>
      <c r="M1229" s="223"/>
    </row>
    <row r="1230" customFormat="false" ht="12.75" hidden="false" customHeight="false" outlineLevel="0" collapsed="false">
      <c r="A1230" s="220"/>
      <c r="B1230" s="220"/>
      <c r="D1230" s="222"/>
      <c r="E1230" s="222"/>
      <c r="F1230" s="223"/>
      <c r="H1230" s="223"/>
      <c r="K1230" s="223"/>
      <c r="M1230" s="223"/>
    </row>
    <row r="1231" customFormat="false" ht="12.75" hidden="false" customHeight="false" outlineLevel="0" collapsed="false">
      <c r="A1231" s="220"/>
      <c r="B1231" s="220"/>
      <c r="D1231" s="222"/>
      <c r="E1231" s="222"/>
      <c r="F1231" s="223"/>
      <c r="H1231" s="223"/>
      <c r="K1231" s="223"/>
      <c r="M1231" s="223"/>
    </row>
    <row r="1232" customFormat="false" ht="12.75" hidden="false" customHeight="false" outlineLevel="0" collapsed="false">
      <c r="A1232" s="220"/>
      <c r="B1232" s="220"/>
      <c r="D1232" s="222"/>
      <c r="E1232" s="222"/>
      <c r="F1232" s="223"/>
      <c r="H1232" s="223"/>
      <c r="K1232" s="223"/>
      <c r="M1232" s="223"/>
    </row>
    <row r="1233" customFormat="false" ht="12.75" hidden="false" customHeight="false" outlineLevel="0" collapsed="false">
      <c r="A1233" s="220"/>
      <c r="B1233" s="220"/>
      <c r="D1233" s="222"/>
      <c r="E1233" s="222"/>
      <c r="F1233" s="223"/>
      <c r="H1233" s="223"/>
      <c r="K1233" s="223"/>
      <c r="M1233" s="223"/>
    </row>
    <row r="1234" customFormat="false" ht="12.75" hidden="false" customHeight="false" outlineLevel="0" collapsed="false">
      <c r="A1234" s="220"/>
      <c r="B1234" s="220"/>
      <c r="D1234" s="222"/>
      <c r="E1234" s="222"/>
      <c r="F1234" s="223"/>
      <c r="H1234" s="223"/>
      <c r="K1234" s="223"/>
      <c r="M1234" s="223"/>
    </row>
    <row r="1235" customFormat="false" ht="12.75" hidden="false" customHeight="false" outlineLevel="0" collapsed="false">
      <c r="A1235" s="220"/>
      <c r="B1235" s="220"/>
      <c r="D1235" s="222"/>
      <c r="E1235" s="222"/>
      <c r="F1235" s="223"/>
      <c r="H1235" s="223"/>
      <c r="K1235" s="223"/>
      <c r="M1235" s="223"/>
    </row>
    <row r="1236" customFormat="false" ht="12.75" hidden="false" customHeight="false" outlineLevel="0" collapsed="false">
      <c r="A1236" s="220"/>
      <c r="B1236" s="220"/>
      <c r="D1236" s="222"/>
      <c r="E1236" s="222"/>
      <c r="F1236" s="223"/>
      <c r="H1236" s="223"/>
      <c r="K1236" s="223"/>
      <c r="M1236" s="223"/>
    </row>
    <row r="1237" customFormat="false" ht="12.75" hidden="false" customHeight="false" outlineLevel="0" collapsed="false">
      <c r="A1237" s="220"/>
      <c r="B1237" s="220"/>
      <c r="D1237" s="222"/>
      <c r="E1237" s="222"/>
      <c r="F1237" s="223"/>
      <c r="H1237" s="223"/>
      <c r="K1237" s="223"/>
      <c r="M1237" s="223"/>
    </row>
    <row r="1238" customFormat="false" ht="12.75" hidden="false" customHeight="false" outlineLevel="0" collapsed="false">
      <c r="A1238" s="220"/>
      <c r="B1238" s="220"/>
      <c r="D1238" s="222"/>
      <c r="E1238" s="222"/>
      <c r="F1238" s="223"/>
      <c r="H1238" s="223"/>
      <c r="K1238" s="223"/>
      <c r="M1238" s="223"/>
    </row>
    <row r="1239" customFormat="false" ht="12.75" hidden="false" customHeight="false" outlineLevel="0" collapsed="false">
      <c r="A1239" s="220"/>
      <c r="B1239" s="220"/>
      <c r="D1239" s="222"/>
      <c r="E1239" s="222"/>
      <c r="F1239" s="223"/>
      <c r="H1239" s="223"/>
      <c r="K1239" s="223"/>
      <c r="M1239" s="223"/>
    </row>
    <row r="1240" customFormat="false" ht="12.75" hidden="false" customHeight="false" outlineLevel="0" collapsed="false">
      <c r="A1240" s="220"/>
      <c r="B1240" s="220"/>
      <c r="D1240" s="222"/>
      <c r="E1240" s="222"/>
      <c r="F1240" s="223"/>
      <c r="H1240" s="223"/>
      <c r="K1240" s="223"/>
      <c r="M1240" s="223"/>
    </row>
    <row r="1241" customFormat="false" ht="12.75" hidden="false" customHeight="false" outlineLevel="0" collapsed="false">
      <c r="A1241" s="220"/>
      <c r="B1241" s="220"/>
      <c r="D1241" s="222"/>
      <c r="E1241" s="222"/>
      <c r="F1241" s="223"/>
      <c r="H1241" s="223"/>
      <c r="K1241" s="223"/>
      <c r="M1241" s="223"/>
    </row>
    <row r="1242" customFormat="false" ht="12.75" hidden="false" customHeight="false" outlineLevel="0" collapsed="false">
      <c r="A1242" s="220"/>
      <c r="B1242" s="220"/>
      <c r="D1242" s="222"/>
      <c r="E1242" s="222"/>
      <c r="F1242" s="223"/>
      <c r="H1242" s="223"/>
      <c r="K1242" s="223"/>
      <c r="M1242" s="223"/>
    </row>
    <row r="1243" customFormat="false" ht="12.75" hidden="false" customHeight="false" outlineLevel="0" collapsed="false">
      <c r="A1243" s="220"/>
      <c r="B1243" s="220"/>
      <c r="D1243" s="222"/>
      <c r="E1243" s="222"/>
      <c r="F1243" s="223"/>
      <c r="H1243" s="223"/>
      <c r="K1243" s="223"/>
      <c r="M1243" s="223"/>
    </row>
    <row r="1244" customFormat="false" ht="12.75" hidden="false" customHeight="false" outlineLevel="0" collapsed="false">
      <c r="A1244" s="220"/>
      <c r="B1244" s="220"/>
      <c r="D1244" s="222"/>
      <c r="E1244" s="222"/>
      <c r="F1244" s="223"/>
      <c r="H1244" s="223"/>
      <c r="K1244" s="223"/>
      <c r="M1244" s="223"/>
    </row>
    <row r="1245" customFormat="false" ht="12.75" hidden="false" customHeight="false" outlineLevel="0" collapsed="false">
      <c r="A1245" s="220"/>
      <c r="B1245" s="220"/>
      <c r="D1245" s="222"/>
      <c r="E1245" s="222"/>
      <c r="F1245" s="223"/>
      <c r="H1245" s="223"/>
      <c r="K1245" s="223"/>
      <c r="M1245" s="223"/>
    </row>
    <row r="1246" customFormat="false" ht="12.75" hidden="false" customHeight="false" outlineLevel="0" collapsed="false">
      <c r="A1246" s="220"/>
      <c r="B1246" s="220"/>
      <c r="D1246" s="222"/>
      <c r="E1246" s="222"/>
      <c r="F1246" s="223"/>
      <c r="H1246" s="223"/>
      <c r="K1246" s="223"/>
      <c r="M1246" s="223"/>
    </row>
    <row r="1247" customFormat="false" ht="12.75" hidden="false" customHeight="false" outlineLevel="0" collapsed="false">
      <c r="A1247" s="220"/>
      <c r="B1247" s="220"/>
      <c r="D1247" s="222"/>
      <c r="E1247" s="222"/>
      <c r="F1247" s="223"/>
      <c r="H1247" s="223"/>
      <c r="K1247" s="223"/>
      <c r="M1247" s="223"/>
    </row>
    <row r="1248" customFormat="false" ht="12.75" hidden="false" customHeight="false" outlineLevel="0" collapsed="false">
      <c r="A1248" s="220"/>
      <c r="B1248" s="220"/>
      <c r="D1248" s="222"/>
      <c r="E1248" s="222"/>
      <c r="F1248" s="223"/>
      <c r="H1248" s="223"/>
      <c r="K1248" s="223"/>
      <c r="M1248" s="223"/>
    </row>
    <row r="1249" customFormat="false" ht="12.75" hidden="false" customHeight="false" outlineLevel="0" collapsed="false">
      <c r="A1249" s="220"/>
      <c r="B1249" s="220"/>
      <c r="D1249" s="222"/>
      <c r="E1249" s="222"/>
      <c r="F1249" s="223"/>
      <c r="H1249" s="223"/>
      <c r="K1249" s="223"/>
      <c r="M1249" s="223"/>
    </row>
    <row r="1250" customFormat="false" ht="12.75" hidden="false" customHeight="false" outlineLevel="0" collapsed="false">
      <c r="A1250" s="220"/>
      <c r="B1250" s="220"/>
      <c r="D1250" s="222"/>
      <c r="E1250" s="222"/>
      <c r="F1250" s="223"/>
      <c r="H1250" s="223"/>
      <c r="K1250" s="223"/>
      <c r="M1250" s="223"/>
    </row>
    <row r="1251" customFormat="false" ht="12.75" hidden="false" customHeight="false" outlineLevel="0" collapsed="false">
      <c r="A1251" s="220"/>
      <c r="B1251" s="220"/>
      <c r="D1251" s="222"/>
      <c r="E1251" s="222"/>
      <c r="F1251" s="223"/>
      <c r="H1251" s="223"/>
      <c r="K1251" s="223"/>
      <c r="M1251" s="223"/>
    </row>
    <row r="1252" customFormat="false" ht="12.75" hidden="false" customHeight="false" outlineLevel="0" collapsed="false">
      <c r="A1252" s="220"/>
      <c r="B1252" s="220"/>
      <c r="D1252" s="222"/>
      <c r="E1252" s="222"/>
      <c r="F1252" s="223"/>
      <c r="H1252" s="223"/>
      <c r="K1252" s="223"/>
      <c r="M1252" s="223"/>
    </row>
    <row r="1253" customFormat="false" ht="12.75" hidden="false" customHeight="false" outlineLevel="0" collapsed="false">
      <c r="A1253" s="220"/>
      <c r="B1253" s="220"/>
      <c r="D1253" s="222"/>
      <c r="E1253" s="222"/>
      <c r="F1253" s="223"/>
      <c r="H1253" s="223"/>
      <c r="K1253" s="223"/>
      <c r="M1253" s="223"/>
    </row>
    <row r="1254" customFormat="false" ht="12.75" hidden="false" customHeight="false" outlineLevel="0" collapsed="false">
      <c r="A1254" s="220"/>
      <c r="B1254" s="220"/>
      <c r="D1254" s="222"/>
      <c r="E1254" s="222"/>
      <c r="F1254" s="223"/>
      <c r="H1254" s="223"/>
      <c r="K1254" s="223"/>
      <c r="M1254" s="223"/>
    </row>
    <row r="1255" customFormat="false" ht="12.75" hidden="false" customHeight="false" outlineLevel="0" collapsed="false">
      <c r="A1255" s="220"/>
      <c r="B1255" s="220"/>
      <c r="D1255" s="222"/>
      <c r="E1255" s="222"/>
      <c r="F1255" s="223"/>
      <c r="H1255" s="223"/>
      <c r="K1255" s="223"/>
      <c r="M1255" s="223"/>
    </row>
    <row r="1256" customFormat="false" ht="12.75" hidden="false" customHeight="false" outlineLevel="0" collapsed="false">
      <c r="A1256" s="220"/>
      <c r="B1256" s="220"/>
      <c r="D1256" s="222"/>
      <c r="E1256" s="222"/>
      <c r="F1256" s="223"/>
      <c r="H1256" s="223"/>
      <c r="K1256" s="223"/>
      <c r="M1256" s="223"/>
    </row>
    <row r="1257" customFormat="false" ht="12.75" hidden="false" customHeight="false" outlineLevel="0" collapsed="false">
      <c r="A1257" s="220"/>
      <c r="B1257" s="220"/>
      <c r="D1257" s="222"/>
      <c r="E1257" s="222"/>
      <c r="F1257" s="223"/>
      <c r="H1257" s="223"/>
      <c r="K1257" s="223"/>
      <c r="M1257" s="223"/>
    </row>
    <row r="1258" customFormat="false" ht="12.75" hidden="false" customHeight="false" outlineLevel="0" collapsed="false">
      <c r="A1258" s="220"/>
      <c r="B1258" s="220"/>
      <c r="D1258" s="222"/>
      <c r="E1258" s="222"/>
      <c r="F1258" s="223"/>
      <c r="H1258" s="223"/>
      <c r="K1258" s="223"/>
      <c r="M1258" s="223"/>
    </row>
    <row r="1259" customFormat="false" ht="12.75" hidden="false" customHeight="false" outlineLevel="0" collapsed="false">
      <c r="A1259" s="220"/>
      <c r="B1259" s="220"/>
      <c r="D1259" s="222"/>
      <c r="E1259" s="222"/>
      <c r="F1259" s="223"/>
      <c r="H1259" s="223"/>
      <c r="K1259" s="223"/>
      <c r="M1259" s="223"/>
    </row>
    <row r="1260" customFormat="false" ht="12.75" hidden="false" customHeight="false" outlineLevel="0" collapsed="false">
      <c r="A1260" s="220"/>
      <c r="B1260" s="220"/>
      <c r="D1260" s="222"/>
      <c r="E1260" s="222"/>
      <c r="F1260" s="223"/>
      <c r="H1260" s="223"/>
      <c r="K1260" s="223"/>
      <c r="M1260" s="223"/>
    </row>
    <row r="1261" customFormat="false" ht="12.75" hidden="false" customHeight="false" outlineLevel="0" collapsed="false">
      <c r="A1261" s="220"/>
      <c r="B1261" s="220"/>
      <c r="D1261" s="222"/>
      <c r="E1261" s="222"/>
      <c r="F1261" s="223"/>
      <c r="H1261" s="223"/>
      <c r="K1261" s="223"/>
      <c r="M1261" s="223"/>
    </row>
    <row r="1262" customFormat="false" ht="12.75" hidden="false" customHeight="false" outlineLevel="0" collapsed="false">
      <c r="A1262" s="220"/>
      <c r="B1262" s="220"/>
      <c r="D1262" s="222"/>
      <c r="E1262" s="222"/>
      <c r="F1262" s="223"/>
      <c r="H1262" s="223"/>
      <c r="K1262" s="223"/>
      <c r="M1262" s="223"/>
    </row>
    <row r="1263" customFormat="false" ht="12.75" hidden="false" customHeight="false" outlineLevel="0" collapsed="false">
      <c r="A1263" s="220"/>
      <c r="B1263" s="220"/>
      <c r="D1263" s="222"/>
      <c r="E1263" s="222"/>
      <c r="F1263" s="223"/>
      <c r="H1263" s="223"/>
      <c r="K1263" s="223"/>
      <c r="M1263" s="223"/>
    </row>
    <row r="1264" customFormat="false" ht="12.75" hidden="false" customHeight="false" outlineLevel="0" collapsed="false">
      <c r="A1264" s="220"/>
      <c r="B1264" s="220"/>
      <c r="D1264" s="222"/>
      <c r="E1264" s="222"/>
      <c r="F1264" s="223"/>
      <c r="H1264" s="223"/>
      <c r="K1264" s="223"/>
      <c r="M1264" s="223"/>
    </row>
    <row r="1265" customFormat="false" ht="12.75" hidden="false" customHeight="false" outlineLevel="0" collapsed="false">
      <c r="A1265" s="220"/>
      <c r="B1265" s="220"/>
      <c r="D1265" s="222"/>
      <c r="E1265" s="222"/>
      <c r="F1265" s="223"/>
      <c r="H1265" s="223"/>
      <c r="K1265" s="223"/>
      <c r="M1265" s="223"/>
    </row>
    <row r="1266" customFormat="false" ht="12.75" hidden="false" customHeight="false" outlineLevel="0" collapsed="false">
      <c r="A1266" s="220"/>
      <c r="B1266" s="220"/>
      <c r="D1266" s="222"/>
      <c r="E1266" s="222"/>
      <c r="F1266" s="223"/>
      <c r="H1266" s="223"/>
      <c r="K1266" s="223"/>
      <c r="M1266" s="223"/>
    </row>
    <row r="1267" customFormat="false" ht="12.75" hidden="false" customHeight="false" outlineLevel="0" collapsed="false">
      <c r="A1267" s="220"/>
      <c r="B1267" s="220"/>
      <c r="D1267" s="222"/>
      <c r="E1267" s="222"/>
      <c r="F1267" s="223"/>
      <c r="H1267" s="223"/>
      <c r="K1267" s="223"/>
      <c r="M1267" s="223"/>
    </row>
    <row r="1268" customFormat="false" ht="12.75" hidden="false" customHeight="false" outlineLevel="0" collapsed="false">
      <c r="A1268" s="220"/>
      <c r="B1268" s="220"/>
      <c r="D1268" s="222"/>
      <c r="E1268" s="222"/>
      <c r="F1268" s="223"/>
      <c r="H1268" s="223"/>
      <c r="K1268" s="223"/>
      <c r="M1268" s="223"/>
    </row>
    <row r="1269" customFormat="false" ht="12.75" hidden="false" customHeight="false" outlineLevel="0" collapsed="false">
      <c r="A1269" s="220"/>
      <c r="B1269" s="220"/>
      <c r="D1269" s="222"/>
      <c r="E1269" s="222"/>
      <c r="F1269" s="223"/>
      <c r="H1269" s="223"/>
      <c r="K1269" s="223"/>
      <c r="M1269" s="223"/>
    </row>
    <row r="1270" customFormat="false" ht="12.75" hidden="false" customHeight="false" outlineLevel="0" collapsed="false">
      <c r="A1270" s="220"/>
      <c r="B1270" s="220"/>
      <c r="D1270" s="222"/>
      <c r="E1270" s="222"/>
      <c r="F1270" s="223"/>
      <c r="H1270" s="223"/>
      <c r="K1270" s="223"/>
      <c r="M1270" s="223"/>
    </row>
    <row r="1271" customFormat="false" ht="12.75" hidden="false" customHeight="false" outlineLevel="0" collapsed="false">
      <c r="A1271" s="220"/>
      <c r="B1271" s="220"/>
      <c r="D1271" s="222"/>
      <c r="E1271" s="222"/>
      <c r="F1271" s="223"/>
      <c r="H1271" s="223"/>
      <c r="K1271" s="223"/>
      <c r="M1271" s="223"/>
    </row>
    <row r="1272" customFormat="false" ht="12.75" hidden="false" customHeight="false" outlineLevel="0" collapsed="false">
      <c r="A1272" s="220"/>
      <c r="B1272" s="220"/>
      <c r="D1272" s="222"/>
      <c r="E1272" s="222"/>
      <c r="F1272" s="223"/>
      <c r="H1272" s="223"/>
      <c r="K1272" s="223"/>
      <c r="M1272" s="223"/>
    </row>
    <row r="1273" customFormat="false" ht="12.75" hidden="false" customHeight="false" outlineLevel="0" collapsed="false">
      <c r="A1273" s="220"/>
      <c r="B1273" s="220"/>
      <c r="D1273" s="222"/>
      <c r="E1273" s="222"/>
      <c r="F1273" s="223"/>
      <c r="H1273" s="223"/>
      <c r="K1273" s="223"/>
      <c r="M1273" s="223"/>
    </row>
    <row r="1274" customFormat="false" ht="12.75" hidden="false" customHeight="false" outlineLevel="0" collapsed="false">
      <c r="A1274" s="220"/>
      <c r="B1274" s="220"/>
      <c r="D1274" s="222"/>
      <c r="E1274" s="222"/>
      <c r="F1274" s="223"/>
      <c r="H1274" s="223"/>
      <c r="K1274" s="223"/>
      <c r="M1274" s="223"/>
    </row>
    <row r="1275" customFormat="false" ht="12.75" hidden="false" customHeight="false" outlineLevel="0" collapsed="false">
      <c r="A1275" s="220"/>
      <c r="B1275" s="220"/>
      <c r="D1275" s="222"/>
      <c r="E1275" s="222"/>
      <c r="F1275" s="223"/>
      <c r="H1275" s="223"/>
      <c r="K1275" s="223"/>
      <c r="M1275" s="223"/>
    </row>
    <row r="1276" customFormat="false" ht="12.75" hidden="false" customHeight="false" outlineLevel="0" collapsed="false">
      <c r="A1276" s="220"/>
      <c r="B1276" s="220"/>
      <c r="D1276" s="222"/>
      <c r="E1276" s="222"/>
      <c r="F1276" s="223"/>
      <c r="H1276" s="223"/>
      <c r="K1276" s="223"/>
      <c r="M1276" s="223"/>
    </row>
    <row r="1277" customFormat="false" ht="12.75" hidden="false" customHeight="false" outlineLevel="0" collapsed="false">
      <c r="A1277" s="220"/>
      <c r="B1277" s="220"/>
      <c r="D1277" s="222"/>
      <c r="E1277" s="222"/>
      <c r="F1277" s="223"/>
      <c r="H1277" s="223"/>
      <c r="K1277" s="223"/>
      <c r="M1277" s="223"/>
    </row>
    <row r="1278" customFormat="false" ht="12.75" hidden="false" customHeight="false" outlineLevel="0" collapsed="false">
      <c r="A1278" s="220"/>
      <c r="B1278" s="220"/>
      <c r="D1278" s="222"/>
      <c r="E1278" s="222"/>
      <c r="F1278" s="223"/>
      <c r="H1278" s="223"/>
      <c r="K1278" s="223"/>
      <c r="M1278" s="223"/>
    </row>
    <row r="1279" customFormat="false" ht="12.75" hidden="false" customHeight="false" outlineLevel="0" collapsed="false">
      <c r="A1279" s="220"/>
      <c r="B1279" s="220"/>
      <c r="D1279" s="222"/>
      <c r="E1279" s="222"/>
      <c r="F1279" s="223"/>
      <c r="H1279" s="223"/>
      <c r="K1279" s="223"/>
      <c r="M1279" s="223"/>
    </row>
    <row r="1280" customFormat="false" ht="12.75" hidden="false" customHeight="false" outlineLevel="0" collapsed="false">
      <c r="A1280" s="220"/>
      <c r="B1280" s="220"/>
      <c r="D1280" s="222"/>
      <c r="E1280" s="222"/>
      <c r="F1280" s="223"/>
      <c r="H1280" s="223"/>
      <c r="K1280" s="223"/>
      <c r="M1280" s="223"/>
    </row>
    <row r="1281" customFormat="false" ht="12.75" hidden="false" customHeight="false" outlineLevel="0" collapsed="false">
      <c r="A1281" s="220"/>
      <c r="B1281" s="220"/>
      <c r="D1281" s="222"/>
      <c r="E1281" s="222"/>
      <c r="F1281" s="223"/>
      <c r="H1281" s="223"/>
      <c r="K1281" s="223"/>
      <c r="M1281" s="223"/>
    </row>
  </sheetData>
  <printOptions headings="false" gridLines="false" gridLinesSet="true" horizontalCentered="false" verticalCentered="false"/>
  <pageMargins left="0.359722222222222" right="0.35" top="0.984027777777778" bottom="0.984027777777778" header="0.511811023622047" footer="0.511811023622047"/>
  <pageSetup paperSize="1" scale="4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08"/>
  <sheetViews>
    <sheetView showFormulas="false" showGridLines="false" showRowColHeaders="true" showZeros="true" rightToLeft="false" tabSelected="false" showOutlineSymbols="true" defaultGridColor="true" view="normal" topLeftCell="A818" colorId="64" zoomScale="75" zoomScaleNormal="75" zoomScalePageLayoutView="50" workbookViewId="0">
      <selection pane="topLeft" activeCell="A818" activeCellId="0" sqref="A818"/>
    </sheetView>
  </sheetViews>
  <sheetFormatPr defaultColWidth="8.28125" defaultRowHeight="11.25" customHeight="true" zeroHeight="false" outlineLevelRow="1" outlineLevelCol="0"/>
  <cols>
    <col collapsed="false" customWidth="true" hidden="false" outlineLevel="0" max="1" min="1" style="235" width="12.7"/>
    <col collapsed="false" customWidth="true" hidden="false" outlineLevel="0" max="2" min="2" style="235" width="13.28"/>
    <col collapsed="false" customWidth="true" hidden="false" outlineLevel="0" max="3" min="3" style="235" width="13.41"/>
    <col collapsed="false" customWidth="false" hidden="false" outlineLevel="0" max="4" min="4" style="235" width="8.28"/>
    <col collapsed="false" customWidth="true" hidden="false" outlineLevel="0" max="5" min="5" style="235" width="9.99"/>
    <col collapsed="false" customWidth="true" hidden="false" outlineLevel="0" max="6" min="6" style="235" width="10.41"/>
    <col collapsed="false" customWidth="true" hidden="false" outlineLevel="0" max="7" min="7" style="235" width="11.85"/>
    <col collapsed="false" customWidth="true" hidden="false" outlineLevel="0" max="8" min="8" style="235" width="8.56"/>
    <col collapsed="false" customWidth="true" hidden="false" outlineLevel="0" max="9" min="9" style="235" width="14.28"/>
    <col collapsed="false" customWidth="true" hidden="false" outlineLevel="0" max="10" min="10" style="235" width="12.85"/>
    <col collapsed="false" customWidth="true" hidden="false" outlineLevel="0" max="15" min="11" style="235" width="11.7"/>
    <col collapsed="false" customWidth="true" hidden="false" outlineLevel="0" max="16" min="16" style="235" width="11.56"/>
    <col collapsed="false" customWidth="true" hidden="false" outlineLevel="0" max="17" min="17" style="235" width="11.42"/>
    <col collapsed="false" customWidth="true" hidden="false" outlineLevel="0" max="18" min="18" style="235" width="10.85"/>
    <col collapsed="false" customWidth="true" hidden="false" outlineLevel="0" max="19" min="19" style="235" width="10.99"/>
    <col collapsed="false" customWidth="true" hidden="false" outlineLevel="0" max="20" min="20" style="235" width="11.13"/>
    <col collapsed="false" customWidth="true" hidden="false" outlineLevel="0" max="21" min="21" style="235" width="10.99"/>
    <col collapsed="false" customWidth="true" hidden="false" outlineLevel="0" max="22" min="22" style="235" width="11.13"/>
    <col collapsed="false" customWidth="true" hidden="false" outlineLevel="0" max="23" min="23" style="235" width="11.99"/>
    <col collapsed="false" customWidth="true" hidden="false" outlineLevel="0" max="24" min="24" style="235" width="11.13"/>
    <col collapsed="false" customWidth="true" hidden="false" outlineLevel="0" max="25" min="25" style="235" width="10.99"/>
    <col collapsed="false" customWidth="true" hidden="false" outlineLevel="0" max="27" min="26" style="235" width="11.42"/>
    <col collapsed="false" customWidth="true" hidden="false" outlineLevel="0" max="28" min="28" style="235" width="11.7"/>
    <col collapsed="false" customWidth="true" hidden="false" outlineLevel="0" max="29" min="29" style="235" width="11.13"/>
    <col collapsed="false" customWidth="true" hidden="false" outlineLevel="0" max="30" min="30" style="235" width="8.7"/>
    <col collapsed="false" customWidth="true" hidden="false" outlineLevel="0" max="31" min="31" style="235" width="8.41"/>
    <col collapsed="false" customWidth="true" hidden="false" outlineLevel="0" max="32" min="32" style="235" width="8.7"/>
    <col collapsed="false" customWidth="false" hidden="false" outlineLevel="0" max="257" min="33" style="235" width="8.28"/>
  </cols>
  <sheetData>
    <row r="1" customFormat="false" ht="12" hidden="false" customHeight="true" outlineLevel="0" collapsed="false">
      <c r="A1" s="236" t="n">
        <v>99</v>
      </c>
      <c r="B1" s="237" t="n">
        <v>2</v>
      </c>
      <c r="C1" s="238" t="n">
        <v>7</v>
      </c>
      <c r="D1" s="239"/>
    </row>
    <row r="2" customFormat="false" ht="12" hidden="false" customHeight="true" outlineLevel="0" collapsed="false">
      <c r="A2" s="240" t="n">
        <v>150</v>
      </c>
      <c r="B2" s="240" t="n">
        <v>1</v>
      </c>
      <c r="C2" s="238" t="n">
        <v>99</v>
      </c>
      <c r="E2" s="235" t="str">
        <f aca="true">+CELL("filename",E3)</f>
        <v>'file:///mnt/12tb/@roms/datasets/enron/EDRM Enron Email Data Set v2 XML/filtered-attachments/xls/LV_Cogen-a7d281182624fbdd0f242c85526b6b97f430b85b1840c2ad5d3b144a464cb7b6.xls'#$CCFMODEL</v>
      </c>
      <c r="H2" s="241"/>
      <c r="I2" s="241"/>
      <c r="J2" s="242"/>
      <c r="K2" s="238"/>
      <c r="L2" s="238"/>
      <c r="M2" s="238"/>
      <c r="N2" s="243" t="str">
        <f aca="false">"Year "&amp;ROUND(((N3)-YEAR($I$3)),0)</f>
        <v>Year 5</v>
      </c>
      <c r="O2" s="244" t="n">
        <f aca="true">+NOW()</f>
        <v>45926.9666602907</v>
      </c>
      <c r="P2" s="245" t="n">
        <f aca="true">+NOW()</f>
        <v>45926.9666602907</v>
      </c>
      <c r="Q2" s="238"/>
      <c r="R2" s="238"/>
      <c r="S2" s="243" t="str">
        <f aca="false">"Year "&amp;ROUND(((S3)-YEAR($I$3)),0)</f>
        <v>Year 10</v>
      </c>
      <c r="U2" s="241"/>
      <c r="V2" s="241"/>
      <c r="W2" s="241"/>
      <c r="X2" s="243" t="str">
        <f aca="false">"Year "&amp;ROUND(((X3)-YEAR($I$3)),0)</f>
        <v>Year 15</v>
      </c>
      <c r="Y2" s="241"/>
      <c r="Z2" s="241"/>
      <c r="AA2" s="241"/>
      <c r="AB2" s="241"/>
      <c r="AC2" s="243" t="str">
        <f aca="false">"Year "&amp;ROUND(((AC3)-YEAR($I$3)),0)</f>
        <v>Year 20</v>
      </c>
      <c r="AD2" s="241"/>
      <c r="AE2" s="241"/>
      <c r="AF2" s="241"/>
    </row>
    <row r="3" customFormat="false" ht="13.5" hidden="false" customHeight="true" outlineLevel="0" collapsed="false">
      <c r="A3" s="236" t="n">
        <v>6</v>
      </c>
      <c r="B3" s="246" t="s">
        <v>285</v>
      </c>
      <c r="C3" s="247" t="e">
        <f aca="false">SUM(E440:AF440)</f>
        <v>#VALUE!</v>
      </c>
      <c r="E3" s="248" t="n">
        <f aca="false">+E638</f>
        <v>35430</v>
      </c>
      <c r="F3" s="248" t="n">
        <f aca="false">+F638</f>
        <v>35795</v>
      </c>
      <c r="G3" s="248" t="n">
        <f aca="false">+G638</f>
        <v>36160</v>
      </c>
      <c r="H3" s="249" t="n">
        <f aca="false">+H638</f>
        <v>36373</v>
      </c>
      <c r="I3" s="250" t="n">
        <f aca="false">+I314</f>
        <v>36525</v>
      </c>
      <c r="J3" s="251" t="n">
        <f aca="false">+YEAR(J314)</f>
        <v>2000</v>
      </c>
      <c r="K3" s="251" t="n">
        <f aca="false">+YEAR(K314)</f>
        <v>2001</v>
      </c>
      <c r="L3" s="251" t="n">
        <f aca="false">+YEAR(L314)</f>
        <v>2002</v>
      </c>
      <c r="M3" s="251" t="n">
        <f aca="false">+YEAR(M314)</f>
        <v>2003</v>
      </c>
      <c r="N3" s="251" t="n">
        <f aca="false">+YEAR(N314)</f>
        <v>2004</v>
      </c>
      <c r="O3" s="251" t="n">
        <f aca="false">+YEAR(O314)</f>
        <v>2005</v>
      </c>
      <c r="P3" s="251" t="n">
        <f aca="false">+YEAR(P314)</f>
        <v>2006</v>
      </c>
      <c r="Q3" s="251" t="n">
        <f aca="false">+YEAR(Q314)</f>
        <v>2007</v>
      </c>
      <c r="R3" s="251" t="n">
        <f aca="false">+YEAR(R314)</f>
        <v>2008</v>
      </c>
      <c r="S3" s="251" t="n">
        <f aca="false">+YEAR(S314)</f>
        <v>2009</v>
      </c>
      <c r="T3" s="251" t="n">
        <f aca="false">+YEAR(T314)</f>
        <v>2010</v>
      </c>
      <c r="U3" s="251" t="n">
        <f aca="false">+YEAR(U314)</f>
        <v>2011</v>
      </c>
      <c r="V3" s="251" t="n">
        <f aca="false">+YEAR(V314)</f>
        <v>2012</v>
      </c>
      <c r="W3" s="251" t="n">
        <f aca="false">+YEAR(W314)</f>
        <v>2013</v>
      </c>
      <c r="X3" s="251" t="n">
        <f aca="false">+YEAR(X314)</f>
        <v>2014</v>
      </c>
      <c r="Y3" s="251" t="n">
        <f aca="false">+YEAR(Y314)</f>
        <v>2015</v>
      </c>
      <c r="Z3" s="251" t="n">
        <f aca="false">+YEAR(Z314)</f>
        <v>2016</v>
      </c>
      <c r="AA3" s="251" t="n">
        <f aca="false">+YEAR(AA314)</f>
        <v>2017</v>
      </c>
      <c r="AB3" s="251" t="n">
        <f aca="false">+YEAR(AB314)</f>
        <v>2018</v>
      </c>
      <c r="AC3" s="251" t="n">
        <f aca="false">+YEAR(AC314)</f>
        <v>2019</v>
      </c>
      <c r="AD3" s="251" t="n">
        <f aca="false">+YEAR(AD314)</f>
        <v>2020</v>
      </c>
      <c r="AE3" s="251" t="n">
        <f aca="false">+YEAR(AE314)</f>
        <v>2021</v>
      </c>
      <c r="AF3" s="251" t="n">
        <f aca="false">+YEAR(AF314)</f>
        <v>2022</v>
      </c>
    </row>
    <row r="4" customFormat="false" ht="12" hidden="false" customHeight="false" outlineLevel="0" collapsed="false">
      <c r="A4" s="252" t="str">
        <f aca="false">+CCFMODEL!A312</f>
        <v>West Coast Power LLP</v>
      </c>
      <c r="X4" s="253" t="n">
        <f aca="true">+NOW()</f>
        <v>45926.9666602914</v>
      </c>
    </row>
    <row r="5" customFormat="false" ht="11.25" hidden="false" customHeight="false" outlineLevel="0" collapsed="false">
      <c r="A5" s="254" t="str">
        <f aca="false">+CCFMODEL!A313</f>
        <v>SCENARIO:    </v>
      </c>
      <c r="C5" s="255" t="str">
        <f aca="true">+CCFMODEL!C313&amp;" "&amp;TEXT(NOW(),"mm/dd/yy")</f>
        <v>Base Case 09/26/25</v>
      </c>
      <c r="E5" s="256" t="str">
        <f aca="false">+CCFMODEL!E313</f>
        <v>($ in</v>
      </c>
      <c r="F5" s="257" t="str">
        <f aca="false">+CCFMODEL!F313</f>
        <v>Thousands</v>
      </c>
      <c r="G5" s="258" t="s">
        <v>286</v>
      </c>
      <c r="X5" s="259" t="str">
        <f aca="true">+CELL("filename",C5)</f>
        <v>'file:///mnt/12tb/@roms/datasets/enron/EDRM Enron Email Data Set v2 XML/filtered-attachments/xls/LV_Cogen-a7d281182624fbdd0f242c85526b6b97f430b85b1840c2ad5d3b144a464cb7b6.xls'#$CCFMODEL</v>
      </c>
    </row>
    <row r="6" customFormat="false" ht="12" hidden="false" customHeight="false" outlineLevel="0" collapsed="false"/>
    <row r="7" customFormat="false" ht="12.75" hidden="false" customHeight="false" outlineLevel="0" collapsed="false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</row>
    <row r="8" customFormat="false" ht="12.75" hidden="false" customHeight="false" outlineLevel="0" collapsed="false">
      <c r="A8" s="261" t="s">
        <v>287</v>
      </c>
      <c r="B8" s="262"/>
      <c r="C8" s="262"/>
      <c r="D8" s="262" t="s">
        <v>288</v>
      </c>
      <c r="E8" s="262"/>
      <c r="F8" s="262"/>
      <c r="G8" s="262"/>
      <c r="I8" s="263" t="n">
        <f aca="false">+I$3</f>
        <v>36525</v>
      </c>
      <c r="J8" s="264" t="n">
        <f aca="false">+J$3</f>
        <v>2000</v>
      </c>
      <c r="K8" s="264" t="n">
        <f aca="false">+K$3</f>
        <v>2001</v>
      </c>
      <c r="L8" s="264" t="n">
        <f aca="false">+L$3</f>
        <v>2002</v>
      </c>
      <c r="M8" s="264" t="n">
        <f aca="false">+M$3</f>
        <v>2003</v>
      </c>
      <c r="N8" s="264" t="n">
        <f aca="false">+N$3</f>
        <v>2004</v>
      </c>
      <c r="O8" s="264" t="n">
        <f aca="false">+O$3</f>
        <v>2005</v>
      </c>
      <c r="P8" s="264" t="n">
        <f aca="false">+P$3</f>
        <v>2006</v>
      </c>
      <c r="Q8" s="264" t="n">
        <f aca="false">+Q$3</f>
        <v>2007</v>
      </c>
      <c r="R8" s="264" t="n">
        <f aca="false">+R$3</f>
        <v>2008</v>
      </c>
      <c r="S8" s="264" t="n">
        <f aca="false">+S$3</f>
        <v>2009</v>
      </c>
      <c r="T8" s="264" t="n">
        <f aca="false">+T$3</f>
        <v>2010</v>
      </c>
      <c r="U8" s="264" t="n">
        <f aca="false">+U$3</f>
        <v>2011</v>
      </c>
      <c r="V8" s="264" t="n">
        <f aca="false">+V$3</f>
        <v>2012</v>
      </c>
      <c r="W8" s="264" t="n">
        <f aca="false">+W$3</f>
        <v>2013</v>
      </c>
      <c r="X8" s="264" t="n">
        <f aca="false">+X$3</f>
        <v>2014</v>
      </c>
      <c r="Y8" s="264" t="n">
        <f aca="false">+Y$3</f>
        <v>2015</v>
      </c>
      <c r="Z8" s="264" t="n">
        <f aca="false">+Z$3</f>
        <v>2016</v>
      </c>
      <c r="AA8" s="264" t="n">
        <f aca="false">+AA$3</f>
        <v>2017</v>
      </c>
      <c r="AB8" s="264" t="n">
        <f aca="false">+AB$3</f>
        <v>2018</v>
      </c>
      <c r="AC8" s="264" t="n">
        <f aca="false">+AC$3</f>
        <v>2019</v>
      </c>
      <c r="AD8" s="264" t="n">
        <f aca="false">+AD$3</f>
        <v>2020</v>
      </c>
      <c r="AE8" s="264" t="n">
        <f aca="false">+AE$3</f>
        <v>2021</v>
      </c>
      <c r="AF8" s="264" t="n">
        <f aca="false">+AF$3</f>
        <v>2022</v>
      </c>
    </row>
    <row r="9" customFormat="false" ht="12" hidden="false" customHeight="false" outlineLevel="0" collapsed="false">
      <c r="A9" s="265" t="s">
        <v>289</v>
      </c>
      <c r="B9" s="262"/>
      <c r="C9" s="262"/>
      <c r="D9" s="266" t="s">
        <v>290</v>
      </c>
      <c r="E9" s="262"/>
      <c r="F9" s="262"/>
      <c r="G9" s="262"/>
      <c r="I9" s="262"/>
      <c r="J9" s="262"/>
      <c r="K9" s="262"/>
      <c r="L9" s="262"/>
      <c r="M9" s="267"/>
      <c r="N9" s="262"/>
      <c r="O9" s="262"/>
      <c r="P9" s="262"/>
      <c r="Q9" s="268" t="s">
        <v>291</v>
      </c>
      <c r="R9" s="262"/>
      <c r="S9" s="262"/>
      <c r="T9" s="262"/>
      <c r="U9" s="267" t="s">
        <v>292</v>
      </c>
      <c r="V9" s="262"/>
      <c r="W9" s="262"/>
      <c r="X9" s="262"/>
      <c r="Y9" s="267" t="s">
        <v>293</v>
      </c>
      <c r="Z9" s="262"/>
      <c r="AA9" s="262"/>
      <c r="AB9" s="262"/>
      <c r="AC9" s="262"/>
      <c r="AD9" s="262"/>
      <c r="AE9" s="262"/>
      <c r="AF9" s="262"/>
    </row>
    <row r="10" customFormat="false" ht="11.25" hidden="false" customHeight="false" outlineLevel="0" collapsed="false">
      <c r="A10" s="262"/>
      <c r="B10" s="252" t="s">
        <v>294</v>
      </c>
      <c r="C10" s="269" t="s">
        <v>295</v>
      </c>
      <c r="D10" s="270" t="n">
        <f aca="false">SUM(I10:AC10)</f>
        <v>0</v>
      </c>
      <c r="E10" s="270"/>
      <c r="F10" s="270"/>
      <c r="G10" s="270"/>
      <c r="H10" s="271" t="n">
        <f aca="false">Summary!J49</f>
        <v>78714.55552</v>
      </c>
      <c r="I10" s="268" t="n">
        <v>0</v>
      </c>
      <c r="J10" s="268" t="n">
        <v>0</v>
      </c>
      <c r="K10" s="268" t="n">
        <v>0</v>
      </c>
      <c r="L10" s="268" t="n">
        <v>0</v>
      </c>
      <c r="M10" s="268" t="n">
        <v>0</v>
      </c>
      <c r="N10" s="268" t="n">
        <v>0</v>
      </c>
      <c r="O10" s="268" t="n">
        <v>0</v>
      </c>
      <c r="P10" s="268" t="n">
        <v>0</v>
      </c>
      <c r="Q10" s="268" t="n">
        <v>0</v>
      </c>
      <c r="R10" s="268" t="n">
        <v>0</v>
      </c>
      <c r="S10" s="268" t="n">
        <v>0</v>
      </c>
      <c r="T10" s="268" t="n">
        <v>0</v>
      </c>
      <c r="U10" s="268" t="n">
        <v>0</v>
      </c>
      <c r="V10" s="268" t="n">
        <v>0</v>
      </c>
      <c r="W10" s="268" t="n">
        <v>0</v>
      </c>
      <c r="X10" s="268" t="n">
        <v>0</v>
      </c>
      <c r="Y10" s="268" t="n">
        <v>0</v>
      </c>
      <c r="Z10" s="268" t="n">
        <v>0</v>
      </c>
      <c r="AA10" s="268" t="n">
        <v>0</v>
      </c>
      <c r="AB10" s="268" t="n">
        <v>0</v>
      </c>
      <c r="AC10" s="268" t="n">
        <v>0</v>
      </c>
      <c r="AD10" s="268" t="n">
        <v>0</v>
      </c>
      <c r="AE10" s="268" t="n">
        <v>0</v>
      </c>
      <c r="AF10" s="268" t="n">
        <v>0</v>
      </c>
    </row>
    <row r="11" customFormat="false" ht="11.25" hidden="false" customHeight="false" outlineLevel="0" collapsed="false">
      <c r="A11" s="262"/>
      <c r="B11" s="272" t="s">
        <v>296</v>
      </c>
      <c r="C11" s="269" t="str">
        <f aca="false">IF(Summary!$O$109=0,B11,#REF!)</f>
        <v>Partial Overhaul 1</v>
      </c>
      <c r="D11" s="270" t="n">
        <f aca="false">SUM(I11:AC11)</f>
        <v>1331.9046155778</v>
      </c>
      <c r="E11" s="270"/>
      <c r="F11" s="273" t="s">
        <v>297</v>
      </c>
      <c r="G11" s="270"/>
      <c r="I11" s="268" t="n">
        <v>0</v>
      </c>
      <c r="J11" s="268" t="n">
        <v>0</v>
      </c>
      <c r="K11" s="268" t="n">
        <v>0</v>
      </c>
      <c r="L11" s="268" t="n">
        <v>0</v>
      </c>
      <c r="M11" s="268" t="n">
        <f aca="false">Summary!D44</f>
        <v>1331.9046155778</v>
      </c>
      <c r="N11" s="268" t="n">
        <v>0</v>
      </c>
      <c r="O11" s="268" t="n">
        <v>0</v>
      </c>
      <c r="P11" s="268" t="n">
        <v>0</v>
      </c>
      <c r="Q11" s="268" t="n">
        <v>0</v>
      </c>
      <c r="R11" s="268" t="n">
        <v>0</v>
      </c>
      <c r="S11" s="268" t="n">
        <v>0</v>
      </c>
      <c r="T11" s="268" t="n">
        <v>0</v>
      </c>
      <c r="U11" s="268" t="n">
        <v>0</v>
      </c>
      <c r="V11" s="268" t="n">
        <v>0</v>
      </c>
      <c r="W11" s="268" t="n">
        <v>0</v>
      </c>
      <c r="X11" s="268" t="n">
        <v>0</v>
      </c>
      <c r="Y11" s="268" t="n">
        <v>0</v>
      </c>
      <c r="Z11" s="268" t="n">
        <v>0</v>
      </c>
      <c r="AA11" s="268" t="n">
        <v>0</v>
      </c>
      <c r="AB11" s="268" t="n">
        <v>0</v>
      </c>
      <c r="AC11" s="268" t="n">
        <v>0</v>
      </c>
      <c r="AD11" s="268" t="n">
        <v>0</v>
      </c>
      <c r="AE11" s="268" t="n">
        <v>0</v>
      </c>
      <c r="AF11" s="268" t="n">
        <v>0</v>
      </c>
    </row>
    <row r="12" customFormat="false" ht="11.25" hidden="false" customHeight="false" outlineLevel="1" collapsed="false">
      <c r="A12" s="262" t="e">
        <f aca="false">PV_RACCapPrice</f>
        <v>#VALUE!</v>
      </c>
      <c r="B12" s="274" t="s">
        <v>298</v>
      </c>
      <c r="C12" s="269" t="str">
        <f aca="false">IF(Summary!$O$109=0,B12,#REF!)</f>
        <v>Complete Overhaul 1</v>
      </c>
      <c r="D12" s="270" t="n">
        <f aca="false">SUM(I12:AC12)</f>
        <v>4611.73981979569</v>
      </c>
      <c r="E12" s="270"/>
      <c r="F12" s="273" t="s">
        <v>297</v>
      </c>
      <c r="G12" s="270"/>
      <c r="H12" s="275"/>
      <c r="I12" s="268" t="n">
        <v>0</v>
      </c>
      <c r="J12" s="268" t="n">
        <v>0</v>
      </c>
      <c r="K12" s="268" t="n">
        <v>0</v>
      </c>
      <c r="L12" s="268" t="n">
        <v>0</v>
      </c>
      <c r="M12" s="268" t="n">
        <v>0</v>
      </c>
      <c r="N12" s="268" t="n">
        <v>0</v>
      </c>
      <c r="O12" s="268" t="n">
        <v>0</v>
      </c>
      <c r="P12" s="268" t="n">
        <v>0</v>
      </c>
      <c r="Q12" s="268" t="n">
        <f aca="false">Summary!D50</f>
        <v>4611.73981979569</v>
      </c>
      <c r="R12" s="268" t="n">
        <v>0</v>
      </c>
      <c r="S12" s="268" t="n">
        <v>0</v>
      </c>
      <c r="T12" s="268" t="n">
        <v>0</v>
      </c>
      <c r="U12" s="268" t="n">
        <v>0</v>
      </c>
      <c r="V12" s="268" t="n">
        <v>0</v>
      </c>
      <c r="W12" s="268" t="n">
        <v>0</v>
      </c>
      <c r="X12" s="268" t="n">
        <v>0</v>
      </c>
      <c r="Y12" s="268" t="n">
        <v>0</v>
      </c>
      <c r="Z12" s="268" t="n">
        <v>0</v>
      </c>
      <c r="AA12" s="268" t="n">
        <v>0</v>
      </c>
      <c r="AB12" s="268" t="n">
        <v>0</v>
      </c>
      <c r="AC12" s="268" t="n">
        <v>0</v>
      </c>
      <c r="AD12" s="268" t="n">
        <v>0</v>
      </c>
      <c r="AE12" s="268" t="n">
        <v>0</v>
      </c>
      <c r="AF12" s="268" t="n">
        <v>0</v>
      </c>
    </row>
    <row r="13" customFormat="false" ht="11.25" hidden="false" customHeight="false" outlineLevel="1" collapsed="false">
      <c r="A13" s="262"/>
      <c r="B13" s="274" t="s">
        <v>299</v>
      </c>
      <c r="C13" s="269" t="str">
        <f aca="false">IF(Summary!$O$109=0,B13,#REF!)</f>
        <v>Partial Overhaul 2</v>
      </c>
      <c r="D13" s="270" t="n">
        <f aca="false">SUM(I13:AC13)</f>
        <v>1870.65531397766</v>
      </c>
      <c r="E13" s="270"/>
      <c r="F13" s="273" t="s">
        <v>297</v>
      </c>
      <c r="G13" s="270"/>
      <c r="H13" s="275"/>
      <c r="I13" s="268" t="n">
        <v>0</v>
      </c>
      <c r="J13" s="268" t="n">
        <v>0</v>
      </c>
      <c r="K13" s="268" t="n">
        <v>0</v>
      </c>
      <c r="L13" s="268" t="n">
        <v>0</v>
      </c>
      <c r="M13" s="268" t="n">
        <v>0</v>
      </c>
      <c r="N13" s="268" t="n">
        <v>0</v>
      </c>
      <c r="O13" s="268" t="n">
        <v>0</v>
      </c>
      <c r="P13" s="268" t="n">
        <v>0</v>
      </c>
      <c r="Q13" s="268" t="n">
        <v>0</v>
      </c>
      <c r="R13" s="268" t="n">
        <v>0</v>
      </c>
      <c r="S13" s="268" t="n">
        <v>0</v>
      </c>
      <c r="T13" s="268" t="n">
        <v>0</v>
      </c>
      <c r="U13" s="268" t="n">
        <f aca="false">Summary!D56</f>
        <v>1870.65531397766</v>
      </c>
      <c r="V13" s="268" t="n">
        <v>0</v>
      </c>
      <c r="W13" s="268" t="n">
        <v>0</v>
      </c>
      <c r="X13" s="268" t="n">
        <v>0</v>
      </c>
      <c r="Y13" s="268" t="n">
        <v>0</v>
      </c>
      <c r="Z13" s="268" t="n">
        <v>0</v>
      </c>
      <c r="AA13" s="268" t="n">
        <v>0</v>
      </c>
      <c r="AB13" s="268" t="n">
        <v>0</v>
      </c>
      <c r="AC13" s="268" t="n">
        <v>0</v>
      </c>
      <c r="AD13" s="268" t="n">
        <v>0</v>
      </c>
      <c r="AE13" s="268" t="n">
        <v>0</v>
      </c>
      <c r="AF13" s="268" t="n">
        <v>0</v>
      </c>
    </row>
    <row r="14" customFormat="false" ht="11.25" hidden="false" customHeight="false" outlineLevel="1" collapsed="false">
      <c r="A14" s="262"/>
      <c r="B14" s="274" t="s">
        <v>300</v>
      </c>
      <c r="C14" s="269" t="str">
        <f aca="false">IF(Summary!$O$109=0,B14,#REF!)</f>
        <v>Complete Overhaul 2</v>
      </c>
      <c r="D14" s="276" t="n">
        <f aca="false">SUM(I14:AC14)</f>
        <v>6463.75753668992</v>
      </c>
      <c r="E14" s="270"/>
      <c r="F14" s="273" t="s">
        <v>297</v>
      </c>
      <c r="G14" s="270"/>
      <c r="H14" s="275"/>
      <c r="I14" s="268" t="n">
        <v>0</v>
      </c>
      <c r="J14" s="268" t="n">
        <v>0</v>
      </c>
      <c r="K14" s="268" t="n">
        <v>0</v>
      </c>
      <c r="L14" s="268" t="n">
        <v>0</v>
      </c>
      <c r="M14" s="268" t="n">
        <v>0</v>
      </c>
      <c r="N14" s="268" t="n">
        <v>0</v>
      </c>
      <c r="O14" s="268" t="n">
        <v>0</v>
      </c>
      <c r="P14" s="268" t="n">
        <v>0</v>
      </c>
      <c r="Q14" s="268" t="n">
        <v>0</v>
      </c>
      <c r="R14" s="268" t="n">
        <v>0</v>
      </c>
      <c r="S14" s="268" t="n">
        <v>0</v>
      </c>
      <c r="T14" s="268" t="n">
        <v>0</v>
      </c>
      <c r="U14" s="268" t="n">
        <v>0</v>
      </c>
      <c r="V14" s="268" t="n">
        <v>0</v>
      </c>
      <c r="W14" s="268" t="n">
        <v>0</v>
      </c>
      <c r="X14" s="268" t="n">
        <v>0</v>
      </c>
      <c r="Y14" s="268" t="n">
        <f aca="false">Summary!D62</f>
        <v>6463.75753668992</v>
      </c>
      <c r="Z14" s="268" t="n">
        <v>0</v>
      </c>
      <c r="AA14" s="268" t="n">
        <v>0</v>
      </c>
      <c r="AB14" s="268" t="n">
        <v>0</v>
      </c>
      <c r="AC14" s="268" t="n">
        <v>0</v>
      </c>
      <c r="AD14" s="268" t="n">
        <v>0</v>
      </c>
      <c r="AE14" s="268" t="n">
        <v>0</v>
      </c>
      <c r="AF14" s="268" t="n">
        <v>0</v>
      </c>
    </row>
    <row r="15" customFormat="false" ht="11.25" hidden="false" customHeight="false" outlineLevel="1" collapsed="false">
      <c r="A15" s="262"/>
      <c r="B15" s="274" t="s">
        <v>301</v>
      </c>
      <c r="C15" s="269" t="str">
        <f aca="false">IF(Summary!$O$109=0,B15,#REF!)</f>
        <v>Asset 6</v>
      </c>
      <c r="D15" s="276" t="n">
        <f aca="false">SUM(I15:AC15)</f>
        <v>0</v>
      </c>
      <c r="E15" s="270"/>
      <c r="F15" s="273" t="s">
        <v>297</v>
      </c>
      <c r="G15" s="270"/>
      <c r="H15" s="275"/>
      <c r="I15" s="268" t="n">
        <v>0</v>
      </c>
      <c r="J15" s="268" t="n">
        <v>0</v>
      </c>
      <c r="K15" s="268" t="n">
        <v>0</v>
      </c>
      <c r="L15" s="268" t="n">
        <v>0</v>
      </c>
      <c r="M15" s="268" t="n">
        <v>0</v>
      </c>
      <c r="N15" s="268" t="n">
        <v>0</v>
      </c>
      <c r="O15" s="268" t="n">
        <v>0</v>
      </c>
      <c r="P15" s="268" t="n">
        <v>0</v>
      </c>
      <c r="Q15" s="268" t="n">
        <v>0</v>
      </c>
      <c r="R15" s="268" t="n">
        <v>0</v>
      </c>
      <c r="S15" s="268" t="n">
        <v>0</v>
      </c>
      <c r="T15" s="268" t="n">
        <v>0</v>
      </c>
      <c r="U15" s="268" t="n">
        <v>0</v>
      </c>
      <c r="V15" s="268" t="n">
        <v>0</v>
      </c>
      <c r="W15" s="268" t="n">
        <v>0</v>
      </c>
      <c r="X15" s="268" t="n">
        <v>0</v>
      </c>
      <c r="Y15" s="268" t="n">
        <v>0</v>
      </c>
      <c r="Z15" s="268" t="n">
        <v>0</v>
      </c>
      <c r="AA15" s="268" t="n">
        <v>0</v>
      </c>
      <c r="AB15" s="268" t="n">
        <v>0</v>
      </c>
      <c r="AC15" s="268" t="n">
        <v>0</v>
      </c>
      <c r="AD15" s="268" t="n">
        <v>0</v>
      </c>
      <c r="AE15" s="268" t="n">
        <v>0</v>
      </c>
      <c r="AF15" s="268" t="n">
        <v>0</v>
      </c>
    </row>
    <row r="16" customFormat="false" ht="11.25" hidden="false" customHeight="false" outlineLevel="1" collapsed="false">
      <c r="A16" s="262"/>
      <c r="B16" s="274" t="s">
        <v>302</v>
      </c>
      <c r="C16" s="269" t="str">
        <f aca="false">IF(Summary!$O$109=0,B16,#REF!)</f>
        <v>Asset 7</v>
      </c>
      <c r="D16" s="276" t="n">
        <f aca="false">SUM(I16:AC16)</f>
        <v>0</v>
      </c>
      <c r="E16" s="270"/>
      <c r="F16" s="273" t="s">
        <v>297</v>
      </c>
      <c r="G16" s="270"/>
      <c r="H16" s="275"/>
      <c r="I16" s="268" t="n">
        <v>0</v>
      </c>
      <c r="J16" s="268" t="n">
        <v>0</v>
      </c>
      <c r="K16" s="268" t="n">
        <v>0</v>
      </c>
      <c r="L16" s="268" t="n">
        <v>0</v>
      </c>
      <c r="M16" s="268" t="n">
        <v>0</v>
      </c>
      <c r="N16" s="268" t="n">
        <v>0</v>
      </c>
      <c r="O16" s="268" t="n">
        <v>0</v>
      </c>
      <c r="P16" s="268" t="n">
        <v>0</v>
      </c>
      <c r="Q16" s="268" t="n">
        <v>0</v>
      </c>
      <c r="R16" s="268" t="n">
        <v>0</v>
      </c>
      <c r="S16" s="268" t="n">
        <v>0</v>
      </c>
      <c r="T16" s="268" t="n">
        <v>0</v>
      </c>
      <c r="U16" s="268" t="n">
        <v>0</v>
      </c>
      <c r="V16" s="268" t="n">
        <v>0</v>
      </c>
      <c r="W16" s="268" t="n">
        <v>0</v>
      </c>
      <c r="X16" s="268" t="n">
        <v>0</v>
      </c>
      <c r="Y16" s="268" t="n">
        <v>0</v>
      </c>
      <c r="Z16" s="268" t="n">
        <v>0</v>
      </c>
      <c r="AA16" s="268" t="n">
        <v>0</v>
      </c>
      <c r="AB16" s="268" t="n">
        <v>0</v>
      </c>
      <c r="AC16" s="268" t="n">
        <v>0</v>
      </c>
      <c r="AD16" s="268" t="n">
        <v>0</v>
      </c>
      <c r="AE16" s="268" t="n">
        <v>0</v>
      </c>
      <c r="AF16" s="268" t="n">
        <v>0</v>
      </c>
    </row>
    <row r="17" customFormat="false" ht="11.25" hidden="false" customHeight="false" outlineLevel="1" collapsed="false">
      <c r="A17" s="262"/>
      <c r="B17" s="274" t="s">
        <v>303</v>
      </c>
      <c r="C17" s="269" t="str">
        <f aca="false">IF(Summary!$O$109=0,B17,#REF!)</f>
        <v>Asset 8</v>
      </c>
      <c r="D17" s="276" t="n">
        <f aca="false">SUM(I17:AC17)</f>
        <v>0</v>
      </c>
      <c r="E17" s="270"/>
      <c r="F17" s="273" t="s">
        <v>297</v>
      </c>
      <c r="G17" s="270"/>
      <c r="H17" s="275"/>
      <c r="I17" s="268" t="n">
        <v>0</v>
      </c>
      <c r="J17" s="268" t="n">
        <v>0</v>
      </c>
      <c r="K17" s="268" t="n">
        <v>0</v>
      </c>
      <c r="L17" s="268" t="n">
        <v>0</v>
      </c>
      <c r="M17" s="268" t="n">
        <v>0</v>
      </c>
      <c r="N17" s="268" t="n">
        <v>0</v>
      </c>
      <c r="O17" s="268" t="n">
        <v>0</v>
      </c>
      <c r="P17" s="268" t="n">
        <v>0</v>
      </c>
      <c r="Q17" s="268" t="n">
        <v>0</v>
      </c>
      <c r="R17" s="268" t="n">
        <v>0</v>
      </c>
      <c r="S17" s="268" t="n">
        <v>0</v>
      </c>
      <c r="T17" s="268" t="n">
        <v>0</v>
      </c>
      <c r="U17" s="268" t="n">
        <v>0</v>
      </c>
      <c r="V17" s="268" t="n">
        <v>0</v>
      </c>
      <c r="W17" s="268" t="n">
        <v>0</v>
      </c>
      <c r="X17" s="268" t="n">
        <v>0</v>
      </c>
      <c r="Y17" s="268" t="n">
        <v>0</v>
      </c>
      <c r="Z17" s="268" t="n">
        <v>0</v>
      </c>
      <c r="AA17" s="268" t="n">
        <v>0</v>
      </c>
      <c r="AB17" s="268" t="n">
        <v>0</v>
      </c>
      <c r="AC17" s="268" t="n">
        <v>0</v>
      </c>
      <c r="AD17" s="268" t="n">
        <v>0</v>
      </c>
      <c r="AE17" s="268" t="n">
        <v>0</v>
      </c>
      <c r="AF17" s="268" t="n">
        <v>0</v>
      </c>
    </row>
    <row r="18" customFormat="false" ht="11.25" hidden="false" customHeight="false" outlineLevel="1" collapsed="false">
      <c r="A18" s="262"/>
      <c r="B18" s="274" t="s">
        <v>304</v>
      </c>
      <c r="C18" s="269" t="str">
        <f aca="false">IF(Summary!$O$109=0,B18,#REF!)</f>
        <v>Asset 9</v>
      </c>
      <c r="D18" s="276" t="n">
        <f aca="false">SUM(I18:AC18)</f>
        <v>0</v>
      </c>
      <c r="E18" s="270"/>
      <c r="F18" s="273" t="s">
        <v>297</v>
      </c>
      <c r="G18" s="270"/>
      <c r="H18" s="275"/>
      <c r="I18" s="268" t="n">
        <v>0</v>
      </c>
      <c r="J18" s="268" t="n">
        <v>0</v>
      </c>
      <c r="K18" s="268" t="n">
        <v>0</v>
      </c>
      <c r="L18" s="268" t="n">
        <v>0</v>
      </c>
      <c r="M18" s="268" t="n">
        <v>0</v>
      </c>
      <c r="N18" s="268" t="n">
        <v>0</v>
      </c>
      <c r="O18" s="268" t="n">
        <v>0</v>
      </c>
      <c r="P18" s="268" t="n">
        <v>0</v>
      </c>
      <c r="Q18" s="268" t="n">
        <v>0</v>
      </c>
      <c r="R18" s="268" t="n">
        <v>0</v>
      </c>
      <c r="S18" s="268" t="n">
        <v>0</v>
      </c>
      <c r="T18" s="268" t="n">
        <v>0</v>
      </c>
      <c r="U18" s="268" t="n">
        <v>0</v>
      </c>
      <c r="V18" s="268" t="n">
        <v>0</v>
      </c>
      <c r="W18" s="268" t="n">
        <v>0</v>
      </c>
      <c r="X18" s="268" t="n">
        <v>0</v>
      </c>
      <c r="Y18" s="268" t="n">
        <v>0</v>
      </c>
      <c r="Z18" s="268" t="n">
        <v>0</v>
      </c>
      <c r="AA18" s="268" t="n">
        <v>0</v>
      </c>
      <c r="AB18" s="268" t="n">
        <v>0</v>
      </c>
      <c r="AC18" s="268" t="n">
        <v>0</v>
      </c>
      <c r="AD18" s="268" t="n">
        <v>0</v>
      </c>
      <c r="AE18" s="268" t="n">
        <v>0</v>
      </c>
      <c r="AF18" s="268" t="n">
        <v>0</v>
      </c>
    </row>
    <row r="19" customFormat="false" ht="11.25" hidden="false" customHeight="false" outlineLevel="1" collapsed="false">
      <c r="A19" s="262"/>
      <c r="B19" s="274" t="s">
        <v>305</v>
      </c>
      <c r="C19" s="269" t="str">
        <f aca="false">IF(Summary!$O$109=0,B19,#REF!)</f>
        <v>Asset 10</v>
      </c>
      <c r="D19" s="277" t="n">
        <f aca="false">SUM(I19:AC19)</f>
        <v>0</v>
      </c>
      <c r="E19" s="270"/>
      <c r="F19" s="270"/>
      <c r="G19" s="270"/>
      <c r="H19" s="275"/>
      <c r="I19" s="278" t="n">
        <v>0</v>
      </c>
      <c r="J19" s="278" t="n">
        <v>0</v>
      </c>
      <c r="K19" s="278" t="n">
        <v>0</v>
      </c>
      <c r="L19" s="278" t="n">
        <v>0</v>
      </c>
      <c r="M19" s="278" t="n">
        <v>0</v>
      </c>
      <c r="N19" s="278" t="n">
        <v>0</v>
      </c>
      <c r="O19" s="278" t="n">
        <v>0</v>
      </c>
      <c r="P19" s="278" t="n">
        <v>0</v>
      </c>
      <c r="Q19" s="278" t="n">
        <v>0</v>
      </c>
      <c r="R19" s="278" t="n">
        <v>0</v>
      </c>
      <c r="S19" s="278" t="n">
        <v>0</v>
      </c>
      <c r="T19" s="278" t="n">
        <v>0</v>
      </c>
      <c r="U19" s="278" t="n">
        <v>0</v>
      </c>
      <c r="V19" s="278" t="n">
        <v>0</v>
      </c>
      <c r="W19" s="278" t="n">
        <v>0</v>
      </c>
      <c r="X19" s="278" t="n">
        <v>0</v>
      </c>
      <c r="Y19" s="278" t="n">
        <v>0</v>
      </c>
      <c r="Z19" s="278" t="n">
        <v>0</v>
      </c>
      <c r="AA19" s="278" t="n">
        <v>0</v>
      </c>
      <c r="AB19" s="278" t="n">
        <v>0</v>
      </c>
      <c r="AC19" s="278" t="n">
        <v>0</v>
      </c>
      <c r="AD19" s="278" t="n">
        <v>0</v>
      </c>
      <c r="AE19" s="278" t="n">
        <v>0</v>
      </c>
      <c r="AF19" s="278" t="n">
        <v>0</v>
      </c>
    </row>
    <row r="20" customFormat="false" ht="11.25" hidden="false" customHeight="false" outlineLevel="0" collapsed="false">
      <c r="A20" s="262"/>
      <c r="C20" s="279" t="s">
        <v>306</v>
      </c>
      <c r="D20" s="270" t="n">
        <f aca="false">SUM(D10:D19)</f>
        <v>14278.0572860411</v>
      </c>
      <c r="E20" s="268" t="n">
        <v>0</v>
      </c>
      <c r="F20" s="268" t="n">
        <v>0</v>
      </c>
      <c r="G20" s="268" t="n">
        <v>0</v>
      </c>
      <c r="H20" s="270" t="n">
        <f aca="false">SUM(H10:H19)</f>
        <v>78714.55552</v>
      </c>
      <c r="I20" s="270" t="n">
        <f aca="false">SUM(I10:I19)</f>
        <v>0</v>
      </c>
      <c r="J20" s="270" t="n">
        <f aca="false">SUM(J10:J19)</f>
        <v>0</v>
      </c>
      <c r="K20" s="270" t="n">
        <f aca="false">SUM(K10:K19)</f>
        <v>0</v>
      </c>
      <c r="L20" s="270" t="n">
        <f aca="false">SUM(L10:L19)</f>
        <v>0</v>
      </c>
      <c r="M20" s="270" t="n">
        <f aca="false">SUM(M10:M19)</f>
        <v>1331.9046155778</v>
      </c>
      <c r="N20" s="270" t="n">
        <f aca="false">SUM(N10:N19)</f>
        <v>0</v>
      </c>
      <c r="O20" s="270" t="n">
        <f aca="false">SUM(O10:O19)</f>
        <v>0</v>
      </c>
      <c r="P20" s="270" t="n">
        <f aca="false">SUM(P10:P19)</f>
        <v>0</v>
      </c>
      <c r="Q20" s="270" t="n">
        <f aca="false">SUM(Q10:Q19)</f>
        <v>4611.73981979569</v>
      </c>
      <c r="R20" s="270" t="n">
        <f aca="false">SUM(R10:R19)</f>
        <v>0</v>
      </c>
      <c r="S20" s="270" t="n">
        <f aca="false">SUM(S10:S19)</f>
        <v>0</v>
      </c>
      <c r="T20" s="270" t="n">
        <f aca="false">SUM(T10:T19)</f>
        <v>0</v>
      </c>
      <c r="U20" s="270" t="n">
        <f aca="false">SUM(U10:U19)</f>
        <v>1870.65531397766</v>
      </c>
      <c r="V20" s="270" t="n">
        <f aca="false">SUM(V10:V19)</f>
        <v>0</v>
      </c>
      <c r="W20" s="270" t="n">
        <f aca="false">SUM(W10:W19)</f>
        <v>0</v>
      </c>
      <c r="X20" s="270" t="n">
        <f aca="false">SUM(X10:X19)</f>
        <v>0</v>
      </c>
      <c r="Y20" s="270" t="n">
        <f aca="false">SUM(Y10:Y19)</f>
        <v>6463.75753668992</v>
      </c>
      <c r="Z20" s="270" t="n">
        <f aca="false">SUM(Z10:Z19)</f>
        <v>0</v>
      </c>
      <c r="AA20" s="270" t="n">
        <f aca="false">SUM(AA10:AA19)</f>
        <v>0</v>
      </c>
      <c r="AB20" s="270" t="n">
        <f aca="false">SUM(AB10:AB19)</f>
        <v>0</v>
      </c>
      <c r="AC20" s="270" t="n">
        <f aca="false">SUM(AC10:AC19)</f>
        <v>0</v>
      </c>
      <c r="AD20" s="270" t="n">
        <f aca="false">SUM(AD10:AD19)</f>
        <v>0</v>
      </c>
      <c r="AE20" s="270" t="n">
        <f aca="false">SUM(AE10:AE19)</f>
        <v>0</v>
      </c>
      <c r="AF20" s="270" t="n">
        <f aca="false">SUM(AF10:AF19)</f>
        <v>0</v>
      </c>
    </row>
    <row r="21" customFormat="false" ht="11.25" hidden="false" customHeight="false" outlineLevel="0" collapsed="false">
      <c r="A21" s="262"/>
      <c r="C21" s="279"/>
      <c r="D21" s="270"/>
      <c r="E21" s="270"/>
      <c r="F21" s="270"/>
      <c r="G21" s="270"/>
      <c r="H21" s="275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</row>
    <row r="22" customFormat="false" ht="11.25" hidden="false" customHeight="false" outlineLevel="0" collapsed="false">
      <c r="A22" s="280" t="s">
        <v>307</v>
      </c>
      <c r="C22" s="279"/>
      <c r="D22" s="270"/>
      <c r="E22" s="270"/>
      <c r="F22" s="270"/>
      <c r="G22" s="270"/>
      <c r="H22" s="275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</row>
    <row r="23" customFormat="false" ht="11.25" hidden="false" customHeight="false" outlineLevel="0" collapsed="false">
      <c r="A23" s="241"/>
      <c r="B23" s="241"/>
      <c r="C23" s="269" t="s">
        <v>308</v>
      </c>
      <c r="D23" s="270" t="n">
        <f aca="false">SUM(I23:AC23)</f>
        <v>0</v>
      </c>
      <c r="E23" s="270"/>
      <c r="F23" s="270"/>
      <c r="G23" s="270"/>
      <c r="H23" s="275"/>
      <c r="I23" s="268" t="n">
        <v>0</v>
      </c>
      <c r="J23" s="268" t="n">
        <v>0</v>
      </c>
      <c r="K23" s="268" t="n">
        <v>0</v>
      </c>
      <c r="L23" s="268" t="n">
        <v>0</v>
      </c>
      <c r="M23" s="268" t="n">
        <v>0</v>
      </c>
      <c r="N23" s="268" t="n">
        <v>0</v>
      </c>
      <c r="O23" s="268" t="n">
        <v>0</v>
      </c>
      <c r="P23" s="268" t="n">
        <v>0</v>
      </c>
      <c r="Q23" s="268" t="n">
        <v>0</v>
      </c>
      <c r="R23" s="268" t="n">
        <v>0</v>
      </c>
      <c r="S23" s="268" t="n">
        <v>0</v>
      </c>
      <c r="T23" s="268" t="n">
        <v>0</v>
      </c>
      <c r="U23" s="268" t="n">
        <v>0</v>
      </c>
      <c r="V23" s="268" t="n">
        <v>0</v>
      </c>
      <c r="W23" s="268" t="n">
        <v>0</v>
      </c>
      <c r="X23" s="268" t="n">
        <v>0</v>
      </c>
      <c r="Y23" s="268" t="n">
        <v>0</v>
      </c>
      <c r="Z23" s="268" t="n">
        <v>0</v>
      </c>
      <c r="AA23" s="268" t="n">
        <v>0</v>
      </c>
      <c r="AB23" s="268" t="n">
        <v>0</v>
      </c>
      <c r="AC23" s="268" t="n">
        <v>0</v>
      </c>
      <c r="AD23" s="268" t="n">
        <v>0</v>
      </c>
      <c r="AE23" s="268" t="n">
        <v>0</v>
      </c>
      <c r="AF23" s="268" t="n">
        <v>0</v>
      </c>
    </row>
    <row r="24" customFormat="false" ht="11.25" hidden="false" customHeight="false" outlineLevel="1" collapsed="false">
      <c r="A24" s="259" t="s">
        <v>309</v>
      </c>
      <c r="B24" s="281" t="n">
        <v>0.13</v>
      </c>
      <c r="C24" s="282" t="s">
        <v>310</v>
      </c>
      <c r="D24" s="277" t="n">
        <f aca="false">SUM(I24:AC24)</f>
        <v>0</v>
      </c>
      <c r="E24" s="270"/>
      <c r="F24" s="270"/>
      <c r="G24" s="270"/>
      <c r="H24" s="275"/>
      <c r="I24" s="278" t="n">
        <v>0</v>
      </c>
      <c r="J24" s="278" t="n">
        <v>0</v>
      </c>
      <c r="K24" s="278" t="n">
        <v>0</v>
      </c>
      <c r="L24" s="278" t="n">
        <v>0</v>
      </c>
      <c r="M24" s="278" t="n">
        <v>0</v>
      </c>
      <c r="N24" s="278" t="n">
        <v>0</v>
      </c>
      <c r="O24" s="278" t="n">
        <v>0</v>
      </c>
      <c r="P24" s="278" t="n">
        <v>0</v>
      </c>
      <c r="Q24" s="278" t="n">
        <v>0</v>
      </c>
      <c r="R24" s="278" t="n">
        <v>0</v>
      </c>
      <c r="S24" s="278" t="n">
        <v>0</v>
      </c>
      <c r="T24" s="278" t="n">
        <v>0</v>
      </c>
      <c r="U24" s="278" t="n">
        <v>0</v>
      </c>
      <c r="V24" s="278" t="n">
        <v>0</v>
      </c>
      <c r="W24" s="278" t="n">
        <v>0</v>
      </c>
      <c r="X24" s="278" t="n">
        <v>0</v>
      </c>
      <c r="Y24" s="278" t="n">
        <v>0</v>
      </c>
      <c r="Z24" s="278" t="n">
        <v>0</v>
      </c>
      <c r="AA24" s="278" t="n">
        <v>0</v>
      </c>
      <c r="AB24" s="278" t="n">
        <v>0</v>
      </c>
      <c r="AC24" s="278" t="n">
        <v>0</v>
      </c>
      <c r="AD24" s="278" t="n">
        <v>0</v>
      </c>
      <c r="AE24" s="278" t="n">
        <v>0</v>
      </c>
      <c r="AF24" s="278" t="n">
        <v>0</v>
      </c>
    </row>
    <row r="25" customFormat="false" ht="11.25" hidden="false" customHeight="false" outlineLevel="0" collapsed="false">
      <c r="A25" s="283"/>
      <c r="C25" s="279" t="s">
        <v>311</v>
      </c>
      <c r="D25" s="276" t="n">
        <f aca="false">SUM(D23:D24)</f>
        <v>0</v>
      </c>
      <c r="E25" s="268" t="n">
        <v>0</v>
      </c>
      <c r="F25" s="268" t="n">
        <v>0</v>
      </c>
      <c r="G25" s="268" t="n">
        <v>0</v>
      </c>
      <c r="H25" s="271" t="n">
        <v>0</v>
      </c>
      <c r="I25" s="276" t="n">
        <f aca="false">SUM(I23:I24)</f>
        <v>0</v>
      </c>
      <c r="J25" s="276" t="n">
        <f aca="false">SUM(J23:J24)</f>
        <v>0</v>
      </c>
      <c r="K25" s="276" t="n">
        <f aca="false">SUM(K23:K24)</f>
        <v>0</v>
      </c>
      <c r="L25" s="276" t="n">
        <f aca="false">SUM(L23:L24)</f>
        <v>0</v>
      </c>
      <c r="M25" s="276" t="n">
        <f aca="false">SUM(M23:M24)</f>
        <v>0</v>
      </c>
      <c r="N25" s="276" t="n">
        <f aca="false">SUM(N23:N24)</f>
        <v>0</v>
      </c>
      <c r="O25" s="276" t="n">
        <f aca="false">SUM(O23:O24)</f>
        <v>0</v>
      </c>
      <c r="P25" s="276" t="n">
        <f aca="false">SUM(P23:P24)</f>
        <v>0</v>
      </c>
      <c r="Q25" s="276" t="n">
        <f aca="false">SUM(Q23:Q24)</f>
        <v>0</v>
      </c>
      <c r="R25" s="276" t="n">
        <f aca="false">SUM(R23:R24)</f>
        <v>0</v>
      </c>
      <c r="S25" s="276" t="n">
        <f aca="false">SUM(S23:S24)</f>
        <v>0</v>
      </c>
      <c r="T25" s="276" t="n">
        <f aca="false">SUM(T23:T24)</f>
        <v>0</v>
      </c>
      <c r="U25" s="276" t="n">
        <f aca="false">SUM(U23:U24)</f>
        <v>0</v>
      </c>
      <c r="V25" s="276" t="n">
        <f aca="false">SUM(V23:V24)</f>
        <v>0</v>
      </c>
      <c r="W25" s="276" t="n">
        <f aca="false">SUM(W23:W24)</f>
        <v>0</v>
      </c>
      <c r="X25" s="276" t="n">
        <f aca="false">SUM(X23:X24)</f>
        <v>0</v>
      </c>
      <c r="Y25" s="276" t="n">
        <f aca="false">SUM(Y23:Y24)</f>
        <v>0</v>
      </c>
      <c r="Z25" s="276" t="n">
        <f aca="false">SUM(Z23:Z24)</f>
        <v>0</v>
      </c>
      <c r="AA25" s="276" t="n">
        <f aca="false">SUM(AA23:AA24)</f>
        <v>0</v>
      </c>
      <c r="AB25" s="276" t="n">
        <f aca="false">SUM(AB23:AB24)</f>
        <v>0</v>
      </c>
      <c r="AC25" s="276" t="n">
        <f aca="false">SUM(AC23:AC24)</f>
        <v>0</v>
      </c>
      <c r="AD25" s="276" t="n">
        <f aca="false">SUM(AD23:AD24)</f>
        <v>0</v>
      </c>
      <c r="AE25" s="276" t="n">
        <f aca="false">SUM(AE23:AE24)</f>
        <v>0</v>
      </c>
      <c r="AF25" s="276" t="n">
        <f aca="false">SUM(AF23:AF24)</f>
        <v>0</v>
      </c>
    </row>
    <row r="26" customFormat="false" ht="11.25" hidden="false" customHeight="false" outlineLevel="0" collapsed="false">
      <c r="A26" s="283"/>
      <c r="B26" s="279"/>
      <c r="C26" s="262"/>
      <c r="D26" s="270"/>
      <c r="E26" s="270"/>
      <c r="F26" s="270"/>
      <c r="G26" s="270"/>
      <c r="H26" s="275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</row>
    <row r="27" customFormat="false" ht="11.25" hidden="false" customHeight="false" outlineLevel="0" collapsed="false">
      <c r="A27" s="280" t="s">
        <v>312</v>
      </c>
      <c r="B27" s="279"/>
      <c r="C27" s="262"/>
      <c r="D27" s="270" t="n">
        <f aca="false">SUM(I27:AC27)</f>
        <v>0</v>
      </c>
      <c r="E27" s="268" t="n">
        <v>0</v>
      </c>
      <c r="F27" s="268" t="n">
        <v>0</v>
      </c>
      <c r="G27" s="268" t="n">
        <v>0</v>
      </c>
      <c r="H27" s="271" t="n">
        <v>0</v>
      </c>
      <c r="I27" s="268" t="n">
        <v>0</v>
      </c>
      <c r="J27" s="268" t="n">
        <v>0</v>
      </c>
      <c r="K27" s="268" t="n">
        <v>0</v>
      </c>
      <c r="L27" s="268" t="n">
        <v>0</v>
      </c>
      <c r="M27" s="268" t="n">
        <v>0</v>
      </c>
      <c r="N27" s="268" t="n">
        <v>0</v>
      </c>
      <c r="O27" s="268" t="n">
        <v>0</v>
      </c>
      <c r="P27" s="268" t="n">
        <v>0</v>
      </c>
      <c r="Q27" s="268" t="n">
        <v>0</v>
      </c>
      <c r="R27" s="268" t="n">
        <v>0</v>
      </c>
      <c r="S27" s="268" t="n">
        <v>0</v>
      </c>
      <c r="T27" s="268" t="n">
        <v>0</v>
      </c>
      <c r="U27" s="268" t="n">
        <v>0</v>
      </c>
      <c r="V27" s="268" t="n">
        <v>0</v>
      </c>
      <c r="W27" s="268" t="n">
        <v>0</v>
      </c>
      <c r="X27" s="268" t="n">
        <v>0</v>
      </c>
      <c r="Y27" s="268" t="n">
        <v>0</v>
      </c>
      <c r="Z27" s="268" t="n">
        <v>0</v>
      </c>
      <c r="AA27" s="268" t="n">
        <v>0</v>
      </c>
      <c r="AB27" s="268" t="n">
        <v>0</v>
      </c>
      <c r="AC27" s="268" t="n">
        <v>0</v>
      </c>
      <c r="AD27" s="268" t="n">
        <v>0</v>
      </c>
      <c r="AE27" s="268" t="n">
        <v>0</v>
      </c>
      <c r="AF27" s="268" t="n">
        <v>0</v>
      </c>
    </row>
    <row r="28" customFormat="false" ht="11.25" hidden="false" customHeight="false" outlineLevel="0" collapsed="false">
      <c r="A28" s="283"/>
      <c r="B28" s="279"/>
      <c r="C28" s="262"/>
      <c r="D28" s="270"/>
      <c r="E28" s="270"/>
      <c r="F28" s="270"/>
      <c r="G28" s="270"/>
      <c r="H28" s="275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</row>
    <row r="29" customFormat="false" ht="11.25" hidden="false" customHeight="false" outlineLevel="0" collapsed="false">
      <c r="A29" s="284" t="s">
        <v>313</v>
      </c>
      <c r="B29" s="279"/>
      <c r="C29" s="262"/>
      <c r="D29" s="270" t="n">
        <f aca="false">+D27+D25+D20</f>
        <v>14278.0572860411</v>
      </c>
      <c r="E29" s="270" t="n">
        <f aca="false">+E27+E25+E20</f>
        <v>0</v>
      </c>
      <c r="F29" s="270" t="n">
        <f aca="false">+F27+F25+F20</f>
        <v>0</v>
      </c>
      <c r="G29" s="270" t="n">
        <f aca="false">+G27+G25+G20</f>
        <v>0</v>
      </c>
      <c r="H29" s="270" t="n">
        <f aca="false">+H27+H25+H20</f>
        <v>78714.55552</v>
      </c>
      <c r="I29" s="270" t="n">
        <f aca="false">+I27+I25+I20</f>
        <v>0</v>
      </c>
      <c r="J29" s="270" t="n">
        <f aca="false">+J27+J25+J20</f>
        <v>0</v>
      </c>
      <c r="K29" s="270" t="n">
        <f aca="false">+K27+K25+K20</f>
        <v>0</v>
      </c>
      <c r="L29" s="270" t="n">
        <f aca="false">+L27+L25+L20</f>
        <v>0</v>
      </c>
      <c r="M29" s="270" t="n">
        <f aca="false">+M27+M25+M20</f>
        <v>1331.9046155778</v>
      </c>
      <c r="N29" s="270" t="n">
        <f aca="false">+N27+N25+N20</f>
        <v>0</v>
      </c>
      <c r="O29" s="270" t="n">
        <f aca="false">+O27+O25+O20</f>
        <v>0</v>
      </c>
      <c r="P29" s="270" t="n">
        <f aca="false">+P27+P25+P20</f>
        <v>0</v>
      </c>
      <c r="Q29" s="270" t="n">
        <f aca="false">+Q27+Q25+Q20</f>
        <v>4611.73981979569</v>
      </c>
      <c r="R29" s="270" t="n">
        <f aca="false">+R27+R25+R20</f>
        <v>0</v>
      </c>
      <c r="S29" s="270" t="n">
        <f aca="false">+S27+S25+S20</f>
        <v>0</v>
      </c>
      <c r="T29" s="270" t="n">
        <f aca="false">+T27+T25+T20</f>
        <v>0</v>
      </c>
      <c r="U29" s="270" t="n">
        <f aca="false">+U27+U25+U20</f>
        <v>1870.65531397766</v>
      </c>
      <c r="V29" s="270" t="n">
        <f aca="false">+V27+V25+V20</f>
        <v>0</v>
      </c>
      <c r="W29" s="270" t="n">
        <f aca="false">+W27+W25+W20</f>
        <v>0</v>
      </c>
      <c r="X29" s="270" t="n">
        <f aca="false">+X27+X25+X20</f>
        <v>0</v>
      </c>
      <c r="Y29" s="270" t="n">
        <f aca="false">+Y27+Y25+Y20</f>
        <v>6463.75753668992</v>
      </c>
      <c r="Z29" s="270" t="n">
        <f aca="false">+Z27+Z25+Z20</f>
        <v>0</v>
      </c>
      <c r="AA29" s="270" t="n">
        <f aca="false">+AA27+AA25+AA20</f>
        <v>0</v>
      </c>
      <c r="AB29" s="270" t="n">
        <f aca="false">+AB27+AB25+AB20</f>
        <v>0</v>
      </c>
      <c r="AC29" s="270" t="n">
        <f aca="false">+AC27+AC25+AC20</f>
        <v>0</v>
      </c>
      <c r="AD29" s="270" t="n">
        <f aca="false">+AD27+AD25+AD20</f>
        <v>0</v>
      </c>
      <c r="AE29" s="270" t="n">
        <f aca="false">+AE27+AE25+AE20</f>
        <v>0</v>
      </c>
      <c r="AF29" s="270" t="n">
        <f aca="false">+AF27+AF25+AF20</f>
        <v>0</v>
      </c>
    </row>
    <row r="30" customFormat="false" ht="11.25" hidden="false" customHeight="false" outlineLevel="0" collapsed="false">
      <c r="A30" s="285"/>
      <c r="B30" s="279"/>
      <c r="C30" s="262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</row>
    <row r="31" customFormat="false" ht="12" hidden="false" customHeight="false" outlineLevel="0" collapsed="false">
      <c r="A31" s="286"/>
      <c r="B31" s="287"/>
      <c r="C31" s="288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</row>
    <row r="32" customFormat="false" ht="12.75" hidden="false" customHeight="false" outlineLevel="0" collapsed="false">
      <c r="A32" s="285"/>
      <c r="B32" s="279"/>
      <c r="C32" s="262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</row>
    <row r="33" customFormat="false" ht="12" hidden="false" customHeight="false" outlineLevel="0" collapsed="false">
      <c r="A33" s="260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I33" s="235" t="s">
        <v>314</v>
      </c>
    </row>
    <row r="34" customFormat="false" ht="11.25" hidden="false" customHeight="false" outlineLevel="0" collapsed="false">
      <c r="A34" s="290" t="s">
        <v>315</v>
      </c>
      <c r="AI34" s="235" t="s">
        <v>316</v>
      </c>
    </row>
    <row r="35" customFormat="false" ht="11.25" hidden="false" customHeight="false" outlineLevel="0" collapsed="false">
      <c r="A35" s="290"/>
      <c r="AG35" s="291"/>
      <c r="AI35" s="291" t="s">
        <v>317</v>
      </c>
    </row>
    <row r="36" customFormat="false" ht="11.25" hidden="false" customHeight="false" outlineLevel="0" collapsed="false">
      <c r="A36" s="290"/>
      <c r="C36" s="292" t="s">
        <v>318</v>
      </c>
      <c r="D36" s="292"/>
      <c r="E36" s="292"/>
      <c r="F36" s="292"/>
      <c r="G36" s="292"/>
      <c r="H36" s="292"/>
      <c r="I36" s="292"/>
      <c r="L36" s="292" t="s">
        <v>319</v>
      </c>
      <c r="M36" s="292"/>
      <c r="N36" s="292"/>
      <c r="O36" s="292"/>
      <c r="P36" s="292"/>
      <c r="Q36" s="292"/>
      <c r="R36" s="292"/>
      <c r="S36" s="292"/>
      <c r="AG36" s="291"/>
      <c r="AI36" s="291" t="s">
        <v>320</v>
      </c>
    </row>
    <row r="37" customFormat="false" ht="11.25" hidden="false" customHeight="false" outlineLevel="0" collapsed="false">
      <c r="C37" s="293"/>
      <c r="I37" s="294"/>
      <c r="L37" s="295"/>
      <c r="S37" s="294"/>
    </row>
    <row r="38" customFormat="false" ht="11.25" hidden="false" customHeight="false" outlineLevel="0" collapsed="false">
      <c r="C38" s="293"/>
      <c r="F38" s="259" t="s">
        <v>321</v>
      </c>
      <c r="I38" s="294"/>
      <c r="L38" s="293"/>
      <c r="S38" s="294"/>
    </row>
    <row r="39" customFormat="false" ht="11.25" hidden="false" customHeight="false" outlineLevel="0" collapsed="false">
      <c r="C39" s="293"/>
      <c r="D39" s="296" t="s">
        <v>322</v>
      </c>
      <c r="E39" s="296" t="s">
        <v>323</v>
      </c>
      <c r="F39" s="297" t="s">
        <v>324</v>
      </c>
      <c r="G39" s="298"/>
      <c r="H39" s="299" t="s">
        <v>325</v>
      </c>
      <c r="I39" s="294" t="s">
        <v>326</v>
      </c>
      <c r="L39" s="293"/>
      <c r="M39" s="298"/>
      <c r="N39" s="296" t="s">
        <v>322</v>
      </c>
      <c r="O39" s="296" t="s">
        <v>323</v>
      </c>
      <c r="P39" s="296" t="s">
        <v>321</v>
      </c>
      <c r="Q39" s="298"/>
      <c r="R39" s="299" t="s">
        <v>325</v>
      </c>
      <c r="S39" s="294" t="s">
        <v>326</v>
      </c>
    </row>
    <row r="40" customFormat="false" ht="11.25" hidden="false" customHeight="false" outlineLevel="0" collapsed="false">
      <c r="A40" s="252" t="s">
        <v>289</v>
      </c>
      <c r="C40" s="300" t="s">
        <v>327</v>
      </c>
      <c r="D40" s="301" t="s">
        <v>328</v>
      </c>
      <c r="E40" s="301" t="s">
        <v>329</v>
      </c>
      <c r="F40" s="301" t="s">
        <v>330</v>
      </c>
      <c r="G40" s="301" t="s">
        <v>331</v>
      </c>
      <c r="H40" s="302" t="s">
        <v>332</v>
      </c>
      <c r="I40" s="303" t="s">
        <v>266</v>
      </c>
      <c r="L40" s="300" t="s">
        <v>327</v>
      </c>
      <c r="M40" s="298"/>
      <c r="N40" s="301" t="s">
        <v>333</v>
      </c>
      <c r="O40" s="301" t="s">
        <v>329</v>
      </c>
      <c r="P40" s="301" t="s">
        <v>330</v>
      </c>
      <c r="Q40" s="301" t="s">
        <v>334</v>
      </c>
      <c r="R40" s="302" t="s">
        <v>332</v>
      </c>
      <c r="S40" s="303" t="s">
        <v>266</v>
      </c>
    </row>
    <row r="41" customFormat="false" ht="11.25" hidden="false" customHeight="false" outlineLevel="0" collapsed="false">
      <c r="B41" s="252"/>
      <c r="C41" s="304" t="str">
        <f aca="false">+C10</f>
        <v>Purchase Price</v>
      </c>
      <c r="D41" s="305" t="n">
        <f aca="false">SUM(H10:AF10)</f>
        <v>78714.55552</v>
      </c>
      <c r="E41" s="306" t="n">
        <v>0</v>
      </c>
      <c r="F41" s="307" t="n">
        <f aca="false">Summary!D42</f>
        <v>36373</v>
      </c>
      <c r="G41" s="308" t="n">
        <f aca="false">Summary!D39</f>
        <v>15</v>
      </c>
      <c r="H41" s="309" t="str">
        <f aca="false">Summary!D40</f>
        <v>SL</v>
      </c>
      <c r="I41" s="310" t="n">
        <f aca="false">Summary!D41</f>
        <v>0</v>
      </c>
      <c r="L41" s="311" t="str">
        <f aca="false">+C41</f>
        <v>Purchase Price</v>
      </c>
      <c r="M41" s="298"/>
      <c r="N41" s="305" t="n">
        <f aca="false">+D41</f>
        <v>78714.55552</v>
      </c>
      <c r="O41" s="306" t="n">
        <f aca="false">+E41</f>
        <v>0</v>
      </c>
      <c r="P41" s="312" t="n">
        <f aca="false">Summary!E42</f>
        <v>36373</v>
      </c>
      <c r="Q41" s="313" t="n">
        <f aca="false">Summary!E39</f>
        <v>15</v>
      </c>
      <c r="R41" s="314" t="str">
        <f aca="false">Summary!E40</f>
        <v>DB</v>
      </c>
      <c r="S41" s="315" t="n">
        <f aca="false">Summary!E41</f>
        <v>1.5</v>
      </c>
    </row>
    <row r="42" customFormat="false" ht="11.25" hidden="false" customHeight="false" outlineLevel="0" collapsed="false">
      <c r="C42" s="304" t="str">
        <f aca="false">+C11</f>
        <v>Partial Overhaul 1</v>
      </c>
      <c r="D42" s="305" t="n">
        <f aca="false">SUM(F11:AF11)</f>
        <v>1331.9046155778</v>
      </c>
      <c r="E42" s="306" t="n">
        <v>0</v>
      </c>
      <c r="F42" s="307" t="n">
        <f aca="false">IF(Summary!$O$109=0,Summary!D48,#REF!)</f>
        <v>37834</v>
      </c>
      <c r="G42" s="308" t="n">
        <f aca="false">Summary!D45</f>
        <v>8</v>
      </c>
      <c r="H42" s="309" t="str">
        <f aca="false">Summary!D46</f>
        <v>SL</v>
      </c>
      <c r="I42" s="310" t="n">
        <f aca="false">Summary!D47</f>
        <v>0</v>
      </c>
      <c r="L42" s="311" t="str">
        <f aca="false">+C42</f>
        <v>Partial Overhaul 1</v>
      </c>
      <c r="M42" s="298"/>
      <c r="N42" s="305" t="n">
        <f aca="false">+D42</f>
        <v>1331.9046155778</v>
      </c>
      <c r="O42" s="306" t="n">
        <f aca="false">+E42</f>
        <v>0</v>
      </c>
      <c r="P42" s="312" t="n">
        <f aca="false">Summary!E48</f>
        <v>37834</v>
      </c>
      <c r="Q42" s="313" t="n">
        <f aca="false">Summary!E45</f>
        <v>8</v>
      </c>
      <c r="R42" s="314" t="str">
        <f aca="false">Summary!E46</f>
        <v>DB</v>
      </c>
      <c r="S42" s="315" t="n">
        <f aca="false">Summary!E47</f>
        <v>1.5</v>
      </c>
    </row>
    <row r="43" customFormat="false" ht="11.25" hidden="false" customHeight="false" outlineLevel="1" collapsed="false">
      <c r="C43" s="304" t="str">
        <f aca="false">+C12</f>
        <v>Complete Overhaul 1</v>
      </c>
      <c r="D43" s="305" t="n">
        <f aca="false">SUM(I12:AF12)</f>
        <v>4611.73981979569</v>
      </c>
      <c r="E43" s="306" t="n">
        <v>0</v>
      </c>
      <c r="F43" s="307" t="n">
        <f aca="false">IF(Summary!$O$109=0,Summary!D44,#REF!)</f>
        <v>1331.9046155778</v>
      </c>
      <c r="G43" s="308" t="n">
        <v>8</v>
      </c>
      <c r="H43" s="309" t="str">
        <f aca="false">Summary!D52</f>
        <v>SL</v>
      </c>
      <c r="I43" s="310" t="n">
        <f aca="false">Summary!D53</f>
        <v>0</v>
      </c>
      <c r="L43" s="311" t="str">
        <f aca="false">+C43</f>
        <v>Complete Overhaul 1</v>
      </c>
      <c r="M43" s="298"/>
      <c r="N43" s="305" t="n">
        <f aca="false">+D43</f>
        <v>4611.73981979569</v>
      </c>
      <c r="O43" s="306" t="n">
        <f aca="false">+E43</f>
        <v>0</v>
      </c>
      <c r="P43" s="312" t="n">
        <f aca="false">Summary!E54</f>
        <v>39295</v>
      </c>
      <c r="Q43" s="313" t="n">
        <f aca="false">Summary!E57</f>
        <v>8</v>
      </c>
      <c r="R43" s="314" t="str">
        <f aca="false">Summary!E52</f>
        <v>DB</v>
      </c>
      <c r="S43" s="315" t="n">
        <f aca="false">Summary!E53</f>
        <v>1.5</v>
      </c>
    </row>
    <row r="44" customFormat="false" ht="11.25" hidden="false" customHeight="false" outlineLevel="1" collapsed="false">
      <c r="C44" s="304" t="str">
        <f aca="false">+C13</f>
        <v>Partial Overhaul 2</v>
      </c>
      <c r="D44" s="305" t="n">
        <f aca="false">SUM(I13:AF13)</f>
        <v>1870.65531397766</v>
      </c>
      <c r="E44" s="306" t="n">
        <v>0</v>
      </c>
      <c r="F44" s="307" t="n">
        <f aca="false">IF(Summary!$O$109=0,Summary!D60,#REF!)</f>
        <v>40756</v>
      </c>
      <c r="G44" s="308" t="n">
        <f aca="false">Summary!D57</f>
        <v>8</v>
      </c>
      <c r="H44" s="309" t="str">
        <f aca="false">Summary!D58</f>
        <v>SL</v>
      </c>
      <c r="I44" s="310" t="n">
        <f aca="false">Summary!D59</f>
        <v>0</v>
      </c>
      <c r="L44" s="311" t="str">
        <f aca="false">+C44</f>
        <v>Partial Overhaul 2</v>
      </c>
      <c r="M44" s="298"/>
      <c r="N44" s="305" t="n">
        <f aca="false">+D44</f>
        <v>1870.65531397766</v>
      </c>
      <c r="O44" s="306" t="n">
        <f aca="false">+E44</f>
        <v>0</v>
      </c>
      <c r="P44" s="312" t="n">
        <f aca="false">Summary!E60</f>
        <v>40756</v>
      </c>
      <c r="Q44" s="313" t="n">
        <f aca="false">Summary!E57</f>
        <v>8</v>
      </c>
      <c r="R44" s="314" t="str">
        <f aca="false">Summary!E58</f>
        <v>DB</v>
      </c>
      <c r="S44" s="315" t="n">
        <f aca="false">Summary!E59</f>
        <v>1.5</v>
      </c>
    </row>
    <row r="45" customFormat="false" ht="11.25" hidden="false" customHeight="false" outlineLevel="1" collapsed="false">
      <c r="C45" s="304" t="str">
        <f aca="false">+C14</f>
        <v>Complete Overhaul 2</v>
      </c>
      <c r="D45" s="305" t="n">
        <f aca="false">SUM(I14:AF14)</f>
        <v>6463.75753668992</v>
      </c>
      <c r="E45" s="306" t="n">
        <v>0</v>
      </c>
      <c r="F45" s="307" t="n">
        <f aca="false">IF(Summary!$O$109=0,Summary!D66,#REF!)</f>
        <v>42217</v>
      </c>
      <c r="G45" s="308" t="n">
        <f aca="false">Summary!D63</f>
        <v>8</v>
      </c>
      <c r="H45" s="309" t="str">
        <f aca="false">Summary!D64</f>
        <v>SL</v>
      </c>
      <c r="I45" s="310" t="n">
        <f aca="false">Summary!D65</f>
        <v>0</v>
      </c>
      <c r="L45" s="311" t="str">
        <f aca="false">+C45</f>
        <v>Complete Overhaul 2</v>
      </c>
      <c r="M45" s="298"/>
      <c r="N45" s="305" t="n">
        <f aca="false">+D45</f>
        <v>6463.75753668992</v>
      </c>
      <c r="O45" s="306" t="n">
        <f aca="false">+E45</f>
        <v>0</v>
      </c>
      <c r="P45" s="312" t="n">
        <f aca="false">Summary!E66</f>
        <v>42217</v>
      </c>
      <c r="Q45" s="313" t="n">
        <f aca="false">Summary!E63</f>
        <v>8</v>
      </c>
      <c r="R45" s="314" t="str">
        <f aca="false">Summary!E64</f>
        <v>DB</v>
      </c>
      <c r="S45" s="315" t="n">
        <f aca="false">Summary!E65</f>
        <v>1.5</v>
      </c>
    </row>
    <row r="46" customFormat="false" ht="11.25" hidden="false" customHeight="false" outlineLevel="1" collapsed="false">
      <c r="A46" s="305" t="n">
        <f aca="false">IF(Summary!$O$109=1,CCFMODEL!G651-(CCFMODEL!G651/(D41*12))*(((C46-C41)/365.25)*12),0)</f>
        <v>0</v>
      </c>
      <c r="C46" s="304" t="s">
        <v>335</v>
      </c>
      <c r="D46" s="305" t="n">
        <f aca="false">IF(Summary!$O$109=1,Summary!$J$77-(Summary!$J$77/(G41*12))*(((F46-F41)/365.25)*12),0)</f>
        <v>0</v>
      </c>
      <c r="E46" s="306" t="n">
        <v>0</v>
      </c>
      <c r="F46" s="307" t="n">
        <f aca="false">+Summary!O110</f>
        <v>36891</v>
      </c>
      <c r="G46" s="316" t="n">
        <f aca="false">G41-(+F46-F41)/365.25</f>
        <v>13.5817932922656</v>
      </c>
      <c r="H46" s="309" t="s">
        <v>105</v>
      </c>
      <c r="I46" s="310" t="n">
        <v>0</v>
      </c>
      <c r="J46" s="317" t="n">
        <v>35611</v>
      </c>
      <c r="L46" s="311" t="str">
        <f aca="false">+C46</f>
        <v>Contract Buy-Out</v>
      </c>
      <c r="M46" s="298"/>
      <c r="N46" s="306" t="n">
        <f aca="false">+D46</f>
        <v>0</v>
      </c>
      <c r="O46" s="306" t="n">
        <f aca="false">+E46</f>
        <v>0</v>
      </c>
      <c r="P46" s="307" t="n">
        <f aca="false">+F46</f>
        <v>36891</v>
      </c>
      <c r="Q46" s="316" t="n">
        <f aca="false">+G46</f>
        <v>13.5817932922656</v>
      </c>
      <c r="R46" s="309" t="s">
        <v>106</v>
      </c>
      <c r="S46" s="310" t="n">
        <v>1.5</v>
      </c>
    </row>
    <row r="47" customFormat="false" ht="11.25" hidden="false" customHeight="false" outlineLevel="1" collapsed="false">
      <c r="C47" s="304" t="str">
        <f aca="false">C15</f>
        <v>Asset 6</v>
      </c>
      <c r="D47" s="305" t="n">
        <f aca="false">SUM(I15:AF15)</f>
        <v>0</v>
      </c>
      <c r="E47" s="306" t="n">
        <v>0</v>
      </c>
      <c r="F47" s="307" t="n">
        <f aca="false">IF(Summary!$O$109=0,J46,#REF!)</f>
        <v>35611</v>
      </c>
      <c r="G47" s="308" t="n">
        <v>6</v>
      </c>
      <c r="H47" s="309" t="s">
        <v>106</v>
      </c>
      <c r="I47" s="310" t="n">
        <v>2</v>
      </c>
      <c r="L47" s="311" t="str">
        <f aca="false">+C47</f>
        <v>Asset 6</v>
      </c>
      <c r="M47" s="298"/>
      <c r="N47" s="306" t="n">
        <f aca="false">+D47</f>
        <v>0</v>
      </c>
      <c r="O47" s="306" t="n">
        <f aca="false">+E47</f>
        <v>0</v>
      </c>
      <c r="P47" s="307" t="n">
        <v>35596</v>
      </c>
      <c r="Q47" s="308" t="n">
        <v>5</v>
      </c>
      <c r="R47" s="309" t="s">
        <v>106</v>
      </c>
      <c r="S47" s="310" t="n">
        <v>2</v>
      </c>
    </row>
    <row r="48" customFormat="false" ht="11.25" hidden="false" customHeight="false" outlineLevel="1" collapsed="false">
      <c r="C48" s="304" t="str">
        <f aca="false">+C17</f>
        <v>Asset 8</v>
      </c>
      <c r="D48" s="305" t="n">
        <f aca="false">SUM(I16:AF16)</f>
        <v>0</v>
      </c>
      <c r="E48" s="306" t="n">
        <v>0</v>
      </c>
      <c r="F48" s="307" t="n">
        <f aca="false">IF(Summary!$O$109=0,J47,#REF!)</f>
        <v>0</v>
      </c>
      <c r="G48" s="308" t="n">
        <v>6</v>
      </c>
      <c r="H48" s="309" t="s">
        <v>106</v>
      </c>
      <c r="I48" s="310" t="n">
        <v>2</v>
      </c>
      <c r="L48" s="311" t="str">
        <f aca="false">+C48</f>
        <v>Asset 8</v>
      </c>
      <c r="M48" s="298"/>
      <c r="N48" s="306" t="n">
        <f aca="false">+D48</f>
        <v>0</v>
      </c>
      <c r="O48" s="306" t="n">
        <f aca="false">+E48</f>
        <v>0</v>
      </c>
      <c r="P48" s="307" t="n">
        <v>35596</v>
      </c>
      <c r="Q48" s="308" t="n">
        <v>5</v>
      </c>
      <c r="R48" s="309" t="s">
        <v>106</v>
      </c>
      <c r="S48" s="310" t="n">
        <v>2</v>
      </c>
    </row>
    <row r="49" customFormat="false" ht="11.25" hidden="false" customHeight="false" outlineLevel="1" collapsed="false">
      <c r="C49" s="304" t="str">
        <f aca="false">+C18</f>
        <v>Asset 9</v>
      </c>
      <c r="D49" s="305" t="n">
        <f aca="false">SUM(I17:AF17)</f>
        <v>0</v>
      </c>
      <c r="E49" s="306" t="n">
        <v>0</v>
      </c>
      <c r="F49" s="307" t="n">
        <f aca="false">IF(Summary!$O$109=0,J48,#REF!)</f>
        <v>0</v>
      </c>
      <c r="G49" s="308" t="n">
        <v>6</v>
      </c>
      <c r="H49" s="309" t="s">
        <v>106</v>
      </c>
      <c r="I49" s="310" t="n">
        <v>2</v>
      </c>
      <c r="L49" s="311" t="str">
        <f aca="false">+C49</f>
        <v>Asset 9</v>
      </c>
      <c r="M49" s="298"/>
      <c r="N49" s="306" t="n">
        <f aca="false">+D49</f>
        <v>0</v>
      </c>
      <c r="O49" s="306" t="n">
        <f aca="false">+E49</f>
        <v>0</v>
      </c>
      <c r="P49" s="307" t="n">
        <v>35596</v>
      </c>
      <c r="Q49" s="308" t="n">
        <v>5</v>
      </c>
      <c r="R49" s="309" t="s">
        <v>106</v>
      </c>
      <c r="S49" s="310" t="n">
        <v>2</v>
      </c>
    </row>
    <row r="50" customFormat="false" ht="11.25" hidden="false" customHeight="false" outlineLevel="1" collapsed="false">
      <c r="C50" s="304" t="str">
        <f aca="false">+C19</f>
        <v>Asset 10</v>
      </c>
      <c r="D50" s="305" t="n">
        <f aca="false">SUM(I18:AF18)</f>
        <v>0</v>
      </c>
      <c r="E50" s="318" t="n">
        <v>0</v>
      </c>
      <c r="F50" s="307" t="n">
        <f aca="false">IF(Summary!$O$109=0,J49,#REF!)</f>
        <v>0</v>
      </c>
      <c r="G50" s="308" t="n">
        <v>6</v>
      </c>
      <c r="H50" s="309" t="s">
        <v>106</v>
      </c>
      <c r="I50" s="310" t="n">
        <v>2</v>
      </c>
      <c r="L50" s="311" t="str">
        <f aca="false">+C50</f>
        <v>Asset 10</v>
      </c>
      <c r="M50" s="298"/>
      <c r="N50" s="318" t="n">
        <f aca="false">+D50</f>
        <v>0</v>
      </c>
      <c r="O50" s="318" t="n">
        <f aca="false">+E50</f>
        <v>0</v>
      </c>
      <c r="P50" s="307" t="n">
        <v>35596</v>
      </c>
      <c r="Q50" s="308" t="n">
        <v>5</v>
      </c>
      <c r="R50" s="309" t="s">
        <v>106</v>
      </c>
      <c r="S50" s="310" t="n">
        <v>2</v>
      </c>
    </row>
    <row r="51" customFormat="false" ht="11.25" hidden="false" customHeight="false" outlineLevel="0" collapsed="false">
      <c r="C51" s="319" t="s">
        <v>336</v>
      </c>
      <c r="D51" s="305" t="n">
        <f aca="false">SUM(D41:D50)</f>
        <v>92992.6128060411</v>
      </c>
      <c r="E51" s="305" t="n">
        <f aca="false">SUM(E41:E50)</f>
        <v>0</v>
      </c>
      <c r="F51" s="298"/>
      <c r="G51" s="298"/>
      <c r="H51" s="298"/>
      <c r="I51" s="294"/>
      <c r="J51" s="320"/>
      <c r="L51" s="319" t="s">
        <v>336</v>
      </c>
      <c r="M51" s="299"/>
      <c r="N51" s="305" t="n">
        <f aca="false">SUM(N41:N50)</f>
        <v>92992.6128060411</v>
      </c>
      <c r="O51" s="305" t="n">
        <f aca="false">SUM(O41:O50)</f>
        <v>0</v>
      </c>
      <c r="P51" s="298"/>
      <c r="Q51" s="298"/>
      <c r="R51" s="298"/>
      <c r="S51" s="294"/>
    </row>
    <row r="52" customFormat="false" ht="11.25" hidden="false" customHeight="false" outlineLevel="0" collapsed="false">
      <c r="C52" s="319"/>
      <c r="D52" s="321"/>
      <c r="E52" s="321"/>
      <c r="F52" s="298"/>
      <c r="G52" s="298"/>
      <c r="H52" s="298"/>
      <c r="I52" s="294"/>
      <c r="J52" s="275"/>
      <c r="L52" s="319"/>
      <c r="M52" s="298"/>
      <c r="N52" s="321"/>
      <c r="O52" s="321"/>
      <c r="P52" s="298"/>
      <c r="Q52" s="321"/>
      <c r="R52" s="321"/>
      <c r="S52" s="322"/>
      <c r="W52" s="275"/>
      <c r="X52" s="275"/>
      <c r="Y52" s="275"/>
      <c r="Z52" s="275"/>
      <c r="AA52" s="275"/>
      <c r="AB52" s="275"/>
      <c r="AC52" s="275"/>
      <c r="AD52" s="275"/>
      <c r="AE52" s="275"/>
      <c r="AF52" s="275"/>
    </row>
    <row r="53" customFormat="false" ht="11.25" hidden="false" customHeight="false" outlineLevel="0" collapsed="false">
      <c r="A53" s="323" t="s">
        <v>307</v>
      </c>
      <c r="C53" s="319"/>
      <c r="D53" s="321"/>
      <c r="E53" s="321"/>
      <c r="F53" s="298"/>
      <c r="G53" s="298"/>
      <c r="H53" s="298"/>
      <c r="I53" s="294"/>
      <c r="J53" s="275"/>
      <c r="L53" s="319"/>
      <c r="M53" s="298"/>
      <c r="N53" s="321"/>
      <c r="O53" s="321"/>
      <c r="P53" s="298"/>
      <c r="Q53" s="321"/>
      <c r="R53" s="321"/>
      <c r="S53" s="322"/>
      <c r="W53" s="275"/>
      <c r="X53" s="275"/>
      <c r="Y53" s="275"/>
      <c r="Z53" s="275"/>
      <c r="AA53" s="275"/>
      <c r="AB53" s="275"/>
      <c r="AC53" s="275"/>
      <c r="AD53" s="275"/>
      <c r="AE53" s="275"/>
      <c r="AF53" s="275"/>
    </row>
    <row r="54" customFormat="false" ht="11.25" hidden="false" customHeight="false" outlineLevel="0" collapsed="false">
      <c r="C54" s="293" t="str">
        <f aca="false">+C23</f>
        <v>Funding 1</v>
      </c>
      <c r="D54" s="305" t="n">
        <f aca="false">SUM(I23:Y23)</f>
        <v>0</v>
      </c>
      <c r="E54" s="306" t="n">
        <v>0</v>
      </c>
      <c r="F54" s="307" t="n">
        <f aca="false">F41</f>
        <v>36373</v>
      </c>
      <c r="G54" s="308" t="n">
        <v>7</v>
      </c>
      <c r="H54" s="309" t="s">
        <v>105</v>
      </c>
      <c r="I54" s="310" t="n">
        <v>1.5</v>
      </c>
      <c r="L54" s="293" t="str">
        <f aca="false">+C54</f>
        <v>Funding 1</v>
      </c>
      <c r="M54" s="298"/>
      <c r="N54" s="306" t="n">
        <f aca="false">+D54</f>
        <v>0</v>
      </c>
      <c r="O54" s="306" t="n">
        <f aca="false">+E54</f>
        <v>0</v>
      </c>
      <c r="P54" s="307" t="n">
        <f aca="false">P41</f>
        <v>36373</v>
      </c>
      <c r="Q54" s="308" t="n">
        <v>5</v>
      </c>
      <c r="R54" s="309" t="s">
        <v>105</v>
      </c>
      <c r="S54" s="310" t="n">
        <v>2</v>
      </c>
    </row>
    <row r="55" customFormat="false" ht="11.25" hidden="false" customHeight="false" outlineLevel="1" collapsed="false">
      <c r="C55" s="293" t="str">
        <f aca="false">+C24</f>
        <v>Funding 2</v>
      </c>
      <c r="D55" s="305" t="n">
        <f aca="false">SUM(I24:Y24)</f>
        <v>0</v>
      </c>
      <c r="E55" s="318" t="n">
        <v>0</v>
      </c>
      <c r="F55" s="307" t="n">
        <v>35565</v>
      </c>
      <c r="G55" s="308" t="n">
        <v>2</v>
      </c>
      <c r="H55" s="309" t="s">
        <v>105</v>
      </c>
      <c r="I55" s="310"/>
      <c r="L55" s="293" t="str">
        <f aca="false">+C55</f>
        <v>Funding 2</v>
      </c>
      <c r="M55" s="298"/>
      <c r="N55" s="318" t="n">
        <f aca="false">+D55</f>
        <v>0</v>
      </c>
      <c r="O55" s="318" t="n">
        <f aca="false">+E55</f>
        <v>0</v>
      </c>
      <c r="P55" s="307" t="n">
        <v>35746</v>
      </c>
      <c r="Q55" s="308" t="n">
        <v>2</v>
      </c>
      <c r="R55" s="309" t="s">
        <v>106</v>
      </c>
      <c r="S55" s="310" t="n">
        <v>1.5</v>
      </c>
    </row>
    <row r="56" customFormat="false" ht="11.25" hidden="false" customHeight="false" outlineLevel="0" collapsed="false">
      <c r="C56" s="319" t="s">
        <v>336</v>
      </c>
      <c r="D56" s="305" t="n">
        <f aca="false">+D55+D54</f>
        <v>0</v>
      </c>
      <c r="E56" s="305" t="n">
        <f aca="false">+E55+E54</f>
        <v>0</v>
      </c>
      <c r="F56" s="307"/>
      <c r="G56" s="308"/>
      <c r="H56" s="309"/>
      <c r="I56" s="310"/>
      <c r="L56" s="319" t="s">
        <v>336</v>
      </c>
      <c r="M56" s="298"/>
      <c r="N56" s="305" t="n">
        <f aca="false">+N55+N54</f>
        <v>0</v>
      </c>
      <c r="O56" s="306"/>
      <c r="P56" s="307"/>
      <c r="Q56" s="308"/>
      <c r="R56" s="309"/>
      <c r="S56" s="310"/>
    </row>
    <row r="57" customFormat="false" ht="11.25" hidden="false" customHeight="false" outlineLevel="0" collapsed="false">
      <c r="C57" s="324"/>
      <c r="D57" s="325"/>
      <c r="E57" s="325"/>
      <c r="F57" s="325"/>
      <c r="G57" s="325"/>
      <c r="H57" s="325"/>
      <c r="I57" s="326"/>
      <c r="J57" s="298"/>
      <c r="K57" s="298"/>
      <c r="L57" s="324"/>
      <c r="M57" s="327" t="s">
        <v>337</v>
      </c>
      <c r="N57" s="328" t="n">
        <f aca="false">+N56+N51-D51-D56</f>
        <v>0</v>
      </c>
      <c r="O57" s="325"/>
      <c r="P57" s="325"/>
      <c r="Q57" s="325"/>
      <c r="R57" s="325"/>
      <c r="S57" s="326"/>
    </row>
    <row r="58" customFormat="false" ht="11.25" hidden="false" customHeight="false" outlineLevel="0" collapsed="false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329"/>
      <c r="R58" s="298"/>
      <c r="S58" s="298"/>
      <c r="T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customFormat="false" ht="12" hidden="false" customHeight="false" outlineLevel="0" collapsed="false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customFormat="false" ht="12.75" hidden="false" customHeight="false" outlineLevel="0" collapsed="false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</row>
    <row r="61" customFormat="false" ht="12.75" hidden="false" customHeight="false" outlineLevel="0" collapsed="false">
      <c r="A61" s="290" t="s">
        <v>338</v>
      </c>
      <c r="I61" s="263" t="n">
        <f aca="false">+I$3</f>
        <v>36525</v>
      </c>
      <c r="J61" s="264" t="n">
        <f aca="false">+J$3</f>
        <v>2000</v>
      </c>
      <c r="K61" s="264" t="n">
        <f aca="false">+K$3</f>
        <v>2001</v>
      </c>
      <c r="L61" s="264" t="n">
        <f aca="false">+L$3</f>
        <v>2002</v>
      </c>
      <c r="M61" s="264" t="n">
        <f aca="false">+M$3</f>
        <v>2003</v>
      </c>
      <c r="N61" s="264" t="n">
        <f aca="false">+N$3</f>
        <v>2004</v>
      </c>
      <c r="O61" s="264" t="n">
        <f aca="false">+O$3</f>
        <v>2005</v>
      </c>
      <c r="P61" s="264" t="n">
        <f aca="false">+P$3</f>
        <v>2006</v>
      </c>
      <c r="Q61" s="264" t="n">
        <f aca="false">+Q$3</f>
        <v>2007</v>
      </c>
      <c r="R61" s="264" t="n">
        <f aca="false">+R$3</f>
        <v>2008</v>
      </c>
      <c r="S61" s="264" t="n">
        <f aca="false">+S$3</f>
        <v>2009</v>
      </c>
      <c r="T61" s="264" t="n">
        <f aca="false">+T$3</f>
        <v>2010</v>
      </c>
      <c r="U61" s="264" t="n">
        <f aca="false">+U$3</f>
        <v>2011</v>
      </c>
      <c r="V61" s="264" t="n">
        <f aca="false">+V$3</f>
        <v>2012</v>
      </c>
      <c r="W61" s="264" t="n">
        <f aca="false">+W$3</f>
        <v>2013</v>
      </c>
      <c r="X61" s="264" t="n">
        <f aca="false">+X$3</f>
        <v>2014</v>
      </c>
      <c r="Y61" s="264" t="n">
        <f aca="false">+Y$3</f>
        <v>2015</v>
      </c>
      <c r="Z61" s="264" t="n">
        <f aca="false">+Z$3</f>
        <v>2016</v>
      </c>
      <c r="AA61" s="264" t="n">
        <f aca="false">+AA$3</f>
        <v>2017</v>
      </c>
      <c r="AB61" s="264" t="n">
        <f aca="false">+AB$3</f>
        <v>2018</v>
      </c>
      <c r="AC61" s="264" t="n">
        <f aca="false">+AC$3</f>
        <v>2019</v>
      </c>
      <c r="AD61" s="264" t="n">
        <f aca="false">+AD$3</f>
        <v>2020</v>
      </c>
      <c r="AE61" s="264" t="n">
        <f aca="false">+AE$3</f>
        <v>2021</v>
      </c>
      <c r="AF61" s="264" t="n">
        <f aca="false">+AF$3</f>
        <v>2022</v>
      </c>
    </row>
    <row r="62" customFormat="false" ht="12" hidden="false" customHeight="false" outlineLevel="0" collapsed="false">
      <c r="A62" s="323" t="s">
        <v>289</v>
      </c>
      <c r="B62" s="252"/>
      <c r="C62" s="235" t="str">
        <f aca="false">+C41</f>
        <v>Purchase Price</v>
      </c>
      <c r="H62" s="330" t="s">
        <v>0</v>
      </c>
      <c r="I62" s="330" t="n">
        <f aca="false">IF(D41=0,0,IF($H41="SL",SLN($D41,$E41,$G41)*IF(YEAR($F41)&lt;(J$3-1),IF(YEAR($F41)+$G41=J$3-1,(MONTH($F41)-1)/12,IF(YEAR($F41)+$G41&lt;J$3-1,0,1)),IF(YEAR($F41)&gt;J$3-1,0,(12-MONTH($F41)+1)/12)),IF(YEAR($F41)&gt;J$3-1,0,VDB($D41,$E41,$G41,IF(YEAR($F41)=J$3-1,0,MIN($G41,(DATE(J$3-1,1,1)-$F41)/365)),MIN($G41,(DATE(J$3-1,12,31)-$F41)/365),$I41))))</f>
        <v>2186.51543111111</v>
      </c>
      <c r="J62" s="330" t="n">
        <f aca="false">IF($D41=0,0,IF($H41="SL",SLN($D41,$E41,$G41)*IF(YEAR($F41)&lt;J$3,IF(YEAR($F41)+$G41=J$3,(MONTH($F41)-1)/12,IF(YEAR($F41)+$G41&lt;J$3,0,1)),IF(YEAR($F41)&gt;J$3,0,(12-MONTH($F41)+1)/12)),IF(YEAR($F41)&gt;J$3,0,VDB($D41,$E41,$G41,IF(YEAR($F41)=J$3,0,MIN($G41,(DATE(J$3,1,1)-$F41)/365)),MIN($G41,(DATE(J$3,12,31)-$F41)/365),$I41))))</f>
        <v>5247.63703466667</v>
      </c>
      <c r="K62" s="330" t="n">
        <f aca="false">IF($D41=0,0,IF($H41="SL",SLN($D41,$E41,$G41)*IF(YEAR($F41)&lt;K$3,IF(YEAR($F41)+$G41=K$3,(MONTH($F41)-1)/12,IF(YEAR($F41)+$G41&lt;K$3,0,1)),IF(YEAR($F41)&gt;K$3,0,(12-MONTH($F41)+1)/12)),IF(YEAR($F41)&gt;K$3,0,VDB($D41,$E41,$G41,IF(YEAR($F41)=K$3,0,MIN($G41,(DATE(K$3,1,1)-$F41)/365)),MIN($G41,(DATE(K$3,12,31)-$F41)/365),$I41))))</f>
        <v>5247.63703466667</v>
      </c>
      <c r="L62" s="330" t="n">
        <f aca="false">IF($D41=0,0,IF($H41="SL",SLN($D41,$E41,$G41)*IF(YEAR($F41)&lt;L$3,IF(YEAR($F41)+$G41=L$3,(MONTH($F41)-1)/12,IF(YEAR($F41)+$G41&lt;L$3,0,1)),IF(YEAR($F41)&gt;L$3,0,(12-MONTH($F41)+1)/12)),IF(YEAR($F41)&gt;L$3,0,VDB($D41,$E41,$G41,IF(YEAR($F41)=L$3,0,MIN($G41,(DATE(L$3,1,1)-$F41)/365)),MIN($G41,(DATE(L$3,12,31)-$F41)/365),$I41))))</f>
        <v>5247.63703466667</v>
      </c>
      <c r="M62" s="330" t="n">
        <f aca="false">IF($D41=0,0,IF($H41="SL",SLN($D41,$E41,$G41)*IF(YEAR($F41)&lt;M$3,IF(YEAR($F41)+$G41=M$3,(MONTH($F41)-1)/12,IF(YEAR($F41)+$G41&lt;M$3,0,1)),IF(YEAR($F41)&gt;M$3,0,(12-MONTH($F41)+1)/12)),IF(YEAR($F41)&gt;M$3,0,VDB($D41,$E41,$G41,IF(YEAR($F41)=M$3,0,MIN($G41,(DATE(M$3,1,1)-$F41)/365)),MIN($G41,(DATE(M$3,12,31)-$F41)/365),$I41))))</f>
        <v>5247.63703466667</v>
      </c>
      <c r="N62" s="330" t="n">
        <f aca="false">IF($D41=0,0,IF($H41="SL",SLN($D41,$E41,$G41)*IF(YEAR($F41)&lt;N$3,IF(YEAR($F41)+$G41=N$3,(MONTH($F41)-1)/12,IF(YEAR($F41)+$G41&lt;N$3,0,1)),IF(YEAR($F41)&gt;N$3,0,(12-MONTH($F41)+1)/12)),IF(YEAR($F41)&gt;N$3,0,VDB($D41,$E41,$G41,IF(YEAR($F41)=N$3,0,MIN($G41,(DATE(N$3,1,1)-$F41)/365)),MIN($G41,(DATE(N$3,12,31)-$F41)/365),$I41))))</f>
        <v>5247.63703466667</v>
      </c>
      <c r="O62" s="330" t="n">
        <f aca="false">IF($D41=0,0,IF($H41="SL",SLN($D41,$E41,$G41)*IF(YEAR($F41)&lt;O$3,IF(YEAR($F41)+$G41=O$3,(MONTH($F41)-1)/12,IF(YEAR($F41)+$G41&lt;O$3,0,1)),IF(YEAR($F41)&gt;O$3,0,(12-MONTH($F41)+1)/12)),IF(YEAR($F41)&gt;O$3,0,VDB($D41,$E41,$G41,IF(YEAR($F41)=O$3,0,MIN($G41,(DATE(O$3,1,1)-$F41)/365)),MIN($G41,(DATE(O$3,12,31)-$F41)/365),$I41))))</f>
        <v>5247.63703466667</v>
      </c>
      <c r="P62" s="330" t="n">
        <f aca="false">IF($D41=0,0,IF($H41="SL",SLN($D41,$E41,$G41)*IF(YEAR($F41)&lt;P$3,IF(YEAR($F41)+$G41=P$3,(MONTH($F41)-1)/12,IF(YEAR($F41)+$G41&lt;P$3,0,1)),IF(YEAR($F41)&gt;P$3,0,(12-MONTH($F41)+1)/12)),IF(YEAR($F41)&gt;P$3,0,VDB($D41,$E41,$G41,IF(YEAR($F41)=P$3,0,MIN($G41,(DATE(P$3,1,1)-$F41)/365)),MIN($G41,(DATE(P$3,12,31)-$F41)/365),$I41))))</f>
        <v>5247.63703466667</v>
      </c>
      <c r="Q62" s="330" t="n">
        <f aca="false">IF($D41=0,0,IF($H41="SL",SLN($D41,$E41,$G41)*IF(YEAR($F41)&lt;Q$3,IF(YEAR($F41)+$G41=Q$3,(MONTH($F41)-1)/12,IF(YEAR($F41)+$G41&lt;Q$3,0,1)),IF(YEAR($F41)&gt;Q$3,0,(12-MONTH($F41)+1)/12)),IF(YEAR($F41)&gt;Q$3,0,VDB($D41,$E41,$G41,IF(YEAR($F41)=Q$3,0,MIN($G41,(DATE(Q$3,1,1)-$F41)/365)),MIN($G41,(DATE(Q$3,12,31)-$F41)/365),$I41))))</f>
        <v>5247.63703466667</v>
      </c>
      <c r="R62" s="330" t="n">
        <f aca="false">IF($D41=0,0,IF($H41="SL",SLN($D41,$E41,$G41)*IF(YEAR($F41)&lt;R$3,IF(YEAR($F41)+$G41=R$3,(MONTH($F41)-1)/12,IF(YEAR($F41)+$G41&lt;R$3,0,1)),IF(YEAR($F41)&gt;R$3,0,(12-MONTH($F41)+1)/12)),IF(YEAR($F41)&gt;R$3,0,VDB($D41,$E41,$G41,IF(YEAR($F41)=R$3,0,MIN($G41,(DATE(R$3,1,1)-$F41)/365)),MIN($G41,(DATE(R$3,12,31)-$F41)/365),$I41))))</f>
        <v>5247.63703466667</v>
      </c>
      <c r="S62" s="330" t="n">
        <f aca="false">IF($D41=0,0,IF($H41="SL",SLN($D41,$E41,$G41)*IF(YEAR($F41)&lt;S$3,IF(YEAR($F41)+$G41=S$3,(MONTH($F41)-1)/12,IF(YEAR($F41)+$G41&lt;S$3,0,1)),IF(YEAR($F41)&gt;S$3,0,(12-MONTH($F41)+1)/12)),IF(YEAR($F41)&gt;S$3,0,VDB($D41,$E41,$G41,IF(YEAR($F41)=S$3,0,MIN($G41,(DATE(S$3,1,1)-$F41)/365)),MIN($G41,(DATE(S$3,12,31)-$F41)/365),$I41))))</f>
        <v>5247.63703466667</v>
      </c>
      <c r="T62" s="330" t="n">
        <f aca="false">IF($D41=0,0,IF($H41="SL",SLN($D41,$E41,$G41)*IF(YEAR($F41)&lt;T$3,IF(YEAR($F41)+$G41=T$3,(MONTH($F41)-1)/12,IF(YEAR($F41)+$G41&lt;T$3,0,1)),IF(YEAR($F41)&gt;T$3,0,(12-MONTH($F41)+1)/12)),IF(YEAR($F41)&gt;T$3,0,VDB($D41,$E41,$G41,IF(YEAR($F41)=T$3,0,MIN($G41,(DATE(T$3,1,1)-$F41)/365)),MIN($G41,(DATE(T$3,12,31)-$F41)/365),$I41))))</f>
        <v>5247.63703466667</v>
      </c>
      <c r="U62" s="330" t="n">
        <f aca="false">IF($D41=0,0,IF($H41="SL",SLN($D41,$E41,$G41)*IF(YEAR($F41)&lt;U$3,IF(YEAR($F41)+$G41=U$3,(MONTH($F41)-1)/12,IF(YEAR($F41)+$G41&lt;U$3,0,1)),IF(YEAR($F41)&gt;U$3,0,(12-MONTH($F41)+1)/12)),IF(YEAR($F41)&gt;U$3,0,VDB($D41,$E41,$G41,IF(YEAR($F41)=U$3,0,MIN($G41,(DATE(U$3,1,1)-$F41)/365)),MIN($G41,(DATE(U$3,12,31)-$F41)/365),$I41))))</f>
        <v>5247.63703466667</v>
      </c>
      <c r="V62" s="330" t="n">
        <f aca="false">IF($D41=0,0,IF($H41="SL",SLN($D41,$E41,$G41)*IF(YEAR($F41)&lt;V$3,IF(YEAR($F41)+$G41=V$3,(MONTH($F41)-1)/12,IF(YEAR($F41)+$G41&lt;V$3,0,1)),IF(YEAR($F41)&gt;V$3,0,(12-MONTH($F41)+1)/12)),IF(YEAR($F41)&gt;V$3,0,VDB($D41,$E41,$G41,IF(YEAR($F41)=V$3,0,MIN($G41,(DATE(V$3,1,1)-$F41)/365)),MIN($G41,(DATE(V$3,12,31)-$F41)/365),$I41))))</f>
        <v>5247.63703466667</v>
      </c>
      <c r="W62" s="330" t="n">
        <f aca="false">IF($D41=0,0,IF($H41="SL",SLN($D41,$E41,$G41)*IF(YEAR($F41)&lt;W$3,IF(YEAR($F41)+$G41=W$3,(MONTH($F41)-1)/12,IF(YEAR($F41)+$G41&lt;W$3,0,1)),IF(YEAR($F41)&gt;W$3,0,(12-MONTH($F41)+1)/12)),IF(YEAR($F41)&gt;W$3,0,VDB($D41,$E41,$G41,IF(YEAR($F41)=W$3,0,MIN($G41,(DATE(W$3,1,1)-$F41)/365)),MIN($G41,(DATE(W$3,12,31)-$F41)/365),$I41))))</f>
        <v>5247.63703466667</v>
      </c>
      <c r="X62" s="330" t="n">
        <f aca="false">IF($D41=0,0,IF($H41="SL",SLN($D41,$E41,$G41)*IF(YEAR($F41)&lt;X$3,IF(YEAR($F41)+$G41=X$3,(MONTH($F41)-1)/12,IF(YEAR($F41)+$G41&lt;X$3,0,1)),IF(YEAR($F41)&gt;X$3,0,(12-MONTH($F41)+1)/12)),IF(YEAR($F41)&gt;X$3,0,VDB($D41,$E41,$G41,IF(YEAR($F41)=X$3,0,MIN($G41,(DATE(X$3,1,1)-$F41)/365)),MIN($G41,(DATE(X$3,12,31)-$F41)/365),$I41))))</f>
        <v>3061.12160355556</v>
      </c>
      <c r="Y62" s="330" t="n">
        <f aca="false">IF($D41=0,0,IF($H41="SL",SLN($D41,$E41,$G41)*IF(YEAR($F41)&lt;Y$3,IF(YEAR($F41)+$G41=Y$3,(MONTH($F41)-1)/12,IF(YEAR($F41)+$G41&lt;Y$3,0,1)),IF(YEAR($F41)&gt;Y$3,0,(12-MONTH($F41)+1)/12)),IF(YEAR($F41)&gt;Y$3,0,VDB($D41,$E41,$G41,IF(YEAR($F41)=Y$3,0,MIN($G41,(DATE(Y$3,1,1)-$F41)/365)),MIN($G41,(DATE(Y$3,12,31)-$F41)/365),$I41))))</f>
        <v>0</v>
      </c>
      <c r="Z62" s="330" t="n">
        <f aca="false">IF($D41=0,0,IF($H41="SL",SLN($D41,$E41,$G41)*IF(YEAR($F41)&lt;Z$3,IF(YEAR($F41)+$G41=Z$3,(MONTH($F41)-1)/12,IF(YEAR($F41)+$G41&lt;Z$3,0,1)),IF(YEAR($F41)&gt;Z$3,0,(12-MONTH($F41)+1)/12)),IF(YEAR($F41)&gt;Z$3,0,VDB($D41,$E41,$G41,IF(YEAR($F41)=Z$3,0,MIN($G41,(DATE(Z$3,1,1)-$F41)/365)),MIN($G41,(DATE(Z$3,12,31)-$F41)/365),$I41))))</f>
        <v>0</v>
      </c>
      <c r="AA62" s="330" t="n">
        <f aca="false">IF($D41=0,0,IF($H41="SL",SLN($D41,$E41,$G41)*IF(YEAR($F41)&lt;AA$3,IF(YEAR($F41)+$G41=AA$3,(MONTH($F41)-1)/12,IF(YEAR($F41)+$G41&lt;AA$3,0,1)),IF(YEAR($F41)&gt;AA$3,0,(12-MONTH($F41)+1)/12)),IF(YEAR($F41)&gt;AA$3,0,VDB($D41,$E41,$G41,IF(YEAR($F41)=AA$3,0,MIN($G41,(DATE(AA$3,1,1)-$F41)/365)),MIN($G41,(DATE(AA$3,12,31)-$F41)/365),$I41))))</f>
        <v>0</v>
      </c>
      <c r="AB62" s="330" t="n">
        <f aca="false">IF($D41=0,0,IF($H41="SL",SLN($D41,$E41,$G41)*IF(YEAR($F41)&lt;AB$3,IF(YEAR($F41)+$G41=AB$3,(MONTH($F41)-1)/12,IF(YEAR($F41)+$G41&lt;AB$3,0,1)),IF(YEAR($F41)&gt;AB$3,0,(12-MONTH($F41)+1)/12)),IF(YEAR($F41)&gt;AB$3,0,VDB($D41,$E41,$G41,IF(YEAR($F41)=AB$3,0,MIN($G41,(DATE(AB$3,1,1)-$F41)/365)),MIN($G41,(DATE(AB$3,12,31)-$F41)/365),$I41))))</f>
        <v>0</v>
      </c>
      <c r="AC62" s="330" t="n">
        <f aca="false">IF($D41=0,0,IF($H41="SL",SLN($D41,$E41,$G41)*IF(YEAR($F41)&lt;AC$3,IF(YEAR($F41)+$G41=AC$3,(MONTH($F41)-1)/12,IF(YEAR($F41)+$G41&lt;AC$3,0,1)),IF(YEAR($F41)&gt;AC$3,0,(12-MONTH($F41)+1)/12)),IF(YEAR($F41)&gt;AC$3,0,VDB($D41,$E41,$G41,IF(YEAR($F41)=AC$3,0,MIN($G41,(DATE(AC$3,1,1)-$F41)/365)),MIN($G41,(DATE(AC$3,12,31)-$F41)/365),$I41))))</f>
        <v>0</v>
      </c>
      <c r="AD62" s="330" t="n">
        <f aca="false">IF($D41=0,0,IF($H41="SL",SLN($D41,$E41,$G41)*IF(YEAR($F41)&lt;AD$3,IF(YEAR($F41)+$G41=AD$3,(MONTH($F41)-1)/12,IF(YEAR($F41)+$G41&lt;AD$3,0,1)),IF(YEAR($F41)&gt;AD$3,0,(12-MONTH($F41)+1)/12)),IF(YEAR($F41)&gt;AD$3,0,VDB($D41,$E41,$G41,IF(YEAR($F41)=AD$3,0,MIN($G41,(DATE(AD$3,1,1)-$F41)/365)),MIN($G41,(DATE(AD$3,12,31)-$F41)/365),$I41))))</f>
        <v>0</v>
      </c>
      <c r="AE62" s="330" t="n">
        <f aca="false">IF($D41=0,0,IF($H41="SL",SLN($D41,$E41,$G41)*IF(YEAR($F41)&lt;AE$3,IF(YEAR($F41)+$G41=AE$3,(MONTH($F41)-1)/12,IF(YEAR($F41)+$G41&lt;AE$3,0,1)),IF(YEAR($F41)&gt;AE$3,0,(12-MONTH($F41)+1)/12)),IF(YEAR($F41)&gt;AE$3,0,VDB($D41,$E41,$G41,IF(YEAR($F41)=AE$3,0,MIN($G41,(DATE(AE$3,1,1)-$F41)/365)),MIN($G41,(DATE(AE$3,12,31)-$F41)/365),$I41))))</f>
        <v>0</v>
      </c>
      <c r="AF62" s="330" t="n">
        <f aca="false">IF($D41=0,0,IF($H41="SL",SLN($D41,$E41,$G41)*IF(YEAR($F41)&lt;AF$3,IF(YEAR($F41)+$G41=AF$3,(MONTH($F41)-1)/12,IF(YEAR($F41)+$G41&lt;AF$3,0,1)),IF(YEAR($F41)&gt;AF$3,0,(12-MONTH($F41)+1)/12)),IF(YEAR($F41)&gt;AF$3,0,VDB($D41,$E41,$G41,IF(YEAR($F41)=AF$3,0,MIN($G41,(DATE(AF$3,1,1)-$F41)/365)),MIN($G41,(DATE(AF$3,12,31)-$F41)/365),$I41))))</f>
        <v>0</v>
      </c>
    </row>
    <row r="63" customFormat="false" ht="11.25" hidden="false" customHeight="false" outlineLevel="1" collapsed="false">
      <c r="C63" s="235" t="str">
        <f aca="false">+C42</f>
        <v>Partial Overhaul 1</v>
      </c>
      <c r="I63" s="330" t="n">
        <f aca="false">IF(D42=0,0,IF($H42="SL",SLN($D42,$E42,$G42)*IF(YEAR($F42)&lt;(J$3-1),IF(YEAR($F42)+$G42=J$3-1,(MONTH($F42)-1)/12,IF(YEAR($F42)+$G42&lt;J$3-1,0,1)),IF(YEAR($F42)&gt;J$3-1,0,(12-MONTH($F42)+1)/12)),IF(YEAR($F42)&gt;J$3-1,0,VDB($D42,$E42,$G42,IF(YEAR($F42)=J$3-1,0,MIN($G42,(DATE(J$3-1,1,1)-$F42)/365)),MIN($G42,(DATE(J$3-1,12,31)-$F42)/365),$I42))))</f>
        <v>0</v>
      </c>
      <c r="J63" s="330" t="n">
        <f aca="false">IF($D42=0,0,IF($H42="SL",SLN($D42,$E42,$G42)*IF(YEAR($F42)&lt;J$3,IF(YEAR($F42)+$G42=J$3,(MONTH($F42)-1)/12,IF(YEAR($F42)+$G42&lt;J$3,0,1)),IF(YEAR($F42)&gt;J$3,0,(12-MONTH($F42)+1)/12)),IF(YEAR($F42)&gt;J$3,0,VDB($D42,$E42,$G42,IF(YEAR($F42)=J$3,0,MIN($G42,(DATE(J$3,1,1)-$F42)/365)),MIN($G42,(DATE(J$3,12,31)-$F42)/365),$I42))))</f>
        <v>0</v>
      </c>
      <c r="K63" s="330" t="n">
        <f aca="false">IF($D42=0,0,IF($H42="SL",SLN($D42,$E42,$G42)*IF(YEAR($F42)&lt;K$3,IF(YEAR($F42)+$G42=K$3,(MONTH($F42)-1)/12,IF(YEAR($F42)+$G42&lt;K$3,0,1)),IF(YEAR($F42)&gt;K$3,0,(12-MONTH($F42)+1)/12)),IF(YEAR($F42)&gt;K$3,0,VDB($D42,$E42,$G42,IF(YEAR($F42)=K$3,0,MIN($G42,(DATE(K$3,1,1)-$F42)/365)),MIN($G42,(DATE(K$3,12,31)-$F42)/365),$I42))))</f>
        <v>0</v>
      </c>
      <c r="L63" s="330" t="n">
        <f aca="false">IF($D42=0,0,IF($H42="SL",SLN($D42,$E42,$G42)*IF(YEAR($F42)&lt;L$3,IF(YEAR($F42)+$G42=L$3,(MONTH($F42)-1)/12,IF(YEAR($F42)+$G42&lt;L$3,0,1)),IF(YEAR($F42)&gt;L$3,0,(12-MONTH($F42)+1)/12)),IF(YEAR($F42)&gt;L$3,0,VDB($D42,$E42,$G42,IF(YEAR($F42)=L$3,0,MIN($G42,(DATE(L$3,1,1)-$F42)/365)),MIN($G42,(DATE(L$3,12,31)-$F42)/365),$I42))))</f>
        <v>0</v>
      </c>
      <c r="M63" s="330" t="n">
        <f aca="false">IF($D42=0,0,IF($H42="SL",SLN($D42,$E42,$G42)*IF(YEAR($F42)&lt;M$3,IF(YEAR($F42)+$G42=M$3,(MONTH($F42)-1)/12,IF(YEAR($F42)+$G42&lt;M$3,0,1)),IF(YEAR($F42)&gt;M$3,0,(12-MONTH($F42)+1)/12)),IF(YEAR($F42)&gt;M$3,0,VDB($D42,$E42,$G42,IF(YEAR($F42)=M$3,0,MIN($G42,(DATE(M$3,1,1)-$F42)/365)),MIN($G42,(DATE(M$3,12,31)-$F42)/365),$I42))))</f>
        <v>69.3700320613438</v>
      </c>
      <c r="N63" s="330" t="n">
        <f aca="false">IF($D42=0,0,IF($H42="SL",SLN($D42,$E42,$G42)*IF(YEAR($F42)&lt;N$3,IF(YEAR($F42)+$G42=N$3,(MONTH($F42)-1)/12,IF(YEAR($F42)+$G42&lt;N$3,0,1)),IF(YEAR($F42)&gt;N$3,0,(12-MONTH($F42)+1)/12)),IF(YEAR($F42)&gt;N$3,0,VDB($D42,$E42,$G42,IF(YEAR($F42)=N$3,0,MIN($G42,(DATE(N$3,1,1)-$F42)/365)),MIN($G42,(DATE(N$3,12,31)-$F42)/365),$I42))))</f>
        <v>166.488076947225</v>
      </c>
      <c r="O63" s="330" t="n">
        <f aca="false">IF($D42=0,0,IF($H42="SL",SLN($D42,$E42,$G42)*IF(YEAR($F42)&lt;O$3,IF(YEAR($F42)+$G42=O$3,(MONTH($F42)-1)/12,IF(YEAR($F42)+$G42&lt;O$3,0,1)),IF(YEAR($F42)&gt;O$3,0,(12-MONTH($F42)+1)/12)),IF(YEAR($F42)&gt;O$3,0,VDB($D42,$E42,$G42,IF(YEAR($F42)=O$3,0,MIN($G42,(DATE(O$3,1,1)-$F42)/365)),MIN($G42,(DATE(O$3,12,31)-$F42)/365),$I42))))</f>
        <v>166.488076947225</v>
      </c>
      <c r="P63" s="330" t="n">
        <f aca="false">IF($D42=0,0,IF($H42="SL",SLN($D42,$E42,$G42)*IF(YEAR($F42)&lt;P$3,IF(YEAR($F42)+$G42=P$3,(MONTH($F42)-1)/12,IF(YEAR($F42)+$G42&lt;P$3,0,1)),IF(YEAR($F42)&gt;P$3,0,(12-MONTH($F42)+1)/12)),IF(YEAR($F42)&gt;P$3,0,VDB($D42,$E42,$G42,IF(YEAR($F42)=P$3,0,MIN($G42,(DATE(P$3,1,1)-$F42)/365)),MIN($G42,(DATE(P$3,12,31)-$F42)/365),$I42))))</f>
        <v>166.488076947225</v>
      </c>
      <c r="Q63" s="330" t="n">
        <f aca="false">IF($D42=0,0,IF($H42="SL",SLN($D42,$E42,$G42)*IF(YEAR($F42)&lt;Q$3,IF(YEAR($F42)+$G42=Q$3,(MONTH($F42)-1)/12,IF(YEAR($F42)+$G42&lt;Q$3,0,1)),IF(YEAR($F42)&gt;Q$3,0,(12-MONTH($F42)+1)/12)),IF(YEAR($F42)&gt;Q$3,0,VDB($D42,$E42,$G42,IF(YEAR($F42)=Q$3,0,MIN($G42,(DATE(Q$3,1,1)-$F42)/365)),MIN($G42,(DATE(Q$3,12,31)-$F42)/365),$I42))))</f>
        <v>166.488076947225</v>
      </c>
      <c r="R63" s="330" t="n">
        <f aca="false">IF($D42=0,0,IF($H42="SL",SLN($D42,$E42,$G42)*IF(YEAR($F42)&lt;R$3,IF(YEAR($F42)+$G42=R$3,(MONTH($F42)-1)/12,IF(YEAR($F42)+$G42&lt;R$3,0,1)),IF(YEAR($F42)&gt;R$3,0,(12-MONTH($F42)+1)/12)),IF(YEAR($F42)&gt;R$3,0,VDB($D42,$E42,$G42,IF(YEAR($F42)=R$3,0,MIN($G42,(DATE(R$3,1,1)-$F42)/365)),MIN($G42,(DATE(R$3,12,31)-$F42)/365),$I42))))</f>
        <v>166.488076947225</v>
      </c>
      <c r="S63" s="330" t="n">
        <f aca="false">IF($D42=0,0,IF($H42="SL",SLN($D42,$E42,$G42)*IF(YEAR($F42)&lt;S$3,IF(YEAR($F42)+$G42=S$3,(MONTH($F42)-1)/12,IF(YEAR($F42)+$G42&lt;S$3,0,1)),IF(YEAR($F42)&gt;S$3,0,(12-MONTH($F42)+1)/12)),IF(YEAR($F42)&gt;S$3,0,VDB($D42,$E42,$G42,IF(YEAR($F42)=S$3,0,MIN($G42,(DATE(S$3,1,1)-$F42)/365)),MIN($G42,(DATE(S$3,12,31)-$F42)/365),$I42))))</f>
        <v>166.488076947225</v>
      </c>
      <c r="T63" s="330" t="n">
        <f aca="false">IF($D42=0,0,IF($H42="SL",SLN($D42,$E42,$G42)*IF(YEAR($F42)&lt;T$3,IF(YEAR($F42)+$G42=T$3,(MONTH($F42)-1)/12,IF(YEAR($F42)+$G42&lt;T$3,0,1)),IF(YEAR($F42)&gt;T$3,0,(12-MONTH($F42)+1)/12)),IF(YEAR($F42)&gt;T$3,0,VDB($D42,$E42,$G42,IF(YEAR($F42)=T$3,0,MIN($G42,(DATE(T$3,1,1)-$F42)/365)),MIN($G42,(DATE(T$3,12,31)-$F42)/365),$I42))))</f>
        <v>166.488076947225</v>
      </c>
      <c r="U63" s="330" t="n">
        <f aca="false">IF($D42=0,0,IF($H42="SL",SLN($D42,$E42,$G42)*IF(YEAR($F42)&lt;U$3,IF(YEAR($F42)+$G42=U$3,(MONTH($F42)-1)/12,IF(YEAR($F42)+$G42&lt;U$3,0,1)),IF(YEAR($F42)&gt;U$3,0,(12-MONTH($F42)+1)/12)),IF(YEAR($F42)&gt;U$3,0,VDB($D42,$E42,$G42,IF(YEAR($F42)=U$3,0,MIN($G42,(DATE(U$3,1,1)-$F42)/365)),MIN($G42,(DATE(U$3,12,31)-$F42)/365),$I42))))</f>
        <v>97.1180448858813</v>
      </c>
      <c r="V63" s="330" t="n">
        <f aca="false">IF($D42=0,0,IF($H42="SL",SLN($D42,$E42,$G42)*IF(YEAR($F42)&lt;V$3,IF(YEAR($F42)+$G42=V$3,(MONTH($F42)-1)/12,IF(YEAR($F42)+$G42&lt;V$3,0,1)),IF(YEAR($F42)&gt;V$3,0,(12-MONTH($F42)+1)/12)),IF(YEAR($F42)&gt;V$3,0,VDB($D42,$E42,$G42,IF(YEAR($F42)=V$3,0,MIN($G42,(DATE(V$3,1,1)-$F42)/365)),MIN($G42,(DATE(V$3,12,31)-$F42)/365),$I42))))</f>
        <v>0</v>
      </c>
      <c r="W63" s="330" t="n">
        <f aca="false">IF($D42=0,0,IF($H42="SL",SLN($D42,$E42,$G42)*IF(YEAR($F42)&lt;W$3,IF(YEAR($F42)+$G42=W$3,(MONTH($F42)-1)/12,IF(YEAR($F42)+$G42&lt;W$3,0,1)),IF(YEAR($F42)&gt;W$3,0,(12-MONTH($F42)+1)/12)),IF(YEAR($F42)&gt;W$3,0,VDB($D42,$E42,$G42,IF(YEAR($F42)=W$3,0,MIN($G42,(DATE(W$3,1,1)-$F42)/365)),MIN($G42,(DATE(W$3,12,31)-$F42)/365),$I42))))</f>
        <v>0</v>
      </c>
      <c r="X63" s="330" t="n">
        <f aca="false">IF($D42=0,0,IF($H42="SL",SLN($D42,$E42,$G42)*IF(YEAR($F42)&lt;X$3,IF(YEAR($F42)+$G42=X$3,(MONTH($F42)-1)/12,IF(YEAR($F42)+$G42&lt;X$3,0,1)),IF(YEAR($F42)&gt;X$3,0,(12-MONTH($F42)+1)/12)),IF(YEAR($F42)&gt;X$3,0,VDB($D42,$E42,$G42,IF(YEAR($F42)=X$3,0,MIN($G42,(DATE(X$3,1,1)-$F42)/365)),MIN($G42,(DATE(X$3,12,31)-$F42)/365),$I42))))</f>
        <v>0</v>
      </c>
      <c r="Y63" s="330" t="n">
        <f aca="false">IF($D42=0,0,IF($H42="SL",SLN($D42,$E42,$G42)*IF(YEAR($F42)&lt;Y$3,IF(YEAR($F42)+$G42=Y$3,(MONTH($F42)-1)/12,IF(YEAR($F42)+$G42&lt;Y$3,0,1)),IF(YEAR($F42)&gt;Y$3,0,(12-MONTH($F42)+1)/12)),IF(YEAR($F42)&gt;Y$3,0,VDB($D42,$E42,$G42,IF(YEAR($F42)=Y$3,0,MIN($G42,(DATE(Y$3,1,1)-$F42)/365)),MIN($G42,(DATE(Y$3,12,31)-$F42)/365),$I42))))</f>
        <v>0</v>
      </c>
      <c r="Z63" s="330" t="n">
        <f aca="false">IF($D42=0,0,IF($H42="SL",SLN($D42,$E42,$G42)*IF(YEAR($F42)&lt;Z$3,IF(YEAR($F42)+$G42=Z$3,(MONTH($F42)-1)/12,IF(YEAR($F42)+$G42&lt;Z$3,0,1)),IF(YEAR($F42)&gt;Z$3,0,(12-MONTH($F42)+1)/12)),IF(YEAR($F42)&gt;Z$3,0,VDB($D42,$E42,$G42,IF(YEAR($F42)=Z$3,0,MIN($G42,(DATE(Z$3,1,1)-$F42)/365)),MIN($G42,(DATE(Z$3,12,31)-$F42)/365),$I42))))</f>
        <v>0</v>
      </c>
      <c r="AA63" s="330" t="n">
        <f aca="false">IF($D42=0,0,IF($H42="SL",SLN($D42,$E42,$G42)*IF(YEAR($F42)&lt;AA$3,IF(YEAR($F42)+$G42=AA$3,(MONTH($F42)-1)/12,IF(YEAR($F42)+$G42&lt;AA$3,0,1)),IF(YEAR($F42)&gt;AA$3,0,(12-MONTH($F42)+1)/12)),IF(YEAR($F42)&gt;AA$3,0,VDB($D42,$E42,$G42,IF(YEAR($F42)=AA$3,0,MIN($G42,(DATE(AA$3,1,1)-$F42)/365)),MIN($G42,(DATE(AA$3,12,31)-$F42)/365),$I42))))</f>
        <v>0</v>
      </c>
      <c r="AB63" s="330" t="n">
        <f aca="false">IF($D42=0,0,IF($H42="SL",SLN($D42,$E42,$G42)*IF(YEAR($F42)&lt;AB$3,IF(YEAR($F42)+$G42=AB$3,(MONTH($F42)-1)/12,IF(YEAR($F42)+$G42&lt;AB$3,0,1)),IF(YEAR($F42)&gt;AB$3,0,(12-MONTH($F42)+1)/12)),IF(YEAR($F42)&gt;AB$3,0,VDB($D42,$E42,$G42,IF(YEAR($F42)=AB$3,0,MIN($G42,(DATE(AB$3,1,1)-$F42)/365)),MIN($G42,(DATE(AB$3,12,31)-$F42)/365),$I42))))</f>
        <v>0</v>
      </c>
      <c r="AC63" s="330" t="n">
        <f aca="false">IF($D42=0,0,IF($H42="SL",SLN($D42,$E42,$G42)*IF(YEAR($F42)&lt;AC$3,IF(YEAR($F42)+$G42=AC$3,(MONTH($F42)-1)/12,IF(YEAR($F42)+$G42&lt;AC$3,0,1)),IF(YEAR($F42)&gt;AC$3,0,(12-MONTH($F42)+1)/12)),IF(YEAR($F42)&gt;AC$3,0,VDB($D42,$E42,$G42,IF(YEAR($F42)=AC$3,0,MIN($G42,(DATE(AC$3,1,1)-$F42)/365)),MIN($G42,(DATE(AC$3,12,31)-$F42)/365),$I42))))</f>
        <v>0</v>
      </c>
      <c r="AD63" s="330" t="n">
        <f aca="false">IF($D42=0,0,IF($H42="SL",SLN($D42,$E42,$G42)*IF(YEAR($F42)&lt;AD$3,IF(YEAR($F42)+$G42=AD$3,(MONTH($F42)-1)/12,IF(YEAR($F42)+$G42&lt;AD$3,0,1)),IF(YEAR($F42)&gt;AD$3,0,(12-MONTH($F42)+1)/12)),IF(YEAR($F42)&gt;AD$3,0,VDB($D42,$E42,$G42,IF(YEAR($F42)=AD$3,0,MIN($G42,(DATE(AD$3,1,1)-$F42)/365)),MIN($G42,(DATE(AD$3,12,31)-$F42)/365),$I42))))</f>
        <v>0</v>
      </c>
      <c r="AE63" s="330" t="n">
        <f aca="false">IF($D42=0,0,IF($H42="SL",SLN($D42,$E42,$G42)*IF(YEAR($F42)&lt;AE$3,IF(YEAR($F42)+$G42=AE$3,(MONTH($F42)-1)/12,IF(YEAR($F42)+$G42&lt;AE$3,0,1)),IF(YEAR($F42)&gt;AE$3,0,(12-MONTH($F42)+1)/12)),IF(YEAR($F42)&gt;AE$3,0,VDB($D42,$E42,$G42,IF(YEAR($F42)=AE$3,0,MIN($G42,(DATE(AE$3,1,1)-$F42)/365)),MIN($G42,(DATE(AE$3,12,31)-$F42)/365),$I42))))</f>
        <v>0</v>
      </c>
      <c r="AF63" s="330" t="n">
        <f aca="false">IF($D42=0,0,IF($H42="SL",SLN($D42,$E42,$G42)*IF(YEAR($F42)&lt;AF$3,IF(YEAR($F42)+$G42=AF$3,(MONTH($F42)-1)/12,IF(YEAR($F42)+$G42&lt;AF$3,0,1)),IF(YEAR($F42)&gt;AF$3,0,(12-MONTH($F42)+1)/12)),IF(YEAR($F42)&gt;AF$3,0,VDB($D42,$E42,$G42,IF(YEAR($F42)=AF$3,0,MIN($G42,(DATE(AF$3,1,1)-$F42)/365)),MIN($G42,(DATE(AF$3,12,31)-$F42)/365),$I42))))</f>
        <v>0</v>
      </c>
    </row>
    <row r="64" customFormat="false" ht="11.25" hidden="false" customHeight="false" outlineLevel="1" collapsed="false">
      <c r="C64" s="235" t="str">
        <f aca="false">+C43</f>
        <v>Complete Overhaul 1</v>
      </c>
      <c r="I64" s="330" t="n">
        <f aca="false">IF(D43=0,0,IF($H43="SL",SLN($D43,$E43,$G43)*IF(YEAR($F43)&lt;(J$3-1),IF(YEAR($F43)+$G43=J$3-1,(MONTH($F43)-1)/12,IF(YEAR($F43)+$G43&lt;J$3-1,0,1)),IF(YEAR($F43)&gt;J$3-1,0,(12-MONTH($F43)+1)/12)),IF(YEAR($F43)&gt;J$3-1,0,VDB($D43,$E43,$G43,IF(YEAR($F43)=J$3-1,0,MIN($G43,(DATE(J$3-1,1,1)-$F43)/365)),MIN($G43,(DATE(J$3-1,12,31)-$F43)/365),$I43))))</f>
        <v>0</v>
      </c>
      <c r="J64" s="330" t="n">
        <f aca="false">IF($D43=0,0,IF($H43="SL",SLN($D43,$E43,$G43)*IF(YEAR($F43)&lt;J$3,IF(YEAR($F43)+$G43=J$3,(MONTH($F43)-1)/12,IF(YEAR($F43)+$G43&lt;J$3,0,1)),IF(YEAR($F43)&gt;J$3,0,(12-MONTH($F43)+1)/12)),IF(YEAR($F43)&gt;J$3,0,VDB($D43,$E43,$G43,IF(YEAR($F43)=J$3,0,MIN($G43,(DATE(J$3,1,1)-$F43)/365)),MIN($G43,(DATE(J$3,12,31)-$F43)/365),$I43))))</f>
        <v>0</v>
      </c>
      <c r="K64" s="330" t="n">
        <f aca="false">IF($D43=0,0,IF($H43="SL",SLN($D43,$E43,$G43)*IF(YEAR($F43)&lt;K$3,IF(YEAR($F43)+$G43=K$3,(MONTH($F43)-1)/12,IF(YEAR($F43)+$G43&lt;K$3,0,1)),IF(YEAR($F43)&gt;K$3,0,(12-MONTH($F43)+1)/12)),IF(YEAR($F43)&gt;K$3,0,VDB($D43,$E43,$G43,IF(YEAR($F43)=K$3,0,MIN($G43,(DATE(K$3,1,1)-$F43)/365)),MIN($G43,(DATE(K$3,12,31)-$F43)/365),$I43))))</f>
        <v>0</v>
      </c>
      <c r="L64" s="330" t="n">
        <f aca="false">IF($D43=0,0,IF($H43="SL",SLN($D43,$E43,$G43)*IF(YEAR($F43)&lt;L$3,IF(YEAR($F43)+$G43=L$3,(MONTH($F43)-1)/12,IF(YEAR($F43)+$G43&lt;L$3,0,1)),IF(YEAR($F43)&gt;L$3,0,(12-MONTH($F43)+1)/12)),IF(YEAR($F43)&gt;L$3,0,VDB($D43,$E43,$G43,IF(YEAR($F43)=L$3,0,MIN($G43,(DATE(L$3,1,1)-$F43)/365)),MIN($G43,(DATE(L$3,12,31)-$F43)/365),$I43))))</f>
        <v>0</v>
      </c>
      <c r="M64" s="330" t="n">
        <f aca="false">IF($D43=0,0,IF($H43="SL",SLN($D43,$E43,$G43)*IF(YEAR($F43)&lt;M$3,IF(YEAR($F43)+$G43=M$3,(MONTH($F43)-1)/12,IF(YEAR($F43)+$G43&lt;M$3,0,1)),IF(YEAR($F43)&gt;M$3,0,(12-MONTH($F43)+1)/12)),IF(YEAR($F43)&gt;M$3,0,VDB($D43,$E43,$G43,IF(YEAR($F43)=M$3,0,MIN($G43,(DATE(M$3,1,1)-$F43)/365)),MIN($G43,(DATE(M$3,12,31)-$F43)/365),$I43))))</f>
        <v>0</v>
      </c>
      <c r="N64" s="330" t="n">
        <f aca="false">IF($D43=0,0,IF($H43="SL",SLN($D43,$E43,$G43)*IF(YEAR($F43)&lt;N$3,IF(YEAR($F43)+$G43=N$3,(MONTH($F43)-1)/12,IF(YEAR($F43)+$G43&lt;N$3,0,1)),IF(YEAR($F43)&gt;N$3,0,(12-MONTH($F43)+1)/12)),IF(YEAR($F43)&gt;N$3,0,VDB($D43,$E43,$G43,IF(YEAR($F43)=N$3,0,MIN($G43,(DATE(N$3,1,1)-$F43)/365)),MIN($G43,(DATE(N$3,12,31)-$F43)/365),$I43))))</f>
        <v>0</v>
      </c>
      <c r="O64" s="330" t="n">
        <f aca="false">IF($D43=0,0,IF($H43="SL",SLN($D43,$E43,$G43)*IF(YEAR($F43)&lt;O$3,IF(YEAR($F43)+$G43=O$3,(MONTH($F43)-1)/12,IF(YEAR($F43)+$G43&lt;O$3,0,1)),IF(YEAR($F43)&gt;O$3,0,(12-MONTH($F43)+1)/12)),IF(YEAR($F43)&gt;O$3,0,VDB($D43,$E43,$G43,IF(YEAR($F43)=O$3,0,MIN($G43,(DATE(O$3,1,1)-$F43)/365)),MIN($G43,(DATE(O$3,12,31)-$F43)/365),$I43))))</f>
        <v>0</v>
      </c>
      <c r="P64" s="330" t="n">
        <f aca="false">IF($D43=0,0,IF($H43="SL",SLN($D43,$E43,$G43)*IF(YEAR($F43)&lt;P$3,IF(YEAR($F43)+$G43=P$3,(MONTH($F43)-1)/12,IF(YEAR($F43)+$G43&lt;P$3,0,1)),IF(YEAR($F43)&gt;P$3,0,(12-MONTH($F43)+1)/12)),IF(YEAR($F43)&gt;P$3,0,VDB($D43,$E43,$G43,IF(YEAR($F43)=P$3,0,MIN($G43,(DATE(P$3,1,1)-$F43)/365)),MIN($G43,(DATE(P$3,12,31)-$F43)/365),$I43))))</f>
        <v>0</v>
      </c>
      <c r="Q64" s="330" t="n">
        <f aca="false">IF($D43=0,0,IF($H43="SL",SLN($D43,$E43,$G43)*IF(YEAR($F43)&lt;Q$3,IF(YEAR($F43)+$G43=Q$3,(MONTH($F43)-1)/12,IF(YEAR($F43)+$G43&lt;Q$3,0,1)),IF(YEAR($F43)&gt;Q$3,0,(12-MONTH($F43)+1)/12)),IF(YEAR($F43)&gt;Q$3,0,VDB($D43,$E43,$G43,IF(YEAR($F43)=Q$3,0,MIN($G43,(DATE(Q$3,1,1)-$F43)/365)),MIN($G43,(DATE(Q$3,12,31)-$F43)/365),$I43))))</f>
        <v>0</v>
      </c>
      <c r="R64" s="330" t="n">
        <f aca="false">IF($D43=0,0,IF($H43="SL",SLN($D43,$E43,$G43)*IF(YEAR($F43)&lt;R$3,IF(YEAR($F43)+$G43=R$3,(MONTH($F43)-1)/12,IF(YEAR($F43)+$G43&lt;R$3,0,1)),IF(YEAR($F43)&gt;R$3,0,(12-MONTH($F43)+1)/12)),IF(YEAR($F43)&gt;R$3,0,VDB($D43,$E43,$G43,IF(YEAR($F43)=R$3,0,MIN($G43,(DATE(R$3,1,1)-$F43)/365)),MIN($G43,(DATE(R$3,12,31)-$F43)/365),$I43))))</f>
        <v>0</v>
      </c>
      <c r="S64" s="330" t="n">
        <f aca="false">IF($D43=0,0,IF($H43="SL",SLN($D43,$E43,$G43)*IF(YEAR($F43)&lt;S$3,IF(YEAR($F43)+$G43=S$3,(MONTH($F43)-1)/12,IF(YEAR($F43)+$G43&lt;S$3,0,1)),IF(YEAR($F43)&gt;S$3,0,(12-MONTH($F43)+1)/12)),IF(YEAR($F43)&gt;S$3,0,VDB($D43,$E43,$G43,IF(YEAR($F43)=S$3,0,MIN($G43,(DATE(S$3,1,1)-$F43)/365)),MIN($G43,(DATE(S$3,12,31)-$F43)/365),$I43))))</f>
        <v>0</v>
      </c>
      <c r="T64" s="330" t="n">
        <f aca="false">IF($D43=0,0,IF($H43="SL",SLN($D43,$E43,$G43)*IF(YEAR($F43)&lt;T$3,IF(YEAR($F43)+$G43=T$3,(MONTH($F43)-1)/12,IF(YEAR($F43)+$G43&lt;T$3,0,1)),IF(YEAR($F43)&gt;T$3,0,(12-MONTH($F43)+1)/12)),IF(YEAR($F43)&gt;T$3,0,VDB($D43,$E43,$G43,IF(YEAR($F43)=T$3,0,MIN($G43,(DATE(T$3,1,1)-$F43)/365)),MIN($G43,(DATE(T$3,12,31)-$F43)/365),$I43))))</f>
        <v>0</v>
      </c>
      <c r="U64" s="330" t="n">
        <f aca="false">IF($D43=0,0,IF($H43="SL",SLN($D43,$E43,$G43)*IF(YEAR($F43)&lt;U$3,IF(YEAR($F43)+$G43=U$3,(MONTH($F43)-1)/12,IF(YEAR($F43)+$G43&lt;U$3,0,1)),IF(YEAR($F43)&gt;U$3,0,(12-MONTH($F43)+1)/12)),IF(YEAR($F43)&gt;U$3,0,VDB($D43,$E43,$G43,IF(YEAR($F43)=U$3,0,MIN($G43,(DATE(U$3,1,1)-$F43)/365)),MIN($G43,(DATE(U$3,12,31)-$F43)/365),$I43))))</f>
        <v>0</v>
      </c>
      <c r="V64" s="330" t="n">
        <f aca="false">IF($D43=0,0,IF($H43="SL",SLN($D43,$E43,$G43)*IF(YEAR($F43)&lt;V$3,IF(YEAR($F43)+$G43=V$3,(MONTH($F43)-1)/12,IF(YEAR($F43)+$G43&lt;V$3,0,1)),IF(YEAR($F43)&gt;V$3,0,(12-MONTH($F43)+1)/12)),IF(YEAR($F43)&gt;V$3,0,VDB($D43,$E43,$G43,IF(YEAR($F43)=V$3,0,MIN($G43,(DATE(V$3,1,1)-$F43)/365)),MIN($G43,(DATE(V$3,12,31)-$F43)/365),$I43))))</f>
        <v>0</v>
      </c>
      <c r="W64" s="330" t="n">
        <f aca="false">IF($D43=0,0,IF($H43="SL",SLN($D43,$E43,$G43)*IF(YEAR($F43)&lt;W$3,IF(YEAR($F43)+$G43=W$3,(MONTH($F43)-1)/12,IF(YEAR($F43)+$G43&lt;W$3,0,1)),IF(YEAR($F43)&gt;W$3,0,(12-MONTH($F43)+1)/12)),IF(YEAR($F43)&gt;W$3,0,VDB($D43,$E43,$G43,IF(YEAR($F43)=W$3,0,MIN($G43,(DATE(W$3,1,1)-$F43)/365)),MIN($G43,(DATE(W$3,12,31)-$F43)/365),$I43))))</f>
        <v>0</v>
      </c>
      <c r="X64" s="330" t="n">
        <f aca="false">IF($D43=0,0,IF($H43="SL",SLN($D43,$E43,$G43)*IF(YEAR($F43)&lt;X$3,IF(YEAR($F43)+$G43=X$3,(MONTH($F43)-1)/12,IF(YEAR($F43)+$G43&lt;X$3,0,1)),IF(YEAR($F43)&gt;X$3,0,(12-MONTH($F43)+1)/12)),IF(YEAR($F43)&gt;X$3,0,VDB($D43,$E43,$G43,IF(YEAR($F43)=X$3,0,MIN($G43,(DATE(X$3,1,1)-$F43)/365)),MIN($G43,(DATE(X$3,12,31)-$F43)/365),$I43))))</f>
        <v>0</v>
      </c>
      <c r="Y64" s="330" t="n">
        <f aca="false">IF($D43=0,0,IF($H43="SL",SLN($D43,$E43,$G43)*IF(YEAR($F43)&lt;Y$3,IF(YEAR($F43)+$G43=Y$3,(MONTH($F43)-1)/12,IF(YEAR($F43)+$G43&lt;Y$3,0,1)),IF(YEAR($F43)&gt;Y$3,0,(12-MONTH($F43)+1)/12)),IF(YEAR($F43)&gt;Y$3,0,VDB($D43,$E43,$G43,IF(YEAR($F43)=Y$3,0,MIN($G43,(DATE(Y$3,1,1)-$F43)/365)),MIN($G43,(DATE(Y$3,12,31)-$F43)/365),$I43))))</f>
        <v>0</v>
      </c>
      <c r="Z64" s="330" t="n">
        <f aca="false">IF($D43=0,0,IF($H43="SL",SLN($D43,$E43,$G43)*IF(YEAR($F43)&lt;Z$3,IF(YEAR($F43)+$G43=Z$3,(MONTH($F43)-1)/12,IF(YEAR($F43)+$G43&lt;Z$3,0,1)),IF(YEAR($F43)&gt;Z$3,0,(12-MONTH($F43)+1)/12)),IF(YEAR($F43)&gt;Z$3,0,VDB($D43,$E43,$G43,IF(YEAR($F43)=Z$3,0,MIN($G43,(DATE(Z$3,1,1)-$F43)/365)),MIN($G43,(DATE(Z$3,12,31)-$F43)/365),$I43))))</f>
        <v>0</v>
      </c>
      <c r="AA64" s="330" t="n">
        <f aca="false">IF($D43=0,0,IF($H43="SL",SLN($D43,$E43,$G43)*IF(YEAR($F43)&lt;AA$3,IF(YEAR($F43)+$G43=AA$3,(MONTH($F43)-1)/12,IF(YEAR($F43)+$G43&lt;AA$3,0,1)),IF(YEAR($F43)&gt;AA$3,0,(12-MONTH($F43)+1)/12)),IF(YEAR($F43)&gt;AA$3,0,VDB($D43,$E43,$G43,IF(YEAR($F43)=AA$3,0,MIN($G43,(DATE(AA$3,1,1)-$F43)/365)),MIN($G43,(DATE(AA$3,12,31)-$F43)/365),$I43))))</f>
        <v>0</v>
      </c>
      <c r="AB64" s="330" t="n">
        <f aca="false">IF($D43=0,0,IF($H43="SL",SLN($D43,$E43,$G43)*IF(YEAR($F43)&lt;AB$3,IF(YEAR($F43)+$G43=AB$3,(MONTH($F43)-1)/12,IF(YEAR($F43)+$G43&lt;AB$3,0,1)),IF(YEAR($F43)&gt;AB$3,0,(12-MONTH($F43)+1)/12)),IF(YEAR($F43)&gt;AB$3,0,VDB($D43,$E43,$G43,IF(YEAR($F43)=AB$3,0,MIN($G43,(DATE(AB$3,1,1)-$F43)/365)),MIN($G43,(DATE(AB$3,12,31)-$F43)/365),$I43))))</f>
        <v>0</v>
      </c>
      <c r="AC64" s="330" t="n">
        <f aca="false">IF($D43=0,0,IF($H43="SL",SLN($D43,$E43,$G43)*IF(YEAR($F43)&lt;AC$3,IF(YEAR($F43)+$G43=AC$3,(MONTH($F43)-1)/12,IF(YEAR($F43)+$G43&lt;AC$3,0,1)),IF(YEAR($F43)&gt;AC$3,0,(12-MONTH($F43)+1)/12)),IF(YEAR($F43)&gt;AC$3,0,VDB($D43,$E43,$G43,IF(YEAR($F43)=AC$3,0,MIN($G43,(DATE(AC$3,1,1)-$F43)/365)),MIN($G43,(DATE(AC$3,12,31)-$F43)/365),$I43))))</f>
        <v>0</v>
      </c>
      <c r="AD64" s="330" t="n">
        <f aca="false">IF($D43=0,0,IF($H43="SL",SLN($D43,$E43,$G43)*IF(YEAR($F43)&lt;AD$3,IF(YEAR($F43)+$G43=AD$3,(MONTH($F43)-1)/12,IF(YEAR($F43)+$G43&lt;AD$3,0,1)),IF(YEAR($F43)&gt;AD$3,0,(12-MONTH($F43)+1)/12)),IF(YEAR($F43)&gt;AD$3,0,VDB($D43,$E43,$G43,IF(YEAR($F43)=AD$3,0,MIN($G43,(DATE(AD$3,1,1)-$F43)/365)),MIN($G43,(DATE(AD$3,12,31)-$F43)/365),$I43))))</f>
        <v>0</v>
      </c>
      <c r="AE64" s="330" t="n">
        <f aca="false">IF($D43=0,0,IF($H43="SL",SLN($D43,$E43,$G43)*IF(YEAR($F43)&lt;AE$3,IF(YEAR($F43)+$G43=AE$3,(MONTH($F43)-1)/12,IF(YEAR($F43)+$G43&lt;AE$3,0,1)),IF(YEAR($F43)&gt;AE$3,0,(12-MONTH($F43)+1)/12)),IF(YEAR($F43)&gt;AE$3,0,VDB($D43,$E43,$G43,IF(YEAR($F43)=AE$3,0,MIN($G43,(DATE(AE$3,1,1)-$F43)/365)),MIN($G43,(DATE(AE$3,12,31)-$F43)/365),$I43))))</f>
        <v>0</v>
      </c>
      <c r="AF64" s="330" t="n">
        <f aca="false">IF($D43=0,0,IF($H43="SL",SLN($D43,$E43,$G43)*IF(YEAR($F43)&lt;AF$3,IF(YEAR($F43)+$G43=AF$3,(MONTH($F43)-1)/12,IF(YEAR($F43)+$G43&lt;AF$3,0,1)),IF(YEAR($F43)&gt;AF$3,0,(12-MONTH($F43)+1)/12)),IF(YEAR($F43)&gt;AF$3,0,VDB($D43,$E43,$G43,IF(YEAR($F43)=AF$3,0,MIN($G43,(DATE(AF$3,1,1)-$F43)/365)),MIN($G43,(DATE(AF$3,12,31)-$F43)/365),$I43))))</f>
        <v>0</v>
      </c>
    </row>
    <row r="65" customFormat="false" ht="11.25" hidden="false" customHeight="false" outlineLevel="1" collapsed="false">
      <c r="C65" s="235" t="str">
        <f aca="false">+C44</f>
        <v>Partial Overhaul 2</v>
      </c>
      <c r="I65" s="330" t="n">
        <f aca="false">IF(D44=0,0,IF($H44="SL",SLN($D44,$E44,$G44)*IF(YEAR($F44)&lt;(J$3-1),IF(YEAR($F44)+$G44=J$3-1,(MONTH($F44)-1)/12,IF(YEAR($F44)+$G44&lt;J$3-1,0,1)),IF(YEAR($F44)&gt;J$3-1,0,(12-MONTH($F44)+1)/12)),IF(YEAR($F44)&gt;J$3-1,0,VDB($D44,$E44,$G44,IF(YEAR($F44)=J$3-1,0,MIN($G44,(DATE(J$3-1,1,1)-$F44)/365)),MIN($G44,(DATE(J$3-1,12,31)-$F44)/365),$I44))))</f>
        <v>0</v>
      </c>
      <c r="J65" s="330" t="n">
        <f aca="false">IF($D44=0,0,IF($H44="SL",SLN($D44,$E44,$G44)*IF(YEAR($F44)&lt;J$3,IF(YEAR($F44)+$G44=J$3,(MONTH($F44)-1)/12,IF(YEAR($F44)+$G44&lt;J$3,0,1)),IF(YEAR($F44)&gt;J$3,0,(12-MONTH($F44)+1)/12)),IF(YEAR($F44)&gt;J$3,0,VDB($D44,$E44,$G44,IF(YEAR($F44)=J$3,0,MIN($G44,(DATE(J$3,1,1)-$F44)/365)),MIN($G44,(DATE(J$3,12,31)-$F44)/365),$I44))))</f>
        <v>0</v>
      </c>
      <c r="K65" s="330" t="n">
        <f aca="false">IF($D44=0,0,IF($H44="SL",SLN($D44,$E44,$G44)*IF(YEAR($F44)&lt;K$3,IF(YEAR($F44)+$G44=K$3,(MONTH($F44)-1)/12,IF(YEAR($F44)+$G44&lt;K$3,0,1)),IF(YEAR($F44)&gt;K$3,0,(12-MONTH($F44)+1)/12)),IF(YEAR($F44)&gt;K$3,0,VDB($D44,$E44,$G44,IF(YEAR($F44)=K$3,0,MIN($G44,(DATE(K$3,1,1)-$F44)/365)),MIN($G44,(DATE(K$3,12,31)-$F44)/365),$I44))))</f>
        <v>0</v>
      </c>
      <c r="L65" s="330" t="n">
        <f aca="false">IF($D44=0,0,IF($H44="SL",SLN($D44,$E44,$G44)*IF(YEAR($F44)&lt;L$3,IF(YEAR($F44)+$G44=L$3,(MONTH($F44)-1)/12,IF(YEAR($F44)+$G44&lt;L$3,0,1)),IF(YEAR($F44)&gt;L$3,0,(12-MONTH($F44)+1)/12)),IF(YEAR($F44)&gt;L$3,0,VDB($D44,$E44,$G44,IF(YEAR($F44)=L$3,0,MIN($G44,(DATE(L$3,1,1)-$F44)/365)),MIN($G44,(DATE(L$3,12,31)-$F44)/365),$I44))))</f>
        <v>0</v>
      </c>
      <c r="M65" s="330" t="n">
        <f aca="false">IF($D44=0,0,IF($H44="SL",SLN($D44,$E44,$G44)*IF(YEAR($F44)&lt;M$3,IF(YEAR($F44)+$G44=M$3,(MONTH($F44)-1)/12,IF(YEAR($F44)+$G44&lt;M$3,0,1)),IF(YEAR($F44)&gt;M$3,0,(12-MONTH($F44)+1)/12)),IF(YEAR($F44)&gt;M$3,0,VDB($D44,$E44,$G44,IF(YEAR($F44)=M$3,0,MIN($G44,(DATE(M$3,1,1)-$F44)/365)),MIN($G44,(DATE(M$3,12,31)-$F44)/365),$I44))))</f>
        <v>0</v>
      </c>
      <c r="N65" s="330" t="n">
        <f aca="false">IF($D44=0,0,IF($H44="SL",SLN($D44,$E44,$G44)*IF(YEAR($F44)&lt;N$3,IF(YEAR($F44)+$G44=N$3,(MONTH($F44)-1)/12,IF(YEAR($F44)+$G44&lt;N$3,0,1)),IF(YEAR($F44)&gt;N$3,0,(12-MONTH($F44)+1)/12)),IF(YEAR($F44)&gt;N$3,0,VDB($D44,$E44,$G44,IF(YEAR($F44)=N$3,0,MIN($G44,(DATE(N$3,1,1)-$F44)/365)),MIN($G44,(DATE(N$3,12,31)-$F44)/365),$I44))))</f>
        <v>0</v>
      </c>
      <c r="O65" s="330" t="n">
        <f aca="false">IF($D44=0,0,IF($H44="SL",SLN($D44,$E44,$G44)*IF(YEAR($F44)&lt;O$3,IF(YEAR($F44)+$G44=O$3,(MONTH($F44)-1)/12,IF(YEAR($F44)+$G44&lt;O$3,0,1)),IF(YEAR($F44)&gt;O$3,0,(12-MONTH($F44)+1)/12)),IF(YEAR($F44)&gt;O$3,0,VDB($D44,$E44,$G44,IF(YEAR($F44)=O$3,0,MIN($G44,(DATE(O$3,1,1)-$F44)/365)),MIN($G44,(DATE(O$3,12,31)-$F44)/365),$I44))))</f>
        <v>0</v>
      </c>
      <c r="P65" s="330" t="n">
        <f aca="false">IF($D44=0,0,IF($H44="SL",SLN($D44,$E44,$G44)*IF(YEAR($F44)&lt;P$3,IF(YEAR($F44)+$G44=P$3,(MONTH($F44)-1)/12,IF(YEAR($F44)+$G44&lt;P$3,0,1)),IF(YEAR($F44)&gt;P$3,0,(12-MONTH($F44)+1)/12)),IF(YEAR($F44)&gt;P$3,0,VDB($D44,$E44,$G44,IF(YEAR($F44)=P$3,0,MIN($G44,(DATE(P$3,1,1)-$F44)/365)),MIN($G44,(DATE(P$3,12,31)-$F44)/365),$I44))))</f>
        <v>0</v>
      </c>
      <c r="Q65" s="330" t="n">
        <f aca="false">IF($D44=0,0,IF($H44="SL",SLN($D44,$E44,$G44)*IF(YEAR($F44)&lt;Q$3,IF(YEAR($F44)+$G44=Q$3,(MONTH($F44)-1)/12,IF(YEAR($F44)+$G44&lt;Q$3,0,1)),IF(YEAR($F44)&gt;Q$3,0,(12-MONTH($F44)+1)/12)),IF(YEAR($F44)&gt;Q$3,0,VDB($D44,$E44,$G44,IF(YEAR($F44)=Q$3,0,MIN($G44,(DATE(Q$3,1,1)-$F44)/365)),MIN($G44,(DATE(Q$3,12,31)-$F44)/365),$I44))))</f>
        <v>0</v>
      </c>
      <c r="R65" s="330" t="n">
        <f aca="false">IF($D44=0,0,IF($H44="SL",SLN($D44,$E44,$G44)*IF(YEAR($F44)&lt;R$3,IF(YEAR($F44)+$G44=R$3,(MONTH($F44)-1)/12,IF(YEAR($F44)+$G44&lt;R$3,0,1)),IF(YEAR($F44)&gt;R$3,0,(12-MONTH($F44)+1)/12)),IF(YEAR($F44)&gt;R$3,0,VDB($D44,$E44,$G44,IF(YEAR($F44)=R$3,0,MIN($G44,(DATE(R$3,1,1)-$F44)/365)),MIN($G44,(DATE(R$3,12,31)-$F44)/365),$I44))))</f>
        <v>0</v>
      </c>
      <c r="S65" s="330" t="n">
        <f aca="false">IF($D44=0,0,IF($H44="SL",SLN($D44,$E44,$G44)*IF(YEAR($F44)&lt;S$3,IF(YEAR($F44)+$G44=S$3,(MONTH($F44)-1)/12,IF(YEAR($F44)+$G44&lt;S$3,0,1)),IF(YEAR($F44)&gt;S$3,0,(12-MONTH($F44)+1)/12)),IF(YEAR($F44)&gt;S$3,0,VDB($D44,$E44,$G44,IF(YEAR($F44)=S$3,0,MIN($G44,(DATE(S$3,1,1)-$F44)/365)),MIN($G44,(DATE(S$3,12,31)-$F44)/365),$I44))))</f>
        <v>0</v>
      </c>
      <c r="T65" s="330" t="n">
        <f aca="false">IF($D44=0,0,IF($H44="SL",SLN($D44,$E44,$G44)*IF(YEAR($F44)&lt;T$3,IF(YEAR($F44)+$G44=T$3,(MONTH($F44)-1)/12,IF(YEAR($F44)+$G44&lt;T$3,0,1)),IF(YEAR($F44)&gt;T$3,0,(12-MONTH($F44)+1)/12)),IF(YEAR($F44)&gt;T$3,0,VDB($D44,$E44,$G44,IF(YEAR($F44)=T$3,0,MIN($G44,(DATE(T$3,1,1)-$F44)/365)),MIN($G44,(DATE(T$3,12,31)-$F44)/365),$I44))))</f>
        <v>0</v>
      </c>
      <c r="U65" s="330" t="n">
        <f aca="false">IF($D44=0,0,IF($H44="SL",SLN($D44,$E44,$G44)*IF(YEAR($F44)&lt;U$3,IF(YEAR($F44)+$G44=U$3,(MONTH($F44)-1)/12,IF(YEAR($F44)+$G44&lt;U$3,0,1)),IF(YEAR($F44)&gt;U$3,0,(12-MONTH($F44)+1)/12)),IF(YEAR($F44)&gt;U$3,0,VDB($D44,$E44,$G44,IF(YEAR($F44)=U$3,0,MIN($G44,(DATE(U$3,1,1)-$F44)/365)),MIN($G44,(DATE(U$3,12,31)-$F44)/365),$I44))))</f>
        <v>97.4299642696699</v>
      </c>
      <c r="V65" s="330" t="n">
        <f aca="false">IF($D44=0,0,IF($H44="SL",SLN($D44,$E44,$G44)*IF(YEAR($F44)&lt;V$3,IF(YEAR($F44)+$G44=V$3,(MONTH($F44)-1)/12,IF(YEAR($F44)+$G44&lt;V$3,0,1)),IF(YEAR($F44)&gt;V$3,0,(12-MONTH($F44)+1)/12)),IF(YEAR($F44)&gt;V$3,0,VDB($D44,$E44,$G44,IF(YEAR($F44)=V$3,0,MIN($G44,(DATE(V$3,1,1)-$F44)/365)),MIN($G44,(DATE(V$3,12,31)-$F44)/365),$I44))))</f>
        <v>233.831914247208</v>
      </c>
      <c r="W65" s="330" t="n">
        <f aca="false">IF($D44=0,0,IF($H44="SL",SLN($D44,$E44,$G44)*IF(YEAR($F44)&lt;W$3,IF(YEAR($F44)+$G44=W$3,(MONTH($F44)-1)/12,IF(YEAR($F44)+$G44&lt;W$3,0,1)),IF(YEAR($F44)&gt;W$3,0,(12-MONTH($F44)+1)/12)),IF(YEAR($F44)&gt;W$3,0,VDB($D44,$E44,$G44,IF(YEAR($F44)=W$3,0,MIN($G44,(DATE(W$3,1,1)-$F44)/365)),MIN($G44,(DATE(W$3,12,31)-$F44)/365),$I44))))</f>
        <v>233.831914247208</v>
      </c>
      <c r="X65" s="330" t="n">
        <f aca="false">IF($D44=0,0,IF($H44="SL",SLN($D44,$E44,$G44)*IF(YEAR($F44)&lt;X$3,IF(YEAR($F44)+$G44=X$3,(MONTH($F44)-1)/12,IF(YEAR($F44)+$G44&lt;X$3,0,1)),IF(YEAR($F44)&gt;X$3,0,(12-MONTH($F44)+1)/12)),IF(YEAR($F44)&gt;X$3,0,VDB($D44,$E44,$G44,IF(YEAR($F44)=X$3,0,MIN($G44,(DATE(X$3,1,1)-$F44)/365)),MIN($G44,(DATE(X$3,12,31)-$F44)/365),$I44))))</f>
        <v>233.831914247208</v>
      </c>
      <c r="Y65" s="330" t="n">
        <f aca="false">IF($D44=0,0,IF($H44="SL",SLN($D44,$E44,$G44)*IF(YEAR($F44)&lt;Y$3,IF(YEAR($F44)+$G44=Y$3,(MONTH($F44)-1)/12,IF(YEAR($F44)+$G44&lt;Y$3,0,1)),IF(YEAR($F44)&gt;Y$3,0,(12-MONTH($F44)+1)/12)),IF(YEAR($F44)&gt;Y$3,0,VDB($D44,$E44,$G44,IF(YEAR($F44)=Y$3,0,MIN($G44,(DATE(Y$3,1,1)-$F44)/365)),MIN($G44,(DATE(Y$3,12,31)-$F44)/365),$I44))))</f>
        <v>233.831914247208</v>
      </c>
      <c r="Z65" s="330" t="n">
        <f aca="false">IF($D44=0,0,IF($H44="SL",SLN($D44,$E44,$G44)*IF(YEAR($F44)&lt;Z$3,IF(YEAR($F44)+$G44=Z$3,(MONTH($F44)-1)/12,IF(YEAR($F44)+$G44&lt;Z$3,0,1)),IF(YEAR($F44)&gt;Z$3,0,(12-MONTH($F44)+1)/12)),IF(YEAR($F44)&gt;Z$3,0,VDB($D44,$E44,$G44,IF(YEAR($F44)=Z$3,0,MIN($G44,(DATE(Z$3,1,1)-$F44)/365)),MIN($G44,(DATE(Z$3,12,31)-$F44)/365),$I44))))</f>
        <v>233.831914247208</v>
      </c>
      <c r="AA65" s="330" t="n">
        <f aca="false">IF($D44=0,0,IF($H44="SL",SLN($D44,$E44,$G44)*IF(YEAR($F44)&lt;AA$3,IF(YEAR($F44)+$G44=AA$3,(MONTH($F44)-1)/12,IF(YEAR($F44)+$G44&lt;AA$3,0,1)),IF(YEAR($F44)&gt;AA$3,0,(12-MONTH($F44)+1)/12)),IF(YEAR($F44)&gt;AA$3,0,VDB($D44,$E44,$G44,IF(YEAR($F44)=AA$3,0,MIN($G44,(DATE(AA$3,1,1)-$F44)/365)),MIN($G44,(DATE(AA$3,12,31)-$F44)/365),$I44))))</f>
        <v>233.831914247208</v>
      </c>
      <c r="AB65" s="330" t="n">
        <f aca="false">IF($D44=0,0,IF($H44="SL",SLN($D44,$E44,$G44)*IF(YEAR($F44)&lt;AB$3,IF(YEAR($F44)+$G44=AB$3,(MONTH($F44)-1)/12,IF(YEAR($F44)+$G44&lt;AB$3,0,1)),IF(YEAR($F44)&gt;AB$3,0,(12-MONTH($F44)+1)/12)),IF(YEAR($F44)&gt;AB$3,0,VDB($D44,$E44,$G44,IF(YEAR($F44)=AB$3,0,MIN($G44,(DATE(AB$3,1,1)-$F44)/365)),MIN($G44,(DATE(AB$3,12,31)-$F44)/365),$I44))))</f>
        <v>233.831914247208</v>
      </c>
      <c r="AC65" s="330" t="n">
        <f aca="false">IF($D44=0,0,IF($H44="SL",SLN($D44,$E44,$G44)*IF(YEAR($F44)&lt;AC$3,IF(YEAR($F44)+$G44=AC$3,(MONTH($F44)-1)/12,IF(YEAR($F44)+$G44&lt;AC$3,0,1)),IF(YEAR($F44)&gt;AC$3,0,(12-MONTH($F44)+1)/12)),IF(YEAR($F44)&gt;AC$3,0,VDB($D44,$E44,$G44,IF(YEAR($F44)=AC$3,0,MIN($G44,(DATE(AC$3,1,1)-$F44)/365)),MIN($G44,(DATE(AC$3,12,31)-$F44)/365),$I44))))</f>
        <v>136.401949977538</v>
      </c>
      <c r="AD65" s="330" t="n">
        <f aca="false">IF($D44=0,0,IF($H44="SL",SLN($D44,$E44,$G44)*IF(YEAR($F44)&lt;AD$3,IF(YEAR($F44)+$G44=AD$3,(MONTH($F44)-1)/12,IF(YEAR($F44)+$G44&lt;AD$3,0,1)),IF(YEAR($F44)&gt;AD$3,0,(12-MONTH($F44)+1)/12)),IF(YEAR($F44)&gt;AD$3,0,VDB($D44,$E44,$G44,IF(YEAR($F44)=AD$3,0,MIN($G44,(DATE(AD$3,1,1)-$F44)/365)),MIN($G44,(DATE(AD$3,12,31)-$F44)/365),$I44))))</f>
        <v>0</v>
      </c>
      <c r="AE65" s="330" t="n">
        <f aca="false">IF($D44=0,0,IF($H44="SL",SLN($D44,$E44,$G44)*IF(YEAR($F44)&lt;AE$3,IF(YEAR($F44)+$G44=AE$3,(MONTH($F44)-1)/12,IF(YEAR($F44)+$G44&lt;AE$3,0,1)),IF(YEAR($F44)&gt;AE$3,0,(12-MONTH($F44)+1)/12)),IF(YEAR($F44)&gt;AE$3,0,VDB($D44,$E44,$G44,IF(YEAR($F44)=AE$3,0,MIN($G44,(DATE(AE$3,1,1)-$F44)/365)),MIN($G44,(DATE(AE$3,12,31)-$F44)/365),$I44))))</f>
        <v>0</v>
      </c>
      <c r="AF65" s="330" t="n">
        <f aca="false">IF($D44=0,0,IF($H44="SL",SLN($D44,$E44,$G44)*IF(YEAR($F44)&lt;AF$3,IF(YEAR($F44)+$G44=AF$3,(MONTH($F44)-1)/12,IF(YEAR($F44)+$G44&lt;AF$3,0,1)),IF(YEAR($F44)&gt;AF$3,0,(12-MONTH($F44)+1)/12)),IF(YEAR($F44)&gt;AF$3,0,VDB($D44,$E44,$G44,IF(YEAR($F44)=AF$3,0,MIN($G44,(DATE(AF$3,1,1)-$F44)/365)),MIN($G44,(DATE(AF$3,12,31)-$F44)/365),$I44))))</f>
        <v>0</v>
      </c>
    </row>
    <row r="66" customFormat="false" ht="11.25" hidden="false" customHeight="false" outlineLevel="1" collapsed="false">
      <c r="C66" s="235" t="str">
        <f aca="false">+C45</f>
        <v>Complete Overhaul 2</v>
      </c>
      <c r="I66" s="330" t="n">
        <f aca="false">IF(D45=0,0,IF($H45="SL",SLN($D45,$E45,$G45)*IF(YEAR($F45)&lt;(J$3-1),IF(YEAR($F45)+$G45=J$3-1,(MONTH($F45)-1)/12,IF(YEAR($F45)+$G45&lt;J$3-1,0,1)),IF(YEAR($F45)&gt;J$3-1,0,(12-MONTH($F45)+1)/12)),IF(YEAR($F45)&gt;J$3-1,0,VDB($D45,$E45,$G45,IF(YEAR($F45)=J$3-1,0,MIN($G45,(DATE(J$3-1,1,1)-$F45)/365)),MIN($G45,(DATE(J$3-1,12,31)-$F45)/365),$I45))))</f>
        <v>0</v>
      </c>
      <c r="J66" s="330" t="n">
        <f aca="false">IF($D45=0,0,IF($H45="SL",SLN($D45,$E45,$G45)*IF(YEAR($F45)&lt;J$3,IF(YEAR($F45)+$G45=J$3,(MONTH($F45)-1)/12,IF(YEAR($F45)+$G45&lt;J$3,0,1)),IF(YEAR($F45)&gt;J$3,0,(12-MONTH($F45)+1)/12)),IF(YEAR($F45)&gt;J$3,0,VDB($D45,$E45,$G45,IF(YEAR($F45)=J$3,0,MIN($G45,(DATE(J$3,1,1)-$F45)/365)),MIN($G45,(DATE(J$3,12,31)-$F45)/365),$I45))))</f>
        <v>0</v>
      </c>
      <c r="K66" s="330" t="n">
        <f aca="false">IF($D45=0,0,IF($H45="SL",SLN($D45,$E45,$G45)*IF(YEAR($F45)&lt;K$3,IF(YEAR($F45)+$G45=K$3,(MONTH($F45)-1)/12,IF(YEAR($F45)+$G45&lt;K$3,0,1)),IF(YEAR($F45)&gt;K$3,0,(12-MONTH($F45)+1)/12)),IF(YEAR($F45)&gt;K$3,0,VDB($D45,$E45,$G45,IF(YEAR($F45)=K$3,0,MIN($G45,(DATE(K$3,1,1)-$F45)/365)),MIN($G45,(DATE(K$3,12,31)-$F45)/365),$I45))))</f>
        <v>0</v>
      </c>
      <c r="L66" s="330" t="n">
        <f aca="false">IF($D45=0,0,IF($H45="SL",SLN($D45,$E45,$G45)*IF(YEAR($F45)&lt;L$3,IF(YEAR($F45)+$G45=L$3,(MONTH($F45)-1)/12,IF(YEAR($F45)+$G45&lt;L$3,0,1)),IF(YEAR($F45)&gt;L$3,0,(12-MONTH($F45)+1)/12)),IF(YEAR($F45)&gt;L$3,0,VDB($D45,$E45,$G45,IF(YEAR($F45)=L$3,0,MIN($G45,(DATE(L$3,1,1)-$F45)/365)),MIN($G45,(DATE(L$3,12,31)-$F45)/365),$I45))))</f>
        <v>0</v>
      </c>
      <c r="M66" s="330" t="n">
        <f aca="false">IF($D45=0,0,IF($H45="SL",SLN($D45,$E45,$G45)*IF(YEAR($F45)&lt;M$3,IF(YEAR($F45)+$G45=M$3,(MONTH($F45)-1)/12,IF(YEAR($F45)+$G45&lt;M$3,0,1)),IF(YEAR($F45)&gt;M$3,0,(12-MONTH($F45)+1)/12)),IF(YEAR($F45)&gt;M$3,0,VDB($D45,$E45,$G45,IF(YEAR($F45)=M$3,0,MIN($G45,(DATE(M$3,1,1)-$F45)/365)),MIN($G45,(DATE(M$3,12,31)-$F45)/365),$I45))))</f>
        <v>0</v>
      </c>
      <c r="N66" s="330" t="n">
        <f aca="false">IF($D45=0,0,IF($H45="SL",SLN($D45,$E45,$G45)*IF(YEAR($F45)&lt;N$3,IF(YEAR($F45)+$G45=N$3,(MONTH($F45)-1)/12,IF(YEAR($F45)+$G45&lt;N$3,0,1)),IF(YEAR($F45)&gt;N$3,0,(12-MONTH($F45)+1)/12)),IF(YEAR($F45)&gt;N$3,0,VDB($D45,$E45,$G45,IF(YEAR($F45)=N$3,0,MIN($G45,(DATE(N$3,1,1)-$F45)/365)),MIN($G45,(DATE(N$3,12,31)-$F45)/365),$I45))))</f>
        <v>0</v>
      </c>
      <c r="O66" s="330" t="n">
        <f aca="false">IF($D45=0,0,IF($H45="SL",SLN($D45,$E45,$G45)*IF(YEAR($F45)&lt;O$3,IF(YEAR($F45)+$G45=O$3,(MONTH($F45)-1)/12,IF(YEAR($F45)+$G45&lt;O$3,0,1)),IF(YEAR($F45)&gt;O$3,0,(12-MONTH($F45)+1)/12)),IF(YEAR($F45)&gt;O$3,0,VDB($D45,$E45,$G45,IF(YEAR($F45)=O$3,0,MIN($G45,(DATE(O$3,1,1)-$F45)/365)),MIN($G45,(DATE(O$3,12,31)-$F45)/365),$I45))))</f>
        <v>0</v>
      </c>
      <c r="P66" s="330" t="n">
        <f aca="false">IF($D45=0,0,IF($H45="SL",SLN($D45,$E45,$G45)*IF(YEAR($F45)&lt;P$3,IF(YEAR($F45)+$G45=P$3,(MONTH($F45)-1)/12,IF(YEAR($F45)+$G45&lt;P$3,0,1)),IF(YEAR($F45)&gt;P$3,0,(12-MONTH($F45)+1)/12)),IF(YEAR($F45)&gt;P$3,0,VDB($D45,$E45,$G45,IF(YEAR($F45)=P$3,0,MIN($G45,(DATE(P$3,1,1)-$F45)/365)),MIN($G45,(DATE(P$3,12,31)-$F45)/365),$I45))))</f>
        <v>0</v>
      </c>
      <c r="Q66" s="330" t="n">
        <f aca="false">IF($D45=0,0,IF($H45="SL",SLN($D45,$E45,$G45)*IF(YEAR($F45)&lt;Q$3,IF(YEAR($F45)+$G45=Q$3,(MONTH($F45)-1)/12,IF(YEAR($F45)+$G45&lt;Q$3,0,1)),IF(YEAR($F45)&gt;Q$3,0,(12-MONTH($F45)+1)/12)),IF(YEAR($F45)&gt;Q$3,0,VDB($D45,$E45,$G45,IF(YEAR($F45)=Q$3,0,MIN($G45,(DATE(Q$3,1,1)-$F45)/365)),MIN($G45,(DATE(Q$3,12,31)-$F45)/365),$I45))))</f>
        <v>0</v>
      </c>
      <c r="R66" s="330" t="n">
        <f aca="false">IF($D45=0,0,IF($H45="SL",SLN($D45,$E45,$G45)*IF(YEAR($F45)&lt;R$3,IF(YEAR($F45)+$G45=R$3,(MONTH($F45)-1)/12,IF(YEAR($F45)+$G45&lt;R$3,0,1)),IF(YEAR($F45)&gt;R$3,0,(12-MONTH($F45)+1)/12)),IF(YEAR($F45)&gt;R$3,0,VDB($D45,$E45,$G45,IF(YEAR($F45)=R$3,0,MIN($G45,(DATE(R$3,1,1)-$F45)/365)),MIN($G45,(DATE(R$3,12,31)-$F45)/365),$I45))))</f>
        <v>0</v>
      </c>
      <c r="S66" s="330" t="n">
        <f aca="false">IF($D45=0,0,IF($H45="SL",SLN($D45,$E45,$G45)*IF(YEAR($F45)&lt;S$3,IF(YEAR($F45)+$G45=S$3,(MONTH($F45)-1)/12,IF(YEAR($F45)+$G45&lt;S$3,0,1)),IF(YEAR($F45)&gt;S$3,0,(12-MONTH($F45)+1)/12)),IF(YEAR($F45)&gt;S$3,0,VDB($D45,$E45,$G45,IF(YEAR($F45)=S$3,0,MIN($G45,(DATE(S$3,1,1)-$F45)/365)),MIN($G45,(DATE(S$3,12,31)-$F45)/365),$I45))))</f>
        <v>0</v>
      </c>
      <c r="T66" s="330" t="n">
        <f aca="false">IF($D45=0,0,IF($H45="SL",SLN($D45,$E45,$G45)*IF(YEAR($F45)&lt;T$3,IF(YEAR($F45)+$G45=T$3,(MONTH($F45)-1)/12,IF(YEAR($F45)+$G45&lt;T$3,0,1)),IF(YEAR($F45)&gt;T$3,0,(12-MONTH($F45)+1)/12)),IF(YEAR($F45)&gt;T$3,0,VDB($D45,$E45,$G45,IF(YEAR($F45)=T$3,0,MIN($G45,(DATE(T$3,1,1)-$F45)/365)),MIN($G45,(DATE(T$3,12,31)-$F45)/365),$I45))))</f>
        <v>0</v>
      </c>
      <c r="U66" s="330" t="n">
        <f aca="false">IF($D45=0,0,IF($H45="SL",SLN($D45,$E45,$G45)*IF(YEAR($F45)&lt;U$3,IF(YEAR($F45)+$G45=U$3,(MONTH($F45)-1)/12,IF(YEAR($F45)+$G45&lt;U$3,0,1)),IF(YEAR($F45)&gt;U$3,0,(12-MONTH($F45)+1)/12)),IF(YEAR($F45)&gt;U$3,0,VDB($D45,$E45,$G45,IF(YEAR($F45)=U$3,0,MIN($G45,(DATE(U$3,1,1)-$F45)/365)),MIN($G45,(DATE(U$3,12,31)-$F45)/365),$I45))))</f>
        <v>0</v>
      </c>
      <c r="V66" s="330" t="n">
        <f aca="false">IF($D45=0,0,IF($H45="SL",SLN($D45,$E45,$G45)*IF(YEAR($F45)&lt;V$3,IF(YEAR($F45)+$G45=V$3,(MONTH($F45)-1)/12,IF(YEAR($F45)+$G45&lt;V$3,0,1)),IF(YEAR($F45)&gt;V$3,0,(12-MONTH($F45)+1)/12)),IF(YEAR($F45)&gt;V$3,0,VDB($D45,$E45,$G45,IF(YEAR($F45)=V$3,0,MIN($G45,(DATE(V$3,1,1)-$F45)/365)),MIN($G45,(DATE(V$3,12,31)-$F45)/365),$I45))))</f>
        <v>0</v>
      </c>
      <c r="W66" s="330" t="n">
        <f aca="false">IF($D45=0,0,IF($H45="SL",SLN($D45,$E45,$G45)*IF(YEAR($F45)&lt;W$3,IF(YEAR($F45)+$G45=W$3,(MONTH($F45)-1)/12,IF(YEAR($F45)+$G45&lt;W$3,0,1)),IF(YEAR($F45)&gt;W$3,0,(12-MONTH($F45)+1)/12)),IF(YEAR($F45)&gt;W$3,0,VDB($D45,$E45,$G45,IF(YEAR($F45)=W$3,0,MIN($G45,(DATE(W$3,1,1)-$F45)/365)),MIN($G45,(DATE(W$3,12,31)-$F45)/365),$I45))))</f>
        <v>0</v>
      </c>
      <c r="X66" s="330" t="n">
        <f aca="false">IF($D45=0,0,IF($H45="SL",SLN($D45,$E45,$G45)*IF(YEAR($F45)&lt;X$3,IF(YEAR($F45)+$G45=X$3,(MONTH($F45)-1)/12,IF(YEAR($F45)+$G45&lt;X$3,0,1)),IF(YEAR($F45)&gt;X$3,0,(12-MONTH($F45)+1)/12)),IF(YEAR($F45)&gt;X$3,0,VDB($D45,$E45,$G45,IF(YEAR($F45)=X$3,0,MIN($G45,(DATE(X$3,1,1)-$F45)/365)),MIN($G45,(DATE(X$3,12,31)-$F45)/365),$I45))))</f>
        <v>0</v>
      </c>
      <c r="Y66" s="330" t="n">
        <f aca="false">IF($D45=0,0,IF($H45="SL",SLN($D45,$E45,$G45)*IF(YEAR($F45)&lt;Y$3,IF(YEAR($F45)+$G45=Y$3,(MONTH($F45)-1)/12,IF(YEAR($F45)+$G45&lt;Y$3,0,1)),IF(YEAR($F45)&gt;Y$3,0,(12-MONTH($F45)+1)/12)),IF(YEAR($F45)&gt;Y$3,0,VDB($D45,$E45,$G45,IF(YEAR($F45)=Y$3,0,MIN($G45,(DATE(Y$3,1,1)-$F45)/365)),MIN($G45,(DATE(Y$3,12,31)-$F45)/365),$I45))))</f>
        <v>336.654038369267</v>
      </c>
      <c r="Z66" s="330" t="n">
        <f aca="false">IF($D45=0,0,IF($H45="SL",SLN($D45,$E45,$G45)*IF(YEAR($F45)&lt;Z$3,IF(YEAR($F45)+$G45=Z$3,(MONTH($F45)-1)/12,IF(YEAR($F45)+$G45&lt;Z$3,0,1)),IF(YEAR($F45)&gt;Z$3,0,(12-MONTH($F45)+1)/12)),IF(YEAR($F45)&gt;Z$3,0,VDB($D45,$E45,$G45,IF(YEAR($F45)=Z$3,0,MIN($G45,(DATE(Z$3,1,1)-$F45)/365)),MIN($G45,(DATE(Z$3,12,31)-$F45)/365),$I45))))</f>
        <v>807.96969208624</v>
      </c>
      <c r="AA66" s="330" t="n">
        <f aca="false">IF($D45=0,0,IF($H45="SL",SLN($D45,$E45,$G45)*IF(YEAR($F45)&lt;AA$3,IF(YEAR($F45)+$G45=AA$3,(MONTH($F45)-1)/12,IF(YEAR($F45)+$G45&lt;AA$3,0,1)),IF(YEAR($F45)&gt;AA$3,0,(12-MONTH($F45)+1)/12)),IF(YEAR($F45)&gt;AA$3,0,VDB($D45,$E45,$G45,IF(YEAR($F45)=AA$3,0,MIN($G45,(DATE(AA$3,1,1)-$F45)/365)),MIN($G45,(DATE(AA$3,12,31)-$F45)/365),$I45))))</f>
        <v>807.96969208624</v>
      </c>
      <c r="AB66" s="330" t="n">
        <f aca="false">IF($D45=0,0,IF($H45="SL",SLN($D45,$E45,$G45)*IF(YEAR($F45)&lt;AB$3,IF(YEAR($F45)+$G45=AB$3,(MONTH($F45)-1)/12,IF(YEAR($F45)+$G45&lt;AB$3,0,1)),IF(YEAR($F45)&gt;AB$3,0,(12-MONTH($F45)+1)/12)),IF(YEAR($F45)&gt;AB$3,0,VDB($D45,$E45,$G45,IF(YEAR($F45)=AB$3,0,MIN($G45,(DATE(AB$3,1,1)-$F45)/365)),MIN($G45,(DATE(AB$3,12,31)-$F45)/365),$I45))))</f>
        <v>807.96969208624</v>
      </c>
      <c r="AC66" s="330" t="n">
        <f aca="false">IF($D45=0,0,IF($H45="SL",SLN($D45,$E45,$G45)*IF(YEAR($F45)&lt;AC$3,IF(YEAR($F45)+$G45=AC$3,(MONTH($F45)-1)/12,IF(YEAR($F45)+$G45&lt;AC$3,0,1)),IF(YEAR($F45)&gt;AC$3,0,(12-MONTH($F45)+1)/12)),IF(YEAR($F45)&gt;AC$3,0,VDB($D45,$E45,$G45,IF(YEAR($F45)=AC$3,0,MIN($G45,(DATE(AC$3,1,1)-$F45)/365)),MIN($G45,(DATE(AC$3,12,31)-$F45)/365),$I45))))</f>
        <v>807.96969208624</v>
      </c>
      <c r="AD66" s="330" t="n">
        <f aca="false">IF($D45=0,0,IF($H45="SL",SLN($D45,$E45,$G45)*IF(YEAR($F45)&lt;AD$3,IF(YEAR($F45)+$G45=AD$3,(MONTH($F45)-1)/12,IF(YEAR($F45)+$G45&lt;AD$3,0,1)),IF(YEAR($F45)&gt;AD$3,0,(12-MONTH($F45)+1)/12)),IF(YEAR($F45)&gt;AD$3,0,VDB($D45,$E45,$G45,IF(YEAR($F45)=AD$3,0,MIN($G45,(DATE(AD$3,1,1)-$F45)/365)),MIN($G45,(DATE(AD$3,12,31)-$F45)/365),$I45))))</f>
        <v>807.96969208624</v>
      </c>
      <c r="AE66" s="330" t="n">
        <f aca="false">IF($D45=0,0,IF($H45="SL",SLN($D45,$E45,$G45)*IF(YEAR($F45)&lt;AE$3,IF(YEAR($F45)+$G45=AE$3,(MONTH($F45)-1)/12,IF(YEAR($F45)+$G45&lt;AE$3,0,1)),IF(YEAR($F45)&gt;AE$3,0,(12-MONTH($F45)+1)/12)),IF(YEAR($F45)&gt;AE$3,0,VDB($D45,$E45,$G45,IF(YEAR($F45)=AE$3,0,MIN($G45,(DATE(AE$3,1,1)-$F45)/365)),MIN($G45,(DATE(AE$3,12,31)-$F45)/365),$I45))))</f>
        <v>807.96969208624</v>
      </c>
      <c r="AF66" s="330" t="n">
        <f aca="false">IF($D45=0,0,IF($H45="SL",SLN($D45,$E45,$G45)*IF(YEAR($F45)&lt;AF$3,IF(YEAR($F45)+$G45=AF$3,(MONTH($F45)-1)/12,IF(YEAR($F45)+$G45&lt;AF$3,0,1)),IF(YEAR($F45)&gt;AF$3,0,(12-MONTH($F45)+1)/12)),IF(YEAR($F45)&gt;AF$3,0,VDB($D45,$E45,$G45,IF(YEAR($F45)=AF$3,0,MIN($G45,(DATE(AF$3,1,1)-$F45)/365)),MIN($G45,(DATE(AF$3,12,31)-$F45)/365),$I45))))</f>
        <v>807.96969208624</v>
      </c>
    </row>
    <row r="67" customFormat="false" ht="11.25" hidden="false" customHeight="false" outlineLevel="1" collapsed="false">
      <c r="C67" s="331" t="str">
        <f aca="false">+C46</f>
        <v>Contract Buy-Out</v>
      </c>
      <c r="D67" s="331"/>
      <c r="E67" s="331"/>
      <c r="F67" s="331"/>
      <c r="G67" s="331"/>
      <c r="H67" s="331"/>
      <c r="I67" s="332" t="n">
        <f aca="false">IF(Summary!O109=1,-1,1)*IF(D46=0,0,IF($H46="SL",SLN($D46,$E46,$G46)*IF(YEAR($F46)&lt;(J$3-1),IF(YEAR($F46)+$G46=J$3-1,(MONTH($F46)-1)/12,IF(YEAR($F46)+$G46&lt;J$3-1,0,1)),IF(YEAR($F46)&gt;J$3-1,0,(12-MONTH($F46)+1)/12)),IF(YEAR($F46)&gt;J$3-1,0,VDB($D46,$E46,$G46,IF(YEAR($F46)=J$3-1,0,MIN($G46,(DATE(J$3-1,1,1)-$F46)/365)),MIN($G46,(DATE(J$3-1,12,31)-$F46)/365),$I46))))</f>
        <v>0</v>
      </c>
      <c r="J67" s="332" t="n">
        <f aca="false">IF(Summary!O109=1,-1,1)*IF($D46=0,0,IF($H46="SL",SLN($D46,$E46,$G46)*IF(YEAR($F46)&lt;J$3,IF(YEAR($F46)+$G46=J$3,(MONTH($F46)-1)/12,IF(YEAR($F46)+$G46&lt;J$3,0,1)),IF(YEAR($F46)&gt;J$3,0,(12-MONTH($F46)+1)/12)),IF(YEAR($F46)&gt;J$3,0,VDB($D46,$E46,$G46,IF(YEAR($F46)=J$3,0,MIN($G46,(DATE(J$3,1,1)-$F46)/365)),MIN($G46,(DATE(J$3,12,31)-$F46)/365),$I46))))</f>
        <v>0</v>
      </c>
      <c r="K67" s="332" t="n">
        <f aca="false">IF(Summary!O109=1,-1,1)*IF($D46=0,0,IF($H46="SL",SLN($D46,$E46,$G46)*IF(YEAR($F46)&lt;K$3,IF(YEAR($F46)+$G46=K$3,(MONTH($F46)-1)/12,IF(YEAR($F46)+$G46&lt;K$3,0,1)),IF(YEAR($F46)&gt;K$3,0,(12-MONTH($F46)+1)/12)),IF(YEAR($F46)&gt;K$3,0,VDB($D46,$E46,$G46,IF(YEAR($F46)=K$3,0,MIN($G46,(DATE(K$3,1,1)-$F46)/365)),MIN($G46,(DATE(K$3,12,31)-$F46)/365),$I46))))</f>
        <v>0</v>
      </c>
      <c r="L67" s="332" t="n">
        <f aca="false">IF(Summary!O109=1,-1,1)*IF($D46=0,0,IF($H46="SL",SLN($D46,$E46,$G46)*IF(YEAR($F46)&lt;L$3,IF(YEAR($F46)+$G46=L$3,(MONTH($F46)-1)/12,IF(YEAR($F46)+$G46&lt;L$3,0,1)),IF(YEAR($F46)&gt;L$3,0,(12-MONTH($F46)+1)/12)),IF(YEAR($F46)&gt;L$3,0,VDB($D46,$E46,$G46,IF(YEAR($F46)=L$3,0,MIN($G46,(DATE(L$3,1,1)-$F46)/365)),MIN($G46,(DATE(L$3,12,31)-$F46)/365),$I46))))</f>
        <v>0</v>
      </c>
      <c r="M67" s="332" t="n">
        <f aca="false">IF(Summary!O109=1,-1,1)*IF($D46=0,0,IF($H46="SL",SLN($D46,$E46,$G46)*IF(YEAR($F46)&lt;M$3,IF(YEAR($F46)+$G46=M$3,(MONTH($F46)-1)/12,IF(YEAR($F46)+$G46&lt;M$3,0,1)),IF(YEAR($F46)&gt;M$3,0,(12-MONTH($F46)+1)/12)),IF(YEAR($F46)&gt;M$3,0,VDB($D46,$E46,$G46,IF(YEAR($F46)=M$3,0,MIN($G46,(DATE(M$3,1,1)-$F46)/365)),MIN($G46,(DATE(M$3,12,31)-$F46)/365),$I46))))</f>
        <v>0</v>
      </c>
      <c r="N67" s="332" t="n">
        <f aca="false">IF(Summary!O109=1,-1,1)*IF($D46=0,0,IF($H46="SL",SLN($D46,$E46,$G46)*IF(YEAR($F46)&lt;N$3,IF(YEAR($F46)+$G46=N$3,(MONTH($F46)-1)/12,IF(YEAR($F46)+$G46&lt;N$3,0,1)),IF(YEAR($F46)&gt;N$3,0,(12-MONTH($F46)+1)/12)),IF(YEAR($F46)&gt;N$3,0,VDB($D46,$E46,$G46,IF(YEAR($F46)=N$3,0,MIN($G46,(DATE(N$3,1,1)-$F46)/365)),MIN($G46,(DATE(N$3,12,31)-$F46)/365),$I46))))</f>
        <v>0</v>
      </c>
      <c r="O67" s="332" t="n">
        <f aca="false">IF(Summary!O109=1,-1,1)*IF($D46=0,0,IF($H46="SL",SLN($D46,$E46,$G46)*IF(YEAR($F46)&lt;O$3,IF(YEAR($F46)+$G46=O$3,(MONTH($F46)-1)/12,IF(YEAR($F46)+$G46&lt;O$3,0,1)),IF(YEAR($F46)&gt;O$3,0,(12-MONTH($F46)+1)/12)),IF(YEAR($F46)&gt;O$3,0,VDB($D46,$E46,$G46,IF(YEAR($F46)=O$3,0,MIN($G46,(DATE(O$3,1,1)-$F46)/365)),MIN($G46,(DATE(O$3,12,31)-$F46)/365),$I46))))</f>
        <v>0</v>
      </c>
      <c r="P67" s="332" t="n">
        <f aca="false">IF(Summary!O109=1,-1,1)*IF($D46=0,0,IF($H46="SL",SLN($D46,$E46,$G46)*IF(YEAR($F46)&lt;P$3,IF(YEAR($F46)+$G46=P$3,(MONTH($F46)-1)/12,IF(YEAR($F46)+$G46&lt;P$3,0,1)),IF(YEAR($F46)&gt;P$3,0,(12-MONTH($F46)+1)/12)),IF(YEAR($F46)&gt;P$3,0,VDB($D46,$E46,$G46,IF(YEAR($F46)=P$3,0,MIN($G46,(DATE(P$3,1,1)-$F46)/365)),MIN($G46,(DATE(P$3,12,31)-$F46)/365),$I46))))</f>
        <v>0</v>
      </c>
      <c r="Q67" s="332" t="n">
        <f aca="false">IF(Summary!O109=1,-1,1)*IF($D46=0,0,IF($H46="SL",SLN($D46,$E46,$G46)*IF(YEAR($F46)&lt;Q$3,IF(YEAR($F46)+$G46=Q$3,(MONTH($F46)-1)/12,IF(YEAR($F46)+$G46&lt;Q$3,0,1)),IF(YEAR($F46)&gt;Q$3,0,(12-MONTH($F46)+1)/12)),IF(YEAR($F46)&gt;Q$3,0,VDB($D46,$E46,$G46,IF(YEAR($F46)=Q$3,0,MIN($G46,(DATE(Q$3,1,1)-$F46)/365)),MIN($G46,(DATE(Q$3,12,31)-$F46)/365),$I46))))</f>
        <v>0</v>
      </c>
      <c r="R67" s="332" t="n">
        <f aca="false">IF(Summary!O109=1,-1,1)*IF($D46=0,0,IF($H46="SL",SLN($D46,$E46,$G46)*IF(YEAR($F46)&lt;R$3,IF(YEAR($F46)+$G46=R$3,(MONTH($F46)-1)/12,IF(YEAR($F46)+$G46&lt;R$3,0,1)),IF(YEAR($F46)&gt;R$3,0,(12-MONTH($F46)+1)/12)),IF(YEAR($F46)&gt;R$3,0,VDB($D46,$E46,$G46,IF(YEAR($F46)=R$3,0,MIN($G46,(DATE(R$3,1,1)-$F46)/365)),MIN($G46,(DATE(R$3,12,31)-$F46)/365),$I46))))</f>
        <v>0</v>
      </c>
      <c r="S67" s="332" t="n">
        <f aca="false">IF(Summary!O109=1,-1,1)*IF($D46=0,0,IF($H46="SL",SLN($D46,$E46,$G46)*IF(YEAR($F46)&lt;S$3,IF(YEAR($F46)+$G46=S$3,(MONTH($F46)-1)/12,IF(YEAR($F46)+$G46&lt;S$3,0,1)),IF(YEAR($F46)&gt;S$3,0,(12-MONTH($F46)+1)/12)),IF(YEAR($F46)&gt;S$3,0,VDB($D46,$E46,$G46,IF(YEAR($F46)=S$3,0,MIN($G46,(DATE(S$3,1,1)-$F46)/365)),MIN($G46,(DATE(S$3,12,31)-$F46)/365),$I46))))</f>
        <v>0</v>
      </c>
      <c r="T67" s="332" t="n">
        <f aca="false">IF(Summary!O109=1,-1,1)*IF($D46=0,0,IF($H46="SL",SLN($D46,$E46,$G46)*IF(YEAR($F46)&lt;T$3,IF(YEAR($F46)+$G46=T$3,(MONTH($F46)-1)/12,IF(YEAR($F46)+$G46&lt;T$3,0,1)),IF(YEAR($F46)&gt;T$3,0,(12-MONTH($F46)+1)/12)),IF(YEAR($F46)&gt;T$3,0,VDB($D46,$E46,$G46,IF(YEAR($F46)=T$3,0,MIN($G46,(DATE(T$3,1,1)-$F46)/365)),MIN($G46,(DATE(T$3,12,31)-$F46)/365),$I46))))</f>
        <v>0</v>
      </c>
      <c r="U67" s="332" t="n">
        <f aca="false">IF(Summary!O109=1,-1,1)*IF($D46=0,0,IF($H46="SL",SLN($D46,$E46,$G46)*IF(YEAR($F46)&lt;U$3,IF(YEAR($F46)+$G46=U$3,(MONTH($F46)-1)/12,IF(YEAR($F46)+$G46&lt;U$3,0,1)),IF(YEAR($F46)&gt;U$3,0,(12-MONTH($F46)+1)/12)),IF(YEAR($F46)&gt;U$3,0,VDB($D46,$E46,$G46,IF(YEAR($F46)=U$3,0,MIN($G46,(DATE(U$3,1,1)-$F46)/365)),MIN($G46,(DATE(U$3,12,31)-$F46)/365),$I46))))</f>
        <v>0</v>
      </c>
      <c r="V67" s="332" t="n">
        <f aca="false">IF(Summary!O109=1,-1,1)*IF($D46=0,0,IF($H46="SL",SLN($D46,$E46,$G46)*IF(YEAR($F46)&lt;V$3,IF(YEAR($F46)+$G46=V$3,(MONTH($F46)-1)/12,IF(YEAR($F46)+$G46&lt;V$3,0,1)),IF(YEAR($F46)&gt;V$3,0,(12-MONTH($F46)+1)/12)),IF(YEAR($F46)&gt;V$3,0,VDB($D46,$E46,$G46,IF(YEAR($F46)=V$3,0,MIN($G46,(DATE(V$3,1,1)-$F46)/365)),MIN($G46,(DATE(V$3,12,31)-$F46)/365),$I46))))</f>
        <v>0</v>
      </c>
      <c r="W67" s="332" t="n">
        <f aca="false">IF(Summary!O109=1,-1,1)*IF($D46=0,0,IF($H46="SL",SLN($D46,$E46,$G46)*IF(YEAR($F46)&lt;W$3,IF(YEAR($F46)+$G46=W$3,(MONTH($F46)-1)/12,IF(YEAR($F46)+$G46&lt;W$3,0,1)),IF(YEAR($F46)&gt;W$3,0,(12-MONTH($F46)+1)/12)),IF(YEAR($F46)&gt;W$3,0,VDB($D46,$E46,$G46,IF(YEAR($F46)=W$3,0,MIN($G46,(DATE(W$3,1,1)-$F46)/365)),MIN($G46,(DATE(W$3,12,31)-$F46)/365),$I46))))</f>
        <v>0</v>
      </c>
      <c r="X67" s="332" t="n">
        <f aca="false">-$D$46-SUM(I67:W67)</f>
        <v>-0</v>
      </c>
      <c r="Y67" s="332"/>
      <c r="Z67" s="332"/>
      <c r="AA67" s="332"/>
      <c r="AB67" s="332"/>
      <c r="AC67" s="332"/>
      <c r="AD67" s="332"/>
      <c r="AE67" s="332"/>
      <c r="AF67" s="332"/>
    </row>
    <row r="68" customFormat="false" ht="11.25" hidden="false" customHeight="false" outlineLevel="1" collapsed="false">
      <c r="C68" s="235" t="str">
        <f aca="false">+C47</f>
        <v>Asset 6</v>
      </c>
      <c r="I68" s="330" t="n">
        <f aca="false">IF(D47=0,0,IF($H47="SL",SLN($D47,$E47,$G47)*IF(YEAR($F47)&lt;(J$3-1),IF(YEAR($F47)+$G47=J$3-1,(MONTH($F47)-1)/12,IF(YEAR($F47)+$G47&lt;J$3-1,0,1)),IF(YEAR($F47)&gt;J$3-1,0,(12-MONTH($F47)+1)/12)),IF(YEAR($F47)&gt;J$3-1,0,VDB($D47,$E47,$G47,IF(YEAR($F47)=J$3-1,0,MIN($G47,(DATE(J$3-1,1,1)-$F47)/365)),MIN($G47,(DATE(J$3-1,12,31)-$F47)/365),$I47))))</f>
        <v>0</v>
      </c>
      <c r="J68" s="330" t="n">
        <f aca="false">IF($D47=0,0,IF($H47="SL",SLN($D47,$E47,$G47)*IF(YEAR($F47)&lt;J$3,IF(YEAR($F47)+$G47=J$3,(MONTH($F47)-1)/12,IF(YEAR($F47)+$G47&lt;J$3,0,1)),IF(YEAR($F47)&gt;J$3,0,(12-MONTH($F47)+1)/12)),IF(YEAR($F47)&gt;J$3,0,VDB($D47,$E47,$G47,IF(YEAR($F47)=J$3,0,MIN($G47,(DATE(J$3,1,1)-$F47)/365)),MIN($G47,(DATE(J$3,12,31)-$F47)/365),$I47))))</f>
        <v>0</v>
      </c>
      <c r="K68" s="330" t="n">
        <f aca="false">IF($D47=0,0,IF($H47="SL",SLN($D47,$E47,$G47)*IF(YEAR($F47)&lt;K$3,IF(YEAR($F47)+$G47=K$3,(MONTH($F47)-1)/12,IF(YEAR($F47)+$G47&lt;K$3,0,1)),IF(YEAR($F47)&gt;K$3,0,(12-MONTH($F47)+1)/12)),IF(YEAR($F47)&gt;K$3,0,VDB($D47,$E47,$G47,IF(YEAR($F47)=K$3,0,MIN($G47,(DATE(K$3,1,1)-$F47)/365)),MIN($G47,(DATE(K$3,12,31)-$F47)/365),$I47))))</f>
        <v>0</v>
      </c>
      <c r="L68" s="330" t="n">
        <f aca="false">IF($D47=0,0,IF($H47="SL",SLN($D47,$E47,$G47)*IF(YEAR($F47)&lt;L$3,IF(YEAR($F47)+$G47=L$3,(MONTH($F47)-1)/12,IF(YEAR($F47)+$G47&lt;L$3,0,1)),IF(YEAR($F47)&gt;L$3,0,(12-MONTH($F47)+1)/12)),IF(YEAR($F47)&gt;L$3,0,VDB($D47,$E47,$G47,IF(YEAR($F47)=L$3,0,MIN($G47,(DATE(L$3,1,1)-$F47)/365)),MIN($G47,(DATE(L$3,12,31)-$F47)/365),$I47))))</f>
        <v>0</v>
      </c>
      <c r="M68" s="330" t="n">
        <f aca="false">IF($D47=0,0,IF($H47="SL",SLN($D47,$E47,$G47)*IF(YEAR($F47)&lt;M$3,IF(YEAR($F47)+$G47=M$3,(MONTH($F47)-1)/12,IF(YEAR($F47)+$G47&lt;M$3,0,1)),IF(YEAR($F47)&gt;M$3,0,(12-MONTH($F47)+1)/12)),IF(YEAR($F47)&gt;M$3,0,VDB($D47,$E47,$G47,IF(YEAR($F47)=M$3,0,MIN($G47,(DATE(M$3,1,1)-$F47)/365)),MIN($G47,(DATE(M$3,12,31)-$F47)/365),$I47))))</f>
        <v>0</v>
      </c>
      <c r="N68" s="330" t="n">
        <f aca="false">IF($D47=0,0,IF($H47="SL",SLN($D47,$E47,$G47)*IF(YEAR($F47)&lt;N$3,IF(YEAR($F47)+$G47=N$3,(MONTH($F47)-1)/12,IF(YEAR($F47)+$G47&lt;N$3,0,1)),IF(YEAR($F47)&gt;N$3,0,(12-MONTH($F47)+1)/12)),IF(YEAR($F47)&gt;N$3,0,VDB($D47,$E47,$G47,IF(YEAR($F47)=N$3,0,MIN($G47,(DATE(N$3,1,1)-$F47)/365)),MIN($G47,(DATE(N$3,12,31)-$F47)/365),$I47))))</f>
        <v>0</v>
      </c>
      <c r="O68" s="330" t="n">
        <f aca="false">IF($D47=0,0,IF($H47="SL",SLN($D47,$E47,$G47)*IF(YEAR($F47)&lt;O$3,IF(YEAR($F47)+$G47=O$3,(MONTH($F47)-1)/12,IF(YEAR($F47)+$G47&lt;O$3,0,1)),IF(YEAR($F47)&gt;O$3,0,(12-MONTH($F47)+1)/12)),IF(YEAR($F47)&gt;O$3,0,VDB($D47,$E47,$G47,IF(YEAR($F47)=O$3,0,MIN($G47,(DATE(O$3,1,1)-$F47)/365)),MIN($G47,(DATE(O$3,12,31)-$F47)/365),$I47))))</f>
        <v>0</v>
      </c>
      <c r="P68" s="330" t="n">
        <f aca="false">IF($D47=0,0,IF($H47="SL",SLN($D47,$E47,$G47)*IF(YEAR($F47)&lt;P$3,IF(YEAR($F47)+$G47=P$3,(MONTH($F47)-1)/12,IF(YEAR($F47)+$G47&lt;P$3,0,1)),IF(YEAR($F47)&gt;P$3,0,(12-MONTH($F47)+1)/12)),IF(YEAR($F47)&gt;P$3,0,VDB($D47,$E47,$G47,IF(YEAR($F47)=P$3,0,MIN($G47,(DATE(P$3,1,1)-$F47)/365)),MIN($G47,(DATE(P$3,12,31)-$F47)/365),$I47))))</f>
        <v>0</v>
      </c>
      <c r="Q68" s="330" t="n">
        <f aca="false">IF($D47=0,0,IF($H47="SL",SLN($D47,$E47,$G47)*IF(YEAR($F47)&lt;Q$3,IF(YEAR($F47)+$G47=Q$3,(MONTH($F47)-1)/12,IF(YEAR($F47)+$G47&lt;Q$3,0,1)),IF(YEAR($F47)&gt;Q$3,0,(12-MONTH($F47)+1)/12)),IF(YEAR($F47)&gt;Q$3,0,VDB($D47,$E47,$G47,IF(YEAR($F47)=Q$3,0,MIN($G47,(DATE(Q$3,1,1)-$F47)/365)),MIN($G47,(DATE(Q$3,12,31)-$F47)/365),$I47))))</f>
        <v>0</v>
      </c>
      <c r="R68" s="330" t="n">
        <f aca="false">IF($D47=0,0,IF($H47="SL",SLN($D47,$E47,$G47)*IF(YEAR($F47)&lt;R$3,IF(YEAR($F47)+$G47=R$3,(MONTH($F47)-1)/12,IF(YEAR($F47)+$G47&lt;R$3,0,1)),IF(YEAR($F47)&gt;R$3,0,(12-MONTH($F47)+1)/12)),IF(YEAR($F47)&gt;R$3,0,VDB($D47,$E47,$G47,IF(YEAR($F47)=R$3,0,MIN($G47,(DATE(R$3,1,1)-$F47)/365)),MIN($G47,(DATE(R$3,12,31)-$F47)/365),$I47))))</f>
        <v>0</v>
      </c>
      <c r="S68" s="330" t="n">
        <f aca="false">IF($D47=0,0,IF($H47="SL",SLN($D47,$E47,$G47)*IF(YEAR($F47)&lt;S$3,IF(YEAR($F47)+$G47=S$3,(MONTH($F47)-1)/12,IF(YEAR($F47)+$G47&lt;S$3,0,1)),IF(YEAR($F47)&gt;S$3,0,(12-MONTH($F47)+1)/12)),IF(YEAR($F47)&gt;S$3,0,VDB($D47,$E47,$G47,IF(YEAR($F47)=S$3,0,MIN($G47,(DATE(S$3,1,1)-$F47)/365)),MIN($G47,(DATE(S$3,12,31)-$F47)/365),$I47))))</f>
        <v>0</v>
      </c>
      <c r="T68" s="330" t="n">
        <f aca="false">IF($D47=0,0,IF($H47="SL",SLN($D47,$E47,$G47)*IF(YEAR($F47)&lt;T$3,IF(YEAR($F47)+$G47=T$3,(MONTH($F47)-1)/12,IF(YEAR($F47)+$G47&lt;T$3,0,1)),IF(YEAR($F47)&gt;T$3,0,(12-MONTH($F47)+1)/12)),IF(YEAR($F47)&gt;T$3,0,VDB($D47,$E47,$G47,IF(YEAR($F47)=T$3,0,MIN($G47,(DATE(T$3,1,1)-$F47)/365)),MIN($G47,(DATE(T$3,12,31)-$F47)/365),$I47))))</f>
        <v>0</v>
      </c>
      <c r="U68" s="330" t="n">
        <f aca="false">IF($D47=0,0,IF($H47="SL",SLN($D47,$E47,$G47)*IF(YEAR($F47)&lt;U$3,IF(YEAR($F47)+$G47=U$3,(MONTH($F47)-1)/12,IF(YEAR($F47)+$G47&lt;U$3,0,1)),IF(YEAR($F47)&gt;U$3,0,(12-MONTH($F47)+1)/12)),IF(YEAR($F47)&gt;U$3,0,VDB($D47,$E47,$G47,IF(YEAR($F47)=U$3,0,MIN($G47,(DATE(U$3,1,1)-$F47)/365)),MIN($G47,(DATE(U$3,12,31)-$F47)/365),$I47))))</f>
        <v>0</v>
      </c>
      <c r="V68" s="330" t="n">
        <f aca="false">IF($D47=0,0,IF($H47="SL",SLN($D47,$E47,$G47)*IF(YEAR($F47)&lt;V$3,IF(YEAR($F47)+$G47=V$3,(MONTH($F47)-1)/12,IF(YEAR($F47)+$G47&lt;V$3,0,1)),IF(YEAR($F47)&gt;V$3,0,(12-MONTH($F47)+1)/12)),IF(YEAR($F47)&gt;V$3,0,VDB($D47,$E47,$G47,IF(YEAR($F47)=V$3,0,MIN($G47,(DATE(V$3,1,1)-$F47)/365)),MIN($G47,(DATE(V$3,12,31)-$F47)/365),$I47))))</f>
        <v>0</v>
      </c>
      <c r="W68" s="330" t="n">
        <f aca="false">IF($D47=0,0,IF($H47="SL",SLN($D47,$E47,$G47)*IF(YEAR($F47)&lt;W$3,IF(YEAR($F47)+$G47=W$3,(MONTH($F47)-1)/12,IF(YEAR($F47)+$G47&lt;W$3,0,1)),IF(YEAR($F47)&gt;W$3,0,(12-MONTH($F47)+1)/12)),IF(YEAR($F47)&gt;W$3,0,VDB($D47,$E47,$G47,IF(YEAR($F47)=W$3,0,MIN($G47,(DATE(W$3,1,1)-$F47)/365)),MIN($G47,(DATE(W$3,12,31)-$F47)/365),$I47))))</f>
        <v>0</v>
      </c>
      <c r="X68" s="330" t="n">
        <f aca="false">IF($D47=0,0,IF($H47="SL",SLN($D47,$E47,$G47)*IF(YEAR($F47)&lt;X$3,IF(YEAR($F47)+$G47=X$3,(MONTH($F47)-1)/12,IF(YEAR($F47)+$G47&lt;X$3,0,1)),IF(YEAR($F47)&gt;X$3,0,(12-MONTH($F47)+1)/12)),IF(YEAR($F47)&gt;X$3,0,VDB($D47,$E47,$G47,IF(YEAR($F47)=X$3,0,MIN($G47,(DATE(X$3,1,1)-$F47)/365)),MIN($G47,(DATE(X$3,12,31)-$F47)/365),$I47))))</f>
        <v>0</v>
      </c>
      <c r="Y68" s="330" t="n">
        <f aca="false">IF($D47=0,0,IF($H47="SL",SLN($D47,$E47,$G47)*IF(YEAR($F47)&lt;Y$3,IF(YEAR($F47)+$G47=Y$3,(MONTH($F47)-1)/12,IF(YEAR($F47)+$G47&lt;Y$3,0,1)),IF(YEAR($F47)&gt;Y$3,0,(12-MONTH($F47)+1)/12)),IF(YEAR($F47)&gt;Y$3,0,VDB($D47,$E47,$G47,IF(YEAR($F47)=Y$3,0,MIN($G47,(DATE(Y$3,1,1)-$F47)/365)),MIN($G47,(DATE(Y$3,12,31)-$F47)/365),$I47))))</f>
        <v>0</v>
      </c>
      <c r="Z68" s="330" t="n">
        <f aca="false">IF($D47=0,0,IF($H47="SL",SLN($D47,$E47,$G47)*IF(YEAR($F47)&lt;Z$3,IF(YEAR($F47)+$G47=Z$3,(MONTH($F47)-1)/12,IF(YEAR($F47)+$G47&lt;Z$3,0,1)),IF(YEAR($F47)&gt;Z$3,0,(12-MONTH($F47)+1)/12)),IF(YEAR($F47)&gt;Z$3,0,VDB($D47,$E47,$G47,IF(YEAR($F47)=Z$3,0,MIN($G47,(DATE(Z$3,1,1)-$F47)/365)),MIN($G47,(DATE(Z$3,12,31)-$F47)/365),$I47))))</f>
        <v>0</v>
      </c>
      <c r="AA68" s="330" t="n">
        <f aca="false">IF($D47=0,0,IF($H47="SL",SLN($D47,$E47,$G47)*IF(YEAR($F47)&lt;AA$3,IF(YEAR($F47)+$G47=AA$3,(MONTH($F47)-1)/12,IF(YEAR($F47)+$G47&lt;AA$3,0,1)),IF(YEAR($F47)&gt;AA$3,0,(12-MONTH($F47)+1)/12)),IF(YEAR($F47)&gt;AA$3,0,VDB($D47,$E47,$G47,IF(YEAR($F47)=AA$3,0,MIN($G47,(DATE(AA$3,1,1)-$F47)/365)),MIN($G47,(DATE(AA$3,12,31)-$F47)/365),$I47))))</f>
        <v>0</v>
      </c>
      <c r="AB68" s="330" t="n">
        <f aca="false">IF($D47=0,0,IF($H47="SL",SLN($D47,$E47,$G47)*IF(YEAR($F47)&lt;AB$3,IF(YEAR($F47)+$G47=AB$3,(MONTH($F47)-1)/12,IF(YEAR($F47)+$G47&lt;AB$3,0,1)),IF(YEAR($F47)&gt;AB$3,0,(12-MONTH($F47)+1)/12)),IF(YEAR($F47)&gt;AB$3,0,VDB($D47,$E47,$G47,IF(YEAR($F47)=AB$3,0,MIN($G47,(DATE(AB$3,1,1)-$F47)/365)),MIN($G47,(DATE(AB$3,12,31)-$F47)/365),$I47))))</f>
        <v>0</v>
      </c>
      <c r="AC68" s="330" t="n">
        <f aca="false">IF($D47=0,0,IF($H47="SL",SLN($D47,$E47,$G47)*IF(YEAR($F47)&lt;AC$3,IF(YEAR($F47)+$G47=AC$3,(MONTH($F47)-1)/12,IF(YEAR($F47)+$G47&lt;AC$3,0,1)),IF(YEAR($F47)&gt;AC$3,0,(12-MONTH($F47)+1)/12)),IF(YEAR($F47)&gt;AC$3,0,VDB($D47,$E47,$G47,IF(YEAR($F47)=AC$3,0,MIN($G47,(DATE(AC$3,1,1)-$F47)/365)),MIN($G47,(DATE(AC$3,12,31)-$F47)/365),$I47))))</f>
        <v>0</v>
      </c>
      <c r="AD68" s="330" t="n">
        <f aca="false">IF($D47=0,0,IF($H47="SL",SLN($D47,$E47,$G47)*IF(YEAR($F47)&lt;AD$3,IF(YEAR($F47)+$G47=AD$3,(MONTH($F47)-1)/12,IF(YEAR($F47)+$G47&lt;AD$3,0,1)),IF(YEAR($F47)&gt;AD$3,0,(12-MONTH($F47)+1)/12)),IF(YEAR($F47)&gt;AD$3,0,VDB($D47,$E47,$G47,IF(YEAR($F47)=AD$3,0,MIN($G47,(DATE(AD$3,1,1)-$F47)/365)),MIN($G47,(DATE(AD$3,12,31)-$F47)/365),$I47))))</f>
        <v>0</v>
      </c>
      <c r="AE68" s="330" t="n">
        <f aca="false">IF($D47=0,0,IF($H47="SL",SLN($D47,$E47,$G47)*IF(YEAR($F47)&lt;AE$3,IF(YEAR($F47)+$G47=AE$3,(MONTH($F47)-1)/12,IF(YEAR($F47)+$G47&lt;AE$3,0,1)),IF(YEAR($F47)&gt;AE$3,0,(12-MONTH($F47)+1)/12)),IF(YEAR($F47)&gt;AE$3,0,VDB($D47,$E47,$G47,IF(YEAR($F47)=AE$3,0,MIN($G47,(DATE(AE$3,1,1)-$F47)/365)),MIN($G47,(DATE(AE$3,12,31)-$F47)/365),$I47))))</f>
        <v>0</v>
      </c>
      <c r="AF68" s="330" t="n">
        <f aca="false">IF($D47=0,0,IF($H47="SL",SLN($D47,$E47,$G47)*IF(YEAR($F47)&lt;AF$3,IF(YEAR($F47)+$G47=AF$3,(MONTH($F47)-1)/12,IF(YEAR($F47)+$G47&lt;AF$3,0,1)),IF(YEAR($F47)&gt;AF$3,0,(12-MONTH($F47)+1)/12)),IF(YEAR($F47)&gt;AF$3,0,VDB($D47,$E47,$G47,IF(YEAR($F47)=AF$3,0,MIN($G47,(DATE(AF$3,1,1)-$F47)/365)),MIN($G47,(DATE(AF$3,12,31)-$F47)/365),$I47))))</f>
        <v>0</v>
      </c>
    </row>
    <row r="69" customFormat="false" ht="11.25" hidden="false" customHeight="false" outlineLevel="1" collapsed="false">
      <c r="C69" s="235" t="str">
        <f aca="false">+C48</f>
        <v>Asset 8</v>
      </c>
      <c r="I69" s="330" t="n">
        <f aca="false">IF(D48=0,0,IF($H48="SL",SLN($D48,$E48,$G48)*IF(YEAR($F48)&lt;(J$3-1),IF(YEAR($F48)+$G48=J$3-1,(MONTH($F48)-1)/12,IF(YEAR($F48)+$G48&lt;J$3-1,0,1)),IF(YEAR($F48)&gt;J$3-1,0,(12-MONTH($F48)+1)/12)),IF(YEAR($F48)&gt;J$3-1,0,VDB($D48,$E48,$G48,IF(YEAR($F48)=J$3-1,0,MIN($G48,(DATE(J$3-1,1,1)-$F48)/365)),MIN($G48,(DATE(J$3-1,12,31)-$F48)/365),$I48))))</f>
        <v>0</v>
      </c>
      <c r="J69" s="330" t="n">
        <f aca="false">IF($D48=0,0,IF($H48="SL",SLN($D48,$E48,$G48)*IF(YEAR($F48)&lt;J$3,IF(YEAR($F48)+$G48=J$3,(MONTH($F48)-1)/12,IF(YEAR($F48)+$G48&lt;J$3,0,1)),IF(YEAR($F48)&gt;J$3,0,(12-MONTH($F48)+1)/12)),IF(YEAR($F48)&gt;J$3,0,VDB($D48,$E48,$G48,IF(YEAR($F48)=J$3,0,MIN($G48,(DATE(J$3,1,1)-$F48)/365)),MIN($G48,(DATE(J$3,12,31)-$F48)/365),$I48))))</f>
        <v>0</v>
      </c>
      <c r="K69" s="330" t="n">
        <f aca="false">IF($D48=0,0,IF($H48="SL",SLN($D48,$E48,$G48)*IF(YEAR($F48)&lt;K$3,IF(YEAR($F48)+$G48=K$3,(MONTH($F48)-1)/12,IF(YEAR($F48)+$G48&lt;K$3,0,1)),IF(YEAR($F48)&gt;K$3,0,(12-MONTH($F48)+1)/12)),IF(YEAR($F48)&gt;K$3,0,VDB($D48,$E48,$G48,IF(YEAR($F48)=K$3,0,MIN($G48,(DATE(K$3,1,1)-$F48)/365)),MIN($G48,(DATE(K$3,12,31)-$F48)/365),$I48))))</f>
        <v>0</v>
      </c>
      <c r="L69" s="330" t="n">
        <f aca="false">IF($D48=0,0,IF($H48="SL",SLN($D48,$E48,$G48)*IF(YEAR($F48)&lt;L$3,IF(YEAR($F48)+$G48=L$3,(MONTH($F48)-1)/12,IF(YEAR($F48)+$G48&lt;L$3,0,1)),IF(YEAR($F48)&gt;L$3,0,(12-MONTH($F48)+1)/12)),IF(YEAR($F48)&gt;L$3,0,VDB($D48,$E48,$G48,IF(YEAR($F48)=L$3,0,MIN($G48,(DATE(L$3,1,1)-$F48)/365)),MIN($G48,(DATE(L$3,12,31)-$F48)/365),$I48))))</f>
        <v>0</v>
      </c>
      <c r="M69" s="330" t="n">
        <f aca="false">IF($D48=0,0,IF($H48="SL",SLN($D48,$E48,$G48)*IF(YEAR($F48)&lt;M$3,IF(YEAR($F48)+$G48=M$3,(MONTH($F48)-1)/12,IF(YEAR($F48)+$G48&lt;M$3,0,1)),IF(YEAR($F48)&gt;M$3,0,(12-MONTH($F48)+1)/12)),IF(YEAR($F48)&gt;M$3,0,VDB($D48,$E48,$G48,IF(YEAR($F48)=M$3,0,MIN($G48,(DATE(M$3,1,1)-$F48)/365)),MIN($G48,(DATE(M$3,12,31)-$F48)/365),$I48))))</f>
        <v>0</v>
      </c>
      <c r="N69" s="330" t="n">
        <f aca="false">IF($D48=0,0,IF($H48="SL",SLN($D48,$E48,$G48)*IF(YEAR($F48)&lt;N$3,IF(YEAR($F48)+$G48=N$3,(MONTH($F48)-1)/12,IF(YEAR($F48)+$G48&lt;N$3,0,1)),IF(YEAR($F48)&gt;N$3,0,(12-MONTH($F48)+1)/12)),IF(YEAR($F48)&gt;N$3,0,VDB($D48,$E48,$G48,IF(YEAR($F48)=N$3,0,MIN($G48,(DATE(N$3,1,1)-$F48)/365)),MIN($G48,(DATE(N$3,12,31)-$F48)/365),$I48))))</f>
        <v>0</v>
      </c>
      <c r="O69" s="330" t="n">
        <f aca="false">IF($D48=0,0,IF($H48="SL",SLN($D48,$E48,$G48)*IF(YEAR($F48)&lt;O$3,IF(YEAR($F48)+$G48=O$3,(MONTH($F48)-1)/12,IF(YEAR($F48)+$G48&lt;O$3,0,1)),IF(YEAR($F48)&gt;O$3,0,(12-MONTH($F48)+1)/12)),IF(YEAR($F48)&gt;O$3,0,VDB($D48,$E48,$G48,IF(YEAR($F48)=O$3,0,MIN($G48,(DATE(O$3,1,1)-$F48)/365)),MIN($G48,(DATE(O$3,12,31)-$F48)/365),$I48))))</f>
        <v>0</v>
      </c>
      <c r="P69" s="330" t="n">
        <f aca="false">IF($D48=0,0,IF($H48="SL",SLN($D48,$E48,$G48)*IF(YEAR($F48)&lt;P$3,IF(YEAR($F48)+$G48=P$3,(MONTH($F48)-1)/12,IF(YEAR($F48)+$G48&lt;P$3,0,1)),IF(YEAR($F48)&gt;P$3,0,(12-MONTH($F48)+1)/12)),IF(YEAR($F48)&gt;P$3,0,VDB($D48,$E48,$G48,IF(YEAR($F48)=P$3,0,MIN($G48,(DATE(P$3,1,1)-$F48)/365)),MIN($G48,(DATE(P$3,12,31)-$F48)/365),$I48))))</f>
        <v>0</v>
      </c>
      <c r="Q69" s="330" t="n">
        <f aca="false">IF($D48=0,0,IF($H48="SL",SLN($D48,$E48,$G48)*IF(YEAR($F48)&lt;Q$3,IF(YEAR($F48)+$G48=Q$3,(MONTH($F48)-1)/12,IF(YEAR($F48)+$G48&lt;Q$3,0,1)),IF(YEAR($F48)&gt;Q$3,0,(12-MONTH($F48)+1)/12)),IF(YEAR($F48)&gt;Q$3,0,VDB($D48,$E48,$G48,IF(YEAR($F48)=Q$3,0,MIN($G48,(DATE(Q$3,1,1)-$F48)/365)),MIN($G48,(DATE(Q$3,12,31)-$F48)/365),$I48))))</f>
        <v>0</v>
      </c>
      <c r="R69" s="330" t="n">
        <f aca="false">IF($D48=0,0,IF($H48="SL",SLN($D48,$E48,$G48)*IF(YEAR($F48)&lt;R$3,IF(YEAR($F48)+$G48=R$3,(MONTH($F48)-1)/12,IF(YEAR($F48)+$G48&lt;R$3,0,1)),IF(YEAR($F48)&gt;R$3,0,(12-MONTH($F48)+1)/12)),IF(YEAR($F48)&gt;R$3,0,VDB($D48,$E48,$G48,IF(YEAR($F48)=R$3,0,MIN($G48,(DATE(R$3,1,1)-$F48)/365)),MIN($G48,(DATE(R$3,12,31)-$F48)/365),$I48))))</f>
        <v>0</v>
      </c>
      <c r="S69" s="330" t="n">
        <f aca="false">IF($D48=0,0,IF($H48="SL",SLN($D48,$E48,$G48)*IF(YEAR($F48)&lt;S$3,IF(YEAR($F48)+$G48=S$3,(MONTH($F48)-1)/12,IF(YEAR($F48)+$G48&lt;S$3,0,1)),IF(YEAR($F48)&gt;S$3,0,(12-MONTH($F48)+1)/12)),IF(YEAR($F48)&gt;S$3,0,VDB($D48,$E48,$G48,IF(YEAR($F48)=S$3,0,MIN($G48,(DATE(S$3,1,1)-$F48)/365)),MIN($G48,(DATE(S$3,12,31)-$F48)/365),$I48))))</f>
        <v>0</v>
      </c>
      <c r="T69" s="330" t="n">
        <f aca="false">IF($D48=0,0,IF($H48="SL",SLN($D48,$E48,$G48)*IF(YEAR($F48)&lt;T$3,IF(YEAR($F48)+$G48=T$3,(MONTH($F48)-1)/12,IF(YEAR($F48)+$G48&lt;T$3,0,1)),IF(YEAR($F48)&gt;T$3,0,(12-MONTH($F48)+1)/12)),IF(YEAR($F48)&gt;T$3,0,VDB($D48,$E48,$G48,IF(YEAR($F48)=T$3,0,MIN($G48,(DATE(T$3,1,1)-$F48)/365)),MIN($G48,(DATE(T$3,12,31)-$F48)/365),$I48))))</f>
        <v>0</v>
      </c>
      <c r="U69" s="330" t="n">
        <f aca="false">IF($D48=0,0,IF($H48="SL",SLN($D48,$E48,$G48)*IF(YEAR($F48)&lt;U$3,IF(YEAR($F48)+$G48=U$3,(MONTH($F48)-1)/12,IF(YEAR($F48)+$G48&lt;U$3,0,1)),IF(YEAR($F48)&gt;U$3,0,(12-MONTH($F48)+1)/12)),IF(YEAR($F48)&gt;U$3,0,VDB($D48,$E48,$G48,IF(YEAR($F48)=U$3,0,MIN($G48,(DATE(U$3,1,1)-$F48)/365)),MIN($G48,(DATE(U$3,12,31)-$F48)/365),$I48))))</f>
        <v>0</v>
      </c>
      <c r="V69" s="330" t="n">
        <f aca="false">IF($D48=0,0,IF($H48="SL",SLN($D48,$E48,$G48)*IF(YEAR($F48)&lt;V$3,IF(YEAR($F48)+$G48=V$3,(MONTH($F48)-1)/12,IF(YEAR($F48)+$G48&lt;V$3,0,1)),IF(YEAR($F48)&gt;V$3,0,(12-MONTH($F48)+1)/12)),IF(YEAR($F48)&gt;V$3,0,VDB($D48,$E48,$G48,IF(YEAR($F48)=V$3,0,MIN($G48,(DATE(V$3,1,1)-$F48)/365)),MIN($G48,(DATE(V$3,12,31)-$F48)/365),$I48))))</f>
        <v>0</v>
      </c>
      <c r="W69" s="330" t="n">
        <f aca="false">IF($D48=0,0,IF($H48="SL",SLN($D48,$E48,$G48)*IF(YEAR($F48)&lt;W$3,IF(YEAR($F48)+$G48=W$3,(MONTH($F48)-1)/12,IF(YEAR($F48)+$G48&lt;W$3,0,1)),IF(YEAR($F48)&gt;W$3,0,(12-MONTH($F48)+1)/12)),IF(YEAR($F48)&gt;W$3,0,VDB($D48,$E48,$G48,IF(YEAR($F48)=W$3,0,MIN($G48,(DATE(W$3,1,1)-$F48)/365)),MIN($G48,(DATE(W$3,12,31)-$F48)/365),$I48))))</f>
        <v>0</v>
      </c>
      <c r="X69" s="330" t="n">
        <f aca="false">IF($D48=0,0,IF($H48="SL",SLN($D48,$E48,$G48)*IF(YEAR($F48)&lt;X$3,IF(YEAR($F48)+$G48=X$3,(MONTH($F48)-1)/12,IF(YEAR($F48)+$G48&lt;X$3,0,1)),IF(YEAR($F48)&gt;X$3,0,(12-MONTH($F48)+1)/12)),IF(YEAR($F48)&gt;X$3,0,VDB($D48,$E48,$G48,IF(YEAR($F48)=X$3,0,MIN($G48,(DATE(X$3,1,1)-$F48)/365)),MIN($G48,(DATE(X$3,12,31)-$F48)/365),$I48))))</f>
        <v>0</v>
      </c>
      <c r="Y69" s="330" t="n">
        <f aca="false">IF($D48=0,0,IF($H48="SL",SLN($D48,$E48,$G48)*IF(YEAR($F48)&lt;Y$3,IF(YEAR($F48)+$G48=Y$3,(MONTH($F48)-1)/12,IF(YEAR($F48)+$G48&lt;Y$3,0,1)),IF(YEAR($F48)&gt;Y$3,0,(12-MONTH($F48)+1)/12)),IF(YEAR($F48)&gt;Y$3,0,VDB($D48,$E48,$G48,IF(YEAR($F48)=Y$3,0,MIN($G48,(DATE(Y$3,1,1)-$F48)/365)),MIN($G48,(DATE(Y$3,12,31)-$F48)/365),$I48))))</f>
        <v>0</v>
      </c>
      <c r="Z69" s="330" t="n">
        <f aca="false">IF($D48=0,0,IF($H48="SL",SLN($D48,$E48,$G48)*IF(YEAR($F48)&lt;Z$3,IF(YEAR($F48)+$G48=Z$3,(MONTH($F48)-1)/12,IF(YEAR($F48)+$G48&lt;Z$3,0,1)),IF(YEAR($F48)&gt;Z$3,0,(12-MONTH($F48)+1)/12)),IF(YEAR($F48)&gt;Z$3,0,VDB($D48,$E48,$G48,IF(YEAR($F48)=Z$3,0,MIN($G48,(DATE(Z$3,1,1)-$F48)/365)),MIN($G48,(DATE(Z$3,12,31)-$F48)/365),$I48))))</f>
        <v>0</v>
      </c>
      <c r="AA69" s="330" t="n">
        <f aca="false">IF($D48=0,0,IF($H48="SL",SLN($D48,$E48,$G48)*IF(YEAR($F48)&lt;AA$3,IF(YEAR($F48)+$G48=AA$3,(MONTH($F48)-1)/12,IF(YEAR($F48)+$G48&lt;AA$3,0,1)),IF(YEAR($F48)&gt;AA$3,0,(12-MONTH($F48)+1)/12)),IF(YEAR($F48)&gt;AA$3,0,VDB($D48,$E48,$G48,IF(YEAR($F48)=AA$3,0,MIN($G48,(DATE(AA$3,1,1)-$F48)/365)),MIN($G48,(DATE(AA$3,12,31)-$F48)/365),$I48))))</f>
        <v>0</v>
      </c>
      <c r="AB69" s="330" t="n">
        <f aca="false">IF($D48=0,0,IF($H48="SL",SLN($D48,$E48,$G48)*IF(YEAR($F48)&lt;AB$3,IF(YEAR($F48)+$G48=AB$3,(MONTH($F48)-1)/12,IF(YEAR($F48)+$G48&lt;AB$3,0,1)),IF(YEAR($F48)&gt;AB$3,0,(12-MONTH($F48)+1)/12)),IF(YEAR($F48)&gt;AB$3,0,VDB($D48,$E48,$G48,IF(YEAR($F48)=AB$3,0,MIN($G48,(DATE(AB$3,1,1)-$F48)/365)),MIN($G48,(DATE(AB$3,12,31)-$F48)/365),$I48))))</f>
        <v>0</v>
      </c>
      <c r="AC69" s="330" t="n">
        <f aca="false">IF($D48=0,0,IF($H48="SL",SLN($D48,$E48,$G48)*IF(YEAR($F48)&lt;AC$3,IF(YEAR($F48)+$G48=AC$3,(MONTH($F48)-1)/12,IF(YEAR($F48)+$G48&lt;AC$3,0,1)),IF(YEAR($F48)&gt;AC$3,0,(12-MONTH($F48)+1)/12)),IF(YEAR($F48)&gt;AC$3,0,VDB($D48,$E48,$G48,IF(YEAR($F48)=AC$3,0,MIN($G48,(DATE(AC$3,1,1)-$F48)/365)),MIN($G48,(DATE(AC$3,12,31)-$F48)/365),$I48))))</f>
        <v>0</v>
      </c>
      <c r="AD69" s="330" t="n">
        <f aca="false">IF($D48=0,0,IF($H48="SL",SLN($D48,$E48,$G48)*IF(YEAR($F48)&lt;AD$3,IF(YEAR($F48)+$G48=AD$3,(MONTH($F48)-1)/12,IF(YEAR($F48)+$G48&lt;AD$3,0,1)),IF(YEAR($F48)&gt;AD$3,0,(12-MONTH($F48)+1)/12)),IF(YEAR($F48)&gt;AD$3,0,VDB($D48,$E48,$G48,IF(YEAR($F48)=AD$3,0,MIN($G48,(DATE(AD$3,1,1)-$F48)/365)),MIN($G48,(DATE(AD$3,12,31)-$F48)/365),$I48))))</f>
        <v>0</v>
      </c>
      <c r="AE69" s="330" t="n">
        <f aca="false">IF($D48=0,0,IF($H48="SL",SLN($D48,$E48,$G48)*IF(YEAR($F48)&lt;AE$3,IF(YEAR($F48)+$G48=AE$3,(MONTH($F48)-1)/12,IF(YEAR($F48)+$G48&lt;AE$3,0,1)),IF(YEAR($F48)&gt;AE$3,0,(12-MONTH($F48)+1)/12)),IF(YEAR($F48)&gt;AE$3,0,VDB($D48,$E48,$G48,IF(YEAR($F48)=AE$3,0,MIN($G48,(DATE(AE$3,1,1)-$F48)/365)),MIN($G48,(DATE(AE$3,12,31)-$F48)/365),$I48))))</f>
        <v>0</v>
      </c>
      <c r="AF69" s="330" t="n">
        <f aca="false">IF($D48=0,0,IF($H48="SL",SLN($D48,$E48,$G48)*IF(YEAR($F48)&lt;AF$3,IF(YEAR($F48)+$G48=AF$3,(MONTH($F48)-1)/12,IF(YEAR($F48)+$G48&lt;AF$3,0,1)),IF(YEAR($F48)&gt;AF$3,0,(12-MONTH($F48)+1)/12)),IF(YEAR($F48)&gt;AF$3,0,VDB($D48,$E48,$G48,IF(YEAR($F48)=AF$3,0,MIN($G48,(DATE(AF$3,1,1)-$F48)/365)),MIN($G48,(DATE(AF$3,12,31)-$F48)/365),$I48))))</f>
        <v>0</v>
      </c>
    </row>
    <row r="70" customFormat="false" ht="11.25" hidden="false" customHeight="false" outlineLevel="1" collapsed="false">
      <c r="C70" s="235" t="str">
        <f aca="false">+C49</f>
        <v>Asset 9</v>
      </c>
      <c r="I70" s="330" t="n">
        <f aca="false">IF(D49=0,0,IF($H49="SL",SLN($D49,$E49,$G49)*IF(YEAR($F49)&lt;(J$3-1),IF(YEAR($F49)+$G49=J$3-1,(MONTH($F49)-1)/12,IF(YEAR($F49)+$G49&lt;J$3-1,0,1)),IF(YEAR($F49)&gt;J$3-1,0,(12-MONTH($F49)+1)/12)),IF(YEAR($F49)&gt;J$3-1,0,VDB($D49,$E49,$G49,IF(YEAR($F49)=J$3-1,0,MIN($G49,(DATE(J$3-1,1,1)-$F49)/365)),MIN($G49,(DATE(J$3-1,12,31)-$F49)/365),$I49))))</f>
        <v>0</v>
      </c>
      <c r="J70" s="330" t="n">
        <f aca="false">IF($D49=0,0,IF($H49="SL",SLN($D49,$E49,$G49)*IF(YEAR($F49)&lt;J$3,IF(YEAR($F49)+$G49=J$3,(MONTH($F49)-1)/12,IF(YEAR($F49)+$G49&lt;J$3,0,1)),IF(YEAR($F49)&gt;J$3,0,(12-MONTH($F49)+1)/12)),IF(YEAR($F49)&gt;J$3,0,VDB($D49,$E49,$G49,IF(YEAR($F49)=J$3,0,MIN($G49,(DATE(J$3,1,1)-$F49)/365)),MIN($G49,(DATE(J$3,12,31)-$F49)/365),$I49))))</f>
        <v>0</v>
      </c>
      <c r="K70" s="330" t="n">
        <f aca="false">IF($D49=0,0,IF($H49="SL",SLN($D49,$E49,$G49)*IF(YEAR($F49)&lt;K$3,IF(YEAR($F49)+$G49=K$3,(MONTH($F49)-1)/12,IF(YEAR($F49)+$G49&lt;K$3,0,1)),IF(YEAR($F49)&gt;K$3,0,(12-MONTH($F49)+1)/12)),IF(YEAR($F49)&gt;K$3,0,VDB($D49,$E49,$G49,IF(YEAR($F49)=K$3,0,MIN($G49,(DATE(K$3,1,1)-$F49)/365)),MIN($G49,(DATE(K$3,12,31)-$F49)/365),$I49))))</f>
        <v>0</v>
      </c>
      <c r="L70" s="330" t="n">
        <f aca="false">IF($D49=0,0,IF($H49="SL",SLN($D49,$E49,$G49)*IF(YEAR($F49)&lt;L$3,IF(YEAR($F49)+$G49=L$3,(MONTH($F49)-1)/12,IF(YEAR($F49)+$G49&lt;L$3,0,1)),IF(YEAR($F49)&gt;L$3,0,(12-MONTH($F49)+1)/12)),IF(YEAR($F49)&gt;L$3,0,VDB($D49,$E49,$G49,IF(YEAR($F49)=L$3,0,MIN($G49,(DATE(L$3,1,1)-$F49)/365)),MIN($G49,(DATE(L$3,12,31)-$F49)/365),$I49))))</f>
        <v>0</v>
      </c>
      <c r="M70" s="330" t="n">
        <f aca="false">IF($D49=0,0,IF($H49="SL",SLN($D49,$E49,$G49)*IF(YEAR($F49)&lt;M$3,IF(YEAR($F49)+$G49=M$3,(MONTH($F49)-1)/12,IF(YEAR($F49)+$G49&lt;M$3,0,1)),IF(YEAR($F49)&gt;M$3,0,(12-MONTH($F49)+1)/12)),IF(YEAR($F49)&gt;M$3,0,VDB($D49,$E49,$G49,IF(YEAR($F49)=M$3,0,MIN($G49,(DATE(M$3,1,1)-$F49)/365)),MIN($G49,(DATE(M$3,12,31)-$F49)/365),$I49))))</f>
        <v>0</v>
      </c>
      <c r="N70" s="330" t="n">
        <f aca="false">IF($D49=0,0,IF($H49="SL",SLN($D49,$E49,$G49)*IF(YEAR($F49)&lt;N$3,IF(YEAR($F49)+$G49=N$3,(MONTH($F49)-1)/12,IF(YEAR($F49)+$G49&lt;N$3,0,1)),IF(YEAR($F49)&gt;N$3,0,(12-MONTH($F49)+1)/12)),IF(YEAR($F49)&gt;N$3,0,VDB($D49,$E49,$G49,IF(YEAR($F49)=N$3,0,MIN($G49,(DATE(N$3,1,1)-$F49)/365)),MIN($G49,(DATE(N$3,12,31)-$F49)/365),$I49))))</f>
        <v>0</v>
      </c>
      <c r="O70" s="330" t="n">
        <f aca="false">IF($D49=0,0,IF($H49="SL",SLN($D49,$E49,$G49)*IF(YEAR($F49)&lt;O$3,IF(YEAR($F49)+$G49=O$3,(MONTH($F49)-1)/12,IF(YEAR($F49)+$G49&lt;O$3,0,1)),IF(YEAR($F49)&gt;O$3,0,(12-MONTH($F49)+1)/12)),IF(YEAR($F49)&gt;O$3,0,VDB($D49,$E49,$G49,IF(YEAR($F49)=O$3,0,MIN($G49,(DATE(O$3,1,1)-$F49)/365)),MIN($G49,(DATE(O$3,12,31)-$F49)/365),$I49))))</f>
        <v>0</v>
      </c>
      <c r="P70" s="330" t="n">
        <f aca="false">IF($D49=0,0,IF($H49="SL",SLN($D49,$E49,$G49)*IF(YEAR($F49)&lt;P$3,IF(YEAR($F49)+$G49=P$3,(MONTH($F49)-1)/12,IF(YEAR($F49)+$G49&lt;P$3,0,1)),IF(YEAR($F49)&gt;P$3,0,(12-MONTH($F49)+1)/12)),IF(YEAR($F49)&gt;P$3,0,VDB($D49,$E49,$G49,IF(YEAR($F49)=P$3,0,MIN($G49,(DATE(P$3,1,1)-$F49)/365)),MIN($G49,(DATE(P$3,12,31)-$F49)/365),$I49))))</f>
        <v>0</v>
      </c>
      <c r="Q70" s="330" t="n">
        <f aca="false">IF($D49=0,0,IF($H49="SL",SLN($D49,$E49,$G49)*IF(YEAR($F49)&lt;Q$3,IF(YEAR($F49)+$G49=Q$3,(MONTH($F49)-1)/12,IF(YEAR($F49)+$G49&lt;Q$3,0,1)),IF(YEAR($F49)&gt;Q$3,0,(12-MONTH($F49)+1)/12)),IF(YEAR($F49)&gt;Q$3,0,VDB($D49,$E49,$G49,IF(YEAR($F49)=Q$3,0,MIN($G49,(DATE(Q$3,1,1)-$F49)/365)),MIN($G49,(DATE(Q$3,12,31)-$F49)/365),$I49))))</f>
        <v>0</v>
      </c>
      <c r="R70" s="330" t="n">
        <f aca="false">IF($D49=0,0,IF($H49="SL",SLN($D49,$E49,$G49)*IF(YEAR($F49)&lt;R$3,IF(YEAR($F49)+$G49=R$3,(MONTH($F49)-1)/12,IF(YEAR($F49)+$G49&lt;R$3,0,1)),IF(YEAR($F49)&gt;R$3,0,(12-MONTH($F49)+1)/12)),IF(YEAR($F49)&gt;R$3,0,VDB($D49,$E49,$G49,IF(YEAR($F49)=R$3,0,MIN($G49,(DATE(R$3,1,1)-$F49)/365)),MIN($G49,(DATE(R$3,12,31)-$F49)/365),$I49))))</f>
        <v>0</v>
      </c>
      <c r="S70" s="330" t="n">
        <f aca="false">IF($D49=0,0,IF($H49="SL",SLN($D49,$E49,$G49)*IF(YEAR($F49)&lt;S$3,IF(YEAR($F49)+$G49=S$3,(MONTH($F49)-1)/12,IF(YEAR($F49)+$G49&lt;S$3,0,1)),IF(YEAR($F49)&gt;S$3,0,(12-MONTH($F49)+1)/12)),IF(YEAR($F49)&gt;S$3,0,VDB($D49,$E49,$G49,IF(YEAR($F49)=S$3,0,MIN($G49,(DATE(S$3,1,1)-$F49)/365)),MIN($G49,(DATE(S$3,12,31)-$F49)/365),$I49))))</f>
        <v>0</v>
      </c>
      <c r="T70" s="330" t="n">
        <f aca="false">IF($D49=0,0,IF($H49="SL",SLN($D49,$E49,$G49)*IF(YEAR($F49)&lt;T$3,IF(YEAR($F49)+$G49=T$3,(MONTH($F49)-1)/12,IF(YEAR($F49)+$G49&lt;T$3,0,1)),IF(YEAR($F49)&gt;T$3,0,(12-MONTH($F49)+1)/12)),IF(YEAR($F49)&gt;T$3,0,VDB($D49,$E49,$G49,IF(YEAR($F49)=T$3,0,MIN($G49,(DATE(T$3,1,1)-$F49)/365)),MIN($G49,(DATE(T$3,12,31)-$F49)/365),$I49))))</f>
        <v>0</v>
      </c>
      <c r="U70" s="330" t="n">
        <f aca="false">IF($D49=0,0,IF($H49="SL",SLN($D49,$E49,$G49)*IF(YEAR($F49)&lt;U$3,IF(YEAR($F49)+$G49=U$3,(MONTH($F49)-1)/12,IF(YEAR($F49)+$G49&lt;U$3,0,1)),IF(YEAR($F49)&gt;U$3,0,(12-MONTH($F49)+1)/12)),IF(YEAR($F49)&gt;U$3,0,VDB($D49,$E49,$G49,IF(YEAR($F49)=U$3,0,MIN($G49,(DATE(U$3,1,1)-$F49)/365)),MIN($G49,(DATE(U$3,12,31)-$F49)/365),$I49))))</f>
        <v>0</v>
      </c>
      <c r="V70" s="330" t="n">
        <f aca="false">IF($D49=0,0,IF($H49="SL",SLN($D49,$E49,$G49)*IF(YEAR($F49)&lt;V$3,IF(YEAR($F49)+$G49=V$3,(MONTH($F49)-1)/12,IF(YEAR($F49)+$G49&lt;V$3,0,1)),IF(YEAR($F49)&gt;V$3,0,(12-MONTH($F49)+1)/12)),IF(YEAR($F49)&gt;V$3,0,VDB($D49,$E49,$G49,IF(YEAR($F49)=V$3,0,MIN($G49,(DATE(V$3,1,1)-$F49)/365)),MIN($G49,(DATE(V$3,12,31)-$F49)/365),$I49))))</f>
        <v>0</v>
      </c>
      <c r="W70" s="330" t="n">
        <f aca="false">IF($D49=0,0,IF($H49="SL",SLN($D49,$E49,$G49)*IF(YEAR($F49)&lt;W$3,IF(YEAR($F49)+$G49=W$3,(MONTH($F49)-1)/12,IF(YEAR($F49)+$G49&lt;W$3,0,1)),IF(YEAR($F49)&gt;W$3,0,(12-MONTH($F49)+1)/12)),IF(YEAR($F49)&gt;W$3,0,VDB($D49,$E49,$G49,IF(YEAR($F49)=W$3,0,MIN($G49,(DATE(W$3,1,1)-$F49)/365)),MIN($G49,(DATE(W$3,12,31)-$F49)/365),$I49))))</f>
        <v>0</v>
      </c>
      <c r="X70" s="330" t="n">
        <f aca="false">IF($D49=0,0,IF($H49="SL",SLN($D49,$E49,$G49)*IF(YEAR($F49)&lt;X$3,IF(YEAR($F49)+$G49=X$3,(MONTH($F49)-1)/12,IF(YEAR($F49)+$G49&lt;X$3,0,1)),IF(YEAR($F49)&gt;X$3,0,(12-MONTH($F49)+1)/12)),IF(YEAR($F49)&gt;X$3,0,VDB($D49,$E49,$G49,IF(YEAR($F49)=X$3,0,MIN($G49,(DATE(X$3,1,1)-$F49)/365)),MIN($G49,(DATE(X$3,12,31)-$F49)/365),$I49))))</f>
        <v>0</v>
      </c>
      <c r="Y70" s="330" t="n">
        <f aca="false">IF($D49=0,0,IF($H49="SL",SLN($D49,$E49,$G49)*IF(YEAR($F49)&lt;Y$3,IF(YEAR($F49)+$G49=Y$3,(MONTH($F49)-1)/12,IF(YEAR($F49)+$G49&lt;Y$3,0,1)),IF(YEAR($F49)&gt;Y$3,0,(12-MONTH($F49)+1)/12)),IF(YEAR($F49)&gt;Y$3,0,VDB($D49,$E49,$G49,IF(YEAR($F49)=Y$3,0,MIN($G49,(DATE(Y$3,1,1)-$F49)/365)),MIN($G49,(DATE(Y$3,12,31)-$F49)/365),$I49))))</f>
        <v>0</v>
      </c>
      <c r="Z70" s="330" t="n">
        <f aca="false">IF($D49=0,0,IF($H49="SL",SLN($D49,$E49,$G49)*IF(YEAR($F49)&lt;Z$3,IF(YEAR($F49)+$G49=Z$3,(MONTH($F49)-1)/12,IF(YEAR($F49)+$G49&lt;Z$3,0,1)),IF(YEAR($F49)&gt;Z$3,0,(12-MONTH($F49)+1)/12)),IF(YEAR($F49)&gt;Z$3,0,VDB($D49,$E49,$G49,IF(YEAR($F49)=Z$3,0,MIN($G49,(DATE(Z$3,1,1)-$F49)/365)),MIN($G49,(DATE(Z$3,12,31)-$F49)/365),$I49))))</f>
        <v>0</v>
      </c>
      <c r="AA70" s="330" t="n">
        <f aca="false">IF($D49=0,0,IF($H49="SL",SLN($D49,$E49,$G49)*IF(YEAR($F49)&lt;AA$3,IF(YEAR($F49)+$G49=AA$3,(MONTH($F49)-1)/12,IF(YEAR($F49)+$G49&lt;AA$3,0,1)),IF(YEAR($F49)&gt;AA$3,0,(12-MONTH($F49)+1)/12)),IF(YEAR($F49)&gt;AA$3,0,VDB($D49,$E49,$G49,IF(YEAR($F49)=AA$3,0,MIN($G49,(DATE(AA$3,1,1)-$F49)/365)),MIN($G49,(DATE(AA$3,12,31)-$F49)/365),$I49))))</f>
        <v>0</v>
      </c>
      <c r="AB70" s="330" t="n">
        <f aca="false">IF($D49=0,0,IF($H49="SL",SLN($D49,$E49,$G49)*IF(YEAR($F49)&lt;AB$3,IF(YEAR($F49)+$G49=AB$3,(MONTH($F49)-1)/12,IF(YEAR($F49)+$G49&lt;AB$3,0,1)),IF(YEAR($F49)&gt;AB$3,0,(12-MONTH($F49)+1)/12)),IF(YEAR($F49)&gt;AB$3,0,VDB($D49,$E49,$G49,IF(YEAR($F49)=AB$3,0,MIN($G49,(DATE(AB$3,1,1)-$F49)/365)),MIN($G49,(DATE(AB$3,12,31)-$F49)/365),$I49))))</f>
        <v>0</v>
      </c>
      <c r="AC70" s="330" t="n">
        <f aca="false">IF($D49=0,0,IF($H49="SL",SLN($D49,$E49,$G49)*IF(YEAR($F49)&lt;AC$3,IF(YEAR($F49)+$G49=AC$3,(MONTH($F49)-1)/12,IF(YEAR($F49)+$G49&lt;AC$3,0,1)),IF(YEAR($F49)&gt;AC$3,0,(12-MONTH($F49)+1)/12)),IF(YEAR($F49)&gt;AC$3,0,VDB($D49,$E49,$G49,IF(YEAR($F49)=AC$3,0,MIN($G49,(DATE(AC$3,1,1)-$F49)/365)),MIN($G49,(DATE(AC$3,12,31)-$F49)/365),$I49))))</f>
        <v>0</v>
      </c>
      <c r="AD70" s="330" t="n">
        <f aca="false">IF($D49=0,0,IF($H49="SL",SLN($D49,$E49,$G49)*IF(YEAR($F49)&lt;AD$3,IF(YEAR($F49)+$G49=AD$3,(MONTH($F49)-1)/12,IF(YEAR($F49)+$G49&lt;AD$3,0,1)),IF(YEAR($F49)&gt;AD$3,0,(12-MONTH($F49)+1)/12)),IF(YEAR($F49)&gt;AD$3,0,VDB($D49,$E49,$G49,IF(YEAR($F49)=AD$3,0,MIN($G49,(DATE(AD$3,1,1)-$F49)/365)),MIN($G49,(DATE(AD$3,12,31)-$F49)/365),$I49))))</f>
        <v>0</v>
      </c>
      <c r="AE70" s="330" t="n">
        <f aca="false">IF($D49=0,0,IF($H49="SL",SLN($D49,$E49,$G49)*IF(YEAR($F49)&lt;AE$3,IF(YEAR($F49)+$G49=AE$3,(MONTH($F49)-1)/12,IF(YEAR($F49)+$G49&lt;AE$3,0,1)),IF(YEAR($F49)&gt;AE$3,0,(12-MONTH($F49)+1)/12)),IF(YEAR($F49)&gt;AE$3,0,VDB($D49,$E49,$G49,IF(YEAR($F49)=AE$3,0,MIN($G49,(DATE(AE$3,1,1)-$F49)/365)),MIN($G49,(DATE(AE$3,12,31)-$F49)/365),$I49))))</f>
        <v>0</v>
      </c>
      <c r="AF70" s="330" t="n">
        <f aca="false">IF($D49=0,0,IF($H49="SL",SLN($D49,$E49,$G49)*IF(YEAR($F49)&lt;AF$3,IF(YEAR($F49)+$G49=AF$3,(MONTH($F49)-1)/12,IF(YEAR($F49)+$G49&lt;AF$3,0,1)),IF(YEAR($F49)&gt;AF$3,0,(12-MONTH($F49)+1)/12)),IF(YEAR($F49)&gt;AF$3,0,VDB($D49,$E49,$G49,IF(YEAR($F49)=AF$3,0,MIN($G49,(DATE(AF$3,1,1)-$F49)/365)),MIN($G49,(DATE(AF$3,12,31)-$F49)/365),$I49))))</f>
        <v>0</v>
      </c>
    </row>
    <row r="71" customFormat="false" ht="11.25" hidden="false" customHeight="false" outlineLevel="1" collapsed="false">
      <c r="C71" s="235" t="str">
        <f aca="false">+C50</f>
        <v>Asset 10</v>
      </c>
      <c r="I71" s="330" t="n">
        <f aca="false">IF(D50=0,0,IF($H50="SL",SLN($D50,$E50,$G50)*IF(YEAR($F50)&lt;(J$3-1),IF(YEAR($F50)+$G50=J$3-1,(MONTH($F50)-1)/12,IF(YEAR($F50)+$G50&lt;J$3-1,0,1)),IF(YEAR($F50)&gt;J$3-1,0,(12-MONTH($F50)+1)/12)),IF(YEAR($F50)&gt;J$3-1,0,VDB($D50,$E50,$G50,IF(YEAR($F50)=J$3-1,0,MIN($G50,(DATE(J$3-1,1,1)-$F50)/365)),MIN($G50,(DATE(J$3-1,12,31)-$F50)/365),$I50))))</f>
        <v>0</v>
      </c>
      <c r="J71" s="330" t="n">
        <f aca="false">IF($D50=0,0,IF($H50="SL",SLN($D50,$E50,$G50)*IF(YEAR($F50)&lt;J$3,IF(YEAR($F50)+$G50=J$3,(MONTH($F50)-1)/12,IF(YEAR($F50)+$G50&lt;J$3,0,1)),IF(YEAR($F50)&gt;J$3,0,(12-MONTH($F50)+1)/12)),IF(YEAR($F50)&gt;J$3,0,VDB($D50,$E50,$G50,IF(YEAR($F50)=J$3,0,MIN($G50,(DATE(J$3,1,1)-$F50)/365)),MIN($G50,(DATE(J$3,12,31)-$F50)/365),$I50))))</f>
        <v>0</v>
      </c>
      <c r="K71" s="330" t="n">
        <f aca="false">IF($D50=0,0,IF($H50="SL",SLN($D50,$E50,$G50)*IF(YEAR($F50)&lt;K$3,IF(YEAR($F50)+$G50=K$3,(MONTH($F50)-1)/12,IF(YEAR($F50)+$G50&lt;K$3,0,1)),IF(YEAR($F50)&gt;K$3,0,(12-MONTH($F50)+1)/12)),IF(YEAR($F50)&gt;K$3,0,VDB($D50,$E50,$G50,IF(YEAR($F50)=K$3,0,MIN($G50,(DATE(K$3,1,1)-$F50)/365)),MIN($G50,(DATE(K$3,12,31)-$F50)/365),$I50))))</f>
        <v>0</v>
      </c>
      <c r="L71" s="330" t="n">
        <f aca="false">IF($D50=0,0,IF($H50="SL",SLN($D50,$E50,$G50)*IF(YEAR($F50)&lt;L$3,IF(YEAR($F50)+$G50=L$3,(MONTH($F50)-1)/12,IF(YEAR($F50)+$G50&lt;L$3,0,1)),IF(YEAR($F50)&gt;L$3,0,(12-MONTH($F50)+1)/12)),IF(YEAR($F50)&gt;L$3,0,VDB($D50,$E50,$G50,IF(YEAR($F50)=L$3,0,MIN($G50,(DATE(L$3,1,1)-$F50)/365)),MIN($G50,(DATE(L$3,12,31)-$F50)/365),$I50))))</f>
        <v>0</v>
      </c>
      <c r="M71" s="330" t="n">
        <f aca="false">IF($D50=0,0,IF($H50="SL",SLN($D50,$E50,$G50)*IF(YEAR($F50)&lt;M$3,IF(YEAR($F50)+$G50=M$3,(MONTH($F50)-1)/12,IF(YEAR($F50)+$G50&lt;M$3,0,1)),IF(YEAR($F50)&gt;M$3,0,(12-MONTH($F50)+1)/12)),IF(YEAR($F50)&gt;M$3,0,VDB($D50,$E50,$G50,IF(YEAR($F50)=M$3,0,MIN($G50,(DATE(M$3,1,1)-$F50)/365)),MIN($G50,(DATE(M$3,12,31)-$F50)/365),$I50))))</f>
        <v>0</v>
      </c>
      <c r="N71" s="330" t="n">
        <f aca="false">IF($D50=0,0,IF($H50="SL",SLN($D50,$E50,$G50)*IF(YEAR($F50)&lt;N$3,IF(YEAR($F50)+$G50=N$3,(MONTH($F50)-1)/12,IF(YEAR($F50)+$G50&lt;N$3,0,1)),IF(YEAR($F50)&gt;N$3,0,(12-MONTH($F50)+1)/12)),IF(YEAR($F50)&gt;N$3,0,VDB($D50,$E50,$G50,IF(YEAR($F50)=N$3,0,MIN($G50,(DATE(N$3,1,1)-$F50)/365)),MIN($G50,(DATE(N$3,12,31)-$F50)/365),$I50))))</f>
        <v>0</v>
      </c>
      <c r="O71" s="330" t="n">
        <f aca="false">IF($D50=0,0,IF($H50="SL",SLN($D50,$E50,$G50)*IF(YEAR($F50)&lt;O$3,IF(YEAR($F50)+$G50=O$3,(MONTH($F50)-1)/12,IF(YEAR($F50)+$G50&lt;O$3,0,1)),IF(YEAR($F50)&gt;O$3,0,(12-MONTH($F50)+1)/12)),IF(YEAR($F50)&gt;O$3,0,VDB($D50,$E50,$G50,IF(YEAR($F50)=O$3,0,MIN($G50,(DATE(O$3,1,1)-$F50)/365)),MIN($G50,(DATE(O$3,12,31)-$F50)/365),$I50))))</f>
        <v>0</v>
      </c>
      <c r="P71" s="330" t="n">
        <f aca="false">IF($D50=0,0,IF($H50="SL",SLN($D50,$E50,$G50)*IF(YEAR($F50)&lt;P$3,IF(YEAR($F50)+$G50=P$3,(MONTH($F50)-1)/12,IF(YEAR($F50)+$G50&lt;P$3,0,1)),IF(YEAR($F50)&gt;P$3,0,(12-MONTH($F50)+1)/12)),IF(YEAR($F50)&gt;P$3,0,VDB($D50,$E50,$G50,IF(YEAR($F50)=P$3,0,MIN($G50,(DATE(P$3,1,1)-$F50)/365)),MIN($G50,(DATE(P$3,12,31)-$F50)/365),$I50))))</f>
        <v>0</v>
      </c>
      <c r="Q71" s="330" t="n">
        <f aca="false">IF($D50=0,0,IF($H50="SL",SLN($D50,$E50,$G50)*IF(YEAR($F50)&lt;Q$3,IF(YEAR($F50)+$G50=Q$3,(MONTH($F50)-1)/12,IF(YEAR($F50)+$G50&lt;Q$3,0,1)),IF(YEAR($F50)&gt;Q$3,0,(12-MONTH($F50)+1)/12)),IF(YEAR($F50)&gt;Q$3,0,VDB($D50,$E50,$G50,IF(YEAR($F50)=Q$3,0,MIN($G50,(DATE(Q$3,1,1)-$F50)/365)),MIN($G50,(DATE(Q$3,12,31)-$F50)/365),$I50))))</f>
        <v>0</v>
      </c>
      <c r="R71" s="330" t="n">
        <f aca="false">IF($D50=0,0,IF($H50="SL",SLN($D50,$E50,$G50)*IF(YEAR($F50)&lt;R$3,IF(YEAR($F50)+$G50=R$3,(MONTH($F50)-1)/12,IF(YEAR($F50)+$G50&lt;R$3,0,1)),IF(YEAR($F50)&gt;R$3,0,(12-MONTH($F50)+1)/12)),IF(YEAR($F50)&gt;R$3,0,VDB($D50,$E50,$G50,IF(YEAR($F50)=R$3,0,MIN($G50,(DATE(R$3,1,1)-$F50)/365)),MIN($G50,(DATE(R$3,12,31)-$F50)/365),$I50))))</f>
        <v>0</v>
      </c>
      <c r="S71" s="330" t="n">
        <f aca="false">IF($D50=0,0,IF($H50="SL",SLN($D50,$E50,$G50)*IF(YEAR($F50)&lt;S$3,IF(YEAR($F50)+$G50=S$3,(MONTH($F50)-1)/12,IF(YEAR($F50)+$G50&lt;S$3,0,1)),IF(YEAR($F50)&gt;S$3,0,(12-MONTH($F50)+1)/12)),IF(YEAR($F50)&gt;S$3,0,VDB($D50,$E50,$G50,IF(YEAR($F50)=S$3,0,MIN($G50,(DATE(S$3,1,1)-$F50)/365)),MIN($G50,(DATE(S$3,12,31)-$F50)/365),$I50))))</f>
        <v>0</v>
      </c>
      <c r="T71" s="330" t="n">
        <f aca="false">IF($D50=0,0,IF($H50="SL",SLN($D50,$E50,$G50)*IF(YEAR($F50)&lt;T$3,IF(YEAR($F50)+$G50=T$3,(MONTH($F50)-1)/12,IF(YEAR($F50)+$G50&lt;T$3,0,1)),IF(YEAR($F50)&gt;T$3,0,(12-MONTH($F50)+1)/12)),IF(YEAR($F50)&gt;T$3,0,VDB($D50,$E50,$G50,IF(YEAR($F50)=T$3,0,MIN($G50,(DATE(T$3,1,1)-$F50)/365)),MIN($G50,(DATE(T$3,12,31)-$F50)/365),$I50))))</f>
        <v>0</v>
      </c>
      <c r="U71" s="330" t="n">
        <f aca="false">IF($D50=0,0,IF($H50="SL",SLN($D50,$E50,$G50)*IF(YEAR($F50)&lt;U$3,IF(YEAR($F50)+$G50=U$3,(MONTH($F50)-1)/12,IF(YEAR($F50)+$G50&lt;U$3,0,1)),IF(YEAR($F50)&gt;U$3,0,(12-MONTH($F50)+1)/12)),IF(YEAR($F50)&gt;U$3,0,VDB($D50,$E50,$G50,IF(YEAR($F50)=U$3,0,MIN($G50,(DATE(U$3,1,1)-$F50)/365)),MIN($G50,(DATE(U$3,12,31)-$F50)/365),$I50))))</f>
        <v>0</v>
      </c>
      <c r="V71" s="330" t="n">
        <f aca="false">IF($D50=0,0,IF($H50="SL",SLN($D50,$E50,$G50)*IF(YEAR($F50)&lt;V$3,IF(YEAR($F50)+$G50=V$3,(MONTH($F50)-1)/12,IF(YEAR($F50)+$G50&lt;V$3,0,1)),IF(YEAR($F50)&gt;V$3,0,(12-MONTH($F50)+1)/12)),IF(YEAR($F50)&gt;V$3,0,VDB($D50,$E50,$G50,IF(YEAR($F50)=V$3,0,MIN($G50,(DATE(V$3,1,1)-$F50)/365)),MIN($G50,(DATE(V$3,12,31)-$F50)/365),$I50))))</f>
        <v>0</v>
      </c>
      <c r="W71" s="330" t="n">
        <f aca="false">IF($D50=0,0,IF($H50="SL",SLN($D50,$E50,$G50)*IF(YEAR($F50)&lt;W$3,IF(YEAR($F50)+$G50=W$3,(MONTH($F50)-1)/12,IF(YEAR($F50)+$G50&lt;W$3,0,1)),IF(YEAR($F50)&gt;W$3,0,(12-MONTH($F50)+1)/12)),IF(YEAR($F50)&gt;W$3,0,VDB($D50,$E50,$G50,IF(YEAR($F50)=W$3,0,MIN($G50,(DATE(W$3,1,1)-$F50)/365)),MIN($G50,(DATE(W$3,12,31)-$F50)/365),$I50))))</f>
        <v>0</v>
      </c>
      <c r="X71" s="330" t="n">
        <f aca="false">IF($D50=0,0,IF($H50="SL",SLN($D50,$E50,$G50)*IF(YEAR($F50)&lt;X$3,IF(YEAR($F50)+$G50=X$3,(MONTH($F50)-1)/12,IF(YEAR($F50)+$G50&lt;X$3,0,1)),IF(YEAR($F50)&gt;X$3,0,(12-MONTH($F50)+1)/12)),IF(YEAR($F50)&gt;X$3,0,VDB($D50,$E50,$G50,IF(YEAR($F50)=X$3,0,MIN($G50,(DATE(X$3,1,1)-$F50)/365)),MIN($G50,(DATE(X$3,12,31)-$F50)/365),$I50))))</f>
        <v>0</v>
      </c>
      <c r="Y71" s="330" t="n">
        <f aca="false">IF($D50=0,0,IF($H50="SL",SLN($D50,$E50,$G50)*IF(YEAR($F50)&lt;Y$3,IF(YEAR($F50)+$G50=Y$3,(MONTH($F50)-1)/12,IF(YEAR($F50)+$G50&lt;Y$3,0,1)),IF(YEAR($F50)&gt;Y$3,0,(12-MONTH($F50)+1)/12)),IF(YEAR($F50)&gt;Y$3,0,VDB($D50,$E50,$G50,IF(YEAR($F50)=Y$3,0,MIN($G50,(DATE(Y$3,1,1)-$F50)/365)),MIN($G50,(DATE(Y$3,12,31)-$F50)/365),$I50))))</f>
        <v>0</v>
      </c>
      <c r="Z71" s="330" t="n">
        <f aca="false">IF($D50=0,0,IF($H50="SL",SLN($D50,$E50,$G50)*IF(YEAR($F50)&lt;Z$3,IF(YEAR($F50)+$G50=Z$3,(MONTH($F50)-1)/12,IF(YEAR($F50)+$G50&lt;Z$3,0,1)),IF(YEAR($F50)&gt;Z$3,0,(12-MONTH($F50)+1)/12)),IF(YEAR($F50)&gt;Z$3,0,VDB($D50,$E50,$G50,IF(YEAR($F50)=Z$3,0,MIN($G50,(DATE(Z$3,1,1)-$F50)/365)),MIN($G50,(DATE(Z$3,12,31)-$F50)/365),$I50))))</f>
        <v>0</v>
      </c>
      <c r="AA71" s="330" t="n">
        <f aca="false">IF($D50=0,0,IF($H50="SL",SLN($D50,$E50,$G50)*IF(YEAR($F50)&lt;AA$3,IF(YEAR($F50)+$G50=AA$3,(MONTH($F50)-1)/12,IF(YEAR($F50)+$G50&lt;AA$3,0,1)),IF(YEAR($F50)&gt;AA$3,0,(12-MONTH($F50)+1)/12)),IF(YEAR($F50)&gt;AA$3,0,VDB($D50,$E50,$G50,IF(YEAR($F50)=AA$3,0,MIN($G50,(DATE(AA$3,1,1)-$F50)/365)),MIN($G50,(DATE(AA$3,12,31)-$F50)/365),$I50))))</f>
        <v>0</v>
      </c>
      <c r="AB71" s="330" t="n">
        <f aca="false">IF($D50=0,0,IF($H50="SL",SLN($D50,$E50,$G50)*IF(YEAR($F50)&lt;AB$3,IF(YEAR($F50)+$G50=AB$3,(MONTH($F50)-1)/12,IF(YEAR($F50)+$G50&lt;AB$3,0,1)),IF(YEAR($F50)&gt;AB$3,0,(12-MONTH($F50)+1)/12)),IF(YEAR($F50)&gt;AB$3,0,VDB($D50,$E50,$G50,IF(YEAR($F50)=AB$3,0,MIN($G50,(DATE(AB$3,1,1)-$F50)/365)),MIN($G50,(DATE(AB$3,12,31)-$F50)/365),$I50))))</f>
        <v>0</v>
      </c>
      <c r="AC71" s="330" t="n">
        <f aca="false">IF($D50=0,0,IF($H50="SL",SLN($D50,$E50,$G50)*IF(YEAR($F50)&lt;AC$3,IF(YEAR($F50)+$G50=AC$3,(MONTH($F50)-1)/12,IF(YEAR($F50)+$G50&lt;AC$3,0,1)),IF(YEAR($F50)&gt;AC$3,0,(12-MONTH($F50)+1)/12)),IF(YEAR($F50)&gt;AC$3,0,VDB($D50,$E50,$G50,IF(YEAR($F50)=AC$3,0,MIN($G50,(DATE(AC$3,1,1)-$F50)/365)),MIN($G50,(DATE(AC$3,12,31)-$F50)/365),$I50))))</f>
        <v>0</v>
      </c>
      <c r="AD71" s="330" t="n">
        <f aca="false">IF($D50=0,0,IF($H50="SL",SLN($D50,$E50,$G50)*IF(YEAR($F50)&lt;AD$3,IF(YEAR($F50)+$G50=AD$3,(MONTH($F50)-1)/12,IF(YEAR($F50)+$G50&lt;AD$3,0,1)),IF(YEAR($F50)&gt;AD$3,0,(12-MONTH($F50)+1)/12)),IF(YEAR($F50)&gt;AD$3,0,VDB($D50,$E50,$G50,IF(YEAR($F50)=AD$3,0,MIN($G50,(DATE(AD$3,1,1)-$F50)/365)),MIN($G50,(DATE(AD$3,12,31)-$F50)/365),$I50))))</f>
        <v>0</v>
      </c>
      <c r="AE71" s="330" t="n">
        <f aca="false">IF($D50=0,0,IF($H50="SL",SLN($D50,$E50,$G50)*IF(YEAR($F50)&lt;AE$3,IF(YEAR($F50)+$G50=AE$3,(MONTH($F50)-1)/12,IF(YEAR($F50)+$G50&lt;AE$3,0,1)),IF(YEAR($F50)&gt;AE$3,0,(12-MONTH($F50)+1)/12)),IF(YEAR($F50)&gt;AE$3,0,VDB($D50,$E50,$G50,IF(YEAR($F50)=AE$3,0,MIN($G50,(DATE(AE$3,1,1)-$F50)/365)),MIN($G50,(DATE(AE$3,12,31)-$F50)/365),$I50))))</f>
        <v>0</v>
      </c>
      <c r="AF71" s="330" t="n">
        <f aca="false">IF($D50=0,0,IF($H50="SL",SLN($D50,$E50,$G50)*IF(YEAR($F50)&lt;AF$3,IF(YEAR($F50)+$G50=AF$3,(MONTH($F50)-1)/12,IF(YEAR($F50)+$G50&lt;AF$3,0,1)),IF(YEAR($F50)&gt;AF$3,0,(12-MONTH($F50)+1)/12)),IF(YEAR($F50)&gt;AF$3,0,VDB($D50,$E50,$G50,IF(YEAR($F50)=AF$3,0,MIN($G50,(DATE(AF$3,1,1)-$F50)/365)),MIN($G50,(DATE(AF$3,12,31)-$F50)/365),$I50))))</f>
        <v>0</v>
      </c>
    </row>
    <row r="72" customFormat="false" ht="11.25" hidden="false" customHeight="false" outlineLevel="0" collapsed="false">
      <c r="B72" s="323" t="s">
        <v>339</v>
      </c>
      <c r="I72" s="333" t="n">
        <f aca="false">SUM(I62:I71)</f>
        <v>2186.51543111111</v>
      </c>
      <c r="J72" s="333" t="n">
        <f aca="false">SUM(J62:J71)</f>
        <v>5247.63703466667</v>
      </c>
      <c r="K72" s="333" t="n">
        <f aca="false">SUM(K62:K71)</f>
        <v>5247.63703466667</v>
      </c>
      <c r="L72" s="333" t="n">
        <f aca="false">SUM(L62:L71)</f>
        <v>5247.63703466667</v>
      </c>
      <c r="M72" s="333" t="n">
        <f aca="false">SUM(M62:M71)</f>
        <v>5317.00706672801</v>
      </c>
      <c r="N72" s="333" t="n">
        <f aca="false">SUM(N62:N71)</f>
        <v>5414.12511161389</v>
      </c>
      <c r="O72" s="333" t="n">
        <f aca="false">SUM(O62:O71)</f>
        <v>5414.12511161389</v>
      </c>
      <c r="P72" s="333" t="n">
        <f aca="false">SUM(P62:P71)</f>
        <v>5414.12511161389</v>
      </c>
      <c r="Q72" s="333" t="n">
        <f aca="false">SUM(Q62:Q71)</f>
        <v>5414.12511161389</v>
      </c>
      <c r="R72" s="333" t="n">
        <f aca="false">SUM(R62:R71)</f>
        <v>5414.12511161389</v>
      </c>
      <c r="S72" s="333" t="n">
        <f aca="false">SUM(S62:S71)</f>
        <v>5414.12511161389</v>
      </c>
      <c r="T72" s="333" t="n">
        <f aca="false">SUM(T62:T71)</f>
        <v>5414.12511161389</v>
      </c>
      <c r="U72" s="333" t="n">
        <f aca="false">SUM(U62:U71)</f>
        <v>5442.18504382222</v>
      </c>
      <c r="V72" s="333" t="n">
        <f aca="false">SUM(V62:V71)</f>
        <v>5481.46894891387</v>
      </c>
      <c r="W72" s="333" t="n">
        <f aca="false">SUM(W62:W71)</f>
        <v>5481.46894891387</v>
      </c>
      <c r="X72" s="333" t="n">
        <f aca="false">SUM(X62:X71)</f>
        <v>3294.95351780276</v>
      </c>
      <c r="Y72" s="333" t="n">
        <f aca="false">SUM(Y62:Y71)</f>
        <v>570.485952616474</v>
      </c>
      <c r="Z72" s="333" t="n">
        <f aca="false">SUM(Z62:Z71)</f>
        <v>1041.80160633345</v>
      </c>
      <c r="AA72" s="333" t="n">
        <f aca="false">SUM(AA62:AA71)</f>
        <v>1041.80160633345</v>
      </c>
      <c r="AB72" s="333" t="n">
        <f aca="false">SUM(AB62:AB71)</f>
        <v>1041.80160633345</v>
      </c>
      <c r="AC72" s="333" t="n">
        <f aca="false">SUM(AC62:AC71)</f>
        <v>944.371642063778</v>
      </c>
      <c r="AD72" s="333" t="n">
        <f aca="false">SUM(AD62:AD71)</f>
        <v>807.96969208624</v>
      </c>
      <c r="AE72" s="333" t="n">
        <f aca="false">SUM(AE62:AE71)</f>
        <v>807.96969208624</v>
      </c>
      <c r="AF72" s="333" t="n">
        <f aca="false">SUM(AF62:AF71)</f>
        <v>807.96969208624</v>
      </c>
    </row>
    <row r="73" customFormat="false" ht="11.25" hidden="false" customHeight="false" outlineLevel="0" collapsed="false"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</row>
    <row r="74" customFormat="false" ht="11.25" hidden="false" customHeight="false" outlineLevel="0" collapsed="false">
      <c r="A74" s="323" t="s">
        <v>307</v>
      </c>
      <c r="I74" s="275"/>
      <c r="J74" s="275"/>
      <c r="K74" s="275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</row>
    <row r="75" customFormat="false" ht="11.25" hidden="false" customHeight="false" outlineLevel="0" collapsed="false">
      <c r="C75" s="235" t="str">
        <f aca="false">+C54</f>
        <v>Funding 1</v>
      </c>
      <c r="I75" s="330" t="n">
        <f aca="false">IF(D54=0,0,IF($H54="SL",SLN($D54,$E54,$G54)*IF(YEAR($F54)&lt;(J$3-1),IF(YEAR($F54)+$G54=J$3-1,(MONTH($F54)-1)/12,IF(YEAR($F54)+$G54&lt;J$3-1,0,1)),IF(YEAR($F54)&gt;J$3-1,0,(12-MONTH($F54)+1)/12)),IF(YEAR($F54)&gt;J$3-1,0,VDB($D54,$E54,$G54,IF(YEAR($F54)=J$3-1,0,MIN($G54,(DATE(J$3-1,1,1)-$F54)/365)),MIN($G54,(DATE(J$3-1,12,31)-$F54)/365),$I54))))</f>
        <v>0</v>
      </c>
      <c r="J75" s="330" t="n">
        <f aca="false">IF(D54=0,0,IF($H54="SL",SLN($D54,$E54,$G54)*IF(YEAR($F54)&lt;J$3,IF(YEAR($F54)+$G54=J$3,(MONTH($F54)-1)/12,IF(YEAR($F54)+$G54&lt;J$3,0,1)),IF(YEAR($F54)&gt;J$3,0,(12-MONTH($F54)+1)/12)),IF(YEAR($F54)&gt;J$3,0,VDB($D54,$E54,$G54,IF(YEAR($F54)=J$3,0,MIN($G54,(DATE(J$3,1,1)-$F54)/365)),MIN($G54,(DATE(J$3,12,31)-$F54)/365),$I54))))</f>
        <v>0</v>
      </c>
      <c r="K75" s="330" t="n">
        <f aca="false">IF(D54=0,0,IF($H54="SL",SLN($D54,$E54,$G54)*IF(YEAR($F54)&lt;K$3,IF(YEAR($F54)+$G54=K$3,(MONTH($F54)-1)/12,IF(YEAR($F54)+$G54&lt;K$3,0,1)),IF(YEAR($F54)&gt;K$3,0,(12-MONTH($F54)+1)/12)),IF(YEAR($F54)&gt;K$3,0,VDB($D54,$E54,$G54,IF(YEAR($F54)=K$3,0,MIN($G54,(DATE(K$3,1,1)-$F54)/365)),MIN($G54,(DATE(K$3,12,31)-$F54)/365),$I54))))</f>
        <v>0</v>
      </c>
      <c r="L75" s="330" t="n">
        <f aca="false">IF(D54=0,0,IF($H54="SL",SLN($D54,$E54,$G54)*IF(YEAR($F54)&lt;L$3,IF(YEAR($F54)+$G54=L$3,(MONTH($F54)-1)/12,IF(YEAR($F54)+$G54&lt;L$3,0,1)),IF(YEAR($F54)&gt;L$3,0,(12-MONTH($F54)+1)/12)),IF(YEAR($F54)&gt;L$3,0,VDB($D54,$E54,$G54,IF(YEAR($F54)=L$3,0,MIN($G54,(DATE(L$3,1,1)-$F54)/365)),MIN($G54,(DATE(L$3,12,31)-$F54)/365),$I54))))</f>
        <v>0</v>
      </c>
      <c r="M75" s="330" t="n">
        <f aca="false">IF(D54=0,0,IF($H54="SL",SLN($D54,$E54,$G54)*IF(YEAR($F54)&lt;M$3,IF(YEAR($F54)+$G54=M$3,(MONTH($F54)-1)/12,IF(YEAR($F54)+$G54&lt;M$3,0,1)),IF(YEAR($F54)&gt;M$3,0,(12-MONTH($F54)+1)/12)),IF(YEAR($F54)&gt;M$3,0,VDB($D54,$E54,$G54,IF(YEAR($F54)=M$3,0,MIN($G54,(DATE(M$3,1,1)-$F54)/365)),MIN($G54,(DATE(M$3,12,31)-$F54)/365),$I54))))</f>
        <v>0</v>
      </c>
      <c r="N75" s="330" t="n">
        <f aca="false">IF(D54=0,0,IF($H54="SL",SLN($D54,$E54,$G54)*IF(YEAR($F54)&lt;N$3,IF(YEAR($F54)+$G54=N$3,(MONTH($F54)-1)/12,IF(YEAR($F54)+$G54&lt;N$3,0,1)),IF(YEAR($F54)&gt;N$3,0,(12-MONTH($F54)+1)/12)),IF(YEAR($F54)&gt;N$3,0,VDB($D54,$E54,$G54,IF(YEAR($F54)=N$3,0,MIN($G54,(DATE(N$3,1,1)-$F54)/365)),MIN($G54,(DATE(N$3,12,31)-$F54)/365),$I54))))</f>
        <v>0</v>
      </c>
      <c r="O75" s="330" t="n">
        <f aca="false">IF(D54=0,0,IF($H54="SL",SLN($D54,$E54,$G54)*IF(YEAR($F54)&lt;O$3,IF(YEAR($F54)+$G54=O$3,(MONTH($F54)-1)/12,IF(YEAR($F54)+$G54&lt;O$3,0,1)),IF(YEAR($F54)&gt;O$3,0,(12-MONTH($F54)+1)/12)),IF(YEAR($F54)&gt;O$3,0,VDB($D54,$E54,$G54,IF(YEAR($F54)=O$3,0,MIN($G54,(DATE(O$3,1,1)-$F54)/365)),MIN($G54,(DATE(O$3,12,31)-$F54)/365),$I54))))</f>
        <v>0</v>
      </c>
      <c r="P75" s="330" t="n">
        <f aca="false">IF(D54=0,0,IF($H54="SL",SLN($D54,$E54,$G54)*IF(YEAR($F54)&lt;P$3,IF(YEAR($F54)+$G54=P$3,(MONTH($F54)-1)/12,IF(YEAR($F54)+$G54&lt;P$3,0,1)),IF(YEAR($F54)&gt;P$3,0,(12-MONTH($F54)+1)/12)),IF(YEAR($F54)&gt;P$3,0,VDB($D54,$E54,$G54,IF(YEAR($F54)=P$3,0,MIN($G54,(DATE(P$3,1,1)-$F54)/365)),MIN($G54,(DATE(P$3,12,31)-$F54)/365),$I54))))</f>
        <v>0</v>
      </c>
      <c r="Q75" s="330" t="n">
        <f aca="false">IF(D54=0,0,IF($H54="SL",SLN($D54,$E54,$G54)*IF(YEAR($F54)&lt;Q$3,IF(YEAR($F54)+$G54=Q$3,(MONTH($F54)-1)/12,IF(YEAR($F54)+$G54&lt;Q$3,0,1)),IF(YEAR($F54)&gt;Q$3,0,(12-MONTH($F54)+1)/12)),IF(YEAR($F54)&gt;Q$3,0,VDB($D54,$E54,$G54,IF(YEAR($F54)=Q$3,0,MIN($G54,(DATE(Q$3,1,1)-$F54)/365)),MIN($G54,(DATE(Q$3,12,31)-$F54)/365),$I54))))</f>
        <v>0</v>
      </c>
      <c r="R75" s="330" t="n">
        <f aca="false">IF(D54=0,0,IF($H54="SL",SLN($D54,$E54,$G54)*IF(YEAR($F54)&lt;R$3,IF(YEAR($F54)+$G54=R$3,(MONTH($F54)-1)/12,IF(YEAR($F54)+$G54&lt;R$3,0,1)),IF(YEAR($F54)&gt;R$3,0,(12-MONTH($F54)+1)/12)),IF(YEAR($F54)&gt;R$3,0,VDB($D54,$E54,$G54,IF(YEAR($F54)=R$3,0,MIN($G54,(DATE(R$3,1,1)-$F54)/365)),MIN($G54,(DATE(R$3,12,31)-$F54)/365),$I54))))</f>
        <v>0</v>
      </c>
      <c r="S75" s="330" t="n">
        <f aca="false">IF(D54=0,0,IF($H54="SL",SLN($D54,$E54,$G54)*IF(YEAR($F54)&lt;S$3,IF(YEAR($F54)+$G54=S$3,(MONTH($F54)-1)/12,IF(YEAR($F54)+$G54&lt;S$3,0,1)),IF(YEAR($F54)&gt;S$3,0,(12-MONTH($F54)+1)/12)),IF(YEAR($F54)&gt;S$3,0,VDB($D54,$E54,$G54,IF(YEAR($F54)=S$3,0,MIN($G54,(DATE(S$3,1,1)-$F54)/365)),MIN($G54,(DATE(S$3,12,31)-$F54)/365),$I54))))</f>
        <v>0</v>
      </c>
      <c r="T75" s="330" t="n">
        <f aca="false">IF(D54=0,0,IF($H54="SL",SLN($D54,$E54,$G54)*IF(YEAR($F54)&lt;T$3,IF(YEAR($F54)+$G54=T$3,(MONTH($F54)-1)/12,IF(YEAR($F54)+$G54&lt;T$3,0,1)),IF(YEAR($F54)&gt;T$3,0,(12-MONTH($F54)+1)/12)),IF(YEAR($F54)&gt;T$3,0,VDB($D54,$E54,$G54,IF(YEAR($F54)=T$3,0,MIN($G54,(DATE(T$3,1,1)-$F54)/365)),MIN($G54,(DATE(T$3,12,31)-$F54)/365),$I54))))</f>
        <v>0</v>
      </c>
      <c r="U75" s="330" t="n">
        <f aca="false">IF(D54=0,0,IF($H54="SL",SLN($D54,$E54,$G54)*IF(YEAR($F54)&lt;U$3,IF(YEAR($F54)+$G54=U$3,(MONTH($F54)-1)/12,IF(YEAR($F54)+$G54&lt;U$3,0,1)),IF(YEAR($F54)&gt;U$3,0,(12-MONTH($F54)+1)/12)),IF(YEAR($F54)&gt;U$3,0,VDB($D54,$E54,$G54,IF(YEAR($F54)=U$3,0,MIN($G54,(DATE(U$3,1,1)-$F54)/365)),MIN($G54,(DATE(U$3,12,31)-$F54)/365),$I54))))</f>
        <v>0</v>
      </c>
      <c r="V75" s="330" t="n">
        <f aca="false">IF(D54=0,0,IF($H54="SL",SLN($D54,$E54,$G54)*IF(YEAR($F54)&lt;V$3,IF(YEAR($F54)+$G54=V$3,(MONTH($F54)-1)/12,IF(YEAR($F54)+$G54&lt;V$3,0,1)),IF(YEAR($F54)&gt;V$3,0,(12-MONTH($F54)+1)/12)),IF(YEAR($F54)&gt;V$3,0,VDB($D54,$E54,$G54,IF(YEAR($F54)=V$3,0,MIN($G54,(DATE(V$3,1,1)-$F54)/365)),MIN($G54,(DATE(V$3,12,31)-$F54)/365),$I54))))</f>
        <v>0</v>
      </c>
      <c r="W75" s="330" t="n">
        <f aca="false">IF(D54=0,0,IF($H54="SL",SLN($D54,$E54,$G54)*IF(YEAR($F54)&lt;W$3,IF(YEAR($F54)+$G54=W$3,(MONTH($F54)-1)/12,IF(YEAR($F54)+$G54&lt;W$3,0,1)),IF(YEAR($F54)&gt;W$3,0,(12-MONTH($F54)+1)/12)),IF(YEAR($F54)&gt;W$3,0,VDB($D54,$E54,$G54,IF(YEAR($F54)=W$3,0,MIN($G54,(DATE(W$3,1,1)-$F54)/365)),MIN($G54,(DATE(W$3,12,31)-$F54)/365),$I54))))</f>
        <v>0</v>
      </c>
      <c r="X75" s="330" t="n">
        <f aca="false">IF(D54=0,0,IF($H54="SL",SLN($D54,$E54,$G54)*IF(YEAR($F54)&lt;X$3,IF(YEAR($F54)+$G54=X$3,(MONTH($F54)-1)/12,IF(YEAR($F54)+$G54&lt;X$3,0,1)),IF(YEAR($F54)&gt;X$3,0,(12-MONTH($F54)+1)/12)),IF(YEAR($F54)&gt;X$3,0,VDB($D54,$E54,$G54,IF(YEAR($F54)=X$3,0,MIN($G54,(DATE(X$3,1,1)-$F54)/365)),MIN($G54,(DATE(X$3,12,31)-$F54)/365),$I54))))</f>
        <v>0</v>
      </c>
      <c r="Y75" s="330" t="n">
        <f aca="false">IF(D54=0,0,IF($H54="SL",SLN($D54,$E54,$G54)*IF(YEAR($F54)&lt;Y$3,IF(YEAR($F54)+$G54=Y$3,(MONTH($F54)-1)/12,IF(YEAR($F54)+$G54&lt;Y$3,0,1)),IF(YEAR($F54)&gt;Y$3,0,(12-MONTH($F54)+1)/12)),IF(YEAR($F54)&gt;Y$3,0,VDB($D54,$E54,$G54,IF(YEAR($F54)=Y$3,0,MIN($G54,(DATE(Y$3,1,1)-$F54)/365)),MIN($G54,(DATE(Y$3,12,31)-$F54)/365),$I54))))</f>
        <v>0</v>
      </c>
      <c r="Z75" s="330" t="n">
        <f aca="false">IF(D54=0,0,IF($H54="SL",SLN($D54,$E54,$G54)*IF(YEAR($F54)&lt;Z$3,IF(YEAR($F54)+$G54=Z$3,(MONTH($F54)-1)/12,IF(YEAR($F54)+$G54&lt;Z$3,0,1)),IF(YEAR($F54)&gt;Z$3,0,(12-MONTH($F54)+1)/12)),IF(YEAR($F54)&gt;Z$3,0,VDB($D54,$E54,$G54,IF(YEAR($F54)=Z$3,0,MIN($G54,(DATE(Z$3,1,1)-$F54)/365)),MIN($G54,(DATE(Z$3,12,31)-$F54)/365),$I54))))</f>
        <v>0</v>
      </c>
      <c r="AA75" s="330" t="n">
        <f aca="false">IF(D54=0,0,IF($H54="SL",SLN($D54,$E54,$G54)*IF(YEAR($F54)&lt;AA$3,IF(YEAR($F54)+$G54=AA$3,(MONTH($F54)-1)/12,IF(YEAR($F54)+$G54&lt;AA$3,0,1)),IF(YEAR($F54)&gt;AA$3,0,(12-MONTH($F54)+1)/12)),IF(YEAR($F54)&gt;AA$3,0,VDB($D54,$E54,$G54,IF(YEAR($F54)=AA$3,0,MIN($G54,(DATE(AA$3,1,1)-$F54)/365)),MIN($G54,(DATE(AA$3,12,31)-$F54)/365),$I54))))</f>
        <v>0</v>
      </c>
      <c r="AB75" s="330" t="n">
        <f aca="false">IF(D54=0,0,IF($H54="SL",SLN($D54,$E54,$G54)*IF(YEAR($F54)&lt;AB$3,IF(YEAR($F54)+$G54=AB$3,(MONTH($F54)-1)/12,IF(YEAR($F54)+$G54&lt;AB$3,0,1)),IF(YEAR($F54)&gt;AB$3,0,(12-MONTH($F54)+1)/12)),IF(YEAR($F54)&gt;AB$3,0,VDB($D54,$E54,$G54,IF(YEAR($F54)=AB$3,0,MIN($G54,(DATE(AB$3,1,1)-$F54)/365)),MIN($G54,(DATE(AB$3,12,31)-$F54)/365),$I54))))</f>
        <v>0</v>
      </c>
      <c r="AC75" s="330" t="n">
        <f aca="false">IF(D54=0,0,IF($H54="SL",SLN($D54,$E54,$G54)*IF(YEAR($F54)&lt;AC$3,IF(YEAR($F54)+$G54=AC$3,(MONTH($F54)-1)/12,IF(YEAR($F54)+$G54&lt;AC$3,0,1)),IF(YEAR($F54)&gt;AC$3,0,(12-MONTH($F54)+1)/12)),IF(YEAR($F54)&gt;AC$3,0,VDB($D54,$E54,$G54,IF(YEAR($F54)=AC$3,0,MIN($G54,(DATE(AC$3,1,1)-$F54)/365)),MIN($G54,(DATE(AC$3,12,31)-$F54)/365),$I54))))</f>
        <v>0</v>
      </c>
      <c r="AD75" s="330" t="n">
        <f aca="false">IF(E54=0,0,IF($H54="SL",SLN($D54,$E54,$G54)*IF(YEAR($F54)&lt;AD$3,IF(YEAR($F54)+$G54=AD$3,(MONTH($F54)-1)/12,IF(YEAR($F54)+$G54&lt;AD$3,0,1)),IF(YEAR($F54)&gt;AD$3,0,(12-MONTH($F54)+1)/12)),IF(YEAR($F54)&gt;AD$3,0,VDB($D54,$E54,$G54,IF(YEAR($F54)=AD$3,0,MIN($G54,(DATE(AD$3,1,1)-$F54)/365)),MIN($G54,(DATE(AD$3,12,31)-$F54)/365),$I54))))</f>
        <v>0</v>
      </c>
      <c r="AE75" s="330" t="n">
        <f aca="false">IF(F54=0,0,IF($H54="SL",SLN($D54,$E54,$G54)*IF(YEAR($F54)&lt;AE$3,IF(YEAR($F54)+$G54=AE$3,(MONTH($F54)-1)/12,IF(YEAR($F54)+$G54&lt;AE$3,0,1)),IF(YEAR($F54)&gt;AE$3,0,(12-MONTH($F54)+1)/12)),IF(YEAR($F54)&gt;AE$3,0,VDB($D54,$E54,$G54,IF(YEAR($F54)=AE$3,0,MIN($G54,(DATE(AE$3,1,1)-$F54)/365)),MIN($G54,(DATE(AE$3,12,31)-$F54)/365),$I54))))</f>
        <v>0</v>
      </c>
      <c r="AF75" s="330" t="n">
        <f aca="false">IF(G54=0,0,IF($H54="SL",SLN($D54,$E54,$G54)*IF(YEAR($F54)&lt;AF$3,IF(YEAR($F54)+$G54=AF$3,(MONTH($F54)-1)/12,IF(YEAR($F54)+$G54&lt;AF$3,0,1)),IF(YEAR($F54)&gt;AF$3,0,(12-MONTH($F54)+1)/12)),IF(YEAR($F54)&gt;AF$3,0,VDB($D54,$E54,$G54,IF(YEAR($F54)=AF$3,0,MIN($G54,(DATE(AF$3,1,1)-$F54)/365)),MIN($G54,(DATE(AF$3,12,31)-$F54)/365),$I54))))</f>
        <v>0</v>
      </c>
    </row>
    <row r="76" customFormat="false" ht="11.25" hidden="false" customHeight="false" outlineLevel="1" collapsed="false">
      <c r="A76" s="291"/>
      <c r="C76" s="235" t="str">
        <f aca="false">+C55</f>
        <v>Funding 2</v>
      </c>
      <c r="I76" s="330" t="n">
        <f aca="false">IF(D55=0,0,IF($H55="SL",SLN($D55,$E55,$G55)*IF(YEAR($F55)&lt;(J$3-1),IF(YEAR($F55)+$G55=J$3-1,(MONTH($F55)-1)/12,IF(YEAR($F55)+$G55&lt;J$3-1,0,1)),IF(YEAR($F55)&gt;J$3-1,0,(12-MONTH($F55)+1)/12)),IF(YEAR($F55)&gt;J$3-1,0,VDB($D55,$E55,$G55,IF(YEAR($F55)=J$3-1,0,MIN($G55,(DATE(J$3-1,1,1)-$F55)/365)),MIN($G55,(DATE(J$3-1,12,31)-$F55)/365),$I55))))</f>
        <v>0</v>
      </c>
      <c r="J76" s="330" t="n">
        <f aca="false">IF(D55=0,0,IF($H55="SL",SLN($D55,$E55,$G55)*IF(YEAR($F55)&lt;J$3,IF(YEAR($F55)+$G55=J$3,(MONTH($F55)-1)/12,IF(YEAR($F55)+$G55&lt;J$3,0,1)),IF(YEAR($F55)&gt;J$3,0,(12-MONTH($F55)+1)/12)),IF(YEAR($F55)&gt;J$3,0,VDB($D55,$E55,$G55,IF(YEAR($F55)=J$3,0,MIN($G55,(DATE(J$3,1,1)-$F55)/365)),MIN($G55,(DATE(J$3,12,31)-$F55)/365),$I55))))</f>
        <v>0</v>
      </c>
      <c r="K76" s="330" t="n">
        <f aca="false">IF(D55=0,0,IF($H55="SL",SLN($D55,$E55,$G55)*IF(YEAR($F55)&lt;K$3,IF(YEAR($F55)+$G55=K$3,(MONTH($F55)-1)/12,IF(YEAR($F55)+$G55&lt;K$3,0,1)),IF(YEAR($F55)&gt;K$3,0,(12-MONTH($F55)+1)/12)),IF(YEAR($F55)&gt;K$3,0,VDB($D55,$E55,$G55,IF(YEAR($F55)=K$3,0,MIN($G55,(DATE(K$3,1,1)-$F55)/365)),MIN($G55,(DATE(K$3,12,31)-$F55)/365),$I55))))</f>
        <v>0</v>
      </c>
      <c r="L76" s="330" t="n">
        <f aca="false">IF(D55=0,0,IF($H55="SL",SLN($D55,$E55,$G55)*IF(YEAR($F55)&lt;L$3,IF(YEAR($F55)+$G55=L$3,(MONTH($F55)-1)/12,IF(YEAR($F55)+$G55&lt;L$3,0,1)),IF(YEAR($F55)&gt;L$3,0,(12-MONTH($F55)+1)/12)),IF(YEAR($F55)&gt;L$3,0,VDB($D55,$E55,$G55,IF(YEAR($F55)=L$3,0,MIN($G55,(DATE(L$3,1,1)-$F55)/365)),MIN($G55,(DATE(L$3,12,31)-$F55)/365),$I55))))</f>
        <v>0</v>
      </c>
      <c r="M76" s="330" t="n">
        <f aca="false">IF(D55=0,0,IF($H55="SL",SLN($D55,$E55,$G55)*IF(YEAR($F55)&lt;M$3,IF(YEAR($F55)+$G55=M$3,(MONTH($F55)-1)/12,IF(YEAR($F55)+$G55&lt;M$3,0,1)),IF(YEAR($F55)&gt;M$3,0,(12-MONTH($F55)+1)/12)),IF(YEAR($F55)&gt;M$3,0,VDB($D55,$E55,$G55,IF(YEAR($F55)=M$3,0,MIN($G55,(DATE(M$3,1,1)-$F55)/365)),MIN($G55,(DATE(M$3,12,31)-$F55)/365),$I55))))</f>
        <v>0</v>
      </c>
      <c r="N76" s="330" t="n">
        <f aca="false">IF(D55=0,0,IF($H55="SL",SLN($D55,$E55,$G55)*IF(YEAR($F55)&lt;N$3,IF(YEAR($F55)+$G55=N$3,(MONTH($F55)-1)/12,IF(YEAR($F55)+$G55&lt;N$3,0,1)),IF(YEAR($F55)&gt;N$3,0,(12-MONTH($F55)+1)/12)),IF(YEAR($F55)&gt;N$3,0,VDB($D55,$E55,$G55,IF(YEAR($F55)=N$3,0,MIN($G55,(DATE(N$3,1,1)-$F55)/365)),MIN($G55,(DATE(N$3,12,31)-$F55)/365),$I55))))</f>
        <v>0</v>
      </c>
      <c r="O76" s="330" t="n">
        <f aca="false">IF(D55=0,0,IF($H55="SL",SLN($D55,$E55,$G55)*IF(YEAR($F55)&lt;O$3,IF(YEAR($F55)+$G55=O$3,(MONTH($F55)-1)/12,IF(YEAR($F55)+$G55&lt;O$3,0,1)),IF(YEAR($F55)&gt;O$3,0,(12-MONTH($F55)+1)/12)),IF(YEAR($F55)&gt;O$3,0,VDB($D55,$E55,$G55,IF(YEAR($F55)=O$3,0,MIN($G55,(DATE(O$3,1,1)-$F55)/365)),MIN($G55,(DATE(O$3,12,31)-$F55)/365),$I55))))</f>
        <v>0</v>
      </c>
      <c r="P76" s="330" t="n">
        <f aca="false">IF(D55=0,0,IF($H55="SL",SLN($D55,$E55,$G55)*IF(YEAR($F55)&lt;P$3,IF(YEAR($F55)+$G55=P$3,(MONTH($F55)-1)/12,IF(YEAR($F55)+$G55&lt;P$3,0,1)),IF(YEAR($F55)&gt;P$3,0,(12-MONTH($F55)+1)/12)),IF(YEAR($F55)&gt;P$3,0,VDB($D55,$E55,$G55,IF(YEAR($F55)=P$3,0,MIN($G55,(DATE(P$3,1,1)-$F55)/365)),MIN($G55,(DATE(P$3,12,31)-$F55)/365),$I55))))</f>
        <v>0</v>
      </c>
      <c r="Q76" s="330" t="n">
        <f aca="false">IF(D55=0,0,IF($H55="SL",SLN($D55,$E55,$G55)*IF(YEAR($F55)&lt;Q$3,IF(YEAR($F55)+$G55=Q$3,(MONTH($F55)-1)/12,IF(YEAR($F55)+$G55&lt;Q$3,0,1)),IF(YEAR($F55)&gt;Q$3,0,(12-MONTH($F55)+1)/12)),IF(YEAR($F55)&gt;Q$3,0,VDB($D55,$E55,$G55,IF(YEAR($F55)=Q$3,0,MIN($G55,(DATE(Q$3,1,1)-$F55)/365)),MIN($G55,(DATE(Q$3,12,31)-$F55)/365),$I55))))</f>
        <v>0</v>
      </c>
      <c r="R76" s="330" t="n">
        <f aca="false">IF(D55=0,0,IF($H55="SL",SLN($D55,$E55,$G55)*IF(YEAR($F55)&lt;R$3,IF(YEAR($F55)+$G55=R$3,(MONTH($F55)-1)/12,IF(YEAR($F55)+$G55&lt;R$3,0,1)),IF(YEAR($F55)&gt;R$3,0,(12-MONTH($F55)+1)/12)),IF(YEAR($F55)&gt;R$3,0,VDB($D55,$E55,$G55,IF(YEAR($F55)=R$3,0,MIN($G55,(DATE(R$3,1,1)-$F55)/365)),MIN($G55,(DATE(R$3,12,31)-$F55)/365),$I55))))</f>
        <v>0</v>
      </c>
      <c r="S76" s="330" t="n">
        <f aca="false">IF(D55=0,0,IF($H55="SL",SLN($D55,$E55,$G55)*IF(YEAR($F55)&lt;S$3,IF(YEAR($F55)+$G55=S$3,(MONTH($F55)-1)/12,IF(YEAR($F55)+$G55&lt;S$3,0,1)),IF(YEAR($F55)&gt;S$3,0,(12-MONTH($F55)+1)/12)),IF(YEAR($F55)&gt;S$3,0,VDB($D55,$E55,$G55,IF(YEAR($F55)=S$3,0,MIN($G55,(DATE(S$3,1,1)-$F55)/365)),MIN($G55,(DATE(S$3,12,31)-$F55)/365),$I55))))</f>
        <v>0</v>
      </c>
      <c r="T76" s="330" t="n">
        <f aca="false">IF(D55=0,0,IF($H55="SL",SLN($D55,$E55,$G55)*IF(YEAR($F55)&lt;T$3,IF(YEAR($F55)+$G55=T$3,(MONTH($F55)-1)/12,IF(YEAR($F55)+$G55&lt;T$3,0,1)),IF(YEAR($F55)&gt;T$3,0,(12-MONTH($F55)+1)/12)),IF(YEAR($F55)&gt;T$3,0,VDB($D55,$E55,$G55,IF(YEAR($F55)=T$3,0,MIN($G55,(DATE(T$3,1,1)-$F55)/365)),MIN($G55,(DATE(T$3,12,31)-$F55)/365),$I55))))</f>
        <v>0</v>
      </c>
      <c r="U76" s="330" t="n">
        <f aca="false">IF(D55=0,0,IF($H55="SL",SLN($D55,$E55,$G55)*IF(YEAR($F55)&lt;U$3,IF(YEAR($F55)+$G55=U$3,(MONTH($F55)-1)/12,IF(YEAR($F55)+$G55&lt;U$3,0,1)),IF(YEAR($F55)&gt;U$3,0,(12-MONTH($F55)+1)/12)),IF(YEAR($F55)&gt;U$3,0,VDB($D55,$E55,$G55,IF(YEAR($F55)=U$3,0,MIN($G55,(DATE(U$3,1,1)-$F55)/365)),MIN($G55,(DATE(U$3,12,31)-$F55)/365),$I55))))</f>
        <v>0</v>
      </c>
      <c r="V76" s="330" t="n">
        <f aca="false">IF(D55=0,0,IF($H55="SL",SLN($D55,$E55,$G55)*IF(YEAR($F55)&lt;V$3,IF(YEAR($F55)+$G55=V$3,(MONTH($F55)-1)/12,IF(YEAR($F55)+$G55&lt;V$3,0,1)),IF(YEAR($F55)&gt;V$3,0,(12-MONTH($F55)+1)/12)),IF(YEAR($F55)&gt;V$3,0,VDB($D55,$E55,$G55,IF(YEAR($F55)=V$3,0,MIN($G55,(DATE(V$3,1,1)-$F55)/365)),MIN($G55,(DATE(V$3,12,31)-$F55)/365),$I55))))</f>
        <v>0</v>
      </c>
      <c r="W76" s="330" t="n">
        <f aca="false">IF(D55=0,0,IF($H55="SL",SLN($D55,$E55,$G55)*IF(YEAR($F55)&lt;W$3,IF(YEAR($F55)+$G55=W$3,(MONTH($F55)-1)/12,IF(YEAR($F55)+$G55&lt;W$3,0,1)),IF(YEAR($F55)&gt;W$3,0,(12-MONTH($F55)+1)/12)),IF(YEAR($F55)&gt;W$3,0,VDB($D55,$E55,$G55,IF(YEAR($F55)=W$3,0,MIN($G55,(DATE(W$3,1,1)-$F55)/365)),MIN($G55,(DATE(W$3,12,31)-$F55)/365),$I55))))</f>
        <v>0</v>
      </c>
      <c r="X76" s="330" t="n">
        <f aca="false">IF(D55=0,0,IF($H55="SL",SLN($D55,$E55,$G55)*IF(YEAR($F55)&lt;X$3,IF(YEAR($F55)+$G55=X$3,(MONTH($F55)-1)/12,IF(YEAR($F55)+$G55&lt;X$3,0,1)),IF(YEAR($F55)&gt;X$3,0,(12-MONTH($F55)+1)/12)),IF(YEAR($F55)&gt;X$3,0,VDB($D55,$E55,$G55,IF(YEAR($F55)=X$3,0,MIN($G55,(DATE(X$3,1,1)-$F55)/365)),MIN($G55,(DATE(X$3,12,31)-$F55)/365),$I55))))</f>
        <v>0</v>
      </c>
      <c r="Y76" s="330" t="n">
        <f aca="false">IF(D55=0,0,IF($H55="SL",SLN($D55,$E55,$G55)*IF(YEAR($F55)&lt;Y$3,IF(YEAR($F55)+$G55=Y$3,(MONTH($F55)-1)/12,IF(YEAR($F55)+$G55&lt;Y$3,0,1)),IF(YEAR($F55)&gt;Y$3,0,(12-MONTH($F55)+1)/12)),IF(YEAR($F55)&gt;Y$3,0,VDB($D55,$E55,$G55,IF(YEAR($F55)=Y$3,0,MIN($G55,(DATE(Y$3,1,1)-$F55)/365)),MIN($G55,(DATE(Y$3,12,31)-$F55)/365),$I55))))</f>
        <v>0</v>
      </c>
      <c r="Z76" s="330" t="n">
        <f aca="false">IF(D55=0,0,IF($H55="SL",SLN($D55,$E55,$G55)*IF(YEAR($F55)&lt;Z$3,IF(YEAR($F55)+$G55=Z$3,(MONTH($F55)-1)/12,IF(YEAR($F55)+$G55&lt;Z$3,0,1)),IF(YEAR($F55)&gt;Z$3,0,(12-MONTH($F55)+1)/12)),IF(YEAR($F55)&gt;Z$3,0,VDB($D55,$E55,$G55,IF(YEAR($F55)=Z$3,0,MIN($G55,(DATE(Z$3,1,1)-$F55)/365)),MIN($G55,(DATE(Z$3,12,31)-$F55)/365),$I55))))</f>
        <v>0</v>
      </c>
      <c r="AA76" s="330" t="n">
        <f aca="false">IF(D55=0,0,IF($H55="SL",SLN($D55,$E55,$G55)*IF(YEAR($F55)&lt;AA$3,IF(YEAR($F55)+$G55=AA$3,(MONTH($F55)-1)/12,IF(YEAR($F55)+$G55&lt;AA$3,0,1)),IF(YEAR($F55)&gt;AA$3,0,(12-MONTH($F55)+1)/12)),IF(YEAR($F55)&gt;AA$3,0,VDB($D55,$E55,$G55,IF(YEAR($F55)=AA$3,0,MIN($G55,(DATE(AA$3,1,1)-$F55)/365)),MIN($G55,(DATE(AA$3,12,31)-$F55)/365),$I55))))</f>
        <v>0</v>
      </c>
      <c r="AB76" s="330" t="n">
        <f aca="false">IF(D55=0,0,IF($H55="SL",SLN($D55,$E55,$G55)*IF(YEAR($F55)&lt;AB$3,IF(YEAR($F55)+$G55=AB$3,(MONTH($F55)-1)/12,IF(YEAR($F55)+$G55&lt;AB$3,0,1)),IF(YEAR($F55)&gt;AB$3,0,(12-MONTH($F55)+1)/12)),IF(YEAR($F55)&gt;AB$3,0,VDB($D55,$E55,$G55,IF(YEAR($F55)=AB$3,0,MIN($G55,(DATE(AB$3,1,1)-$F55)/365)),MIN($G55,(DATE(AB$3,12,31)-$F55)/365),$I55))))</f>
        <v>0</v>
      </c>
      <c r="AC76" s="330" t="n">
        <f aca="false">IF(D55=0,0,IF($H55="SL",SLN($D55,$E55,$G55)*IF(YEAR($F55)&lt;AC$3,IF(YEAR($F55)+$G55=AC$3,(MONTH($F55)-1)/12,IF(YEAR($F55)+$G55&lt;AC$3,0,1)),IF(YEAR($F55)&gt;AC$3,0,(12-MONTH($F55)+1)/12)),IF(YEAR($F55)&gt;AC$3,0,VDB($D55,$E55,$G55,IF(YEAR($F55)=AC$3,0,MIN($G55,(DATE(AC$3,1,1)-$F55)/365)),MIN($G55,(DATE(AC$3,12,31)-$F55)/365),$I55))))</f>
        <v>0</v>
      </c>
      <c r="AD76" s="330" t="n">
        <f aca="false">IF(E55=0,0,IF($H55="SL",SLN($D55,$E55,$G55)*IF(YEAR($F55)&lt;AD$3,IF(YEAR($F55)+$G55=AD$3,(MONTH($F55)-1)/12,IF(YEAR($F55)+$G55&lt;AD$3,0,1)),IF(YEAR($F55)&gt;AD$3,0,(12-MONTH($F55)+1)/12)),IF(YEAR($F55)&gt;AD$3,0,VDB($D55,$E55,$G55,IF(YEAR($F55)=AD$3,0,MIN($G55,(DATE(AD$3,1,1)-$F55)/365)),MIN($G55,(DATE(AD$3,12,31)-$F55)/365),$I55))))</f>
        <v>0</v>
      </c>
      <c r="AE76" s="330" t="n">
        <f aca="false">IF(F55=0,0,IF($H55="SL",SLN($D55,$E55,$G55)*IF(YEAR($F55)&lt;AE$3,IF(YEAR($F55)+$G55=AE$3,(MONTH($F55)-1)/12,IF(YEAR($F55)+$G55&lt;AE$3,0,1)),IF(YEAR($F55)&gt;AE$3,0,(12-MONTH($F55)+1)/12)),IF(YEAR($F55)&gt;AE$3,0,VDB($D55,$E55,$G55,IF(YEAR($F55)=AE$3,0,MIN($G55,(DATE(AE$3,1,1)-$F55)/365)),MIN($G55,(DATE(AE$3,12,31)-$F55)/365),$I55))))</f>
        <v>0</v>
      </c>
      <c r="AF76" s="330" t="n">
        <f aca="false">IF(G55=0,0,IF($H55="SL",SLN($D55,$E55,$G55)*IF(YEAR($F55)&lt;AF$3,IF(YEAR($F55)+$G55=AF$3,(MONTH($F55)-1)/12,IF(YEAR($F55)+$G55&lt;AF$3,0,1)),IF(YEAR($F55)&gt;AF$3,0,(12-MONTH($F55)+1)/12)),IF(YEAR($F55)&gt;AF$3,0,VDB($D55,$E55,$G55,IF(YEAR($F55)=AF$3,0,MIN($G55,(DATE(AF$3,1,1)-$F55)/365)),MIN($G55,(DATE(AF$3,12,31)-$F55)/365),$I55))))</f>
        <v>0</v>
      </c>
    </row>
    <row r="77" customFormat="false" ht="11.25" hidden="false" customHeight="false" outlineLevel="0" collapsed="false">
      <c r="A77" s="291"/>
      <c r="B77" s="323" t="s">
        <v>340</v>
      </c>
      <c r="I77" s="334" t="n">
        <f aca="false">+I76+I75</f>
        <v>0</v>
      </c>
      <c r="J77" s="334" t="n">
        <f aca="false">+J76+J75</f>
        <v>0</v>
      </c>
      <c r="K77" s="334" t="n">
        <f aca="false">+K76+K75</f>
        <v>0</v>
      </c>
      <c r="L77" s="334" t="n">
        <f aca="false">+L76+L75</f>
        <v>0</v>
      </c>
      <c r="M77" s="334" t="n">
        <f aca="false">+M76+M75</f>
        <v>0</v>
      </c>
      <c r="N77" s="334" t="n">
        <f aca="false">+N76+N75</f>
        <v>0</v>
      </c>
      <c r="O77" s="334" t="n">
        <f aca="false">+O76+O75</f>
        <v>0</v>
      </c>
      <c r="P77" s="334" t="n">
        <f aca="false">+P76+P75</f>
        <v>0</v>
      </c>
      <c r="Q77" s="334" t="n">
        <f aca="false">+Q76+Q75</f>
        <v>0</v>
      </c>
      <c r="R77" s="334" t="n">
        <f aca="false">+R76+R75</f>
        <v>0</v>
      </c>
      <c r="S77" s="334" t="n">
        <f aca="false">+S76+S75</f>
        <v>0</v>
      </c>
      <c r="T77" s="334" t="n">
        <f aca="false">+T76+T75</f>
        <v>0</v>
      </c>
      <c r="U77" s="334" t="n">
        <f aca="false">+U76+U75</f>
        <v>0</v>
      </c>
      <c r="V77" s="334" t="n">
        <f aca="false">+V76+V75</f>
        <v>0</v>
      </c>
      <c r="W77" s="334" t="n">
        <f aca="false">+W76+W75</f>
        <v>0</v>
      </c>
      <c r="X77" s="334" t="n">
        <f aca="false">+X76+X75</f>
        <v>0</v>
      </c>
      <c r="Y77" s="334" t="n">
        <f aca="false">+Y76+Y75</f>
        <v>0</v>
      </c>
      <c r="Z77" s="334" t="n">
        <f aca="false">+Z76+Z75</f>
        <v>0</v>
      </c>
      <c r="AA77" s="334" t="n">
        <f aca="false">+AA76+AA75</f>
        <v>0</v>
      </c>
      <c r="AB77" s="334" t="n">
        <f aca="false">+AB76+AB75</f>
        <v>0</v>
      </c>
      <c r="AC77" s="334" t="n">
        <f aca="false">+AC76+AC75</f>
        <v>0</v>
      </c>
      <c r="AD77" s="334" t="n">
        <f aca="false">+AD76+AD75</f>
        <v>0</v>
      </c>
      <c r="AE77" s="334" t="n">
        <f aca="false">+AE76+AE75</f>
        <v>0</v>
      </c>
      <c r="AF77" s="334" t="n">
        <f aca="false">+AF76+AF75</f>
        <v>0</v>
      </c>
    </row>
    <row r="78" customFormat="false" ht="11.25" hidden="false" customHeight="false" outlineLevel="0" collapsed="false">
      <c r="A78" s="291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</row>
    <row r="79" customFormat="false" ht="11.25" hidden="false" customHeight="false" outlineLevel="0" collapsed="false">
      <c r="A79" s="323" t="s">
        <v>341</v>
      </c>
      <c r="I79" s="275" t="n">
        <f aca="false">+I77+I72</f>
        <v>2186.51543111111</v>
      </c>
      <c r="J79" s="275" t="n">
        <f aca="false">SUM(J72:J76)</f>
        <v>5247.63703466667</v>
      </c>
      <c r="K79" s="275" t="n">
        <f aca="false">SUM(K72:K76)</f>
        <v>5247.63703466667</v>
      </c>
      <c r="L79" s="275" t="n">
        <f aca="false">SUM(L72:L76)</f>
        <v>5247.63703466667</v>
      </c>
      <c r="M79" s="275" t="n">
        <f aca="false">SUM(M72:M76)</f>
        <v>5317.00706672801</v>
      </c>
      <c r="N79" s="275" t="n">
        <f aca="false">SUM(N72:N76)</f>
        <v>5414.12511161389</v>
      </c>
      <c r="O79" s="275" t="n">
        <f aca="false">SUM(O72:O76)</f>
        <v>5414.12511161389</v>
      </c>
      <c r="P79" s="275" t="n">
        <f aca="false">SUM(P72:P76)</f>
        <v>5414.12511161389</v>
      </c>
      <c r="Q79" s="275" t="n">
        <f aca="false">SUM(Q72:Q76)</f>
        <v>5414.12511161389</v>
      </c>
      <c r="R79" s="275" t="n">
        <f aca="false">SUM(R72:R76)</f>
        <v>5414.12511161389</v>
      </c>
      <c r="S79" s="275" t="n">
        <f aca="false">SUM(S72:S76)</f>
        <v>5414.12511161389</v>
      </c>
      <c r="T79" s="275" t="n">
        <f aca="false">SUM(T72:T76)</f>
        <v>5414.12511161389</v>
      </c>
      <c r="U79" s="275" t="n">
        <f aca="false">SUM(U72:U76)</f>
        <v>5442.18504382222</v>
      </c>
      <c r="V79" s="275" t="n">
        <f aca="false">SUM(V72:V76)</f>
        <v>5481.46894891387</v>
      </c>
      <c r="W79" s="275" t="n">
        <f aca="false">SUM(W72:W76)</f>
        <v>5481.46894891387</v>
      </c>
      <c r="X79" s="275" t="n">
        <f aca="false">SUM(X72:X76)</f>
        <v>3294.95351780276</v>
      </c>
      <c r="Y79" s="275" t="n">
        <f aca="false">SUM(Y72:Y76)</f>
        <v>570.485952616474</v>
      </c>
      <c r="Z79" s="275" t="n">
        <f aca="false">SUM(Z72:Z76)</f>
        <v>1041.80160633345</v>
      </c>
      <c r="AA79" s="275" t="n">
        <f aca="false">SUM(AA72:AA76)</f>
        <v>1041.80160633345</v>
      </c>
      <c r="AB79" s="275" t="n">
        <f aca="false">SUM(AB72:AB76)</f>
        <v>1041.80160633345</v>
      </c>
      <c r="AC79" s="275" t="n">
        <f aca="false">SUM(AC72:AC76)</f>
        <v>944.371642063778</v>
      </c>
      <c r="AD79" s="275" t="n">
        <f aca="false">SUM(AD72:AD76)</f>
        <v>807.96969208624</v>
      </c>
      <c r="AE79" s="275" t="n">
        <f aca="false">SUM(AE72:AE76)</f>
        <v>807.96969208624</v>
      </c>
      <c r="AF79" s="275" t="n">
        <f aca="false">SUM(AF72:AF76)</f>
        <v>807.96969208624</v>
      </c>
    </row>
    <row r="80" customFormat="false" ht="11.25" hidden="false" customHeight="false" outlineLevel="0" collapsed="false">
      <c r="A80" s="235" t="s">
        <v>342</v>
      </c>
      <c r="B80" s="275" t="n">
        <f aca="false">+SUM(I79:AF79)-D51-D56</f>
        <v>-5083.05547351268</v>
      </c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  <c r="AC80" s="275"/>
      <c r="AD80" s="275"/>
      <c r="AE80" s="275"/>
      <c r="AF80" s="275"/>
    </row>
    <row r="82" customFormat="false" ht="11.25" hidden="false" customHeight="false" outlineLevel="0" collapsed="false">
      <c r="A82" s="290" t="s">
        <v>343</v>
      </c>
      <c r="G82" s="235" t="s">
        <v>344</v>
      </c>
      <c r="I82" s="335" t="n">
        <v>0.0375</v>
      </c>
      <c r="J82" s="335" t="n">
        <v>0.07219</v>
      </c>
      <c r="K82" s="335" t="n">
        <v>0.06677</v>
      </c>
      <c r="L82" s="335" t="n">
        <v>0.06177</v>
      </c>
      <c r="M82" s="335" t="n">
        <v>0.05713</v>
      </c>
      <c r="N82" s="335" t="n">
        <v>0.05285</v>
      </c>
      <c r="O82" s="335" t="n">
        <v>0.04888</v>
      </c>
      <c r="P82" s="335" t="n">
        <v>0.04522</v>
      </c>
      <c r="Q82" s="335" t="n">
        <v>0.04462</v>
      </c>
      <c r="R82" s="335" t="n">
        <v>0.04461</v>
      </c>
      <c r="S82" s="335" t="n">
        <v>0.04462</v>
      </c>
      <c r="T82" s="335" t="n">
        <v>0.04461</v>
      </c>
      <c r="U82" s="335" t="n">
        <v>0.04462</v>
      </c>
      <c r="V82" s="335" t="n">
        <v>0.04461</v>
      </c>
      <c r="W82" s="335" t="n">
        <v>0.04462</v>
      </c>
      <c r="X82" s="335" t="n">
        <v>0.04461</v>
      </c>
      <c r="Y82" s="335" t="n">
        <v>0.04462</v>
      </c>
      <c r="Z82" s="335" t="n">
        <v>0.04461</v>
      </c>
      <c r="AA82" s="335" t="n">
        <v>0.04462</v>
      </c>
      <c r="AB82" s="335" t="n">
        <v>0.04461</v>
      </c>
      <c r="AC82" s="335" t="n">
        <v>0.02231</v>
      </c>
      <c r="AD82" s="335" t="n">
        <v>0</v>
      </c>
      <c r="AE82" s="335" t="n">
        <v>0</v>
      </c>
      <c r="AF82" s="335" t="n">
        <v>0</v>
      </c>
    </row>
    <row r="83" customFormat="false" ht="11.25" hidden="false" customHeight="false" outlineLevel="0" collapsed="false">
      <c r="A83" s="323" t="s">
        <v>289</v>
      </c>
      <c r="B83" s="252"/>
      <c r="C83" s="235" t="str">
        <f aca="false">+L41</f>
        <v>Purchase Price</v>
      </c>
      <c r="I83" s="330" t="n">
        <f aca="false">IF($N41=0,0,IF($R41="SL",SLN($N41,$O41,$Q41)*IF(YEAR($P41)&lt;(J$3-1),IF(YEAR($P41)+$Q41=J$3-1,(MONTH($P41)-1)/12,IF(YEAR($P41)+$Q41&lt;J$3-1,0,1)),IF(YEAR($P41)&gt;J$3-1,0,(12-MONTH($P41)+1)/12)),IF(YEAR($P41)&gt;J$3-1,0,VDB($N41,$O41,$Q41,IF(YEAR($P41)=J$3-1,0,MIN($Q41,(DATE(J$3-1,1,1)-$P41)/365)),MIN($Q41,(DATE(J$3-1,12,31)-$P41)/365),$S41))))</f>
        <v>3277.97601069589</v>
      </c>
      <c r="J83" s="330" t="n">
        <f aca="false">IF($N41=0,0,IF($R41="SL",SLN($N41,$O41,$Q41)*IF(YEAR($P41)&lt;(K$3-1),IF(YEAR($P41)+$Q41=K$3-1,(MONTH($P41)-1)/12,IF(YEAR($P41)+$Q41&lt;K$3-1,0,1)),IF(YEAR($P41)&gt;K$3-1,0,(12-MONTH($P41)+1)/12)),IF(YEAR($P41)&gt;K$3-1,0,VDB($N41,$O41,$Q41,IF(YEAR($P41)=K$3-1,0,MIN($Q41,(DATE(K$3-1,1,1)-$P41)/365)),MIN($Q41,(DATE(K$3-1,12,31)-$P41)/365),$S41))))</f>
        <v>7541.50138776548</v>
      </c>
      <c r="K83" s="330" t="n">
        <f aca="false">IF($N41=0,0,IF($R41="SL",SLN($N41,$O41,$Q41)*IF(YEAR($P41)&lt;(L$3-1),IF(YEAR($P41)+$Q41=L$3-1,(MONTH($P41)-1)/12,IF(YEAR($P41)+$Q41&lt;L$3-1,0,1)),IF(YEAR($P41)&gt;L$3-1,0,(12-MONTH($P41)+1)/12)),IF(YEAR($P41)&gt;L$3-1,0,VDB($N41,$O41,$Q41,IF(YEAR($P41)=L$3-1,0,MIN($Q41,(DATE(L$3-1,1,1)-$P41)/365)),MIN($Q41,(DATE(L$3-1,12,31)-$P41)/365),$S41))))</f>
        <v>6767.94218050455</v>
      </c>
      <c r="L83" s="330" t="n">
        <f aca="false">IF($N41=0,0,IF($R41="SL",SLN($N41,$O41,$Q41)*IF(YEAR($P41)&lt;(M$3-1),IF(YEAR($P41)+$Q41=M$3-1,(MONTH($P41)-1)/12,IF(YEAR($P41)+$Q41&lt;M$3-1,0,1)),IF(YEAR($P41)&gt;M$3-1,0,(12-MONTH($P41)+1)/12)),IF(YEAR($P41)&gt;M$3-1,0,VDB($N41,$O41,$Q41,IF(YEAR($P41)=M$3-1,0,MIN($Q41,(DATE(M$3-1,1,1)-$P41)/365)),MIN($Q41,(DATE(M$3-1,12,31)-$P41)/365),$S41))))</f>
        <v>6091.14796245409</v>
      </c>
      <c r="M83" s="330" t="n">
        <f aca="false">IF($N41=0,0,IF($R41="SL",SLN($N41,$O41,$Q41)*IF(YEAR($P41)&lt;(N$3-1),IF(YEAR($P41)+$Q41=N$3-1,(MONTH($P41)-1)/12,IF(YEAR($P41)+$Q41&lt;N$3-1,0,1)),IF(YEAR($P41)&gt;N$3-1,0,(12-MONTH($P41)+1)/12)),IF(YEAR($P41)&gt;N$3-1,0,VDB($N41,$O41,$Q41,IF(YEAR($P41)=N$3-1,0,MIN($Q41,(DATE(N$3-1,1,1)-$P41)/365)),MIN($Q41,(DATE(N$3-1,12,31)-$P41)/365),$S41))))</f>
        <v>5482.03316620869</v>
      </c>
      <c r="N83" s="330" t="n">
        <f aca="false">IF($N41=0,0,IF($R41="SL",SLN($N41,$O41,$Q41)*IF(YEAR($P41)&lt;(O$3-1),IF(YEAR($P41)+$Q41=O$3-1,(MONTH($P41)-1)/12,IF(YEAR($P41)+$Q41&lt;O$3-1,0,1)),IF(YEAR($P41)&gt;O$3-1,0,(12-MONTH($P41)+1)/12)),IF(YEAR($P41)&gt;O$3-1,0,VDB($N41,$O41,$Q41,IF(YEAR($P41)=O$3-1,0,MIN($Q41,(DATE(O$3-1,1,1)-$P41)/365)),MIN($Q41,(DATE(O$3-1,12,31)-$P41)/365),$S41))))</f>
        <v>4946.56413942042</v>
      </c>
      <c r="O83" s="330" t="n">
        <f aca="false">IF($N41=0,0,IF($R41="SL",SLN($N41,$O41,$Q41)*IF(YEAR($P41)&lt;(P$3-1),IF(YEAR($P41)+$Q41=P$3-1,(MONTH($P41)-1)/12,IF(YEAR($P41)+$Q41&lt;P$3-1,0,1)),IF(YEAR($P41)&gt;P$3-1,0,(12-MONTH($P41)+1)/12)),IF(YEAR($P41)&gt;P$3-1,0,VDB($N41,$O41,$Q41,IF(YEAR($P41)=P$3-1,0,MIN($Q41,(DATE(P$3-1,1,1)-$P41)/365)),MIN($Q41,(DATE(P$3-1,12,31)-$P41)/365),$S41))))</f>
        <v>4635.28149906788</v>
      </c>
      <c r="P83" s="330" t="n">
        <f aca="false">IF($N41=0,0,IF($R41="SL",SLN($N41,$O41,$Q41)*IF(YEAR($P41)&lt;(Q$3-1),IF(YEAR($P41)+$Q41=Q$3-1,(MONTH($P41)-1)/12,IF(YEAR($P41)+$Q41&lt;Q$3-1,0,1)),IF(YEAR($P41)&gt;Q$3-1,0,(12-MONTH($P41)+1)/12)),IF(YEAR($P41)&gt;Q$3-1,0,VDB($N41,$O41,$Q41,IF(YEAR($P41)=Q$3-1,0,MIN($Q41,(DATE(Q$3-1,1,1)-$P41)/365)),MIN($Q41,(DATE(Q$3-1,12,31)-$P41)/365),$S41))))</f>
        <v>4635.28149906788</v>
      </c>
      <c r="Q83" s="330" t="n">
        <f aca="false">IF($N41=0,0,IF($R41="SL",SLN($N41,$O41,$Q41)*IF(YEAR($P41)&lt;(R$3-1),IF(YEAR($P41)+$Q41=R$3-1,(MONTH($P41)-1)/12,IF(YEAR($P41)+$Q41&lt;R$3-1,0,1)),IF(YEAR($P41)&gt;R$3-1,0,(12-MONTH($P41)+1)/12)),IF(YEAR($P41)&gt;R$3-1,0,VDB($N41,$O41,$Q41,IF(YEAR($P41)=R$3-1,0,MIN($Q41,(DATE(R$3-1,1,1)-$P41)/365)),MIN($Q41,(DATE(R$3-1,12,31)-$P41)/365),$S41))))</f>
        <v>4635.28149906787</v>
      </c>
      <c r="R83" s="330" t="n">
        <f aca="false">IF($N41=0,0,IF($R41="SL",SLN($N41,$O41,$Q41)*IF(YEAR($P41)&lt;(S$3-1),IF(YEAR($P41)+$Q41=S$3-1,(MONTH($P41)-1)/12,IF(YEAR($P41)+$Q41&lt;S$3-1,0,1)),IF(YEAR($P41)&gt;S$3-1,0,(12-MONTH($P41)+1)/12)),IF(YEAR($P41)&gt;S$3-1,0,VDB($N41,$O41,$Q41,IF(YEAR($P41)=S$3-1,0,MIN($Q41,(DATE(S$3-1,1,1)-$P41)/365)),MIN($Q41,(DATE(S$3-1,12,31)-$P41)/365),$S41))))</f>
        <v>4648.01578890048</v>
      </c>
      <c r="S83" s="330" t="n">
        <f aca="false">IF($N41=0,0,IF($R41="SL",SLN($N41,$O41,$Q41)*IF(YEAR($P41)&lt;(T$3-1),IF(YEAR($P41)+$Q41=T$3-1,(MONTH($P41)-1)/12,IF(YEAR($P41)+$Q41&lt;T$3-1,0,1)),IF(YEAR($P41)&gt;T$3-1,0,(12-MONTH($P41)+1)/12)),IF(YEAR($P41)&gt;T$3-1,0,VDB($N41,$O41,$Q41,IF(YEAR($P41)=T$3-1,0,MIN($Q41,(DATE(T$3-1,1,1)-$P41)/365)),MIN($Q41,(DATE(T$3-1,12,31)-$P41)/365),$S41))))</f>
        <v>4635.28149906788</v>
      </c>
      <c r="T83" s="330" t="n">
        <f aca="false">IF($N41=0,0,IF($R41="SL",SLN($N41,$O41,$Q41)*IF(YEAR($P41)&lt;(U$3-1),IF(YEAR($P41)+$Q41=U$3-1,(MONTH($P41)-1)/12,IF(YEAR($P41)+$Q41&lt;U$3-1,0,1)),IF(YEAR($P41)&gt;U$3-1,0,(12-MONTH($P41)+1)/12)),IF(YEAR($P41)&gt;U$3-1,0,VDB($N41,$O41,$Q41,IF(YEAR($P41)=U$3-1,0,MIN($Q41,(DATE(U$3-1,1,1)-$P41)/365)),MIN($Q41,(DATE(U$3-1,12,31)-$P41)/365),$S41))))</f>
        <v>4635.28149906788</v>
      </c>
      <c r="U83" s="330" t="n">
        <f aca="false">IF($N41=0,0,IF($R41="SL",SLN($N41,$O41,$Q41)*IF(YEAR($P41)&lt;(V$3-1),IF(YEAR($P41)+$Q41=V$3-1,(MONTH($P41)-1)/12,IF(YEAR($P41)+$Q41&lt;V$3-1,0,1)),IF(YEAR($P41)&gt;V$3-1,0,(12-MONTH($P41)+1)/12)),IF(YEAR($P41)&gt;V$3-1,0,VDB($N41,$O41,$Q41,IF(YEAR($P41)=V$3-1,0,MIN($Q41,(DATE(V$3-1,1,1)-$P41)/365)),MIN($Q41,(DATE(V$3-1,12,31)-$P41)/365),$S41))))</f>
        <v>4635.28149906788</v>
      </c>
      <c r="V83" s="330" t="n">
        <f aca="false">IF($N41=0,0,IF($R41="SL",SLN($N41,$O41,$Q41)*IF(YEAR($P41)&lt;(W$3-1),IF(YEAR($P41)+$Q41=W$3-1,(MONTH($P41)-1)/12,IF(YEAR($P41)+$Q41&lt;W$3-1,0,1)),IF(YEAR($P41)&gt;W$3-1,0,(12-MONTH($P41)+1)/12)),IF(YEAR($P41)&gt;W$3-1,0,VDB($N41,$O41,$Q41,IF(YEAR($P41)=W$3-1,0,MIN($Q41,(DATE(W$3-1,1,1)-$P41)/365)),MIN($Q41,(DATE(W$3-1,12,31)-$P41)/365),$S41))))</f>
        <v>4648.01578890048</v>
      </c>
      <c r="W83" s="330" t="n">
        <f aca="false">IF($N41=0,0,IF($R41="SL",SLN($N41,$O41,$Q41)*IF(YEAR($P41)&lt;(X$3-1),IF(YEAR($P41)+$Q41=X$3-1,(MONTH($P41)-1)/12,IF(YEAR($P41)+$Q41&lt;X$3-1,0,1)),IF(YEAR($P41)&gt;X$3-1,0,(12-MONTH($P41)+1)/12)),IF(YEAR($P41)&gt;X$3-1,0,VDB($N41,$O41,$Q41,IF(YEAR($P41)=X$3-1,0,MIN($Q41,(DATE(X$3-1,1,1)-$P41)/365)),MIN($Q41,(DATE(X$3-1,12,31)-$P41)/365),$S41))))</f>
        <v>4635.28149906787</v>
      </c>
      <c r="X83" s="330" t="n">
        <f aca="false">IF($N41=0,0,IF($R41="SL",SLN($N41,$O41,$Q41)*IF(YEAR($P41)&lt;(Y$3-1),IF(YEAR($P41)+$Q41=Y$3-1,(MONTH($P41)-1)/12,IF(YEAR($P41)+$Q41&lt;Y$3-1,0,1)),IF(YEAR($P41)&gt;Y$3-1,0,(12-MONTH($P41)+1)/12)),IF(YEAR($P41)&gt;Y$3-1,0,VDB($N41,$O41,$Q41,IF(YEAR($P41)=Y$3-1,0,MIN($Q41,(DATE(Y$3-1,1,1)-$P41)/365)),MIN($Q41,(DATE(Y$3-1,12,31)-$P41)/365),$S41))))</f>
        <v>2648.73228518164</v>
      </c>
      <c r="Y83" s="330" t="n">
        <f aca="false">IF($N41=0,0,IF($R41="SL",SLN($N41,$O41,$Q41)*IF(YEAR($P41)&lt;(Z$3-1),IF(YEAR($P41)+$Q41=Z$3-1,(MONTH($P41)-1)/12,IF(YEAR($P41)+$Q41&lt;Z$3-1,0,1)),IF(YEAR($P41)&gt;Z$3-1,0,(12-MONTH($P41)+1)/12)),IF(YEAR($P41)&gt;Z$3-1,0,VDB($N41,$O41,$Q41,IF(YEAR($P41)=Z$3-1,0,MIN($Q41,(DATE(Z$3-1,1,1)-$P41)/365)),MIN($Q41,(DATE(Z$3-1,12,31)-$P41)/365),$S41))))</f>
        <v>0</v>
      </c>
      <c r="Z83" s="330" t="n">
        <f aca="false">IF($N41=0,0,IF($R41="SL",SLN($N41,$O41,$Q41)*IF(YEAR($P41)&lt;(AA$3-1),IF(YEAR($P41)+$Q41=AA$3-1,(MONTH($P41)-1)/12,IF(YEAR($P41)+$Q41&lt;AA$3-1,0,1)),IF(YEAR($P41)&gt;AA$3-1,0,(12-MONTH($P41)+1)/12)),IF(YEAR($P41)&gt;AA$3-1,0,VDB($N41,$O41,$Q41,IF(YEAR($P41)=AA$3-1,0,MIN($Q41,(DATE(AA$3-1,1,1)-$P41)/365)),MIN($Q41,(DATE(AA$3-1,12,31)-$P41)/365),$S41))))</f>
        <v>0</v>
      </c>
      <c r="AA83" s="330" t="n">
        <f aca="false">IF($N41=0,0,IF($R41="SL",SLN($N41,$O41,$Q41)*IF(YEAR($P41)&lt;(AB$3-1),IF(YEAR($P41)+$Q41=AB$3-1,(MONTH($P41)-1)/12,IF(YEAR($P41)+$Q41&lt;AB$3-1,0,1)),IF(YEAR($P41)&gt;AB$3-1,0,(12-MONTH($P41)+1)/12)),IF(YEAR($P41)&gt;AB$3-1,0,VDB($N41,$O41,$Q41,IF(YEAR($P41)=AB$3-1,0,MIN($Q41,(DATE(AB$3-1,1,1)-$P41)/365)),MIN($Q41,(DATE(AB$3-1,12,31)-$P41)/365),$S41))))</f>
        <v>0</v>
      </c>
      <c r="AB83" s="330" t="n">
        <f aca="false">IF($N41=0,0,IF($R41="SL",SLN($N41,$O41,$Q41)*IF(YEAR($P41)&lt;(AC$3-1),IF(YEAR($P41)+$Q41=AC$3-1,(MONTH($P41)-1)/12,IF(YEAR($P41)+$Q41&lt;AC$3-1,0,1)),IF(YEAR($P41)&gt;AC$3-1,0,(12-MONTH($P41)+1)/12)),IF(YEAR($P41)&gt;AC$3-1,0,VDB($N41,$O41,$Q41,IF(YEAR($P41)=AC$3-1,0,MIN($Q41,(DATE(AC$3-1,1,1)-$P41)/365)),MIN($Q41,(DATE(AC$3-1,12,31)-$P41)/365),$S41))))</f>
        <v>0</v>
      </c>
      <c r="AC83" s="330" t="n">
        <f aca="false">IF($N41=0,0,IF($R41="SL",SLN($N41,$O41,$Q41)*IF(YEAR($P41)&lt;(AD$3-1),IF(YEAR($P41)+$Q41=AD$3-1,(MONTH($P41)-1)/12,IF(YEAR($P41)+$Q41&lt;AD$3-1,0,1)),IF(YEAR($P41)&gt;AD$3-1,0,(12-MONTH($P41)+1)/12)),IF(YEAR($P41)&gt;AD$3-1,0,VDB($N41,$O41,$Q41,IF(YEAR($P41)=AD$3-1,0,MIN($Q41,(DATE(AD$3-1,1,1)-$P41)/365)),MIN($Q41,(DATE(AD$3-1,12,31)-$P41)/365),$S41))))</f>
        <v>0</v>
      </c>
      <c r="AD83" s="330" t="n">
        <f aca="false">IF($N41=0,0,IF($R41="SL",SLN($N41,$O41,$Q41)*IF(YEAR($P41)&lt;(AE$3-1),IF(YEAR($P41)+$Q41=AE$3-1,(MONTH($P41)-1)/12,IF(YEAR($P41)+$Q41&lt;AE$3-1,0,1)),IF(YEAR($P41)&gt;AE$3-1,0,(12-MONTH($P41)+1)/12)),IF(YEAR($P41)&gt;AE$3-1,0,VDB($N41,$O41,$Q41,IF(YEAR($P41)=AE$3-1,0,MIN($Q41,(DATE(AE$3-1,1,1)-$P41)/365)),MIN($Q41,(DATE(AE$3-1,12,31)-$P41)/365),$S41))))</f>
        <v>0</v>
      </c>
      <c r="AE83" s="330" t="n">
        <f aca="false">IF($N41=0,0,IF($R41="SL",SLN($N41,$O41,$Q41)*IF(YEAR($P41)&lt;(AF$3-1),IF(YEAR($P41)+$Q41=AF$3-1,(MONTH($P41)-1)/12,IF(YEAR($P41)+$Q41&lt;AF$3-1,0,1)),IF(YEAR($P41)&gt;AF$3-1,0,(12-MONTH($P41)+1)/12)),IF(YEAR($P41)&gt;AF$3-1,0,VDB($N41,$O41,$Q41,IF(YEAR($P41)=AF$3-1,0,MIN($Q41,(DATE(AF$3-1,1,1)-$P41)/365)),MIN($Q41,(DATE(AF$3-1,12,31)-$P41)/365),$S41))))</f>
        <v>0</v>
      </c>
      <c r="AF83" s="330" t="n">
        <f aca="false">IF($N41=0,0,IF($R41="SL",SLN($N41,$O41,$Q41)*IF(YEAR($P41)&lt;(AG$3-1),IF(YEAR($P41)+$Q41=AG$3-1,(MONTH($P41)-1)/12,IF(YEAR($P41)+$Q41&lt;AG$3-1,0,1)),IF(YEAR($P41)&gt;AG$3-1,0,(12-MONTH($P41)+1)/12)),IF(YEAR($P41)&gt;AG$3-1,0,VDB($N41,$O41,$Q41,IF(YEAR($P41)=AG$3-1,0,MIN($Q41,(DATE(AG$3-1,1,1)-$P41)/365)),MIN($Q41,(DATE(AG$3-1,12,31)-$P41)/365),$S41))))</f>
        <v>0</v>
      </c>
    </row>
    <row r="84" customFormat="false" ht="11.25" hidden="false" customHeight="false" outlineLevel="0" collapsed="false">
      <c r="C84" s="235" t="str">
        <f aca="false">+L42</f>
        <v>Partial Overhaul 1</v>
      </c>
      <c r="I84" s="330" t="n">
        <f aca="false">IF($N42=0,0,IF($R42="SL",SLN($N42,$O42,$Q42)*IF(YEAR($P42)&lt;(J$3-1),IF(YEAR($P42)+$Q42=J$3-1,(MONTH($P42)-1)/12,IF(YEAR($P42)+$Q42&lt;J$3-1,0,1)),IF(YEAR($P42)&gt;J$3-1,0,(12-MONTH($P42)+1)/12)),IF(YEAR($P42)&gt;J$3-1,0,VDB($N42,$O42,$Q42,IF(YEAR($P42)=J$3-1,0,MIN($Q42,(DATE(J$3-1,1,1)-$P42)/365)),MIN($Q42,(DATE(J$3-1,12,31)-$P42)/365),$S42))))</f>
        <v>0</v>
      </c>
      <c r="J84" s="330" t="n">
        <f aca="false">IF($N42=0,0,IF($R42="SL",SLN($N42,$O42,$Q42)*IF(YEAR($P42)&lt;J$3,IF(YEAR($P42)+$Q42=J$3,(MONTH($P42)-1)/12,IF(YEAR($P42)+$Q42&lt;J$3,0,1)),IF(YEAR($P42)&gt;J$3,0,(12-MONTH($P42)+1)/12)),IF(YEAR($P42)&gt;J$3,0,VDB($N42,$O42,$Q42,IF(YEAR($P42)=J$3,0,MIN($Q42,(DATE(J$3,1,1)-$P42)/365)),MIN($Q42,(DATE(J$3,12,31)-$P42)/365),$S42))))</f>
        <v>0</v>
      </c>
      <c r="K84" s="330" t="n">
        <f aca="false">IF($N42=0,0,IF($R42="SL",SLN($N42,$O42,$Q42)*IF(YEAR($P42)&lt;K$3,IF(YEAR($P42)+$Q42=K$3,(MONTH($P42)-1)/12,IF(YEAR($P42)+$Q42&lt;K$3,0,1)),IF(YEAR($P42)&gt;K$3,0,(12-MONTH($P42)+1)/12)),IF(YEAR($P42)&gt;K$3,0,VDB($N42,$O42,$Q42,IF(YEAR($P42)=K$3,0,MIN($Q42,(DATE(K$3,1,1)-$P42)/365)),MIN($Q42,(DATE(K$3,12,31)-$P42)/365),$S42))))</f>
        <v>0</v>
      </c>
      <c r="L84" s="330" t="n">
        <f aca="false">IF($N42=0,0,IF($R42="SL",SLN($N42,$O42,$Q42)*IF(YEAR($P42)&lt;L$3,IF(YEAR($P42)+$Q42=L$3,(MONTH($P42)-1)/12,IF(YEAR($P42)+$Q42&lt;L$3,0,1)),IF(YEAR($P42)&gt;L$3,0,(12-MONTH($P42)+1)/12)),IF(YEAR($P42)&gt;L$3,0,VDB($N42,$O42,$Q42,IF(YEAR($P42)=L$3,0,MIN($Q42,(DATE(L$3,1,1)-$P42)/365)),MIN($Q42,(DATE(L$3,12,31)-$P42)/365),$S42))))</f>
        <v>0</v>
      </c>
      <c r="M84" s="330" t="n">
        <f aca="false">IF($N42=0,0,IF($R42="SL",SLN($N42,$O42,$Q42)*IF(YEAR($P42)&lt;M$3,IF(YEAR($P42)+$Q42=M$3,(MONTH($P42)-1)/12,IF(YEAR($P42)+$Q42&lt;M$3,0,1)),IF(YEAR($P42)&gt;M$3,0,(12-MONTH($P42)+1)/12)),IF(YEAR($P42)&gt;M$3,0,VDB($N42,$O42,$Q42,IF(YEAR($P42)=M$3,0,MIN($Q42,(DATE(M$3,1,1)-$P42)/365)),MIN($Q42,(DATE(M$3,12,31)-$P42)/365),$S42))))</f>
        <v>103.998031627308</v>
      </c>
      <c r="N84" s="330" t="n">
        <f aca="false">IF($N42=0,0,IF($R42="SL",SLN($N42,$O42,$Q42)*IF(YEAR($P42)&lt;N$3,IF(YEAR($P42)+$Q42=N$3,(MONTH($P42)-1)/12,IF(YEAR($P42)+$Q42&lt;N$3,0,1)),IF(YEAR($P42)&gt;N$3,0,(12-MONTH($P42)+1)/12)),IF(YEAR($P42)&gt;N$3,0,VDB($N42,$O42,$Q42,IF(YEAR($P42)=N$3,0,MIN($Q42,(DATE(N$3,1,1)-$P42)/365)),MIN($Q42,(DATE(N$3,12,31)-$P42)/365),$S42))))</f>
        <v>230.104197445124</v>
      </c>
      <c r="O84" s="330" t="n">
        <f aca="false">IF($N42=0,0,IF($R42="SL",SLN($N42,$O42,$Q42)*IF(YEAR($P42)&lt;O$3,IF(YEAR($P42)+$Q42=O$3,(MONTH($P42)-1)/12,IF(YEAR($P42)+$Q42&lt;O$3,0,1)),IF(YEAR($P42)&gt;O$3,0,(12-MONTH($P42)+1)/12)),IF(YEAR($P42)&gt;O$3,0,VDB($N42,$O42,$Q42,IF(YEAR($P42)=O$3,0,MIN($Q42,(DATE(O$3,1,1)-$P42)/365)),MIN($Q42,(DATE(O$3,12,31)-$P42)/365),$S42))))</f>
        <v>186.403749893261</v>
      </c>
      <c r="P84" s="330" t="n">
        <f aca="false">IF($N42=0,0,IF($R42="SL",SLN($N42,$O42,$Q42)*IF(YEAR($P42)&lt;P$3,IF(YEAR($P42)+$Q42=P$3,(MONTH($P42)-1)/12,IF(YEAR($P42)+$Q42&lt;P$3,0,1)),IF(YEAR($P42)&gt;P$3,0,(12-MONTH($P42)+1)/12)),IF(YEAR($P42)&gt;P$3,0,VDB($N42,$O42,$Q42,IF(YEAR($P42)=P$3,0,MIN($Q42,(DATE(P$3,1,1)-$P42)/365)),MIN($Q42,(DATE(P$3,12,31)-$P42)/365),$S42))))</f>
        <v>155.196322464719</v>
      </c>
      <c r="Q84" s="330" t="n">
        <f aca="false">IF($N42=0,0,IF($R42="SL",SLN($N42,$O42,$Q42)*IF(YEAR($P42)&lt;Q$3,IF(YEAR($P42)+$Q42=Q$3,(MONTH($P42)-1)/12,IF(YEAR($P42)+$Q42&lt;Q$3,0,1)),IF(YEAR($P42)&gt;Q$3,0,(12-MONTH($P42)+1)/12)),IF(YEAR($P42)&gt;Q$3,0,VDB($N42,$O42,$Q42,IF(YEAR($P42)=Q$3,0,MIN($Q42,(DATE(Q$3,1,1)-$P42)/365)),MIN($Q42,(DATE(Q$3,12,31)-$P42)/365),$S42))))</f>
        <v>142.489134245839</v>
      </c>
      <c r="R84" s="330" t="n">
        <f aca="false">IF($N42=0,0,IF($R42="SL",SLN($N42,$O42,$Q42)*IF(YEAR($P42)&lt;R$3,IF(YEAR($P42)+$Q42=R$3,(MONTH($P42)-1)/12,IF(YEAR($P42)+$Q42&lt;R$3,0,1)),IF(YEAR($P42)&gt;R$3,0,(12-MONTH($P42)+1)/12)),IF(YEAR($P42)&gt;R$3,0,VDB($N42,$O42,$Q42,IF(YEAR($P42)=R$3,0,MIN($Q42,(DATE(R$3,1,1)-$P42)/365)),MIN($Q42,(DATE(R$3,12,31)-$P42)/365),$S42))))</f>
        <v>142.880587911349</v>
      </c>
      <c r="S84" s="330" t="n">
        <f aca="false">IF($N42=0,0,IF($R42="SL",SLN($N42,$O42,$Q42)*IF(YEAR($P42)&lt;S$3,IF(YEAR($P42)+$Q42=S$3,(MONTH($P42)-1)/12,IF(YEAR($P42)+$Q42&lt;S$3,0,1)),IF(YEAR($P42)&gt;S$3,0,(12-MONTH($P42)+1)/12)),IF(YEAR($P42)&gt;S$3,0,VDB($N42,$O42,$Q42,IF(YEAR($P42)=S$3,0,MIN($Q42,(DATE(S$3,1,1)-$P42)/365)),MIN($Q42,(DATE(S$3,12,31)-$P42)/365),$S42))))</f>
        <v>142.489134245838</v>
      </c>
      <c r="T84" s="330" t="n">
        <f aca="false">IF($N42=0,0,IF($R42="SL",SLN($N42,$O42,$Q42)*IF(YEAR($P42)&lt;T$3,IF(YEAR($P42)+$Q42=T$3,(MONTH($P42)-1)/12,IF(YEAR($P42)+$Q42&lt;T$3,0,1)),IF(YEAR($P42)&gt;T$3,0,(12-MONTH($P42)+1)/12)),IF(YEAR($P42)&gt;T$3,0,VDB($N42,$O42,$Q42,IF(YEAR($P42)=T$3,0,MIN($Q42,(DATE(T$3,1,1)-$P42)/365)),MIN($Q42,(DATE(T$3,12,31)-$P42)/365),$S42))))</f>
        <v>142.489134245838</v>
      </c>
      <c r="U84" s="330" t="n">
        <f aca="false">IF($N42=0,0,IF($R42="SL",SLN($N42,$O42,$Q42)*IF(YEAR($P42)&lt;U$3,IF(YEAR($P42)+$Q42=U$3,(MONTH($P42)-1)/12,IF(YEAR($P42)+$Q42&lt;U$3,0,1)),IF(YEAR($P42)&gt;U$3,0,(12-MONTH($P42)+1)/12)),IF(YEAR($P42)&gt;U$3,0,VDB($N42,$O42,$Q42,IF(YEAR($P42)=U$3,0,MIN($Q42,(DATE(U$3,1,1)-$P42)/365)),MIN($Q42,(DATE(U$3,12,31)-$P42)/365),$S42))))</f>
        <v>82.2052697572145</v>
      </c>
      <c r="V84" s="330" t="n">
        <f aca="false">IF($N42=0,0,IF($R42="SL",SLN($N42,$O42,$Q42)*IF(YEAR($P42)&lt;V$3,IF(YEAR($P42)+$Q42=V$3,(MONTH($P42)-1)/12,IF(YEAR($P42)+$Q42&lt;V$3,0,1)),IF(YEAR($P42)&gt;V$3,0,(12-MONTH($P42)+1)/12)),IF(YEAR($P42)&gt;V$3,0,VDB($N42,$O42,$Q42,IF(YEAR($P42)=V$3,0,MIN($Q42,(DATE(V$3,1,1)-$P42)/365)),MIN($Q42,(DATE(V$3,12,31)-$P42)/365),$S42))))</f>
        <v>0</v>
      </c>
      <c r="W84" s="330" t="n">
        <f aca="false">IF($N42=0,0,IF($R42="SL",SLN($N42,$O42,$Q42)*IF(YEAR($P42)&lt;W$3,IF(YEAR($P42)+$Q42=W$3,(MONTH($P42)-1)/12,IF(YEAR($P42)+$Q42&lt;W$3,0,1)),IF(YEAR($P42)&gt;W$3,0,(12-MONTH($P42)+1)/12)),IF(YEAR($P42)&gt;W$3,0,VDB($N42,$O42,$Q42,IF(YEAR($P42)=W$3,0,MIN($Q42,(DATE(W$3,1,1)-$P42)/365)),MIN($Q42,(DATE(W$3,12,31)-$P42)/365),$S42))))</f>
        <v>0</v>
      </c>
      <c r="X84" s="330" t="n">
        <f aca="false">IF($N42=0,0,IF($R42="SL",SLN($N42,$O42,$Q42)*IF(YEAR($P42)&lt;X$3,IF(YEAR($P42)+$Q42=X$3,(MONTH($P42)-1)/12,IF(YEAR($P42)+$Q42&lt;X$3,0,1)),IF(YEAR($P42)&gt;X$3,0,(12-MONTH($P42)+1)/12)),IF(YEAR($P42)&gt;X$3,0,VDB($N42,$O42,$Q42,IF(YEAR($P42)=X$3,0,MIN($Q42,(DATE(X$3,1,1)-$P42)/365)),MIN($Q42,(DATE(X$3,12,31)-$P42)/365),$S42))))</f>
        <v>0</v>
      </c>
      <c r="Y84" s="330" t="n">
        <f aca="false">IF($N42=0,0,IF($R42="SL",SLN($N42,$O42,$Q42)*IF(YEAR($P42)&lt;Y$3,IF(YEAR($P42)+$Q42=Y$3,(MONTH($P42)-1)/12,IF(YEAR($P42)+$Q42&lt;Y$3,0,1)),IF(YEAR($P42)&gt;Y$3,0,(12-MONTH($P42)+1)/12)),IF(YEAR($P42)&gt;Y$3,0,VDB($N42,$O42,$Q42,IF(YEAR($P42)=Y$3,0,MIN($Q42,(DATE(Y$3,1,1)-$P42)/365)),MIN($Q42,(DATE(Y$3,12,31)-$P42)/365),$S42))))</f>
        <v>0</v>
      </c>
      <c r="Z84" s="330" t="n">
        <f aca="false">IF($N42=0,0,IF($R42="SL",SLN($N42,$O42,$Q42)*IF(YEAR($P42)&lt;Z$3,IF(YEAR($P42)+$Q42=Z$3,(MONTH($P42)-1)/12,IF(YEAR($P42)+$Q42&lt;Z$3,0,1)),IF(YEAR($P42)&gt;Z$3,0,(12-MONTH($P42)+1)/12)),IF(YEAR($P42)&gt;Z$3,0,VDB($N42,$O42,$Q42,IF(YEAR($P42)=Z$3,0,MIN($Q42,(DATE(Z$3,1,1)-$P42)/365)),MIN($Q42,(DATE(Z$3,12,31)-$P42)/365),$S42))))</f>
        <v>0</v>
      </c>
      <c r="AA84" s="330" t="n">
        <f aca="false">IF($N42=0,0,IF($R42="SL",SLN($N42,$O42,$Q42)*IF(YEAR($P42)&lt;AA$3,IF(YEAR($P42)+$Q42=AA$3,(MONTH($P42)-1)/12,IF(YEAR($P42)+$Q42&lt;AA$3,0,1)),IF(YEAR($P42)&gt;AA$3,0,(12-MONTH($P42)+1)/12)),IF(YEAR($P42)&gt;AA$3,0,VDB($N42,$O42,$Q42,IF(YEAR($P42)=AA$3,0,MIN($Q42,(DATE(AA$3,1,1)-$P42)/365)),MIN($Q42,(DATE(AA$3,12,31)-$P42)/365),$S42))))</f>
        <v>0</v>
      </c>
      <c r="AB84" s="330" t="n">
        <f aca="false">IF($N42=0,0,IF($R42="SL",SLN($N42,$O42,$Q42)*IF(YEAR($P42)&lt;AB$3,IF(YEAR($P42)+$Q42=AB$3,(MONTH($P42)-1)/12,IF(YEAR($P42)+$Q42&lt;AB$3,0,1)),IF(YEAR($P42)&gt;AB$3,0,(12-MONTH($P42)+1)/12)),IF(YEAR($P42)&gt;AB$3,0,VDB($N42,$O42,$Q42,IF(YEAR($P42)=AB$3,0,MIN($Q42,(DATE(AB$3,1,1)-$P42)/365)),MIN($Q42,(DATE(AB$3,12,31)-$P42)/365),$S42))))</f>
        <v>0</v>
      </c>
      <c r="AC84" s="330" t="n">
        <f aca="false">IF($N42=0,0,IF($R42="SL",SLN($N42,$O42,$Q42)*IF(YEAR($P42)&lt;AC$3,IF(YEAR($P42)+$Q42=AC$3,(MONTH($P42)-1)/12,IF(YEAR($P42)+$Q42&lt;AC$3,0,1)),IF(YEAR($P42)&gt;AC$3,0,(12-MONTH($P42)+1)/12)),IF(YEAR($P42)&gt;AC$3,0,VDB($N42,$O42,$Q42,IF(YEAR($P42)=AC$3,0,MIN($Q42,(DATE(AC$3,1,1)-$P42)/365)),MIN($Q42,(DATE(AC$3,12,31)-$P42)/365),$S42))))</f>
        <v>0</v>
      </c>
      <c r="AD84" s="330" t="n">
        <f aca="false">IF($N42=0,0,IF($R42="SL",SLN($N42,$O42,$Q42)*IF(YEAR($P42)&lt;AD$3,IF(YEAR($P42)+$Q42=AD$3,(MONTH($P42)-1)/12,IF(YEAR($P42)+$Q42&lt;AD$3,0,1)),IF(YEAR($P42)&gt;AD$3,0,(12-MONTH($P42)+1)/12)),IF(YEAR($P42)&gt;AD$3,0,VDB($N42,$O42,$Q42,IF(YEAR($P42)=AD$3,0,MIN($Q42,(DATE(AD$3,1,1)-$P42)/365)),MIN($Q42,(DATE(AD$3,12,31)-$P42)/365),$S42))))</f>
        <v>0</v>
      </c>
      <c r="AE84" s="330" t="n">
        <f aca="false">IF($N42=0,0,IF($R42="SL",SLN($N42,$O42,$Q42)*IF(YEAR($P42)&lt;AE$3,IF(YEAR($P42)+$Q42=AE$3,(MONTH($P42)-1)/12,IF(YEAR($P42)+$Q42&lt;AE$3,0,1)),IF(YEAR($P42)&gt;AE$3,0,(12-MONTH($P42)+1)/12)),IF(YEAR($P42)&gt;AE$3,0,VDB($N42,$O42,$Q42,IF(YEAR($P42)=AE$3,0,MIN($Q42,(DATE(AE$3,1,1)-$P42)/365)),MIN($Q42,(DATE(AE$3,12,31)-$P42)/365),$S42))))</f>
        <v>0</v>
      </c>
      <c r="AF84" s="330" t="n">
        <f aca="false">IF($N42=0,0,IF($R42="SL",SLN($N42,$O42,$Q42)*IF(YEAR($P42)&lt;AF$3,IF(YEAR($P42)+$Q42=AF$3,(MONTH($P42)-1)/12,IF(YEAR($P42)+$Q42&lt;AF$3,0,1)),IF(YEAR($P42)&gt;AF$3,0,(12-MONTH($P42)+1)/12)),IF(YEAR($P42)&gt;AF$3,0,VDB($N42,$O42,$Q42,IF(YEAR($P42)=AF$3,0,MIN($Q42,(DATE(AF$3,1,1)-$P42)/365)),MIN($Q42,(DATE(AF$3,12,31)-$P42)/365),$S42))))</f>
        <v>0</v>
      </c>
    </row>
    <row r="85" customFormat="false" ht="11.25" hidden="false" customHeight="false" outlineLevel="1" collapsed="false">
      <c r="C85" s="235" t="str">
        <f aca="false">+L43</f>
        <v>Complete Overhaul 1</v>
      </c>
      <c r="I85" s="330" t="n">
        <f aca="false">IF($N43=0,0,IF($R43="SL",SLN($N43,$O43,$Q43)*IF(YEAR($P43)&lt;(J$3-1),IF(YEAR($P43)+$Q43=J$3-1,(MONTH($P43)-1)/12,IF(YEAR($P43)+$Q43&lt;J$3-1,0,1)),IF(YEAR($P43)&gt;J$3-1,0,(12-MONTH($P43)+1)/12)),IF(YEAR($P43)&gt;J$3-1,0,VDB($N43,$O43,$Q43,IF(YEAR($P43)=J$3-1,0,MIN($Q43,(DATE(J$3-1,1,1)-$P43)/365)),MIN($Q43,(DATE(J$3-1,12,31)-$P43)/365),$S43))))</f>
        <v>0</v>
      </c>
      <c r="J85" s="330" t="n">
        <f aca="false">IF($N43=0,0,IF($R43="SL",SLN($N43,$O43,$Q43)*IF(YEAR($P43)&lt;J$3,IF(YEAR($P43)+$Q43=J$3,(MONTH($P43)-1)/12,IF(YEAR($P43)+$Q43&lt;J$3,0,1)),IF(YEAR($P43)&gt;J$3,0,(12-MONTH($P43)+1)/12)),IF(YEAR($P43)&gt;J$3,0,VDB($N43,$O43,$Q43,IF(YEAR($P43)=J$3,0,MIN($Q43,(DATE(J$3,1,1)-$P43)/365)),MIN($Q43,(DATE(J$3,12,31)-$P43)/365),$S43))))</f>
        <v>0</v>
      </c>
      <c r="K85" s="330" t="n">
        <f aca="false">IF($N43=0,0,IF($R43="SL",SLN($N43,$O43,$Q43)*IF(YEAR($P43)&lt;K$3,IF(YEAR($P43)+$Q43=K$3,(MONTH($P43)-1)/12,IF(YEAR($P43)+$Q43&lt;K$3,0,1)),IF(YEAR($P43)&gt;K$3,0,(12-MONTH($P43)+1)/12)),IF(YEAR($P43)&gt;K$3,0,VDB($N43,$O43,$Q43,IF(YEAR($P43)=K$3,0,MIN($Q43,(DATE(K$3,1,1)-$P43)/365)),MIN($Q43,(DATE(K$3,12,31)-$P43)/365),$S43))))</f>
        <v>0</v>
      </c>
      <c r="L85" s="330" t="n">
        <f aca="false">IF($N43=0,0,IF($R43="SL",SLN($N43,$O43,$Q43)*IF(YEAR($P43)&lt;L$3,IF(YEAR($P43)+$Q43=L$3,(MONTH($P43)-1)/12,IF(YEAR($P43)+$Q43&lt;L$3,0,1)),IF(YEAR($P43)&gt;L$3,0,(12-MONTH($P43)+1)/12)),IF(YEAR($P43)&gt;L$3,0,VDB($N43,$O43,$Q43,IF(YEAR($P43)=L$3,0,MIN($Q43,(DATE(L$3,1,1)-$P43)/365)),MIN($Q43,(DATE(L$3,12,31)-$P43)/365),$S43))))</f>
        <v>0</v>
      </c>
      <c r="M85" s="330" t="n">
        <f aca="false">IF($N43=0,0,IF($R43="SL",SLN($N43,$O43,$Q43)*IF(YEAR($P43)&lt;M$3,IF(YEAR($P43)+$Q43=M$3,(MONTH($P43)-1)/12,IF(YEAR($P43)+$Q43&lt;M$3,0,1)),IF(YEAR($P43)&gt;M$3,0,(12-MONTH($P43)+1)/12)),IF(YEAR($P43)&gt;M$3,0,VDB($N43,$O43,$Q43,IF(YEAR($P43)=M$3,0,MIN($Q43,(DATE(M$3,1,1)-$P43)/365)),MIN($Q43,(DATE(M$3,12,31)-$P43)/365),$S43))))</f>
        <v>0</v>
      </c>
      <c r="N85" s="330" t="n">
        <f aca="false">IF($N43=0,0,IF($R43="SL",SLN($N43,$O43,$Q43)*IF(YEAR($P43)&lt;N$3,IF(YEAR($P43)+$Q43=N$3,(MONTH($P43)-1)/12,IF(YEAR($P43)+$Q43&lt;N$3,0,1)),IF(YEAR($P43)&gt;N$3,0,(12-MONTH($P43)+1)/12)),IF(YEAR($P43)&gt;N$3,0,VDB($N43,$O43,$Q43,IF(YEAR($P43)=N$3,0,MIN($Q43,(DATE(N$3,1,1)-$P43)/365)),MIN($Q43,(DATE(N$3,12,31)-$P43)/365),$S43))))</f>
        <v>0</v>
      </c>
      <c r="O85" s="330" t="n">
        <f aca="false">IF($N43=0,0,IF($R43="SL",SLN($N43,$O43,$Q43)*IF(YEAR($P43)&lt;O$3,IF(YEAR($P43)+$Q43=O$3,(MONTH($P43)-1)/12,IF(YEAR($P43)+$Q43&lt;O$3,0,1)),IF(YEAR($P43)&gt;O$3,0,(12-MONTH($P43)+1)/12)),IF(YEAR($P43)&gt;O$3,0,VDB($N43,$O43,$Q43,IF(YEAR($P43)=O$3,0,MIN($Q43,(DATE(O$3,1,1)-$P43)/365)),MIN($Q43,(DATE(O$3,12,31)-$P43)/365),$S43))))</f>
        <v>0</v>
      </c>
      <c r="P85" s="330" t="n">
        <f aca="false">IF($N43=0,0,IF($R43="SL",SLN($N43,$O43,$Q43)*IF(YEAR($P43)&lt;P$3,IF(YEAR($P43)+$Q43=P$3,(MONTH($P43)-1)/12,IF(YEAR($P43)+$Q43&lt;P$3,0,1)),IF(YEAR($P43)&gt;P$3,0,(12-MONTH($P43)+1)/12)),IF(YEAR($P43)&gt;P$3,0,VDB($N43,$O43,$Q43,IF(YEAR($P43)=P$3,0,MIN($Q43,(DATE(P$3,1,1)-$P43)/365)),MIN($Q43,(DATE(P$3,12,31)-$P43)/365),$S43))))</f>
        <v>0</v>
      </c>
      <c r="Q85" s="330" t="n">
        <f aca="false">IF($N43=0,0,IF($R43="SL",SLN($N43,$O43,$Q43)*IF(YEAR($P43)&lt;Q$3,IF(YEAR($P43)+$Q43=Q$3,(MONTH($P43)-1)/12,IF(YEAR($P43)+$Q43&lt;Q$3,0,1)),IF(YEAR($P43)&gt;Q$3,0,(12-MONTH($P43)+1)/12)),IF(YEAR($P43)&gt;Q$3,0,VDB($N43,$O43,$Q43,IF(YEAR($P43)=Q$3,0,MIN($Q43,(DATE(Q$3,1,1)-$P43)/365)),MIN($Q43,(DATE(Q$3,12,31)-$P43)/365),$S43))))</f>
        <v>360.09475305254</v>
      </c>
      <c r="R85" s="330" t="n">
        <f aca="false">IF($N43=0,0,IF($R43="SL",SLN($N43,$O43,$Q43)*IF(YEAR($P43)&lt;R$3,IF(YEAR($P43)+$Q43=R$3,(MONTH($P43)-1)/12,IF(YEAR($P43)+$Q43&lt;R$3,0,1)),IF(YEAR($P43)&gt;R$3,0,(12-MONTH($P43)+1)/12)),IF(YEAR($P43)&gt;R$3,0,VDB($N43,$O43,$Q43,IF(YEAR($P43)=R$3,0,MIN($Q43,(DATE(R$3,1,1)-$P43)/365)),MIN($Q43,(DATE(R$3,12,31)-$P43)/365),$S43))))</f>
        <v>796.739254184094</v>
      </c>
      <c r="S85" s="330" t="n">
        <f aca="false">IF($N43=0,0,IF($R43="SL",SLN($N43,$O43,$Q43)*IF(YEAR($P43)&lt;S$3,IF(YEAR($P43)+$Q43=S$3,(MONTH($P43)-1)/12,IF(YEAR($P43)+$Q43&lt;S$3,0,1)),IF(YEAR($P43)&gt;S$3,0,(12-MONTH($P43)+1)/12)),IF(YEAR($P43)&gt;S$3,0,VDB($N43,$O43,$Q43,IF(YEAR($P43)=S$3,0,MIN($Q43,(DATE(S$3,1,1)-$P43)/365)),MIN($Q43,(DATE(S$3,12,31)-$P43)/365),$S43))))</f>
        <v>645.425795426845</v>
      </c>
      <c r="T85" s="330" t="n">
        <f aca="false">IF($N43=0,0,IF($R43="SL",SLN($N43,$O43,$Q43)*IF(YEAR($P43)&lt;T$3,IF(YEAR($P43)+$Q43=T$3,(MONTH($P43)-1)/12,IF(YEAR($P43)+$Q43&lt;T$3,0,1)),IF(YEAR($P43)&gt;T$3,0,(12-MONTH($P43)+1)/12)),IF(YEAR($P43)&gt;T$3,0,VDB($N43,$O43,$Q43,IF(YEAR($P43)=T$3,0,MIN($Q43,(DATE(T$3,1,1)-$P43)/365)),MIN($Q43,(DATE(T$3,12,31)-$P43)/365),$S43))))</f>
        <v>537.369607271693</v>
      </c>
      <c r="U85" s="330" t="n">
        <f aca="false">IF($N43=0,0,IF($R43="SL",SLN($N43,$O43,$Q43)*IF(YEAR($P43)&lt;U$3,IF(YEAR($P43)+$Q43=U$3,(MONTH($P43)-1)/12,IF(YEAR($P43)+$Q43&lt;U$3,0,1)),IF(YEAR($P43)&gt;U$3,0,(12-MONTH($P43)+1)/12)),IF(YEAR($P43)&gt;U$3,0,VDB($N43,$O43,$Q43,IF(YEAR($P43)=U$3,0,MIN($Q43,(DATE(U$3,1,1)-$P43)/365)),MIN($Q43,(DATE(U$3,12,31)-$P43)/365),$S43))))</f>
        <v>493.370776408547</v>
      </c>
      <c r="V85" s="330" t="n">
        <f aca="false">IF($N43=0,0,IF($R43="SL",SLN($N43,$O43,$Q43)*IF(YEAR($P43)&lt;V$3,IF(YEAR($P43)+$Q43=V$3,(MONTH($P43)-1)/12,IF(YEAR($P43)+$Q43&lt;V$3,0,1)),IF(YEAR($P43)&gt;V$3,0,(12-MONTH($P43)+1)/12)),IF(YEAR($P43)&gt;V$3,0,VDB($N43,$O43,$Q43,IF(YEAR($P43)=V$3,0,MIN($Q43,(DATE(V$3,1,1)-$P43)/365)),MIN($Q43,(DATE(V$3,12,31)-$P43)/365),$S43))))</f>
        <v>494.72619062945</v>
      </c>
      <c r="W85" s="330" t="n">
        <f aca="false">IF($N43=0,0,IF($R43="SL",SLN($N43,$O43,$Q43)*IF(YEAR($P43)&lt;W$3,IF(YEAR($P43)+$Q43=W$3,(MONTH($P43)-1)/12,IF(YEAR($P43)+$Q43&lt;W$3,0,1)),IF(YEAR($P43)&gt;W$3,0,(12-MONTH($P43)+1)/12)),IF(YEAR($P43)&gt;W$3,0,VDB($N43,$O43,$Q43,IF(YEAR($P43)=W$3,0,MIN($Q43,(DATE(W$3,1,1)-$P43)/365)),MIN($Q43,(DATE(W$3,12,31)-$P43)/365),$S43))))</f>
        <v>493.370776408547</v>
      </c>
      <c r="X85" s="330" t="n">
        <f aca="false">IF($N43=0,0,IF($R43="SL",SLN($N43,$O43,$Q43)*IF(YEAR($P43)&lt;X$3,IF(YEAR($P43)+$Q43=X$3,(MONTH($P43)-1)/12,IF(YEAR($P43)+$Q43&lt;X$3,0,1)),IF(YEAR($P43)&gt;X$3,0,(12-MONTH($P43)+1)/12)),IF(YEAR($P43)&gt;X$3,0,VDB($N43,$O43,$Q43,IF(YEAR($P43)=X$3,0,MIN($Q43,(DATE(X$3,1,1)-$P43)/365)),MIN($Q43,(DATE(X$3,12,31)-$P43)/365),$S43))))</f>
        <v>493.370776408547</v>
      </c>
      <c r="Y85" s="330" t="n">
        <f aca="false">IF($N43=0,0,IF($R43="SL",SLN($N43,$O43,$Q43)*IF(YEAR($P43)&lt;Y$3,IF(YEAR($P43)+$Q43=Y$3,(MONTH($P43)-1)/12,IF(YEAR($P43)+$Q43&lt;Y$3,0,1)),IF(YEAR($P43)&gt;Y$3,0,(12-MONTH($P43)+1)/12)),IF(YEAR($P43)&gt;Y$3,0,VDB($N43,$O43,$Q43,IF(YEAR($P43)=Y$3,0,MIN($Q43,(DATE(Y$3,1,1)-$P43)/365)),MIN($Q43,(DATE(Y$3,12,31)-$P43)/365),$S43))))</f>
        <v>284.636986389546</v>
      </c>
      <c r="Z85" s="330" t="n">
        <f aca="false">IF($N43=0,0,IF($R43="SL",SLN($N43,$O43,$Q43)*IF(YEAR($P43)&lt;Z$3,IF(YEAR($P43)+$Q43=Z$3,(MONTH($P43)-1)/12,IF(YEAR($P43)+$Q43&lt;Z$3,0,1)),IF(YEAR($P43)&gt;Z$3,0,(12-MONTH($P43)+1)/12)),IF(YEAR($P43)&gt;Z$3,0,VDB($N43,$O43,$Q43,IF(YEAR($P43)=Z$3,0,MIN($Q43,(DATE(Z$3,1,1)-$P43)/365)),MIN($Q43,(DATE(Z$3,12,31)-$P43)/365),$S43))))</f>
        <v>0</v>
      </c>
      <c r="AA85" s="330" t="n">
        <f aca="false">IF($N43=0,0,IF($R43="SL",SLN($N43,$O43,$Q43)*IF(YEAR($P43)&lt;AA$3,IF(YEAR($P43)+$Q43=AA$3,(MONTH($P43)-1)/12,IF(YEAR($P43)+$Q43&lt;AA$3,0,1)),IF(YEAR($P43)&gt;AA$3,0,(12-MONTH($P43)+1)/12)),IF(YEAR($P43)&gt;AA$3,0,VDB($N43,$O43,$Q43,IF(YEAR($P43)=AA$3,0,MIN($Q43,(DATE(AA$3,1,1)-$P43)/365)),MIN($Q43,(DATE(AA$3,12,31)-$P43)/365),$S43))))</f>
        <v>0</v>
      </c>
      <c r="AB85" s="330" t="n">
        <f aca="false">IF($N43=0,0,IF($R43="SL",SLN($N43,$O43,$Q43)*IF(YEAR($P43)&lt;AB$3,IF(YEAR($P43)+$Q43=AB$3,(MONTH($P43)-1)/12,IF(YEAR($P43)+$Q43&lt;AB$3,0,1)),IF(YEAR($P43)&gt;AB$3,0,(12-MONTH($P43)+1)/12)),IF(YEAR($P43)&gt;AB$3,0,VDB($N43,$O43,$Q43,IF(YEAR($P43)=AB$3,0,MIN($Q43,(DATE(AB$3,1,1)-$P43)/365)),MIN($Q43,(DATE(AB$3,12,31)-$P43)/365),$S43))))</f>
        <v>0</v>
      </c>
      <c r="AC85" s="330" t="n">
        <f aca="false">IF($N43=0,0,IF($R43="SL",SLN($N43,$O43,$Q43)*IF(YEAR($P43)&lt;AC$3,IF(YEAR($P43)+$Q43=AC$3,(MONTH($P43)-1)/12,IF(YEAR($P43)+$Q43&lt;AC$3,0,1)),IF(YEAR($P43)&gt;AC$3,0,(12-MONTH($P43)+1)/12)),IF(YEAR($P43)&gt;AC$3,0,VDB($N43,$O43,$Q43,IF(YEAR($P43)=AC$3,0,MIN($Q43,(DATE(AC$3,1,1)-$P43)/365)),MIN($Q43,(DATE(AC$3,12,31)-$P43)/365),$S43))))</f>
        <v>0</v>
      </c>
      <c r="AD85" s="330" t="n">
        <f aca="false">IF($N43=0,0,IF($R43="SL",SLN($N43,$O43,$Q43)*IF(YEAR($P43)&lt;AD$3,IF(YEAR($P43)+$Q43=AD$3,(MONTH($P43)-1)/12,IF(YEAR($P43)+$Q43&lt;AD$3,0,1)),IF(YEAR($P43)&gt;AD$3,0,(12-MONTH($P43)+1)/12)),IF(YEAR($P43)&gt;AD$3,0,VDB($N43,$O43,$Q43,IF(YEAR($P43)=AD$3,0,MIN($Q43,(DATE(AD$3,1,1)-$P43)/365)),MIN($Q43,(DATE(AD$3,12,31)-$P43)/365),$S43))))</f>
        <v>0</v>
      </c>
      <c r="AE85" s="330" t="n">
        <f aca="false">IF($N43=0,0,IF($R43="SL",SLN($N43,$O43,$Q43)*IF(YEAR($P43)&lt;AE$3,IF(YEAR($P43)+$Q43=AE$3,(MONTH($P43)-1)/12,IF(YEAR($P43)+$Q43&lt;AE$3,0,1)),IF(YEAR($P43)&gt;AE$3,0,(12-MONTH($P43)+1)/12)),IF(YEAR($P43)&gt;AE$3,0,VDB($N43,$O43,$Q43,IF(YEAR($P43)=AE$3,0,MIN($Q43,(DATE(AE$3,1,1)-$P43)/365)),MIN($Q43,(DATE(AE$3,12,31)-$P43)/365),$S43))))</f>
        <v>0</v>
      </c>
      <c r="AF85" s="330" t="n">
        <f aca="false">IF($N43=0,0,IF($R43="SL",SLN($N43,$O43,$Q43)*IF(YEAR($P43)&lt;AF$3,IF(YEAR($P43)+$Q43=AF$3,(MONTH($P43)-1)/12,IF(YEAR($P43)+$Q43&lt;AF$3,0,1)),IF(YEAR($P43)&gt;AF$3,0,(12-MONTH($P43)+1)/12)),IF(YEAR($P43)&gt;AF$3,0,VDB($N43,$O43,$Q43,IF(YEAR($P43)=AF$3,0,MIN($Q43,(DATE(AF$3,1,1)-$P43)/365)),MIN($Q43,(DATE(AF$3,12,31)-$P43)/365),$S43))))</f>
        <v>0</v>
      </c>
    </row>
    <row r="86" customFormat="false" ht="11.25" hidden="false" customHeight="false" outlineLevel="1" collapsed="false">
      <c r="C86" s="235" t="str">
        <f aca="false">+L44</f>
        <v>Partial Overhaul 2</v>
      </c>
      <c r="I86" s="330" t="n">
        <f aca="false">IF($N44=0,0,IF($R44="SL",SLN($N44,$O44,$Q44)*IF(YEAR($P44)&lt;(J$3-1),IF(YEAR($P44)+$Q44=J$3-1,(MONTH($P44)-1)/12,IF(YEAR($P44)+$Q44&lt;J$3-1,0,1)),IF(YEAR($P44)&gt;J$3-1,0,(12-MONTH($P44)+1)/12)),IF(YEAR($P44)&gt;J$3-1,0,VDB($N44,$O44,$Q44,IF(YEAR($P44)=J$3-1,0,MIN($Q44,(DATE(J$3-1,1,1)-$P44)/365)),MIN($Q44,(DATE(J$3-1,12,31)-$P44)/365),$S44))))</f>
        <v>0</v>
      </c>
      <c r="J86" s="330" t="n">
        <f aca="false">IF($N44=0,0,IF($R44="SL",SLN($N44,$O44,$Q44)*IF(YEAR($P44)&lt;J$3,IF(YEAR($P44)+$Q44=J$3,(MONTH($P44)-1)/12,IF(YEAR($P44)+$Q44&lt;J$3,0,1)),IF(YEAR($P44)&gt;J$3,0,(12-MONTH($P44)+1)/12)),IF(YEAR($P44)&gt;J$3,0,VDB($N44,$O44,$Q44,IF(YEAR($P44)=J$3,0,MIN($Q44,(DATE(J$3,1,1)-$P44)/365)),MIN($Q44,(DATE(J$3,12,31)-$P44)/365),$S44))))</f>
        <v>0</v>
      </c>
      <c r="K86" s="330" t="n">
        <f aca="false">IF($N44=0,0,IF($R44="SL",SLN($N44,$O44,$Q44)*IF(YEAR($P44)&lt;K$3,IF(YEAR($P44)+$Q44=K$3,(MONTH($P44)-1)/12,IF(YEAR($P44)+$Q44&lt;K$3,0,1)),IF(YEAR($P44)&gt;K$3,0,(12-MONTH($P44)+1)/12)),IF(YEAR($P44)&gt;K$3,0,VDB($N44,$O44,$Q44,IF(YEAR($P44)=K$3,0,MIN($Q44,(DATE(K$3,1,1)-$P44)/365)),MIN($Q44,(DATE(K$3,12,31)-$P44)/365),$S44))))</f>
        <v>0</v>
      </c>
      <c r="L86" s="330" t="n">
        <f aca="false">IF($N44=0,0,IF($R44="SL",SLN($N44,$O44,$Q44)*IF(YEAR($P44)&lt;L$3,IF(YEAR($P44)+$Q44=L$3,(MONTH($P44)-1)/12,IF(YEAR($P44)+$Q44&lt;L$3,0,1)),IF(YEAR($P44)&gt;L$3,0,(12-MONTH($P44)+1)/12)),IF(YEAR($P44)&gt;L$3,0,VDB($N44,$O44,$Q44,IF(YEAR($P44)=L$3,0,MIN($Q44,(DATE(L$3,1,1)-$P44)/365)),MIN($Q44,(DATE(L$3,12,31)-$P44)/365),$S44))))</f>
        <v>0</v>
      </c>
      <c r="M86" s="330" t="n">
        <f aca="false">IF($N44=0,0,IF($R44="SL",SLN($N44,$O44,$Q44)*IF(YEAR($P44)&lt;M$3,IF(YEAR($P44)+$Q44=M$3,(MONTH($P44)-1)/12,IF(YEAR($P44)+$Q44&lt;M$3,0,1)),IF(YEAR($P44)&gt;M$3,0,(12-MONTH($P44)+1)/12)),IF(YEAR($P44)&gt;M$3,0,VDB($N44,$O44,$Q44,IF(YEAR($P44)=M$3,0,MIN($Q44,(DATE(M$3,1,1)-$P44)/365)),MIN($Q44,(DATE(M$3,12,31)-$P44)/365),$S44))))</f>
        <v>0</v>
      </c>
      <c r="N86" s="330" t="n">
        <f aca="false">IF($N44=0,0,IF($R44="SL",SLN($N44,$O44,$Q44)*IF(YEAR($P44)&lt;N$3,IF(YEAR($P44)+$Q44=N$3,(MONTH($P44)-1)/12,IF(YEAR($P44)+$Q44&lt;N$3,0,1)),IF(YEAR($P44)&gt;N$3,0,(12-MONTH($P44)+1)/12)),IF(YEAR($P44)&gt;N$3,0,VDB($N44,$O44,$Q44,IF(YEAR($P44)=N$3,0,MIN($Q44,(DATE(N$3,1,1)-$P44)/365)),MIN($Q44,(DATE(N$3,12,31)-$P44)/365),$S44))))</f>
        <v>0</v>
      </c>
      <c r="O86" s="330" t="n">
        <f aca="false">IF($N44=0,0,IF($R44="SL",SLN($N44,$O44,$Q44)*IF(YEAR($P44)&lt;O$3,IF(YEAR($P44)+$Q44=O$3,(MONTH($P44)-1)/12,IF(YEAR($P44)+$Q44&lt;O$3,0,1)),IF(YEAR($P44)&gt;O$3,0,(12-MONTH($P44)+1)/12)),IF(YEAR($P44)&gt;O$3,0,VDB($N44,$O44,$Q44,IF(YEAR($P44)=O$3,0,MIN($Q44,(DATE(O$3,1,1)-$P44)/365)),MIN($Q44,(DATE(O$3,12,31)-$P44)/365),$S44))))</f>
        <v>0</v>
      </c>
      <c r="P86" s="330" t="n">
        <f aca="false">IF($N44=0,0,IF($R44="SL",SLN($N44,$O44,$Q44)*IF(YEAR($P44)&lt;P$3,IF(YEAR($P44)+$Q44=P$3,(MONTH($P44)-1)/12,IF(YEAR($P44)+$Q44&lt;P$3,0,1)),IF(YEAR($P44)&gt;P$3,0,(12-MONTH($P44)+1)/12)),IF(YEAR($P44)&gt;P$3,0,VDB($N44,$O44,$Q44,IF(YEAR($P44)=P$3,0,MIN($Q44,(DATE(P$3,1,1)-$P44)/365)),MIN($Q44,(DATE(P$3,12,31)-$P44)/365),$S44))))</f>
        <v>0</v>
      </c>
      <c r="Q86" s="330" t="n">
        <f aca="false">IF($N44=0,0,IF($R44="SL",SLN($N44,$O44,$Q44)*IF(YEAR($P44)&lt;Q$3,IF(YEAR($P44)+$Q44=Q$3,(MONTH($P44)-1)/12,IF(YEAR($P44)+$Q44&lt;Q$3,0,1)),IF(YEAR($P44)&gt;Q$3,0,(12-MONTH($P44)+1)/12)),IF(YEAR($P44)&gt;Q$3,0,VDB($N44,$O44,$Q44,IF(YEAR($P44)=Q$3,0,MIN($Q44,(DATE(Q$3,1,1)-$P44)/365)),MIN($Q44,(DATE(Q$3,12,31)-$P44)/365),$S44))))</f>
        <v>0</v>
      </c>
      <c r="R86" s="330" t="n">
        <f aca="false">IF($N44=0,0,IF($R44="SL",SLN($N44,$O44,$Q44)*IF(YEAR($P44)&lt;R$3,IF(YEAR($P44)+$Q44=R$3,(MONTH($P44)-1)/12,IF(YEAR($P44)+$Q44&lt;R$3,0,1)),IF(YEAR($P44)&gt;R$3,0,(12-MONTH($P44)+1)/12)),IF(YEAR($P44)&gt;R$3,0,VDB($N44,$O44,$Q44,IF(YEAR($P44)=R$3,0,MIN($Q44,(DATE(R$3,1,1)-$P44)/365)),MIN($Q44,(DATE(R$3,12,31)-$P44)/365),$S44))))</f>
        <v>0</v>
      </c>
      <c r="S86" s="330" t="n">
        <f aca="false">IF($N44=0,0,IF($R44="SL",SLN($N44,$O44,$Q44)*IF(YEAR($P44)&lt;S$3,IF(YEAR($P44)+$Q44=S$3,(MONTH($P44)-1)/12,IF(YEAR($P44)+$Q44&lt;S$3,0,1)),IF(YEAR($P44)&gt;S$3,0,(12-MONTH($P44)+1)/12)),IF(YEAR($P44)&gt;S$3,0,VDB($N44,$O44,$Q44,IF(YEAR($P44)=S$3,0,MIN($Q44,(DATE(S$3,1,1)-$P44)/365)),MIN($Q44,(DATE(S$3,12,31)-$P44)/365),$S44))))</f>
        <v>0</v>
      </c>
      <c r="T86" s="330" t="n">
        <f aca="false">IF($N44=0,0,IF($R44="SL",SLN($N44,$O44,$Q44)*IF(YEAR($P44)&lt;T$3,IF(YEAR($P44)+$Q44=T$3,(MONTH($P44)-1)/12,IF(YEAR($P44)+$Q44&lt;T$3,0,1)),IF(YEAR($P44)&gt;T$3,0,(12-MONTH($P44)+1)/12)),IF(YEAR($P44)&gt;T$3,0,VDB($N44,$O44,$Q44,IF(YEAR($P44)=T$3,0,MIN($Q44,(DATE(T$3,1,1)-$P44)/365)),MIN($Q44,(DATE(T$3,12,31)-$P44)/365),$S44))))</f>
        <v>0</v>
      </c>
      <c r="U86" s="330" t="n">
        <f aca="false">IF($N44=0,0,IF($R44="SL",SLN($N44,$O44,$Q44)*IF(YEAR($P44)&lt;U$3,IF(YEAR($P44)+$Q44=U$3,(MONTH($P44)-1)/12,IF(YEAR($P44)+$Q44&lt;U$3,0,1)),IF(YEAR($P44)&gt;U$3,0,(12-MONTH($P44)+1)/12)),IF(YEAR($P44)&gt;U$3,0,VDB($N44,$O44,$Q44,IF(YEAR($P44)=U$3,0,MIN($Q44,(DATE(U$3,1,1)-$P44)/365)),MIN($Q44,(DATE(U$3,12,31)-$P44)/365),$S44))))</f>
        <v>146.064866981817</v>
      </c>
      <c r="V86" s="330" t="n">
        <f aca="false">IF($N44=0,0,IF($R44="SL",SLN($N44,$O44,$Q44)*IF(YEAR($P44)&lt;V$3,IF(YEAR($P44)+$Q44=V$3,(MONTH($P44)-1)/12,IF(YEAR($P44)+$Q44&lt;V$3,0,1)),IF(YEAR($P44)&gt;V$3,0,(12-MONTH($P44)+1)/12)),IF(YEAR($P44)&gt;V$3,0,VDB($N44,$O44,$Q44,IF(YEAR($P44)=V$3,0,MIN($Q44,(DATE(V$3,1,1)-$P44)/365)),MIN($Q44,(DATE(V$3,12,31)-$P44)/365),$S44))))</f>
        <v>323.180530110674</v>
      </c>
      <c r="W86" s="330" t="n">
        <f aca="false">IF($N44=0,0,IF($R44="SL",SLN($N44,$O44,$Q44)*IF(YEAR($P44)&lt;W$3,IF(YEAR($P44)+$Q44=W$3,(MONTH($P44)-1)/12,IF(YEAR($P44)+$Q44&lt;W$3,0,1)),IF(YEAR($P44)&gt;W$3,0,(12-MONTH($P44)+1)/12)),IF(YEAR($P44)&gt;W$3,0,VDB($N44,$O44,$Q44,IF(YEAR($P44)=W$3,0,MIN($Q44,(DATE(W$3,1,1)-$P44)/365)),MIN($Q44,(DATE(W$3,12,31)-$P44)/365),$S44))))</f>
        <v>261.803406343721</v>
      </c>
      <c r="X86" s="330" t="n">
        <f aca="false">IF($N44=0,0,IF($R44="SL",SLN($N44,$O44,$Q44)*IF(YEAR($P44)&lt;X$3,IF(YEAR($P44)+$Q44=X$3,(MONTH($P44)-1)/12,IF(YEAR($P44)+$Q44&lt;X$3,0,1)),IF(YEAR($P44)&gt;X$3,0,(12-MONTH($P44)+1)/12)),IF(YEAR($P44)&gt;X$3,0,VDB($N44,$O44,$Q44,IF(YEAR($P44)=X$3,0,MIN($Q44,(DATE(X$3,1,1)-$P44)/365)),MIN($Q44,(DATE(X$3,12,31)-$P44)/365),$S44))))</f>
        <v>217.97268508036</v>
      </c>
      <c r="Y86" s="330" t="n">
        <f aca="false">IF($N44=0,0,IF($R44="SL",SLN($N44,$O44,$Q44)*IF(YEAR($P44)&lt;Y$3,IF(YEAR($P44)+$Q44=Y$3,(MONTH($P44)-1)/12,IF(YEAR($P44)+$Q44&lt;Y$3,0,1)),IF(YEAR($P44)&gt;Y$3,0,(12-MONTH($P44)+1)/12)),IF(YEAR($P44)&gt;Y$3,0,VDB($N44,$O44,$Q44,IF(YEAR($P44)=Y$3,0,MIN($Q44,(DATE(Y$3,1,1)-$P44)/365)),MIN($Q44,(DATE(Y$3,12,31)-$P44)/365),$S44))))</f>
        <v>200.125484245297</v>
      </c>
      <c r="Z86" s="330" t="n">
        <f aca="false">IF($N44=0,0,IF($R44="SL",SLN($N44,$O44,$Q44)*IF(YEAR($P44)&lt;Z$3,IF(YEAR($P44)+$Q44=Z$3,(MONTH($P44)-1)/12,IF(YEAR($P44)+$Q44&lt;Z$3,0,1)),IF(YEAR($P44)&gt;Z$3,0,(12-MONTH($P44)+1)/12)),IF(YEAR($P44)&gt;Z$3,0,VDB($N44,$O44,$Q44,IF(YEAR($P44)=Z$3,0,MIN($Q44,(DATE(Z$3,1,1)-$P44)/365)),MIN($Q44,(DATE(Z$3,12,31)-$P44)/365),$S44))))</f>
        <v>200.675279531686</v>
      </c>
      <c r="AA86" s="330" t="n">
        <f aca="false">IF($N44=0,0,IF($R44="SL",SLN($N44,$O44,$Q44)*IF(YEAR($P44)&lt;AA$3,IF(YEAR($P44)+$Q44=AA$3,(MONTH($P44)-1)/12,IF(YEAR($P44)+$Q44&lt;AA$3,0,1)),IF(YEAR($P44)&gt;AA$3,0,(12-MONTH($P44)+1)/12)),IF(YEAR($P44)&gt;AA$3,0,VDB($N44,$O44,$Q44,IF(YEAR($P44)=AA$3,0,MIN($Q44,(DATE(AA$3,1,1)-$P44)/365)),MIN($Q44,(DATE(AA$3,12,31)-$P44)/365),$S44))))</f>
        <v>200.125484245297</v>
      </c>
      <c r="AB86" s="330" t="n">
        <f aca="false">IF($N44=0,0,IF($R44="SL",SLN($N44,$O44,$Q44)*IF(YEAR($P44)&lt;AB$3,IF(YEAR($P44)+$Q44=AB$3,(MONTH($P44)-1)/12,IF(YEAR($P44)+$Q44&lt;AB$3,0,1)),IF(YEAR($P44)&gt;AB$3,0,(12-MONTH($P44)+1)/12)),IF(YEAR($P44)&gt;AB$3,0,VDB($N44,$O44,$Q44,IF(YEAR($P44)=AB$3,0,MIN($Q44,(DATE(AB$3,1,1)-$P44)/365)),MIN($Q44,(DATE(AB$3,12,31)-$P44)/365),$S44))))</f>
        <v>200.125484245297</v>
      </c>
      <c r="AC86" s="330" t="n">
        <f aca="false">IF($N44=0,0,IF($R44="SL",SLN($N44,$O44,$Q44)*IF(YEAR($P44)&lt;AC$3,IF(YEAR($P44)+$Q44=AC$3,(MONTH($P44)-1)/12,IF(YEAR($P44)+$Q44&lt;AC$3,0,1)),IF(YEAR($P44)&gt;AC$3,0,(12-MONTH($P44)+1)/12)),IF(YEAR($P44)&gt;AC$3,0,VDB($N44,$O44,$Q44,IF(YEAR($P44)=AC$3,0,MIN($Q44,(DATE(AC$3,1,1)-$P44)/365)),MIN($Q44,(DATE(AC$3,12,31)-$P44)/365),$S44))))</f>
        <v>115.457010141518</v>
      </c>
      <c r="AD86" s="330" t="n">
        <f aca="false">IF($N44=0,0,IF($R44="SL",SLN($N44,$O44,$Q44)*IF(YEAR($P44)&lt;AD$3,IF(YEAR($P44)+$Q44=AD$3,(MONTH($P44)-1)/12,IF(YEAR($P44)+$Q44&lt;AD$3,0,1)),IF(YEAR($P44)&gt;AD$3,0,(12-MONTH($P44)+1)/12)),IF(YEAR($P44)&gt;AD$3,0,VDB($N44,$O44,$Q44,IF(YEAR($P44)=AD$3,0,MIN($Q44,(DATE(AD$3,1,1)-$P44)/365)),MIN($Q44,(DATE(AD$3,12,31)-$P44)/365),$S44))))</f>
        <v>0</v>
      </c>
      <c r="AE86" s="330" t="n">
        <f aca="false">IF($N44=0,0,IF($R44="SL",SLN($N44,$O44,$Q44)*IF(YEAR($P44)&lt;AE$3,IF(YEAR($P44)+$Q44=AE$3,(MONTH($P44)-1)/12,IF(YEAR($P44)+$Q44&lt;AE$3,0,1)),IF(YEAR($P44)&gt;AE$3,0,(12-MONTH($P44)+1)/12)),IF(YEAR($P44)&gt;AE$3,0,VDB($N44,$O44,$Q44,IF(YEAR($P44)=AE$3,0,MIN($Q44,(DATE(AE$3,1,1)-$P44)/365)),MIN($Q44,(DATE(AE$3,12,31)-$P44)/365),$S44))))</f>
        <v>0</v>
      </c>
      <c r="AF86" s="330" t="n">
        <f aca="false">IF($N44=0,0,IF($R44="SL",SLN($N44,$O44,$Q44)*IF(YEAR($P44)&lt;AF$3,IF(YEAR($P44)+$Q44=AF$3,(MONTH($P44)-1)/12,IF(YEAR($P44)+$Q44&lt;AF$3,0,1)),IF(YEAR($P44)&gt;AF$3,0,(12-MONTH($P44)+1)/12)),IF(YEAR($P44)&gt;AF$3,0,VDB($N44,$O44,$Q44,IF(YEAR($P44)=AF$3,0,MIN($Q44,(DATE(AF$3,1,1)-$P44)/365)),MIN($Q44,(DATE(AF$3,12,31)-$P44)/365),$S44))))</f>
        <v>0</v>
      </c>
    </row>
    <row r="87" customFormat="false" ht="11.25" hidden="false" customHeight="false" outlineLevel="1" collapsed="false">
      <c r="C87" s="235" t="str">
        <f aca="false">+L45</f>
        <v>Complete Overhaul 2</v>
      </c>
      <c r="I87" s="330" t="n">
        <f aca="false">IF($N45=0,0,IF($R45="SL",SLN($N45,$O45,$Q45)*IF(YEAR($P45)&lt;(J$3-1),IF(YEAR($P45)+$Q45=J$3-1,(MONTH($P45)-1)/12,IF(YEAR($P45)+$Q45&lt;J$3-1,0,1)),IF(YEAR($P45)&gt;J$3-1,0,(12-MONTH($P45)+1)/12)),IF(YEAR($P45)&gt;J$3-1,0,VDB($N45,$O45,$Q45,IF(YEAR($P45)=J$3-1,0,MIN($Q45,(DATE(J$3-1,1,1)-$P45)/365)),MIN($Q45,(DATE(J$3-1,12,31)-$P45)/365),$S45))))</f>
        <v>0</v>
      </c>
      <c r="J87" s="330" t="n">
        <f aca="false">IF($N45=0,0,IF($R45="SL",SLN($N45,$O45,$Q45)*IF(YEAR($P45)&lt;J$3,IF(YEAR($P45)+$Q45=J$3,(MONTH($P45)-1)/12,IF(YEAR($P45)+$Q45&lt;J$3,0,1)),IF(YEAR($P45)&gt;J$3,0,(12-MONTH($P45)+1)/12)),IF(YEAR($P45)&gt;J$3,0,VDB($N45,$O45,$Q45,IF(YEAR($P45)=J$3,0,MIN($Q45,(DATE(J$3,1,1)-$P45)/365)),MIN($Q45,(DATE(J$3,12,31)-$P45)/365),$S45))))</f>
        <v>0</v>
      </c>
      <c r="K87" s="330" t="n">
        <f aca="false">IF($N45=0,0,IF($R45="SL",SLN($N45,$O45,$Q45)*IF(YEAR($P45)&lt;K$3,IF(YEAR($P45)+$Q45=K$3,(MONTH($P45)-1)/12,IF(YEAR($P45)+$Q45&lt;K$3,0,1)),IF(YEAR($P45)&gt;K$3,0,(12-MONTH($P45)+1)/12)),IF(YEAR($P45)&gt;K$3,0,VDB($N45,$O45,$Q45,IF(YEAR($P45)=K$3,0,MIN($Q45,(DATE(K$3,1,1)-$P45)/365)),MIN($Q45,(DATE(K$3,12,31)-$P45)/365),$S45))))</f>
        <v>0</v>
      </c>
      <c r="L87" s="330" t="n">
        <f aca="false">IF($N45=0,0,IF($R45="SL",SLN($N45,$O45,$Q45)*IF(YEAR($P45)&lt;L$3,IF(YEAR($P45)+$Q45=L$3,(MONTH($P45)-1)/12,IF(YEAR($P45)+$Q45&lt;L$3,0,1)),IF(YEAR($P45)&gt;L$3,0,(12-MONTH($P45)+1)/12)),IF(YEAR($P45)&gt;L$3,0,VDB($N45,$O45,$Q45,IF(YEAR($P45)=L$3,0,MIN($Q45,(DATE(L$3,1,1)-$P45)/365)),MIN($Q45,(DATE(L$3,12,31)-$P45)/365),$S45))))</f>
        <v>0</v>
      </c>
      <c r="M87" s="330" t="n">
        <f aca="false">IF($N45=0,0,IF($R45="SL",SLN($N45,$O45,$Q45)*IF(YEAR($P45)&lt;M$3,IF(YEAR($P45)+$Q45=M$3,(MONTH($P45)-1)/12,IF(YEAR($P45)+$Q45&lt;M$3,0,1)),IF(YEAR($P45)&gt;M$3,0,(12-MONTH($P45)+1)/12)),IF(YEAR($P45)&gt;M$3,0,VDB($N45,$O45,$Q45,IF(YEAR($P45)=M$3,0,MIN($Q45,(DATE(M$3,1,1)-$P45)/365)),MIN($Q45,(DATE(M$3,12,31)-$P45)/365),$S45))))</f>
        <v>0</v>
      </c>
      <c r="N87" s="330" t="n">
        <f aca="false">IF($N45=0,0,IF($R45="SL",SLN($N45,$O45,$Q45)*IF(YEAR($P45)&lt;N$3,IF(YEAR($P45)+$Q45=N$3,(MONTH($P45)-1)/12,IF(YEAR($P45)+$Q45&lt;N$3,0,1)),IF(YEAR($P45)&gt;N$3,0,(12-MONTH($P45)+1)/12)),IF(YEAR($P45)&gt;N$3,0,VDB($N45,$O45,$Q45,IF(YEAR($P45)=N$3,0,MIN($Q45,(DATE(N$3,1,1)-$P45)/365)),MIN($Q45,(DATE(N$3,12,31)-$P45)/365),$S45))))</f>
        <v>0</v>
      </c>
      <c r="O87" s="330" t="n">
        <f aca="false">IF($N45=0,0,IF($R45="SL",SLN($N45,$O45,$Q45)*IF(YEAR($P45)&lt;O$3,IF(YEAR($P45)+$Q45=O$3,(MONTH($P45)-1)/12,IF(YEAR($P45)+$Q45&lt;O$3,0,1)),IF(YEAR($P45)&gt;O$3,0,(12-MONTH($P45)+1)/12)),IF(YEAR($P45)&gt;O$3,0,VDB($N45,$O45,$Q45,IF(YEAR($P45)=O$3,0,MIN($Q45,(DATE(O$3,1,1)-$P45)/365)),MIN($Q45,(DATE(O$3,12,31)-$P45)/365),$S45))))</f>
        <v>0</v>
      </c>
      <c r="P87" s="330" t="n">
        <f aca="false">IF($N45=0,0,IF($R45="SL",SLN($N45,$O45,$Q45)*IF(YEAR($P45)&lt;P$3,IF(YEAR($P45)+$Q45=P$3,(MONTH($P45)-1)/12,IF(YEAR($P45)+$Q45&lt;P$3,0,1)),IF(YEAR($P45)&gt;P$3,0,(12-MONTH($P45)+1)/12)),IF(YEAR($P45)&gt;P$3,0,VDB($N45,$O45,$Q45,IF(YEAR($P45)=P$3,0,MIN($Q45,(DATE(P$3,1,1)-$P45)/365)),MIN($Q45,(DATE(P$3,12,31)-$P45)/365),$S45))))</f>
        <v>0</v>
      </c>
      <c r="Q87" s="330" t="n">
        <f aca="false">IF($N45=0,0,IF($R45="SL",SLN($N45,$O45,$Q45)*IF(YEAR($P45)&lt;Q$3,IF(YEAR($P45)+$Q45=Q$3,(MONTH($P45)-1)/12,IF(YEAR($P45)+$Q45&lt;Q$3,0,1)),IF(YEAR($P45)&gt;Q$3,0,(12-MONTH($P45)+1)/12)),IF(YEAR($P45)&gt;Q$3,0,VDB($N45,$O45,$Q45,IF(YEAR($P45)=Q$3,0,MIN($Q45,(DATE(Q$3,1,1)-$P45)/365)),MIN($Q45,(DATE(Q$3,12,31)-$P45)/365),$S45))))</f>
        <v>0</v>
      </c>
      <c r="R87" s="330" t="n">
        <f aca="false">IF($N45=0,0,IF($R45="SL",SLN($N45,$O45,$Q45)*IF(YEAR($P45)&lt;R$3,IF(YEAR($P45)+$Q45=R$3,(MONTH($P45)-1)/12,IF(YEAR($P45)+$Q45&lt;R$3,0,1)),IF(YEAR($P45)&gt;R$3,0,(12-MONTH($P45)+1)/12)),IF(YEAR($P45)&gt;R$3,0,VDB($N45,$O45,$Q45,IF(YEAR($P45)=R$3,0,MIN($Q45,(DATE(R$3,1,1)-$P45)/365)),MIN($Q45,(DATE(R$3,12,31)-$P45)/365),$S45))))</f>
        <v>0</v>
      </c>
      <c r="S87" s="330" t="n">
        <f aca="false">IF($N45=0,0,IF($R45="SL",SLN($N45,$O45,$Q45)*IF(YEAR($P45)&lt;S$3,IF(YEAR($P45)+$Q45=S$3,(MONTH($P45)-1)/12,IF(YEAR($P45)+$Q45&lt;S$3,0,1)),IF(YEAR($P45)&gt;S$3,0,(12-MONTH($P45)+1)/12)),IF(YEAR($P45)&gt;S$3,0,VDB($N45,$O45,$Q45,IF(YEAR($P45)=S$3,0,MIN($Q45,(DATE(S$3,1,1)-$P45)/365)),MIN($Q45,(DATE(S$3,12,31)-$P45)/365),$S45))))</f>
        <v>0</v>
      </c>
      <c r="T87" s="330" t="n">
        <f aca="false">IF($N45=0,0,IF($R45="SL",SLN($N45,$O45,$Q45)*IF(YEAR($P45)&lt;T$3,IF(YEAR($P45)+$Q45=T$3,(MONTH($P45)-1)/12,IF(YEAR($P45)+$Q45&lt;T$3,0,1)),IF(YEAR($P45)&gt;T$3,0,(12-MONTH($P45)+1)/12)),IF(YEAR($P45)&gt;T$3,0,VDB($N45,$O45,$Q45,IF(YEAR($P45)=T$3,0,MIN($Q45,(DATE(T$3,1,1)-$P45)/365)),MIN($Q45,(DATE(T$3,12,31)-$P45)/365),$S45))))</f>
        <v>0</v>
      </c>
      <c r="U87" s="330" t="n">
        <f aca="false">IF($N45=0,0,IF($R45="SL",SLN($N45,$O45,$Q45)*IF(YEAR($P45)&lt;U$3,IF(YEAR($P45)+$Q45=U$3,(MONTH($P45)-1)/12,IF(YEAR($P45)+$Q45&lt;U$3,0,1)),IF(YEAR($P45)&gt;U$3,0,(12-MONTH($P45)+1)/12)),IF(YEAR($P45)&gt;U$3,0,VDB($N45,$O45,$Q45,IF(YEAR($P45)=U$3,0,MIN($Q45,(DATE(U$3,1,1)-$P45)/365)),MIN($Q45,(DATE(U$3,12,31)-$P45)/365),$S45))))</f>
        <v>0</v>
      </c>
      <c r="V87" s="330" t="n">
        <f aca="false">IF($N45=0,0,IF($R45="SL",SLN($N45,$O45,$Q45)*IF(YEAR($P45)&lt;V$3,IF(YEAR($P45)+$Q45=V$3,(MONTH($P45)-1)/12,IF(YEAR($P45)+$Q45&lt;V$3,0,1)),IF(YEAR($P45)&gt;V$3,0,(12-MONTH($P45)+1)/12)),IF(YEAR($P45)&gt;V$3,0,VDB($N45,$O45,$Q45,IF(YEAR($P45)=V$3,0,MIN($Q45,(DATE(V$3,1,1)-$P45)/365)),MIN($Q45,(DATE(V$3,12,31)-$P45)/365),$S45))))</f>
        <v>0</v>
      </c>
      <c r="W87" s="330" t="n">
        <f aca="false">IF($N45=0,0,IF($R45="SL",SLN($N45,$O45,$Q45)*IF(YEAR($P45)&lt;W$3,IF(YEAR($P45)+$Q45=W$3,(MONTH($P45)-1)/12,IF(YEAR($P45)+$Q45&lt;W$3,0,1)),IF(YEAR($P45)&gt;W$3,0,(12-MONTH($P45)+1)/12)),IF(YEAR($P45)&gt;W$3,0,VDB($N45,$O45,$Q45,IF(YEAR($P45)=W$3,0,MIN($Q45,(DATE(W$3,1,1)-$P45)/365)),MIN($Q45,(DATE(W$3,12,31)-$P45)/365),$S45))))</f>
        <v>0</v>
      </c>
      <c r="X87" s="330" t="n">
        <f aca="false">IF($N45=0,0,IF($R45="SL",SLN($N45,$O45,$Q45)*IF(YEAR($P45)&lt;X$3,IF(YEAR($P45)+$Q45=X$3,(MONTH($P45)-1)/12,IF(YEAR($P45)+$Q45&lt;X$3,0,1)),IF(YEAR($P45)&gt;X$3,0,(12-MONTH($P45)+1)/12)),IF(YEAR($P45)&gt;X$3,0,VDB($N45,$O45,$Q45,IF(YEAR($P45)=X$3,0,MIN($Q45,(DATE(X$3,1,1)-$P45)/365)),MIN($Q45,(DATE(X$3,12,31)-$P45)/365),$S45))))</f>
        <v>0</v>
      </c>
      <c r="Y87" s="330" t="n">
        <f aca="false">IF($N45=0,0,IF($R45="SL",SLN($N45,$O45,$Q45)*IF(YEAR($P45)&lt;Y$3,IF(YEAR($P45)+$Q45=Y$3,(MONTH($P45)-1)/12,IF(YEAR($P45)+$Q45&lt;Y$3,0,1)),IF(YEAR($P45)&gt;Y$3,0,(12-MONTH($P45)+1)/12)),IF(YEAR($P45)&gt;Y$3,0,VDB($N45,$O45,$Q45,IF(YEAR($P45)=Y$3,0,MIN($Q45,(DATE(Y$3,1,1)-$P45)/365)),MIN($Q45,(DATE(Y$3,12,31)-$P45)/365),$S45))))</f>
        <v>504.704355604556</v>
      </c>
      <c r="Z87" s="330" t="n">
        <f aca="false">IF($N45=0,0,IF($R45="SL",SLN($N45,$O45,$Q45)*IF(YEAR($P45)&lt;Z$3,IF(YEAR($P45)+$Q45=Z$3,(MONTH($P45)-1)/12,IF(YEAR($P45)+$Q45&lt;Z$3,0,1)),IF(YEAR($P45)&gt;Z$3,0,(12-MONTH($P45)+1)/12)),IF(YEAR($P45)&gt;Z$3,0,VDB($N45,$O45,$Q45,IF(YEAR($P45)=Z$3,0,MIN($Q45,(DATE(Z$3,1,1)-$P45)/365)),MIN($Q45,(DATE(Z$3,12,31)-$P45)/365),$S45))))</f>
        <v>1116.69989206748</v>
      </c>
      <c r="AA87" s="330" t="n">
        <f aca="false">IF($N45=0,0,IF($R45="SL",SLN($N45,$O45,$Q45)*IF(YEAR($P45)&lt;AA$3,IF(YEAR($P45)+$Q45=AA$3,(MONTH($P45)-1)/12,IF(YEAR($P45)+$Q45&lt;AA$3,0,1)),IF(YEAR($P45)&gt;AA$3,0,(12-MONTH($P45)+1)/12)),IF(YEAR($P45)&gt;AA$3,0,VDB($N45,$O45,$Q45,IF(YEAR($P45)=AA$3,0,MIN($Q45,(DATE(AA$3,1,1)-$P45)/365)),MIN($Q45,(DATE(AA$3,12,31)-$P45)/365),$S45))))</f>
        <v>904.620818298718</v>
      </c>
      <c r="AB87" s="330" t="n">
        <f aca="false">IF($N45=0,0,IF($R45="SL",SLN($N45,$O45,$Q45)*IF(YEAR($P45)&lt;AB$3,IF(YEAR($P45)+$Q45=AB$3,(MONTH($P45)-1)/12,IF(YEAR($P45)+$Q45&lt;AB$3,0,1)),IF(YEAR($P45)&gt;AB$3,0,(12-MONTH($P45)+1)/12)),IF(YEAR($P45)&gt;AB$3,0,VDB($N45,$O45,$Q45,IF(YEAR($P45)=AB$3,0,MIN($Q45,(DATE(AB$3,1,1)-$P45)/365)),MIN($Q45,(DATE(AB$3,12,31)-$P45)/365),$S45))))</f>
        <v>753.170600405725</v>
      </c>
      <c r="AC87" s="330" t="n">
        <f aca="false">IF($N45=0,0,IF($R45="SL",SLN($N45,$O45,$Q45)*IF(YEAR($P45)&lt;AC$3,IF(YEAR($P45)+$Q45=AC$3,(MONTH($P45)-1)/12,IF(YEAR($P45)+$Q45&lt;AC$3,0,1)),IF(YEAR($P45)&gt;AC$3,0,(12-MONTH($P45)+1)/12)),IF(YEAR($P45)&gt;AC$3,0,VDB($N45,$O45,$Q45,IF(YEAR($P45)=AC$3,0,MIN($Q45,(DATE(AC$3,1,1)-$P45)/365)),MIN($Q45,(DATE(AC$3,12,31)-$P45)/365),$S45))))</f>
        <v>691.50238283273</v>
      </c>
      <c r="AD87" s="330" t="n">
        <f aca="false">IF($N45=0,0,IF($R45="SL",SLN($N45,$O45,$Q45)*IF(YEAR($P45)&lt;AD$3,IF(YEAR($P45)+$Q45=AD$3,(MONTH($P45)-1)/12,IF(YEAR($P45)+$Q45&lt;AD$3,0,1)),IF(YEAR($P45)&gt;AD$3,0,(12-MONTH($P45)+1)/12)),IF(YEAR($P45)&gt;AD$3,0,VDB($N45,$O45,$Q45,IF(YEAR($P45)=AD$3,0,MIN($Q45,(DATE(AD$3,1,1)-$P45)/365)),MIN($Q45,(DATE(AD$3,12,31)-$P45)/365),$S45))))</f>
        <v>693.402114653699</v>
      </c>
      <c r="AE87" s="330" t="n">
        <f aca="false">IF($N45=0,0,IF($R45="SL",SLN($N45,$O45,$Q45)*IF(YEAR($P45)&lt;AE$3,IF(YEAR($P45)+$Q45=AE$3,(MONTH($P45)-1)/12,IF(YEAR($P45)+$Q45&lt;AE$3,0,1)),IF(YEAR($P45)&gt;AE$3,0,(12-MONTH($P45)+1)/12)),IF(YEAR($P45)&gt;AE$3,0,VDB($N45,$O45,$Q45,IF(YEAR($P45)=AE$3,0,MIN($Q45,(DATE(AE$3,1,1)-$P45)/365)),MIN($Q45,(DATE(AE$3,12,31)-$P45)/365),$S45))))</f>
        <v>691.50238283273</v>
      </c>
      <c r="AF87" s="330" t="n">
        <f aca="false">IF($N45=0,0,IF($R45="SL",SLN($N45,$O45,$Q45)*IF(YEAR($P45)&lt;AF$3,IF(YEAR($P45)+$Q45=AF$3,(MONTH($P45)-1)/12,IF(YEAR($P45)+$Q45&lt;AF$3,0,1)),IF(YEAR($P45)&gt;AF$3,0,(12-MONTH($P45)+1)/12)),IF(YEAR($P45)&gt;AF$3,0,VDB($N45,$O45,$Q45,IF(YEAR($P45)=AF$3,0,MIN($Q45,(DATE(AF$3,1,1)-$P45)/365)),MIN($Q45,(DATE(AF$3,12,31)-$P45)/365),$S45))))</f>
        <v>691.50238283273</v>
      </c>
    </row>
    <row r="88" customFormat="false" ht="11.25" hidden="false" customHeight="false" outlineLevel="1" collapsed="false">
      <c r="C88" s="331" t="str">
        <f aca="false">+L46</f>
        <v>Contract Buy-Out</v>
      </c>
      <c r="D88" s="331"/>
      <c r="E88" s="331"/>
      <c r="F88" s="331"/>
      <c r="G88" s="331"/>
      <c r="H88" s="331"/>
      <c r="I88" s="332" t="n">
        <f aca="false">IF(Summary!O109=1,-1,1)*IF($N46=0,0,IF($R46="SL",SLN($N46,$O46,$Q46)*IF(YEAR($P46)&lt;(J$3-1),IF(YEAR($P46)+$Q46=J$3-1,(MONTH($P46)-1)/12,IF(YEAR($P46)+$Q46&lt;J$3-1,0,1)),IF(YEAR($P46)&gt;J$3-1,0,(12-MONTH($P46)+1)/12)),IF(YEAR($P46)&gt;J$3-1,0,VDB($N46,$O46,$Q46,IF(YEAR($P46)=J$3-1,0,MIN($Q46,(DATE(J$3-1,1,1)-$P46)/365)),MIN($Q46,(DATE(J$3-1,12,31)-$P46)/365),$S46))))</f>
        <v>0</v>
      </c>
      <c r="J88" s="332" t="n">
        <f aca="false">IF(Summary!O109=1,-1,1)*IF($N46=0,0,IF($R46="SL",SLN($N46,$O46,$Q46)*IF(YEAR($P46)&lt;J$3,IF(YEAR($P46)+$Q46=J$3,(MONTH($P46)-1)/12,IF(YEAR($P46)+$Q46&lt;J$3,0,1)),IF(YEAR($P46)&gt;J$3,0,(12-MONTH($P46)+1)/12)),IF(YEAR($P46)&gt;J$3,0,VDB($N46,$O46,$Q46,IF(YEAR($P46)=J$3,0,MIN($Q46,(DATE(J$3,1,1)-$P46)/365)),MIN($Q46,(DATE(J$3,12,31)-$P46)/365),$S46))))</f>
        <v>0</v>
      </c>
      <c r="K88" s="332" t="n">
        <f aca="false">IF(Summary!O109=1,-1,1)*IF($N46=0,0,IF($R46="SL",SLN($N46,$O46,$Q46)*IF(YEAR($P46)&lt;K$3,IF(YEAR($P46)+$Q46=K$3,(MONTH($P46)-1)/12,IF(YEAR($P46)+$Q46&lt;K$3,0,1)),IF(YEAR($P46)&gt;K$3,0,(12-MONTH($P46)+1)/12)),IF(YEAR($P46)&gt;K$3,0,VDB($N46,$O46,$Q46,IF(YEAR($P46)=K$3,0,MIN($Q46,(DATE(K$3,1,1)-$P46)/365)),MIN($Q46,(DATE(K$3,12,31)-$P46)/365),$S46))))</f>
        <v>0</v>
      </c>
      <c r="L88" s="332" t="n">
        <f aca="false">IF(Summary!O109=1,-1,1)*IF($N46=0,0,IF($R46="SL",SLN($N46,$O46,$Q46)*IF(YEAR($P46)&lt;L$3,IF(YEAR($P46)+$Q46=L$3,(MONTH($P46)-1)/12,IF(YEAR($P46)+$Q46&lt;L$3,0,1)),IF(YEAR($P46)&gt;L$3,0,(12-MONTH($P46)+1)/12)),IF(YEAR($P46)&gt;L$3,0,VDB($N46,$O46,$Q46,IF(YEAR($P46)=L$3,0,MIN($Q46,(DATE(L$3,1,1)-$P46)/365)),MIN($Q46,(DATE(L$3,12,31)-$P46)/365),$S46))))</f>
        <v>0</v>
      </c>
      <c r="M88" s="332" t="n">
        <f aca="false">IF(Summary!O109=1,-1,1)*IF($N46=0,0,IF($R46="SL",SLN($N46,$O46,$Q46)*IF(YEAR($P46)&lt;M$3,IF(YEAR($P46)+$Q46=M$3,(MONTH($P46)-1)/12,IF(YEAR($P46)+$Q46&lt;M$3,0,1)),IF(YEAR($P46)&gt;M$3,0,(12-MONTH($P46)+1)/12)),IF(YEAR($P46)&gt;M$3,0,VDB($N46,$O46,$Q46,IF(YEAR($P46)=M$3,0,MIN($Q46,(DATE(M$3,1,1)-$P46)/365)),MIN($Q46,(DATE(M$3,12,31)-$P46)/365),$S46))))</f>
        <v>0</v>
      </c>
      <c r="N88" s="332" t="n">
        <f aca="false">IF(Summary!O109=1,-1,1)*IF($N46=0,0,IF($R46="SL",SLN($N46,$O46,$Q46)*IF(YEAR($P46)&lt;N$3,IF(YEAR($P46)+$Q46=N$3,(MONTH($P46)-1)/12,IF(YEAR($P46)+$Q46&lt;N$3,0,1)),IF(YEAR($P46)&gt;N$3,0,(12-MONTH($P46)+1)/12)),IF(YEAR($P46)&gt;N$3,0,VDB($N46,$O46,$Q46,IF(YEAR($P46)=N$3,0,MIN($Q46,(DATE(N$3,1,1)-$P46)/365)),MIN($Q46,(DATE(N$3,12,31)-$P46)/365),$S46))))</f>
        <v>0</v>
      </c>
      <c r="O88" s="332" t="n">
        <f aca="false">IF(Summary!O109=1,-1,1)*IF($N46=0,0,IF($R46="SL",SLN($N46,$O46,$Q46)*IF(YEAR($P46)&lt;O$3,IF(YEAR($P46)+$Q46=O$3,(MONTH($P46)-1)/12,IF(YEAR($P46)+$Q46&lt;O$3,0,1)),IF(YEAR($P46)&gt;O$3,0,(12-MONTH($P46)+1)/12)),IF(YEAR($P46)&gt;O$3,0,VDB($N46,$O46,$Q46,IF(YEAR($P46)=O$3,0,MIN($Q46,(DATE(O$3,1,1)-$P46)/365)),MIN($Q46,(DATE(O$3,12,31)-$P46)/365),$S46))))</f>
        <v>0</v>
      </c>
      <c r="P88" s="332" t="n">
        <f aca="false">IF(Summary!O109=1,-1,1)*IF($N46=0,0,IF($R46="SL",SLN($N46,$O46,$Q46)*IF(YEAR($P46)&lt;P$3,IF(YEAR($P46)+$Q46=P$3,(MONTH($P46)-1)/12,IF(YEAR($P46)+$Q46&lt;P$3,0,1)),IF(YEAR($P46)&gt;P$3,0,(12-MONTH($P46)+1)/12)),IF(YEAR($P46)&gt;P$3,0,VDB($N46,$O46,$Q46,IF(YEAR($P46)=P$3,0,MIN($Q46,(DATE(P$3,1,1)-$P46)/365)),MIN($Q46,(DATE(P$3,12,31)-$P46)/365),$S46))))</f>
        <v>0</v>
      </c>
      <c r="Q88" s="332" t="n">
        <f aca="false">IF(Summary!O109=1,-1,1)*IF($N46=0,0,IF($R46="SL",SLN($N46,$O46,$Q46)*IF(YEAR($P46)&lt;Q$3,IF(YEAR($P46)+$Q46=Q$3,(MONTH($P46)-1)/12,IF(YEAR($P46)+$Q46&lt;Q$3,0,1)),IF(YEAR($P46)&gt;Q$3,0,(12-MONTH($P46)+1)/12)),IF(YEAR($P46)&gt;Q$3,0,VDB($N46,$O46,$Q46,IF(YEAR($P46)=Q$3,0,MIN($Q46,(DATE(Q$3,1,1)-$P46)/365)),MIN($Q46,(DATE(Q$3,12,31)-$P46)/365),$S46))))</f>
        <v>0</v>
      </c>
      <c r="R88" s="332" t="n">
        <f aca="false">IF(Summary!O109=1,-1,1)*IF($N46=0,0,IF($R46="SL",SLN($N46,$O46,$Q46)*IF(YEAR($P46)&lt;R$3,IF(YEAR($P46)+$Q46=R$3,(MONTH($P46)-1)/12,IF(YEAR($P46)+$Q46&lt;R$3,0,1)),IF(YEAR($P46)&gt;R$3,0,(12-MONTH($P46)+1)/12)),IF(YEAR($P46)&gt;R$3,0,VDB($N46,$O46,$Q46,IF(YEAR($P46)=R$3,0,MIN($Q46,(DATE(R$3,1,1)-$P46)/365)),MIN($Q46,(DATE(R$3,12,31)-$P46)/365),$S46))))</f>
        <v>0</v>
      </c>
      <c r="S88" s="332" t="n">
        <f aca="false">IF(Summary!O109=1,-1,1)*IF($N46=0,0,IF($R46="SL",SLN($N46,$O46,$Q46)*IF(YEAR($P46)&lt;S$3,IF(YEAR($P46)+$Q46=S$3,(MONTH($P46)-1)/12,IF(YEAR($P46)+$Q46&lt;S$3,0,1)),IF(YEAR($P46)&gt;S$3,0,(12-MONTH($P46)+1)/12)),IF(YEAR($P46)&gt;S$3,0,VDB($N46,$O46,$Q46,IF(YEAR($P46)=S$3,0,MIN($Q46,(DATE(S$3,1,1)-$P46)/365)),MIN($Q46,(DATE(S$3,12,31)-$P46)/365),$S46))))</f>
        <v>0</v>
      </c>
      <c r="T88" s="332" t="n">
        <f aca="false">IF(Summary!O109=1,-1,1)*IF($N46=0,0,IF($R46="SL",SLN($N46,$O46,$Q46)*IF(YEAR($P46)&lt;T$3,IF(YEAR($P46)+$Q46=T$3,(MONTH($P46)-1)/12,IF(YEAR($P46)+$Q46&lt;T$3,0,1)),IF(YEAR($P46)&gt;T$3,0,(12-MONTH($P46)+1)/12)),IF(YEAR($P46)&gt;T$3,0,VDB($N46,$O46,$Q46,IF(YEAR($P46)=T$3,0,MIN($Q46,(DATE(T$3,1,1)-$P46)/365)),MIN($Q46,(DATE(T$3,12,31)-$P46)/365),$S46))))</f>
        <v>0</v>
      </c>
      <c r="U88" s="332" t="n">
        <f aca="false">IF(Summary!O109=1,-1,1)*IF($N46=0,0,IF($R46="SL",SLN($N46,$O46,$Q46)*IF(YEAR($P46)&lt;U$3,IF(YEAR($P46)+$Q46=U$3,(MONTH($P46)-1)/12,IF(YEAR($P46)+$Q46&lt;U$3,0,1)),IF(YEAR($P46)&gt;U$3,0,(12-MONTH($P46)+1)/12)),IF(YEAR($P46)&gt;U$3,0,VDB($N46,$O46,$Q46,IF(YEAR($P46)=U$3,0,MIN($Q46,(DATE(U$3,1,1)-$P46)/365)),MIN($Q46,(DATE(U$3,12,31)-$P46)/365),$S46))))</f>
        <v>0</v>
      </c>
      <c r="V88" s="332" t="n">
        <f aca="false">IF(Summary!O109=1,-1,1)*IF($N46=0,0,IF($R46="SL",SLN($N46,$O46,$Q46)*IF(YEAR($P46)&lt;V$3,IF(YEAR($P46)+$Q46=V$3,(MONTH($P46)-1)/12,IF(YEAR($P46)+$Q46&lt;V$3,0,1)),IF(YEAR($P46)&gt;V$3,0,(12-MONTH($P46)+1)/12)),IF(YEAR($P46)&gt;V$3,0,VDB($N46,$O46,$Q46,IF(YEAR($P46)=V$3,0,MIN($Q46,(DATE(V$3,1,1)-$P46)/365)),MIN($Q46,(DATE(V$3,12,31)-$P46)/365),$S46))))</f>
        <v>0</v>
      </c>
      <c r="W88" s="332" t="n">
        <f aca="false">IF(Summary!O109=1,-1,1)*IF($N46=0,0,IF($R46="SL",SLN($N46,$O46,$Q46)*IF(YEAR($P46)&lt;W$3,IF(YEAR($P46)+$Q46=W$3,(MONTH($P46)-1)/12,IF(YEAR($P46)+$Q46&lt;W$3,0,1)),IF(YEAR($P46)&gt;W$3,0,(12-MONTH($P46)+1)/12)),IF(YEAR($P46)&gt;W$3,0,VDB($N46,$O46,$Q46,IF(YEAR($P46)=W$3,0,MIN($Q46,(DATE(W$3,1,1)-$P46)/365)),MIN($Q46,(DATE(W$3,12,31)-$P46)/365),$S46))))</f>
        <v>0</v>
      </c>
      <c r="X88" s="332" t="n">
        <f aca="false">IF(Summary!O109=1,-1,1)*IF($N46=0,0,IF($R46="SL",SLN($N46,$O46,$Q46)*IF(YEAR($P46)&lt;X$3,IF(YEAR($P46)+$Q46=X$3,(MONTH($P46)-1)/12,IF(YEAR($P46)+$Q46&lt;X$3,0,1)),IF(YEAR($P46)&gt;X$3,0,(12-MONTH($P46)+1)/12)),IF(YEAR($P46)&gt;X$3,0,VDB($N46,$O46,$Q46,IF(YEAR($P46)=X$3,0,MIN($Q46,(DATE(X$3,1,1)-$P46)/365)),MIN($Q46,(DATE(X$3,12,31)-$P46)/365),$S46))))</f>
        <v>0</v>
      </c>
      <c r="Y88" s="332" t="n">
        <f aca="false">IF(Summary!O109=1,-1,1)*IF($N46=0,0,IF($R46="SL",SLN($N46,$O46,$Q46)*IF(YEAR($P46)&lt;Y$3,IF(YEAR($P46)+$Q46=Y$3,(MONTH($P46)-1)/12,IF(YEAR($P46)+$Q46&lt;Y$3,0,1)),IF(YEAR($P46)&gt;Y$3,0,(12-MONTH($P46)+1)/12)),IF(YEAR($P46)&gt;Y$3,0,VDB($N46,$O46,$Q46,IF(YEAR($P46)=Y$3,0,MIN($Q46,(DATE(Y$3,1,1)-$P46)/365)),MIN($Q46,(DATE(Y$3,12,31)-$P46)/365),$S46))))</f>
        <v>0</v>
      </c>
      <c r="Z88" s="332" t="n">
        <f aca="false">IF(Summary!O109=1,-1,1)*IF($N46=0,0,IF($R46="SL",SLN($N46,$O46,$Q46)*IF(YEAR($P46)&lt;Z$3,IF(YEAR($P46)+$Q46=Z$3,(MONTH($P46)-1)/12,IF(YEAR($P46)+$Q46&lt;Z$3,0,1)),IF(YEAR($P46)&gt;Z$3,0,(12-MONTH($P46)+1)/12)),IF(YEAR($P46)&gt;Z$3,0,VDB($N46,$O46,$Q46,IF(YEAR($P46)=Z$3,0,MIN($Q46,(DATE(Z$3,1,1)-$P46)/365)),MIN($Q46,(DATE(Z$3,12,31)-$P46)/365),$S46))))</f>
        <v>0</v>
      </c>
      <c r="AA88" s="332" t="n">
        <f aca="false">IF(Summary!O109=1,-1,1)*IF($N46=0,0,IF($R46="SL",SLN($N46,$O46,$Q46)*IF(YEAR($P46)&lt;AA$3,IF(YEAR($P46)+$Q46=AA$3,(MONTH($P46)-1)/12,IF(YEAR($P46)+$Q46&lt;AA$3,0,1)),IF(YEAR($P46)&gt;AA$3,0,(12-MONTH($P46)+1)/12)),IF(YEAR($P46)&gt;AA$3,0,VDB($N46,$O46,$Q46,IF(YEAR($P46)=AA$3,0,MIN($Q46,(DATE(AA$3,1,1)-$P46)/365)),MIN($Q46,(DATE(AA$3,12,31)-$P46)/365),$S46))))</f>
        <v>0</v>
      </c>
      <c r="AB88" s="332" t="n">
        <f aca="false">IF(Summary!O109=1,-1,1)*IF($N46=0,0,IF($R46="SL",SLN($N46,$O46,$Q46)*IF(YEAR($P46)&lt;AB$3,IF(YEAR($P46)+$Q46=AB$3,(MONTH($P46)-1)/12,IF(YEAR($P46)+$Q46&lt;AB$3,0,1)),IF(YEAR($P46)&gt;AB$3,0,(12-MONTH($P46)+1)/12)),IF(YEAR($P46)&gt;AB$3,0,VDB($N46,$O46,$Q46,IF(YEAR($P46)=AB$3,0,MIN($Q46,(DATE(AB$3,1,1)-$P46)/365)),MIN($Q46,(DATE(AB$3,12,31)-$P46)/365),$S46))))</f>
        <v>0</v>
      </c>
      <c r="AC88" s="332" t="n">
        <f aca="false">IF(Summary!O109=1,-1,1)*IF($N46=0,0,IF($R46="SL",SLN($N46,$O46,$Q46)*IF(YEAR($P46)&lt;AC$3,IF(YEAR($P46)+$Q46=AC$3,(MONTH($P46)-1)/12,IF(YEAR($P46)+$Q46&lt;AC$3,0,1)),IF(YEAR($P46)&gt;AC$3,0,(12-MONTH($P46)+1)/12)),IF(YEAR($P46)&gt;AC$3,0,VDB($N46,$O46,$Q46,IF(YEAR($P46)=AC$3,0,MIN($Q46,(DATE(AC$3,1,1)-$P46)/365)),MIN($Q46,(DATE(AC$3,12,31)-$P46)/365),$S46))))</f>
        <v>0</v>
      </c>
      <c r="AD88" s="332" t="n">
        <f aca="false">IF(Summary!O109=1,-1,1)*IF($N46=0,0,IF($R46="SL",SLN($N46,$O46,$Q46)*IF(YEAR($P46)&lt;AD$3,IF(YEAR($P46)+$Q46=AD$3,(MONTH($P46)-1)/12,IF(YEAR($P46)+$Q46&lt;AD$3,0,1)),IF(YEAR($P46)&gt;AD$3,0,(12-MONTH($P46)+1)/12)),IF(YEAR($P46)&gt;AD$3,0,VDB($N46,$O46,$Q46,IF(YEAR($P46)=AD$3,0,MIN($Q46,(DATE(AD$3,1,1)-$P46)/365)),MIN($Q46,(DATE(AD$3,12,31)-$P46)/365),$S46))))</f>
        <v>0</v>
      </c>
      <c r="AE88" s="332" t="n">
        <f aca="false">IF(Summary!O109=1,-1,1)*IF($N46=0,0,IF($R46="SL",SLN($N46,$O46,$Q46)*IF(YEAR($P46)&lt;AE$3,IF(YEAR($P46)+$Q46=AE$3,(MONTH($P46)-1)/12,IF(YEAR($P46)+$Q46&lt;AE$3,0,1)),IF(YEAR($P46)&gt;AE$3,0,(12-MONTH($P46)+1)/12)),IF(YEAR($P46)&gt;AE$3,0,VDB($N46,$O46,$Q46,IF(YEAR($P46)=AE$3,0,MIN($Q46,(DATE(AE$3,1,1)-$P46)/365)),MIN($Q46,(DATE(AE$3,12,31)-$P46)/365),$S46))))</f>
        <v>0</v>
      </c>
      <c r="AF88" s="332" t="n">
        <f aca="false">IF(Summary!O109=1,-1,1)*IF($N46=0,0,IF($R46="SL",SLN($N46,$O46,$Q46)*IF(YEAR($P46)&lt;AF$3,IF(YEAR($P46)+$Q46=AF$3,(MONTH($P46)-1)/12,IF(YEAR($P46)+$Q46&lt;AF$3,0,1)),IF(YEAR($P46)&gt;AF$3,0,(12-MONTH($P46)+1)/12)),IF(YEAR($P46)&gt;AF$3,0,VDB($N46,$O46,$Q46,IF(YEAR($P46)=AF$3,0,MIN($Q46,(DATE(AF$3,1,1)-$P46)/365)),MIN($Q46,(DATE(AF$3,12,31)-$P46)/365),$S46))))</f>
        <v>0</v>
      </c>
    </row>
    <row r="89" customFormat="false" ht="11.25" hidden="false" customHeight="false" outlineLevel="1" collapsed="false">
      <c r="C89" s="235" t="str">
        <f aca="false">+L47</f>
        <v>Asset 6</v>
      </c>
      <c r="I89" s="330" t="n">
        <f aca="false">IF($N47=0,0,IF($R47="SL",SLN($N47,$O47,$Q47)*IF(YEAR($P47)&lt;(J$3-1),IF(YEAR($P47)+$Q47=J$3-1,(MONTH($P47)-1)/12,IF(YEAR($P47)+$Q47&lt;J$3-1,0,1)),IF(YEAR($P47)&gt;J$3-1,0,(12-MONTH($P47)+1)/12)),IF(YEAR($P47)&gt;J$3-1,0,VDB($N47,$O47,$Q47,IF(YEAR($P47)=J$3-1,0,MIN($Q47,(DATE(J$3-1,1,1)-$P47)/365)),MIN($Q47,(DATE(J$3-1,12,31)-$P47)/365),$S47))))</f>
        <v>0</v>
      </c>
      <c r="J89" s="330" t="n">
        <f aca="false">IF($N47=0,0,IF($R47="SL",SLN($N47,$O47,$Q47)*IF(YEAR($P47)&lt;J$3,IF(YEAR($P47)+$Q47=J$3,(MONTH($P47)-1)/12,IF(YEAR($P47)+$Q47&lt;J$3,0,1)),IF(YEAR($P47)&gt;J$3,0,(12-MONTH($P47)+1)/12)),IF(YEAR($P47)&gt;J$3,0,VDB($N47,$O47,$Q47,IF(YEAR($P47)=J$3,0,MIN($Q47,(DATE(J$3,1,1)-$P47)/365)),MIN($Q47,(DATE(J$3,12,31)-$P47)/365),$S47))))</f>
        <v>0</v>
      </c>
      <c r="K89" s="330" t="n">
        <f aca="false">IF($N47=0,0,IF($R47="SL",SLN($N47,$O47,$Q47)*IF(YEAR($P47)&lt;K$3,IF(YEAR($P47)+$Q47=K$3,(MONTH($P47)-1)/12,IF(YEAR($P47)+$Q47&lt;K$3,0,1)),IF(YEAR($P47)&gt;K$3,0,(12-MONTH($P47)+1)/12)),IF(YEAR($P47)&gt;K$3,0,VDB($N47,$O47,$Q47,IF(YEAR($P47)=K$3,0,MIN($Q47,(DATE(K$3,1,1)-$P47)/365)),MIN($Q47,(DATE(K$3,12,31)-$P47)/365),$S47))))</f>
        <v>0</v>
      </c>
      <c r="L89" s="330" t="n">
        <f aca="false">IF($N47=0,0,IF($R47="SL",SLN($N47,$O47,$Q47)*IF(YEAR($P47)&lt;L$3,IF(YEAR($P47)+$Q47=L$3,(MONTH($P47)-1)/12,IF(YEAR($P47)+$Q47&lt;L$3,0,1)),IF(YEAR($P47)&gt;L$3,0,(12-MONTH($P47)+1)/12)),IF(YEAR($P47)&gt;L$3,0,VDB($N47,$O47,$Q47,IF(YEAR($P47)=L$3,0,MIN($Q47,(DATE(L$3,1,1)-$P47)/365)),MIN($Q47,(DATE(L$3,12,31)-$P47)/365),$S47))))</f>
        <v>0</v>
      </c>
      <c r="M89" s="330" t="n">
        <f aca="false">IF($N47=0,0,IF($R47="SL",SLN($N47,$O47,$Q47)*IF(YEAR($P47)&lt;M$3,IF(YEAR($P47)+$Q47=M$3,(MONTH($P47)-1)/12,IF(YEAR($P47)+$Q47&lt;M$3,0,1)),IF(YEAR($P47)&gt;M$3,0,(12-MONTH($P47)+1)/12)),IF(YEAR($P47)&gt;M$3,0,VDB($N47,$O47,$Q47,IF(YEAR($P47)=M$3,0,MIN($Q47,(DATE(M$3,1,1)-$P47)/365)),MIN($Q47,(DATE(M$3,12,31)-$P47)/365),$S47))))</f>
        <v>0</v>
      </c>
      <c r="N89" s="330" t="n">
        <f aca="false">IF($N47=0,0,IF($R47="SL",SLN($N47,$O47,$Q47)*IF(YEAR($P47)&lt;N$3,IF(YEAR($P47)+$Q47=N$3,(MONTH($P47)-1)/12,IF(YEAR($P47)+$Q47&lt;N$3,0,1)),IF(YEAR($P47)&gt;N$3,0,(12-MONTH($P47)+1)/12)),IF(YEAR($P47)&gt;N$3,0,VDB($N47,$O47,$Q47,IF(YEAR($P47)=N$3,0,MIN($Q47,(DATE(N$3,1,1)-$P47)/365)),MIN($Q47,(DATE(N$3,12,31)-$P47)/365),$S47))))</f>
        <v>0</v>
      </c>
      <c r="O89" s="330" t="n">
        <f aca="false">IF($N47=0,0,IF($R47="SL",SLN($N47,$O47,$Q47)*IF(YEAR($P47)&lt;O$3,IF(YEAR($P47)+$Q47=O$3,(MONTH($P47)-1)/12,IF(YEAR($P47)+$Q47&lt;O$3,0,1)),IF(YEAR($P47)&gt;O$3,0,(12-MONTH($P47)+1)/12)),IF(YEAR($P47)&gt;O$3,0,VDB($N47,$O47,$Q47,IF(YEAR($P47)=O$3,0,MIN($Q47,(DATE(O$3,1,1)-$P47)/365)),MIN($Q47,(DATE(O$3,12,31)-$P47)/365),$S47))))</f>
        <v>0</v>
      </c>
      <c r="P89" s="330" t="n">
        <f aca="false">IF($N47=0,0,IF($R47="SL",SLN($N47,$O47,$Q47)*IF(YEAR($P47)&lt;P$3,IF(YEAR($P47)+$Q47=P$3,(MONTH($P47)-1)/12,IF(YEAR($P47)+$Q47&lt;P$3,0,1)),IF(YEAR($P47)&gt;P$3,0,(12-MONTH($P47)+1)/12)),IF(YEAR($P47)&gt;P$3,0,VDB($N47,$O47,$Q47,IF(YEAR($P47)=P$3,0,MIN($Q47,(DATE(P$3,1,1)-$P47)/365)),MIN($Q47,(DATE(P$3,12,31)-$P47)/365),$S47))))</f>
        <v>0</v>
      </c>
      <c r="Q89" s="330" t="n">
        <f aca="false">IF($N47=0,0,IF($R47="SL",SLN($N47,$O47,$Q47)*IF(YEAR($P47)&lt;Q$3,IF(YEAR($P47)+$Q47=Q$3,(MONTH($P47)-1)/12,IF(YEAR($P47)+$Q47&lt;Q$3,0,1)),IF(YEAR($P47)&gt;Q$3,0,(12-MONTH($P47)+1)/12)),IF(YEAR($P47)&gt;Q$3,0,VDB($N47,$O47,$Q47,IF(YEAR($P47)=Q$3,0,MIN($Q47,(DATE(Q$3,1,1)-$P47)/365)),MIN($Q47,(DATE(Q$3,12,31)-$P47)/365),$S47))))</f>
        <v>0</v>
      </c>
      <c r="R89" s="330" t="n">
        <f aca="false">IF($N47=0,0,IF($R47="SL",SLN($N47,$O47,$Q47)*IF(YEAR($P47)&lt;R$3,IF(YEAR($P47)+$Q47=R$3,(MONTH($P47)-1)/12,IF(YEAR($P47)+$Q47&lt;R$3,0,1)),IF(YEAR($P47)&gt;R$3,0,(12-MONTH($P47)+1)/12)),IF(YEAR($P47)&gt;R$3,0,VDB($N47,$O47,$Q47,IF(YEAR($P47)=R$3,0,MIN($Q47,(DATE(R$3,1,1)-$P47)/365)),MIN($Q47,(DATE(R$3,12,31)-$P47)/365),$S47))))</f>
        <v>0</v>
      </c>
      <c r="S89" s="330" t="n">
        <f aca="false">IF($N47=0,0,IF($R47="SL",SLN($N47,$O47,$Q47)*IF(YEAR($P47)&lt;S$3,IF(YEAR($P47)+$Q47=S$3,(MONTH($P47)-1)/12,IF(YEAR($P47)+$Q47&lt;S$3,0,1)),IF(YEAR($P47)&gt;S$3,0,(12-MONTH($P47)+1)/12)),IF(YEAR($P47)&gt;S$3,0,VDB($N47,$O47,$Q47,IF(YEAR($P47)=S$3,0,MIN($Q47,(DATE(S$3,1,1)-$P47)/365)),MIN($Q47,(DATE(S$3,12,31)-$P47)/365),$S47))))</f>
        <v>0</v>
      </c>
      <c r="T89" s="330" t="n">
        <f aca="false">IF($N47=0,0,IF($R47="SL",SLN($N47,$O47,$Q47)*IF(YEAR($P47)&lt;T$3,IF(YEAR($P47)+$Q47=T$3,(MONTH($P47)-1)/12,IF(YEAR($P47)+$Q47&lt;T$3,0,1)),IF(YEAR($P47)&gt;T$3,0,(12-MONTH($P47)+1)/12)),IF(YEAR($P47)&gt;T$3,0,VDB($N47,$O47,$Q47,IF(YEAR($P47)=T$3,0,MIN($Q47,(DATE(T$3,1,1)-$P47)/365)),MIN($Q47,(DATE(T$3,12,31)-$P47)/365),$S47))))</f>
        <v>0</v>
      </c>
      <c r="U89" s="330" t="n">
        <f aca="false">IF($N47=0,0,IF($R47="SL",SLN($N47,$O47,$Q47)*IF(YEAR($P47)&lt;U$3,IF(YEAR($P47)+$Q47=U$3,(MONTH($P47)-1)/12,IF(YEAR($P47)+$Q47&lt;U$3,0,1)),IF(YEAR($P47)&gt;U$3,0,(12-MONTH($P47)+1)/12)),IF(YEAR($P47)&gt;U$3,0,VDB($N47,$O47,$Q47,IF(YEAR($P47)=U$3,0,MIN($Q47,(DATE(U$3,1,1)-$P47)/365)),MIN($Q47,(DATE(U$3,12,31)-$P47)/365),$S47))))</f>
        <v>0</v>
      </c>
      <c r="V89" s="330" t="n">
        <f aca="false">IF($N47=0,0,IF($R47="SL",SLN($N47,$O47,$Q47)*IF(YEAR($P47)&lt;V$3,IF(YEAR($P47)+$Q47=V$3,(MONTH($P47)-1)/12,IF(YEAR($P47)+$Q47&lt;V$3,0,1)),IF(YEAR($P47)&gt;V$3,0,(12-MONTH($P47)+1)/12)),IF(YEAR($P47)&gt;V$3,0,VDB($N47,$O47,$Q47,IF(YEAR($P47)=V$3,0,MIN($Q47,(DATE(V$3,1,1)-$P47)/365)),MIN($Q47,(DATE(V$3,12,31)-$P47)/365),$S47))))</f>
        <v>0</v>
      </c>
      <c r="W89" s="330" t="n">
        <f aca="false">IF($N47=0,0,IF($R47="SL",SLN($N47,$O47,$Q47)*IF(YEAR($P47)&lt;W$3,IF(YEAR($P47)+$Q47=W$3,(MONTH($P47)-1)/12,IF(YEAR($P47)+$Q47&lt;W$3,0,1)),IF(YEAR($P47)&gt;W$3,0,(12-MONTH($P47)+1)/12)),IF(YEAR($P47)&gt;W$3,0,VDB($N47,$O47,$Q47,IF(YEAR($P47)=W$3,0,MIN($Q47,(DATE(W$3,1,1)-$P47)/365)),MIN($Q47,(DATE(W$3,12,31)-$P47)/365),$S47))))</f>
        <v>0</v>
      </c>
      <c r="X89" s="330" t="n">
        <f aca="false">IF($N47=0,0,IF($R47="SL",SLN($N47,$O47,$Q47)*IF(YEAR($P47)&lt;X$3,IF(YEAR($P47)+$Q47=X$3,(MONTH($P47)-1)/12,IF(YEAR($P47)+$Q47&lt;X$3,0,1)),IF(YEAR($P47)&gt;X$3,0,(12-MONTH($P47)+1)/12)),IF(YEAR($P47)&gt;X$3,0,VDB($N47,$O47,$Q47,IF(YEAR($P47)=X$3,0,MIN($Q47,(DATE(X$3,1,1)-$P47)/365)),MIN($Q47,(DATE(X$3,12,31)-$P47)/365),$S47))))</f>
        <v>0</v>
      </c>
      <c r="Y89" s="330" t="n">
        <f aca="false">IF($N47=0,0,IF($R47="SL",SLN($N47,$O47,$Q47)*IF(YEAR($P47)&lt;Y$3,IF(YEAR($P47)+$Q47=Y$3,(MONTH($P47)-1)/12,IF(YEAR($P47)+$Q47&lt;Y$3,0,1)),IF(YEAR($P47)&gt;Y$3,0,(12-MONTH($P47)+1)/12)),IF(YEAR($P47)&gt;Y$3,0,VDB($N47,$O47,$Q47,IF(YEAR($P47)=Y$3,0,MIN($Q47,(DATE(Y$3,1,1)-$P47)/365)),MIN($Q47,(DATE(Y$3,12,31)-$P47)/365),$S47))))</f>
        <v>0</v>
      </c>
      <c r="Z89" s="330" t="n">
        <f aca="false">IF($N47=0,0,IF($R47="SL",SLN($N47,$O47,$Q47)*IF(YEAR($P47)&lt;Z$3,IF(YEAR($P47)+$Q47=Z$3,(MONTH($P47)-1)/12,IF(YEAR($P47)+$Q47&lt;Z$3,0,1)),IF(YEAR($P47)&gt;Z$3,0,(12-MONTH($P47)+1)/12)),IF(YEAR($P47)&gt;Z$3,0,VDB($N47,$O47,$Q47,IF(YEAR($P47)=Z$3,0,MIN($Q47,(DATE(Z$3,1,1)-$P47)/365)),MIN($Q47,(DATE(Z$3,12,31)-$P47)/365),$S47))))</f>
        <v>0</v>
      </c>
      <c r="AA89" s="330" t="n">
        <f aca="false">IF($N47=0,0,IF($R47="SL",SLN($N47,$O47,$Q47)*IF(YEAR($P47)&lt;AA$3,IF(YEAR($P47)+$Q47=AA$3,(MONTH($P47)-1)/12,IF(YEAR($P47)+$Q47&lt;AA$3,0,1)),IF(YEAR($P47)&gt;AA$3,0,(12-MONTH($P47)+1)/12)),IF(YEAR($P47)&gt;AA$3,0,VDB($N47,$O47,$Q47,IF(YEAR($P47)=AA$3,0,MIN($Q47,(DATE(AA$3,1,1)-$P47)/365)),MIN($Q47,(DATE(AA$3,12,31)-$P47)/365),$S47))))</f>
        <v>0</v>
      </c>
      <c r="AB89" s="330" t="n">
        <f aca="false">IF($N47=0,0,IF($R47="SL",SLN($N47,$O47,$Q47)*IF(YEAR($P47)&lt;AB$3,IF(YEAR($P47)+$Q47=AB$3,(MONTH($P47)-1)/12,IF(YEAR($P47)+$Q47&lt;AB$3,0,1)),IF(YEAR($P47)&gt;AB$3,0,(12-MONTH($P47)+1)/12)),IF(YEAR($P47)&gt;AB$3,0,VDB($N47,$O47,$Q47,IF(YEAR($P47)=AB$3,0,MIN($Q47,(DATE(AB$3,1,1)-$P47)/365)),MIN($Q47,(DATE(AB$3,12,31)-$P47)/365),$S47))))</f>
        <v>0</v>
      </c>
      <c r="AC89" s="330" t="n">
        <f aca="false">IF($N47=0,0,IF($R47="SL",SLN($N47,$O47,$Q47)*IF(YEAR($P47)&lt;AC$3,IF(YEAR($P47)+$Q47=AC$3,(MONTH($P47)-1)/12,IF(YEAR($P47)+$Q47&lt;AC$3,0,1)),IF(YEAR($P47)&gt;AC$3,0,(12-MONTH($P47)+1)/12)),IF(YEAR($P47)&gt;AC$3,0,VDB($N47,$O47,$Q47,IF(YEAR($P47)=AC$3,0,MIN($Q47,(DATE(AC$3,1,1)-$P47)/365)),MIN($Q47,(DATE(AC$3,12,31)-$P47)/365),$S47))))</f>
        <v>0</v>
      </c>
      <c r="AD89" s="330" t="n">
        <f aca="false">IF($N47=0,0,IF($R47="SL",SLN($N47,$O47,$Q47)*IF(YEAR($P47)&lt;AD$3,IF(YEAR($P47)+$Q47=AD$3,(MONTH($P47)-1)/12,IF(YEAR($P47)+$Q47&lt;AD$3,0,1)),IF(YEAR($P47)&gt;AD$3,0,(12-MONTH($P47)+1)/12)),IF(YEAR($P47)&gt;AD$3,0,VDB($N47,$O47,$Q47,IF(YEAR($P47)=AD$3,0,MIN($Q47,(DATE(AD$3,1,1)-$P47)/365)),MIN($Q47,(DATE(AD$3,12,31)-$P47)/365),$S47))))</f>
        <v>0</v>
      </c>
      <c r="AE89" s="330" t="n">
        <f aca="false">IF($N47=0,0,IF($R47="SL",SLN($N47,$O47,$Q47)*IF(YEAR($P47)&lt;AE$3,IF(YEAR($P47)+$Q47=AE$3,(MONTH($P47)-1)/12,IF(YEAR($P47)+$Q47&lt;AE$3,0,1)),IF(YEAR($P47)&gt;AE$3,0,(12-MONTH($P47)+1)/12)),IF(YEAR($P47)&gt;AE$3,0,VDB($N47,$O47,$Q47,IF(YEAR($P47)=AE$3,0,MIN($Q47,(DATE(AE$3,1,1)-$P47)/365)),MIN($Q47,(DATE(AE$3,12,31)-$P47)/365),$S47))))</f>
        <v>0</v>
      </c>
      <c r="AF89" s="330" t="n">
        <f aca="false">IF($N47=0,0,IF($R47="SL",SLN($N47,$O47,$Q47)*IF(YEAR($P47)&lt;AF$3,IF(YEAR($P47)+$Q47=AF$3,(MONTH($P47)-1)/12,IF(YEAR($P47)+$Q47&lt;AF$3,0,1)),IF(YEAR($P47)&gt;AF$3,0,(12-MONTH($P47)+1)/12)),IF(YEAR($P47)&gt;AF$3,0,VDB($N47,$O47,$Q47,IF(YEAR($P47)=AF$3,0,MIN($Q47,(DATE(AF$3,1,1)-$P47)/365)),MIN($Q47,(DATE(AF$3,12,31)-$P47)/365),$S47))))</f>
        <v>0</v>
      </c>
    </row>
    <row r="90" customFormat="false" ht="11.25" hidden="false" customHeight="false" outlineLevel="1" collapsed="false">
      <c r="C90" s="235" t="str">
        <f aca="false">+L48</f>
        <v>Asset 8</v>
      </c>
      <c r="I90" s="330" t="n">
        <f aca="false">IF($N48=0,0,IF($R48="SL",SLN($N48,$O48,$Q48)*IF(YEAR($P48)&lt;(J$3-1),IF(YEAR($P48)+$Q48=J$3-1,(MONTH($P48)-1)/12,IF(YEAR($P48)+$Q48&lt;J$3-1,0,1)),IF(YEAR($P48)&gt;J$3-1,0,(12-MONTH($P48)+1)/12)),IF(YEAR($P48)&gt;J$3-1,0,VDB($N48,$O48,$Q48,IF(YEAR($P48)=J$3-1,0,MIN($Q48,(DATE(J$3-1,1,1)-$P48)/365)),MIN($Q48,(DATE(J$3-1,12,31)-$P48)/365),$S48))))</f>
        <v>0</v>
      </c>
      <c r="J90" s="330" t="n">
        <f aca="false">IF($N48=0,0,IF($R48="SL",SLN($N48,$O48,$Q48)*IF(YEAR($P48)&lt;J$3,IF(YEAR($P48)+$Q48=J$3,(MONTH($P48)-1)/12,IF(YEAR($P48)+$Q48&lt;J$3,0,1)),IF(YEAR($P48)&gt;J$3,0,(12-MONTH($P48)+1)/12)),IF(YEAR($P48)&gt;J$3,0,VDB($N48,$O48,$Q48,IF(YEAR($P48)=J$3,0,MIN($Q48,(DATE(J$3,1,1)-$P48)/365)),MIN($Q48,(DATE(J$3,12,31)-$P48)/365),$S48))))</f>
        <v>0</v>
      </c>
      <c r="K90" s="330" t="n">
        <f aca="false">IF($N48=0,0,IF($R48="SL",SLN($N48,$O48,$Q48)*IF(YEAR($P48)&lt;K$3,IF(YEAR($P48)+$Q48=K$3,(MONTH($P48)-1)/12,IF(YEAR($P48)+$Q48&lt;K$3,0,1)),IF(YEAR($P48)&gt;K$3,0,(12-MONTH($P48)+1)/12)),IF(YEAR($P48)&gt;K$3,0,VDB($N48,$O48,$Q48,IF(YEAR($P48)=K$3,0,MIN($Q48,(DATE(K$3,1,1)-$P48)/365)),MIN($Q48,(DATE(K$3,12,31)-$P48)/365),$S48))))</f>
        <v>0</v>
      </c>
      <c r="L90" s="330" t="n">
        <f aca="false">IF($N48=0,0,IF($R48="SL",SLN($N48,$O48,$Q48)*IF(YEAR($P48)&lt;L$3,IF(YEAR($P48)+$Q48=L$3,(MONTH($P48)-1)/12,IF(YEAR($P48)+$Q48&lt;L$3,0,1)),IF(YEAR($P48)&gt;L$3,0,(12-MONTH($P48)+1)/12)),IF(YEAR($P48)&gt;L$3,0,VDB($N48,$O48,$Q48,IF(YEAR($P48)=L$3,0,MIN($Q48,(DATE(L$3,1,1)-$P48)/365)),MIN($Q48,(DATE(L$3,12,31)-$P48)/365),$S48))))</f>
        <v>0</v>
      </c>
      <c r="M90" s="330" t="n">
        <f aca="false">IF($N48=0,0,IF($R48="SL",SLN($N48,$O48,$Q48)*IF(YEAR($P48)&lt;M$3,IF(YEAR($P48)+$Q48=M$3,(MONTH($P48)-1)/12,IF(YEAR($P48)+$Q48&lt;M$3,0,1)),IF(YEAR($P48)&gt;M$3,0,(12-MONTH($P48)+1)/12)),IF(YEAR($P48)&gt;M$3,0,VDB($N48,$O48,$Q48,IF(YEAR($P48)=M$3,0,MIN($Q48,(DATE(M$3,1,1)-$P48)/365)),MIN($Q48,(DATE(M$3,12,31)-$P48)/365),$S48))))</f>
        <v>0</v>
      </c>
      <c r="N90" s="330" t="n">
        <f aca="false">IF($N48=0,0,IF($R48="SL",SLN($N48,$O48,$Q48)*IF(YEAR($P48)&lt;N$3,IF(YEAR($P48)+$Q48=N$3,(MONTH($P48)-1)/12,IF(YEAR($P48)+$Q48&lt;N$3,0,1)),IF(YEAR($P48)&gt;N$3,0,(12-MONTH($P48)+1)/12)),IF(YEAR($P48)&gt;N$3,0,VDB($N48,$O48,$Q48,IF(YEAR($P48)=N$3,0,MIN($Q48,(DATE(N$3,1,1)-$P48)/365)),MIN($Q48,(DATE(N$3,12,31)-$P48)/365),$S48))))</f>
        <v>0</v>
      </c>
      <c r="O90" s="330" t="n">
        <f aca="false">IF($N48=0,0,IF($R48="SL",SLN($N48,$O48,$Q48)*IF(YEAR($P48)&lt;O$3,IF(YEAR($P48)+$Q48=O$3,(MONTH($P48)-1)/12,IF(YEAR($P48)+$Q48&lt;O$3,0,1)),IF(YEAR($P48)&gt;O$3,0,(12-MONTH($P48)+1)/12)),IF(YEAR($P48)&gt;O$3,0,VDB($N48,$O48,$Q48,IF(YEAR($P48)=O$3,0,MIN($Q48,(DATE(O$3,1,1)-$P48)/365)),MIN($Q48,(DATE(O$3,12,31)-$P48)/365),$S48))))</f>
        <v>0</v>
      </c>
      <c r="P90" s="330" t="n">
        <f aca="false">IF($N48=0,0,IF($R48="SL",SLN($N48,$O48,$Q48)*IF(YEAR($P48)&lt;P$3,IF(YEAR($P48)+$Q48=P$3,(MONTH($P48)-1)/12,IF(YEAR($P48)+$Q48&lt;P$3,0,1)),IF(YEAR($P48)&gt;P$3,0,(12-MONTH($P48)+1)/12)),IF(YEAR($P48)&gt;P$3,0,VDB($N48,$O48,$Q48,IF(YEAR($P48)=P$3,0,MIN($Q48,(DATE(P$3,1,1)-$P48)/365)),MIN($Q48,(DATE(P$3,12,31)-$P48)/365),$S48))))</f>
        <v>0</v>
      </c>
      <c r="Q90" s="330" t="n">
        <f aca="false">IF($N48=0,0,IF($R48="SL",SLN($N48,$O48,$Q48)*IF(YEAR($P48)&lt;Q$3,IF(YEAR($P48)+$Q48=Q$3,(MONTH($P48)-1)/12,IF(YEAR($P48)+$Q48&lt;Q$3,0,1)),IF(YEAR($P48)&gt;Q$3,0,(12-MONTH($P48)+1)/12)),IF(YEAR($P48)&gt;Q$3,0,VDB($N48,$O48,$Q48,IF(YEAR($P48)=Q$3,0,MIN($Q48,(DATE(Q$3,1,1)-$P48)/365)),MIN($Q48,(DATE(Q$3,12,31)-$P48)/365),$S48))))</f>
        <v>0</v>
      </c>
      <c r="R90" s="330" t="n">
        <f aca="false">IF($N48=0,0,IF($R48="SL",SLN($N48,$O48,$Q48)*IF(YEAR($P48)&lt;R$3,IF(YEAR($P48)+$Q48=R$3,(MONTH($P48)-1)/12,IF(YEAR($P48)+$Q48&lt;R$3,0,1)),IF(YEAR($P48)&gt;R$3,0,(12-MONTH($P48)+1)/12)),IF(YEAR($P48)&gt;R$3,0,VDB($N48,$O48,$Q48,IF(YEAR($P48)=R$3,0,MIN($Q48,(DATE(R$3,1,1)-$P48)/365)),MIN($Q48,(DATE(R$3,12,31)-$P48)/365),$S48))))</f>
        <v>0</v>
      </c>
      <c r="S90" s="330" t="n">
        <f aca="false">IF($N48=0,0,IF($R48="SL",SLN($N48,$O48,$Q48)*IF(YEAR($P48)&lt;S$3,IF(YEAR($P48)+$Q48=S$3,(MONTH($P48)-1)/12,IF(YEAR($P48)+$Q48&lt;S$3,0,1)),IF(YEAR($P48)&gt;S$3,0,(12-MONTH($P48)+1)/12)),IF(YEAR($P48)&gt;S$3,0,VDB($N48,$O48,$Q48,IF(YEAR($P48)=S$3,0,MIN($Q48,(DATE(S$3,1,1)-$P48)/365)),MIN($Q48,(DATE(S$3,12,31)-$P48)/365),$S48))))</f>
        <v>0</v>
      </c>
      <c r="T90" s="330" t="n">
        <f aca="false">IF($N48=0,0,IF($R48="SL",SLN($N48,$O48,$Q48)*IF(YEAR($P48)&lt;T$3,IF(YEAR($P48)+$Q48=T$3,(MONTH($P48)-1)/12,IF(YEAR($P48)+$Q48&lt;T$3,0,1)),IF(YEAR($P48)&gt;T$3,0,(12-MONTH($P48)+1)/12)),IF(YEAR($P48)&gt;T$3,0,VDB($N48,$O48,$Q48,IF(YEAR($P48)=T$3,0,MIN($Q48,(DATE(T$3,1,1)-$P48)/365)),MIN($Q48,(DATE(T$3,12,31)-$P48)/365),$S48))))</f>
        <v>0</v>
      </c>
      <c r="U90" s="330" t="n">
        <f aca="false">IF($N48=0,0,IF($R48="SL",SLN($N48,$O48,$Q48)*IF(YEAR($P48)&lt;U$3,IF(YEAR($P48)+$Q48=U$3,(MONTH($P48)-1)/12,IF(YEAR($P48)+$Q48&lt;U$3,0,1)),IF(YEAR($P48)&gt;U$3,0,(12-MONTH($P48)+1)/12)),IF(YEAR($P48)&gt;U$3,0,VDB($N48,$O48,$Q48,IF(YEAR($P48)=U$3,0,MIN($Q48,(DATE(U$3,1,1)-$P48)/365)),MIN($Q48,(DATE(U$3,12,31)-$P48)/365),$S48))))</f>
        <v>0</v>
      </c>
      <c r="V90" s="330" t="n">
        <f aca="false">IF($N48=0,0,IF($R48="SL",SLN($N48,$O48,$Q48)*IF(YEAR($P48)&lt;V$3,IF(YEAR($P48)+$Q48=V$3,(MONTH($P48)-1)/12,IF(YEAR($P48)+$Q48&lt;V$3,0,1)),IF(YEAR($P48)&gt;V$3,0,(12-MONTH($P48)+1)/12)),IF(YEAR($P48)&gt;V$3,0,VDB($N48,$O48,$Q48,IF(YEAR($P48)=V$3,0,MIN($Q48,(DATE(V$3,1,1)-$P48)/365)),MIN($Q48,(DATE(V$3,12,31)-$P48)/365),$S48))))</f>
        <v>0</v>
      </c>
      <c r="W90" s="330" t="n">
        <f aca="false">IF($N48=0,0,IF($R48="SL",SLN($N48,$O48,$Q48)*IF(YEAR($P48)&lt;W$3,IF(YEAR($P48)+$Q48=W$3,(MONTH($P48)-1)/12,IF(YEAR($P48)+$Q48&lt;W$3,0,1)),IF(YEAR($P48)&gt;W$3,0,(12-MONTH($P48)+1)/12)),IF(YEAR($P48)&gt;W$3,0,VDB($N48,$O48,$Q48,IF(YEAR($P48)=W$3,0,MIN($Q48,(DATE(W$3,1,1)-$P48)/365)),MIN($Q48,(DATE(W$3,12,31)-$P48)/365),$S48))))</f>
        <v>0</v>
      </c>
      <c r="X90" s="330" t="n">
        <f aca="false">IF($N48=0,0,IF($R48="SL",SLN($N48,$O48,$Q48)*IF(YEAR($P48)&lt;X$3,IF(YEAR($P48)+$Q48=X$3,(MONTH($P48)-1)/12,IF(YEAR($P48)+$Q48&lt;X$3,0,1)),IF(YEAR($P48)&gt;X$3,0,(12-MONTH($P48)+1)/12)),IF(YEAR($P48)&gt;X$3,0,VDB($N48,$O48,$Q48,IF(YEAR($P48)=X$3,0,MIN($Q48,(DATE(X$3,1,1)-$P48)/365)),MIN($Q48,(DATE(X$3,12,31)-$P48)/365),$S48))))</f>
        <v>0</v>
      </c>
      <c r="Y90" s="330" t="n">
        <f aca="false">IF($N48=0,0,IF($R48="SL",SLN($N48,$O48,$Q48)*IF(YEAR($P48)&lt;Y$3,IF(YEAR($P48)+$Q48=Y$3,(MONTH($P48)-1)/12,IF(YEAR($P48)+$Q48&lt;Y$3,0,1)),IF(YEAR($P48)&gt;Y$3,0,(12-MONTH($P48)+1)/12)),IF(YEAR($P48)&gt;Y$3,0,VDB($N48,$O48,$Q48,IF(YEAR($P48)=Y$3,0,MIN($Q48,(DATE(Y$3,1,1)-$P48)/365)),MIN($Q48,(DATE(Y$3,12,31)-$P48)/365),$S48))))</f>
        <v>0</v>
      </c>
      <c r="Z90" s="330" t="n">
        <f aca="false">IF($N48=0,0,IF($R48="SL",SLN($N48,$O48,$Q48)*IF(YEAR($P48)&lt;Z$3,IF(YEAR($P48)+$Q48=Z$3,(MONTH($P48)-1)/12,IF(YEAR($P48)+$Q48&lt;Z$3,0,1)),IF(YEAR($P48)&gt;Z$3,0,(12-MONTH($P48)+1)/12)),IF(YEAR($P48)&gt;Z$3,0,VDB($N48,$O48,$Q48,IF(YEAR($P48)=Z$3,0,MIN($Q48,(DATE(Z$3,1,1)-$P48)/365)),MIN($Q48,(DATE(Z$3,12,31)-$P48)/365),$S48))))</f>
        <v>0</v>
      </c>
      <c r="AA90" s="330" t="n">
        <f aca="false">IF($N48=0,0,IF($R48="SL",SLN($N48,$O48,$Q48)*IF(YEAR($P48)&lt;AA$3,IF(YEAR($P48)+$Q48=AA$3,(MONTH($P48)-1)/12,IF(YEAR($P48)+$Q48&lt;AA$3,0,1)),IF(YEAR($P48)&gt;AA$3,0,(12-MONTH($P48)+1)/12)),IF(YEAR($P48)&gt;AA$3,0,VDB($N48,$O48,$Q48,IF(YEAR($P48)=AA$3,0,MIN($Q48,(DATE(AA$3,1,1)-$P48)/365)),MIN($Q48,(DATE(AA$3,12,31)-$P48)/365),$S48))))</f>
        <v>0</v>
      </c>
      <c r="AB90" s="330" t="n">
        <f aca="false">IF($N48=0,0,IF($R48="SL",SLN($N48,$O48,$Q48)*IF(YEAR($P48)&lt;AB$3,IF(YEAR($P48)+$Q48=AB$3,(MONTH($P48)-1)/12,IF(YEAR($P48)+$Q48&lt;AB$3,0,1)),IF(YEAR($P48)&gt;AB$3,0,(12-MONTH($P48)+1)/12)),IF(YEAR($P48)&gt;AB$3,0,VDB($N48,$O48,$Q48,IF(YEAR($P48)=AB$3,0,MIN($Q48,(DATE(AB$3,1,1)-$P48)/365)),MIN($Q48,(DATE(AB$3,12,31)-$P48)/365),$S48))))</f>
        <v>0</v>
      </c>
      <c r="AC90" s="330" t="n">
        <f aca="false">IF($N48=0,0,IF($R48="SL",SLN($N48,$O48,$Q48)*IF(YEAR($P48)&lt;AC$3,IF(YEAR($P48)+$Q48=AC$3,(MONTH($P48)-1)/12,IF(YEAR($P48)+$Q48&lt;AC$3,0,1)),IF(YEAR($P48)&gt;AC$3,0,(12-MONTH($P48)+1)/12)),IF(YEAR($P48)&gt;AC$3,0,VDB($N48,$O48,$Q48,IF(YEAR($P48)=AC$3,0,MIN($Q48,(DATE(AC$3,1,1)-$P48)/365)),MIN($Q48,(DATE(AC$3,12,31)-$P48)/365),$S48))))</f>
        <v>0</v>
      </c>
      <c r="AD90" s="330" t="n">
        <f aca="false">IF($N48=0,0,IF($R48="SL",SLN($N48,$O48,$Q48)*IF(YEAR($P48)&lt;AD$3,IF(YEAR($P48)+$Q48=AD$3,(MONTH($P48)-1)/12,IF(YEAR($P48)+$Q48&lt;AD$3,0,1)),IF(YEAR($P48)&gt;AD$3,0,(12-MONTH($P48)+1)/12)),IF(YEAR($P48)&gt;AD$3,0,VDB($N48,$O48,$Q48,IF(YEAR($P48)=AD$3,0,MIN($Q48,(DATE(AD$3,1,1)-$P48)/365)),MIN($Q48,(DATE(AD$3,12,31)-$P48)/365),$S48))))</f>
        <v>0</v>
      </c>
      <c r="AE90" s="330" t="n">
        <f aca="false">IF($N48=0,0,IF($R48="SL",SLN($N48,$O48,$Q48)*IF(YEAR($P48)&lt;AE$3,IF(YEAR($P48)+$Q48=AE$3,(MONTH($P48)-1)/12,IF(YEAR($P48)+$Q48&lt;AE$3,0,1)),IF(YEAR($P48)&gt;AE$3,0,(12-MONTH($P48)+1)/12)),IF(YEAR($P48)&gt;AE$3,0,VDB($N48,$O48,$Q48,IF(YEAR($P48)=AE$3,0,MIN($Q48,(DATE(AE$3,1,1)-$P48)/365)),MIN($Q48,(DATE(AE$3,12,31)-$P48)/365),$S48))))</f>
        <v>0</v>
      </c>
      <c r="AF90" s="330" t="n">
        <f aca="false">IF($N48=0,0,IF($R48="SL",SLN($N48,$O48,$Q48)*IF(YEAR($P48)&lt;AF$3,IF(YEAR($P48)+$Q48=AF$3,(MONTH($P48)-1)/12,IF(YEAR($P48)+$Q48&lt;AF$3,0,1)),IF(YEAR($P48)&gt;AF$3,0,(12-MONTH($P48)+1)/12)),IF(YEAR($P48)&gt;AF$3,0,VDB($N48,$O48,$Q48,IF(YEAR($P48)=AF$3,0,MIN($Q48,(DATE(AF$3,1,1)-$P48)/365)),MIN($Q48,(DATE(AF$3,12,31)-$P48)/365),$S48))))</f>
        <v>0</v>
      </c>
    </row>
    <row r="91" customFormat="false" ht="11.25" hidden="false" customHeight="false" outlineLevel="1" collapsed="false">
      <c r="C91" s="235" t="str">
        <f aca="false">+L49</f>
        <v>Asset 9</v>
      </c>
      <c r="I91" s="330" t="n">
        <f aca="false">IF($N49=0,0,IF($R49="SL",SLN($N49,$O49,$Q49)*IF(YEAR($P49)&lt;(J$3-1),IF(YEAR($P49)+$Q49=J$3-1,(MONTH($P49)-1)/12,IF(YEAR($P49)+$Q49&lt;J$3-1,0,1)),IF(YEAR($P49)&gt;J$3-1,0,(12-MONTH($P49)+1)/12)),IF(YEAR($P49)&gt;J$3-1,0,VDB($N49,$O49,$Q49,IF(YEAR($P49)=J$3-1,0,MIN($Q49,(DATE(J$3-1,1,1)-$P49)/365)),MIN($Q49,(DATE(J$3-1,12,31)-$P49)/365),$S49))))</f>
        <v>0</v>
      </c>
      <c r="J91" s="330" t="n">
        <f aca="false">IF($N49=0,0,IF($R49="SL",SLN($N49,$O49,$Q49)*IF(YEAR($P49)&lt;J$3,IF(YEAR($P49)+$Q49=J$3,(MONTH($P49)-1)/12,IF(YEAR($P49)+$Q49&lt;J$3,0,1)),IF(YEAR($P49)&gt;J$3,0,(12-MONTH($P49)+1)/12)),IF(YEAR($P49)&gt;J$3,0,VDB($N49,$O49,$Q49,IF(YEAR($P49)=J$3,0,MIN($Q49,(DATE(J$3,1,1)-$P49)/365)),MIN($Q49,(DATE(J$3,12,31)-$P49)/365),$S49))))</f>
        <v>0</v>
      </c>
      <c r="K91" s="330" t="n">
        <f aca="false">IF($N49=0,0,IF($R49="SL",SLN($N49,$O49,$Q49)*IF(YEAR($P49)&lt;K$3,IF(YEAR($P49)+$Q49=K$3,(MONTH($P49)-1)/12,IF(YEAR($P49)+$Q49&lt;K$3,0,1)),IF(YEAR($P49)&gt;K$3,0,(12-MONTH($P49)+1)/12)),IF(YEAR($P49)&gt;K$3,0,VDB($N49,$O49,$Q49,IF(YEAR($P49)=K$3,0,MIN($Q49,(DATE(K$3,1,1)-$P49)/365)),MIN($Q49,(DATE(K$3,12,31)-$P49)/365),$S49))))</f>
        <v>0</v>
      </c>
      <c r="L91" s="330" t="n">
        <f aca="false">IF($N49=0,0,IF($R49="SL",SLN($N49,$O49,$Q49)*IF(YEAR($P49)&lt;L$3,IF(YEAR($P49)+$Q49=L$3,(MONTH($P49)-1)/12,IF(YEAR($P49)+$Q49&lt;L$3,0,1)),IF(YEAR($P49)&gt;L$3,0,(12-MONTH($P49)+1)/12)),IF(YEAR($P49)&gt;L$3,0,VDB($N49,$O49,$Q49,IF(YEAR($P49)=L$3,0,MIN($Q49,(DATE(L$3,1,1)-$P49)/365)),MIN($Q49,(DATE(L$3,12,31)-$P49)/365),$S49))))</f>
        <v>0</v>
      </c>
      <c r="M91" s="330" t="n">
        <f aca="false">IF($N49=0,0,IF($R49="SL",SLN($N49,$O49,$Q49)*IF(YEAR($P49)&lt;M$3,IF(YEAR($P49)+$Q49=M$3,(MONTH($P49)-1)/12,IF(YEAR($P49)+$Q49&lt;M$3,0,1)),IF(YEAR($P49)&gt;M$3,0,(12-MONTH($P49)+1)/12)),IF(YEAR($P49)&gt;M$3,0,VDB($N49,$O49,$Q49,IF(YEAR($P49)=M$3,0,MIN($Q49,(DATE(M$3,1,1)-$P49)/365)),MIN($Q49,(DATE(M$3,12,31)-$P49)/365),$S49))))</f>
        <v>0</v>
      </c>
      <c r="N91" s="330" t="n">
        <f aca="false">IF($N49=0,0,IF($R49="SL",SLN($N49,$O49,$Q49)*IF(YEAR($P49)&lt;N$3,IF(YEAR($P49)+$Q49=N$3,(MONTH($P49)-1)/12,IF(YEAR($P49)+$Q49&lt;N$3,0,1)),IF(YEAR($P49)&gt;N$3,0,(12-MONTH($P49)+1)/12)),IF(YEAR($P49)&gt;N$3,0,VDB($N49,$O49,$Q49,IF(YEAR($P49)=N$3,0,MIN($Q49,(DATE(N$3,1,1)-$P49)/365)),MIN($Q49,(DATE(N$3,12,31)-$P49)/365),$S49))))</f>
        <v>0</v>
      </c>
      <c r="O91" s="330" t="n">
        <f aca="false">IF($N49=0,0,IF($R49="SL",SLN($N49,$O49,$Q49)*IF(YEAR($P49)&lt;O$3,IF(YEAR($P49)+$Q49=O$3,(MONTH($P49)-1)/12,IF(YEAR($P49)+$Q49&lt;O$3,0,1)),IF(YEAR($P49)&gt;O$3,0,(12-MONTH($P49)+1)/12)),IF(YEAR($P49)&gt;O$3,0,VDB($N49,$O49,$Q49,IF(YEAR($P49)=O$3,0,MIN($Q49,(DATE(O$3,1,1)-$P49)/365)),MIN($Q49,(DATE(O$3,12,31)-$P49)/365),$S49))))</f>
        <v>0</v>
      </c>
      <c r="P91" s="330" t="n">
        <f aca="false">IF($N49=0,0,IF($R49="SL",SLN($N49,$O49,$Q49)*IF(YEAR($P49)&lt;P$3,IF(YEAR($P49)+$Q49=P$3,(MONTH($P49)-1)/12,IF(YEAR($P49)+$Q49&lt;P$3,0,1)),IF(YEAR($P49)&gt;P$3,0,(12-MONTH($P49)+1)/12)),IF(YEAR($P49)&gt;P$3,0,VDB($N49,$O49,$Q49,IF(YEAR($P49)=P$3,0,MIN($Q49,(DATE(P$3,1,1)-$P49)/365)),MIN($Q49,(DATE(P$3,12,31)-$P49)/365),$S49))))</f>
        <v>0</v>
      </c>
      <c r="Q91" s="330" t="n">
        <f aca="false">IF($N49=0,0,IF($R49="SL",SLN($N49,$O49,$Q49)*IF(YEAR($P49)&lt;Q$3,IF(YEAR($P49)+$Q49=Q$3,(MONTH($P49)-1)/12,IF(YEAR($P49)+$Q49&lt;Q$3,0,1)),IF(YEAR($P49)&gt;Q$3,0,(12-MONTH($P49)+1)/12)),IF(YEAR($P49)&gt;Q$3,0,VDB($N49,$O49,$Q49,IF(YEAR($P49)=Q$3,0,MIN($Q49,(DATE(Q$3,1,1)-$P49)/365)),MIN($Q49,(DATE(Q$3,12,31)-$P49)/365),$S49))))</f>
        <v>0</v>
      </c>
      <c r="R91" s="330" t="n">
        <f aca="false">IF($N49=0,0,IF($R49="SL",SLN($N49,$O49,$Q49)*IF(YEAR($P49)&lt;R$3,IF(YEAR($P49)+$Q49=R$3,(MONTH($P49)-1)/12,IF(YEAR($P49)+$Q49&lt;R$3,0,1)),IF(YEAR($P49)&gt;R$3,0,(12-MONTH($P49)+1)/12)),IF(YEAR($P49)&gt;R$3,0,VDB($N49,$O49,$Q49,IF(YEAR($P49)=R$3,0,MIN($Q49,(DATE(R$3,1,1)-$P49)/365)),MIN($Q49,(DATE(R$3,12,31)-$P49)/365),$S49))))</f>
        <v>0</v>
      </c>
      <c r="S91" s="330" t="n">
        <f aca="false">IF($N49=0,0,IF($R49="SL",SLN($N49,$O49,$Q49)*IF(YEAR($P49)&lt;S$3,IF(YEAR($P49)+$Q49=S$3,(MONTH($P49)-1)/12,IF(YEAR($P49)+$Q49&lt;S$3,0,1)),IF(YEAR($P49)&gt;S$3,0,(12-MONTH($P49)+1)/12)),IF(YEAR($P49)&gt;S$3,0,VDB($N49,$O49,$Q49,IF(YEAR($P49)=S$3,0,MIN($Q49,(DATE(S$3,1,1)-$P49)/365)),MIN($Q49,(DATE(S$3,12,31)-$P49)/365),$S49))))</f>
        <v>0</v>
      </c>
      <c r="T91" s="330" t="n">
        <f aca="false">IF($N49=0,0,IF($R49="SL",SLN($N49,$O49,$Q49)*IF(YEAR($P49)&lt;T$3,IF(YEAR($P49)+$Q49=T$3,(MONTH($P49)-1)/12,IF(YEAR($P49)+$Q49&lt;T$3,0,1)),IF(YEAR($P49)&gt;T$3,0,(12-MONTH($P49)+1)/12)),IF(YEAR($P49)&gt;T$3,0,VDB($N49,$O49,$Q49,IF(YEAR($P49)=T$3,0,MIN($Q49,(DATE(T$3,1,1)-$P49)/365)),MIN($Q49,(DATE(T$3,12,31)-$P49)/365),$S49))))</f>
        <v>0</v>
      </c>
      <c r="U91" s="330" t="n">
        <f aca="false">IF($N49=0,0,IF($R49="SL",SLN($N49,$O49,$Q49)*IF(YEAR($P49)&lt;U$3,IF(YEAR($P49)+$Q49=U$3,(MONTH($P49)-1)/12,IF(YEAR($P49)+$Q49&lt;U$3,0,1)),IF(YEAR($P49)&gt;U$3,0,(12-MONTH($P49)+1)/12)),IF(YEAR($P49)&gt;U$3,0,VDB($N49,$O49,$Q49,IF(YEAR($P49)=U$3,0,MIN($Q49,(DATE(U$3,1,1)-$P49)/365)),MIN($Q49,(DATE(U$3,12,31)-$P49)/365),$S49))))</f>
        <v>0</v>
      </c>
      <c r="V91" s="330" t="n">
        <f aca="false">IF($N49=0,0,IF($R49="SL",SLN($N49,$O49,$Q49)*IF(YEAR($P49)&lt;V$3,IF(YEAR($P49)+$Q49=V$3,(MONTH($P49)-1)/12,IF(YEAR($P49)+$Q49&lt;V$3,0,1)),IF(YEAR($P49)&gt;V$3,0,(12-MONTH($P49)+1)/12)),IF(YEAR($P49)&gt;V$3,0,VDB($N49,$O49,$Q49,IF(YEAR($P49)=V$3,0,MIN($Q49,(DATE(V$3,1,1)-$P49)/365)),MIN($Q49,(DATE(V$3,12,31)-$P49)/365),$S49))))</f>
        <v>0</v>
      </c>
      <c r="W91" s="330" t="n">
        <f aca="false">IF($N49=0,0,IF($R49="SL",SLN($N49,$O49,$Q49)*IF(YEAR($P49)&lt;W$3,IF(YEAR($P49)+$Q49=W$3,(MONTH($P49)-1)/12,IF(YEAR($P49)+$Q49&lt;W$3,0,1)),IF(YEAR($P49)&gt;W$3,0,(12-MONTH($P49)+1)/12)),IF(YEAR($P49)&gt;W$3,0,VDB($N49,$O49,$Q49,IF(YEAR($P49)=W$3,0,MIN($Q49,(DATE(W$3,1,1)-$P49)/365)),MIN($Q49,(DATE(W$3,12,31)-$P49)/365),$S49))))</f>
        <v>0</v>
      </c>
      <c r="X91" s="330" t="n">
        <f aca="false">IF($N49=0,0,IF($R49="SL",SLN($N49,$O49,$Q49)*IF(YEAR($P49)&lt;X$3,IF(YEAR($P49)+$Q49=X$3,(MONTH($P49)-1)/12,IF(YEAR($P49)+$Q49&lt;X$3,0,1)),IF(YEAR($P49)&gt;X$3,0,(12-MONTH($P49)+1)/12)),IF(YEAR($P49)&gt;X$3,0,VDB($N49,$O49,$Q49,IF(YEAR($P49)=X$3,0,MIN($Q49,(DATE(X$3,1,1)-$P49)/365)),MIN($Q49,(DATE(X$3,12,31)-$P49)/365),$S49))))</f>
        <v>0</v>
      </c>
      <c r="Y91" s="330" t="n">
        <f aca="false">IF($N49=0,0,IF($R49="SL",SLN($N49,$O49,$Q49)*IF(YEAR($P49)&lt;Y$3,IF(YEAR($P49)+$Q49=Y$3,(MONTH($P49)-1)/12,IF(YEAR($P49)+$Q49&lt;Y$3,0,1)),IF(YEAR($P49)&gt;Y$3,0,(12-MONTH($P49)+1)/12)),IF(YEAR($P49)&gt;Y$3,0,VDB($N49,$O49,$Q49,IF(YEAR($P49)=Y$3,0,MIN($Q49,(DATE(Y$3,1,1)-$P49)/365)),MIN($Q49,(DATE(Y$3,12,31)-$P49)/365),$S49))))</f>
        <v>0</v>
      </c>
      <c r="Z91" s="330" t="n">
        <f aca="false">IF($N49=0,0,IF($R49="SL",SLN($N49,$O49,$Q49)*IF(YEAR($P49)&lt;Z$3,IF(YEAR($P49)+$Q49=Z$3,(MONTH($P49)-1)/12,IF(YEAR($P49)+$Q49&lt;Z$3,0,1)),IF(YEAR($P49)&gt;Z$3,0,(12-MONTH($P49)+1)/12)),IF(YEAR($P49)&gt;Z$3,0,VDB($N49,$O49,$Q49,IF(YEAR($P49)=Z$3,0,MIN($Q49,(DATE(Z$3,1,1)-$P49)/365)),MIN($Q49,(DATE(Z$3,12,31)-$P49)/365),$S49))))</f>
        <v>0</v>
      </c>
      <c r="AA91" s="330" t="n">
        <f aca="false">IF($N49=0,0,IF($R49="SL",SLN($N49,$O49,$Q49)*IF(YEAR($P49)&lt;AA$3,IF(YEAR($P49)+$Q49=AA$3,(MONTH($P49)-1)/12,IF(YEAR($P49)+$Q49&lt;AA$3,0,1)),IF(YEAR($P49)&gt;AA$3,0,(12-MONTH($P49)+1)/12)),IF(YEAR($P49)&gt;AA$3,0,VDB($N49,$O49,$Q49,IF(YEAR($P49)=AA$3,0,MIN($Q49,(DATE(AA$3,1,1)-$P49)/365)),MIN($Q49,(DATE(AA$3,12,31)-$P49)/365),$S49))))</f>
        <v>0</v>
      </c>
      <c r="AB91" s="330" t="n">
        <f aca="false">IF($N49=0,0,IF($R49="SL",SLN($N49,$O49,$Q49)*IF(YEAR($P49)&lt;AB$3,IF(YEAR($P49)+$Q49=AB$3,(MONTH($P49)-1)/12,IF(YEAR($P49)+$Q49&lt;AB$3,0,1)),IF(YEAR($P49)&gt;AB$3,0,(12-MONTH($P49)+1)/12)),IF(YEAR($P49)&gt;AB$3,0,VDB($N49,$O49,$Q49,IF(YEAR($P49)=AB$3,0,MIN($Q49,(DATE(AB$3,1,1)-$P49)/365)),MIN($Q49,(DATE(AB$3,12,31)-$P49)/365),$S49))))</f>
        <v>0</v>
      </c>
      <c r="AC91" s="330" t="n">
        <f aca="false">IF($N49=0,0,IF($R49="SL",SLN($N49,$O49,$Q49)*IF(YEAR($P49)&lt;AC$3,IF(YEAR($P49)+$Q49=AC$3,(MONTH($P49)-1)/12,IF(YEAR($P49)+$Q49&lt;AC$3,0,1)),IF(YEAR($P49)&gt;AC$3,0,(12-MONTH($P49)+1)/12)),IF(YEAR($P49)&gt;AC$3,0,VDB($N49,$O49,$Q49,IF(YEAR($P49)=AC$3,0,MIN($Q49,(DATE(AC$3,1,1)-$P49)/365)),MIN($Q49,(DATE(AC$3,12,31)-$P49)/365),$S49))))</f>
        <v>0</v>
      </c>
      <c r="AD91" s="330" t="n">
        <f aca="false">IF($N49=0,0,IF($R49="SL",SLN($N49,$O49,$Q49)*IF(YEAR($P49)&lt;AD$3,IF(YEAR($P49)+$Q49=AD$3,(MONTH($P49)-1)/12,IF(YEAR($P49)+$Q49&lt;AD$3,0,1)),IF(YEAR($P49)&gt;AD$3,0,(12-MONTH($P49)+1)/12)),IF(YEAR($P49)&gt;AD$3,0,VDB($N49,$O49,$Q49,IF(YEAR($P49)=AD$3,0,MIN($Q49,(DATE(AD$3,1,1)-$P49)/365)),MIN($Q49,(DATE(AD$3,12,31)-$P49)/365),$S49))))</f>
        <v>0</v>
      </c>
      <c r="AE91" s="330" t="n">
        <f aca="false">IF($N49=0,0,IF($R49="SL",SLN($N49,$O49,$Q49)*IF(YEAR($P49)&lt;AE$3,IF(YEAR($P49)+$Q49=AE$3,(MONTH($P49)-1)/12,IF(YEAR($P49)+$Q49&lt;AE$3,0,1)),IF(YEAR($P49)&gt;AE$3,0,(12-MONTH($P49)+1)/12)),IF(YEAR($P49)&gt;AE$3,0,VDB($N49,$O49,$Q49,IF(YEAR($P49)=AE$3,0,MIN($Q49,(DATE(AE$3,1,1)-$P49)/365)),MIN($Q49,(DATE(AE$3,12,31)-$P49)/365),$S49))))</f>
        <v>0</v>
      </c>
      <c r="AF91" s="330" t="n">
        <f aca="false">IF($N49=0,0,IF($R49="SL",SLN($N49,$O49,$Q49)*IF(YEAR($P49)&lt;AF$3,IF(YEAR($P49)+$Q49=AF$3,(MONTH($P49)-1)/12,IF(YEAR($P49)+$Q49&lt;AF$3,0,1)),IF(YEAR($P49)&gt;AF$3,0,(12-MONTH($P49)+1)/12)),IF(YEAR($P49)&gt;AF$3,0,VDB($N49,$O49,$Q49,IF(YEAR($P49)=AF$3,0,MIN($Q49,(DATE(AF$3,1,1)-$P49)/365)),MIN($Q49,(DATE(AF$3,12,31)-$P49)/365),$S49))))</f>
        <v>0</v>
      </c>
    </row>
    <row r="92" customFormat="false" ht="11.25" hidden="false" customHeight="false" outlineLevel="1" collapsed="false">
      <c r="C92" s="235" t="str">
        <f aca="false">+L50</f>
        <v>Asset 10</v>
      </c>
      <c r="I92" s="330" t="n">
        <f aca="false">IF($N50=0,0,IF($R50="SL",SLN($N50,$O50,$Q50)*IF(YEAR($P50)&lt;(J$3-1),IF(YEAR($P50)+$Q50=J$3-1,(MONTH($P50)-1)/12,IF(YEAR($P50)+$Q50&lt;J$3-1,0,1)),IF(YEAR($P50)&gt;J$3-1,0,(12-MONTH($P50)+1)/12)),IF(YEAR($P50)&gt;J$3-1,0,VDB($N50,$O50,$Q50,IF(YEAR($P50)=J$3-1,0,MIN($Q50,(DATE(J$3-1,1,1)-$P50)/365)),MIN($Q50,(DATE(J$3-1,12,31)-$P50)/365),$S50))))</f>
        <v>0</v>
      </c>
      <c r="J92" s="330" t="n">
        <f aca="false">IF($N50=0,0,IF($R50="SL",SLN($N50,$O50,$Q50)*IF(YEAR($P50)&lt;J$3,IF(YEAR($P50)+$Q50=J$3,(MONTH($P50)-1)/12,IF(YEAR($P50)+$Q50&lt;J$3,0,1)),IF(YEAR($P50)&gt;J$3,0,(12-MONTH($P50)+1)/12)),IF(YEAR($P50)&gt;J$3,0,VDB($N50,$O50,$Q50,IF(YEAR($P50)=J$3,0,MIN($Q50,(DATE(J$3,1,1)-$P50)/365)),MIN($Q50,(DATE(J$3,12,31)-$P50)/365),$S50))))</f>
        <v>0</v>
      </c>
      <c r="K92" s="330" t="n">
        <f aca="false">IF($N50=0,0,IF($R50="SL",SLN($N50,$O50,$Q50)*IF(YEAR($P50)&lt;K$3,IF(YEAR($P50)+$Q50=K$3,(MONTH($P50)-1)/12,IF(YEAR($P50)+$Q50&lt;K$3,0,1)),IF(YEAR($P50)&gt;K$3,0,(12-MONTH($P50)+1)/12)),IF(YEAR($P50)&gt;K$3,0,VDB($N50,$O50,$Q50,IF(YEAR($P50)=K$3,0,MIN($Q50,(DATE(K$3,1,1)-$P50)/365)),MIN($Q50,(DATE(K$3,12,31)-$P50)/365),$S50))))</f>
        <v>0</v>
      </c>
      <c r="L92" s="330" t="n">
        <f aca="false">IF($N50=0,0,IF($R50="SL",SLN($N50,$O50,$Q50)*IF(YEAR($P50)&lt;L$3,IF(YEAR($P50)+$Q50=L$3,(MONTH($P50)-1)/12,IF(YEAR($P50)+$Q50&lt;L$3,0,1)),IF(YEAR($P50)&gt;L$3,0,(12-MONTH($P50)+1)/12)),IF(YEAR($P50)&gt;L$3,0,VDB($N50,$O50,$Q50,IF(YEAR($P50)=L$3,0,MIN($Q50,(DATE(L$3,1,1)-$P50)/365)),MIN($Q50,(DATE(L$3,12,31)-$P50)/365),$S50))))</f>
        <v>0</v>
      </c>
      <c r="M92" s="330" t="n">
        <f aca="false">IF($N50=0,0,IF($R50="SL",SLN($N50,$O50,$Q50)*IF(YEAR($P50)&lt;M$3,IF(YEAR($P50)+$Q50=M$3,(MONTH($P50)-1)/12,IF(YEAR($P50)+$Q50&lt;M$3,0,1)),IF(YEAR($P50)&gt;M$3,0,(12-MONTH($P50)+1)/12)),IF(YEAR($P50)&gt;M$3,0,VDB($N50,$O50,$Q50,IF(YEAR($P50)=M$3,0,MIN($Q50,(DATE(M$3,1,1)-$P50)/365)),MIN($Q50,(DATE(M$3,12,31)-$P50)/365),$S50))))</f>
        <v>0</v>
      </c>
      <c r="N92" s="330" t="n">
        <f aca="false">IF($N50=0,0,IF($R50="SL",SLN($N50,$O50,$Q50)*IF(YEAR($P50)&lt;N$3,IF(YEAR($P50)+$Q50=N$3,(MONTH($P50)-1)/12,IF(YEAR($P50)+$Q50&lt;N$3,0,1)),IF(YEAR($P50)&gt;N$3,0,(12-MONTH($P50)+1)/12)),IF(YEAR($P50)&gt;N$3,0,VDB($N50,$O50,$Q50,IF(YEAR($P50)=N$3,0,MIN($Q50,(DATE(N$3,1,1)-$P50)/365)),MIN($Q50,(DATE(N$3,12,31)-$P50)/365),$S50))))</f>
        <v>0</v>
      </c>
      <c r="O92" s="330" t="n">
        <f aca="false">IF($N50=0,0,IF($R50="SL",SLN($N50,$O50,$Q50)*IF(YEAR($P50)&lt;O$3,IF(YEAR($P50)+$Q50=O$3,(MONTH($P50)-1)/12,IF(YEAR($P50)+$Q50&lt;O$3,0,1)),IF(YEAR($P50)&gt;O$3,0,(12-MONTH($P50)+1)/12)),IF(YEAR($P50)&gt;O$3,0,VDB($N50,$O50,$Q50,IF(YEAR($P50)=O$3,0,MIN($Q50,(DATE(O$3,1,1)-$P50)/365)),MIN($Q50,(DATE(O$3,12,31)-$P50)/365),$S50))))</f>
        <v>0</v>
      </c>
      <c r="P92" s="330" t="n">
        <f aca="false">IF($N50=0,0,IF($R50="SL",SLN($N50,$O50,$Q50)*IF(YEAR($P50)&lt;P$3,IF(YEAR($P50)+$Q50=P$3,(MONTH($P50)-1)/12,IF(YEAR($P50)+$Q50&lt;P$3,0,1)),IF(YEAR($P50)&gt;P$3,0,(12-MONTH($P50)+1)/12)),IF(YEAR($P50)&gt;P$3,0,VDB($N50,$O50,$Q50,IF(YEAR($P50)=P$3,0,MIN($Q50,(DATE(P$3,1,1)-$P50)/365)),MIN($Q50,(DATE(P$3,12,31)-$P50)/365),$S50))))</f>
        <v>0</v>
      </c>
      <c r="Q92" s="330" t="n">
        <f aca="false">IF($N50=0,0,IF($R50="SL",SLN($N50,$O50,$Q50)*IF(YEAR($P50)&lt;Q$3,IF(YEAR($P50)+$Q50=Q$3,(MONTH($P50)-1)/12,IF(YEAR($P50)+$Q50&lt;Q$3,0,1)),IF(YEAR($P50)&gt;Q$3,0,(12-MONTH($P50)+1)/12)),IF(YEAR($P50)&gt;Q$3,0,VDB($N50,$O50,$Q50,IF(YEAR($P50)=Q$3,0,MIN($Q50,(DATE(Q$3,1,1)-$P50)/365)),MIN($Q50,(DATE(Q$3,12,31)-$P50)/365),$S50))))</f>
        <v>0</v>
      </c>
      <c r="R92" s="330" t="n">
        <f aca="false">IF($N50=0,0,IF($R50="SL",SLN($N50,$O50,$Q50)*IF(YEAR($P50)&lt;R$3,IF(YEAR($P50)+$Q50=R$3,(MONTH($P50)-1)/12,IF(YEAR($P50)+$Q50&lt;R$3,0,1)),IF(YEAR($P50)&gt;R$3,0,(12-MONTH($P50)+1)/12)),IF(YEAR($P50)&gt;R$3,0,VDB($N50,$O50,$Q50,IF(YEAR($P50)=R$3,0,MIN($Q50,(DATE(R$3,1,1)-$P50)/365)),MIN($Q50,(DATE(R$3,12,31)-$P50)/365),$S50))))</f>
        <v>0</v>
      </c>
      <c r="S92" s="330" t="n">
        <f aca="false">IF($N50=0,0,IF($R50="SL",SLN($N50,$O50,$Q50)*IF(YEAR($P50)&lt;S$3,IF(YEAR($P50)+$Q50=S$3,(MONTH($P50)-1)/12,IF(YEAR($P50)+$Q50&lt;S$3,0,1)),IF(YEAR($P50)&gt;S$3,0,(12-MONTH($P50)+1)/12)),IF(YEAR($P50)&gt;S$3,0,VDB($N50,$O50,$Q50,IF(YEAR($P50)=S$3,0,MIN($Q50,(DATE(S$3,1,1)-$P50)/365)),MIN($Q50,(DATE(S$3,12,31)-$P50)/365),$S50))))</f>
        <v>0</v>
      </c>
      <c r="T92" s="330" t="n">
        <f aca="false">IF($N50=0,0,IF($R50="SL",SLN($N50,$O50,$Q50)*IF(YEAR($P50)&lt;T$3,IF(YEAR($P50)+$Q50=T$3,(MONTH($P50)-1)/12,IF(YEAR($P50)+$Q50&lt;T$3,0,1)),IF(YEAR($P50)&gt;T$3,0,(12-MONTH($P50)+1)/12)),IF(YEAR($P50)&gt;T$3,0,VDB($N50,$O50,$Q50,IF(YEAR($P50)=T$3,0,MIN($Q50,(DATE(T$3,1,1)-$P50)/365)),MIN($Q50,(DATE(T$3,12,31)-$P50)/365),$S50))))</f>
        <v>0</v>
      </c>
      <c r="U92" s="330" t="n">
        <f aca="false">IF($N50=0,0,IF($R50="SL",SLN($N50,$O50,$Q50)*IF(YEAR($P50)&lt;U$3,IF(YEAR($P50)+$Q50=U$3,(MONTH($P50)-1)/12,IF(YEAR($P50)+$Q50&lt;U$3,0,1)),IF(YEAR($P50)&gt;U$3,0,(12-MONTH($P50)+1)/12)),IF(YEAR($P50)&gt;U$3,0,VDB($N50,$O50,$Q50,IF(YEAR($P50)=U$3,0,MIN($Q50,(DATE(U$3,1,1)-$P50)/365)),MIN($Q50,(DATE(U$3,12,31)-$P50)/365),$S50))))</f>
        <v>0</v>
      </c>
      <c r="V92" s="330" t="n">
        <f aca="false">IF($N50=0,0,IF($R50="SL",SLN($N50,$O50,$Q50)*IF(YEAR($P50)&lt;V$3,IF(YEAR($P50)+$Q50=V$3,(MONTH($P50)-1)/12,IF(YEAR($P50)+$Q50&lt;V$3,0,1)),IF(YEAR($P50)&gt;V$3,0,(12-MONTH($P50)+1)/12)),IF(YEAR($P50)&gt;V$3,0,VDB($N50,$O50,$Q50,IF(YEAR($P50)=V$3,0,MIN($Q50,(DATE(V$3,1,1)-$P50)/365)),MIN($Q50,(DATE(V$3,12,31)-$P50)/365),$S50))))</f>
        <v>0</v>
      </c>
      <c r="W92" s="330" t="n">
        <f aca="false">IF($N50=0,0,IF($R50="SL",SLN($N50,$O50,$Q50)*IF(YEAR($P50)&lt;W$3,IF(YEAR($P50)+$Q50=W$3,(MONTH($P50)-1)/12,IF(YEAR($P50)+$Q50&lt;W$3,0,1)),IF(YEAR($P50)&gt;W$3,0,(12-MONTH($P50)+1)/12)),IF(YEAR($P50)&gt;W$3,0,VDB($N50,$O50,$Q50,IF(YEAR($P50)=W$3,0,MIN($Q50,(DATE(W$3,1,1)-$P50)/365)),MIN($Q50,(DATE(W$3,12,31)-$P50)/365),$S50))))</f>
        <v>0</v>
      </c>
      <c r="X92" s="330" t="n">
        <f aca="false">IF($N50=0,0,IF($R50="SL",SLN($N50,$O50,$Q50)*IF(YEAR($P50)&lt;X$3,IF(YEAR($P50)+$Q50=X$3,(MONTH($P50)-1)/12,IF(YEAR($P50)+$Q50&lt;X$3,0,1)),IF(YEAR($P50)&gt;X$3,0,(12-MONTH($P50)+1)/12)),IF(YEAR($P50)&gt;X$3,0,VDB($N50,$O50,$Q50,IF(YEAR($P50)=X$3,0,MIN($Q50,(DATE(X$3,1,1)-$P50)/365)),MIN($Q50,(DATE(X$3,12,31)-$P50)/365),$S50))))</f>
        <v>0</v>
      </c>
      <c r="Y92" s="330" t="n">
        <f aca="false">IF($N50=0,0,IF($R50="SL",SLN($N50,$O50,$Q50)*IF(YEAR($P50)&lt;Y$3,IF(YEAR($P50)+$Q50=Y$3,(MONTH($P50)-1)/12,IF(YEAR($P50)+$Q50&lt;Y$3,0,1)),IF(YEAR($P50)&gt;Y$3,0,(12-MONTH($P50)+1)/12)),IF(YEAR($P50)&gt;Y$3,0,VDB($N50,$O50,$Q50,IF(YEAR($P50)=Y$3,0,MIN($Q50,(DATE(Y$3,1,1)-$P50)/365)),MIN($Q50,(DATE(Y$3,12,31)-$P50)/365),$S50))))</f>
        <v>0</v>
      </c>
      <c r="Z92" s="330" t="n">
        <f aca="false">IF($N50=0,0,IF($R50="SL",SLN($N50,$O50,$Q50)*IF(YEAR($P50)&lt;Z$3,IF(YEAR($P50)+$Q50=Z$3,(MONTH($P50)-1)/12,IF(YEAR($P50)+$Q50&lt;Z$3,0,1)),IF(YEAR($P50)&gt;Z$3,0,(12-MONTH($P50)+1)/12)),IF(YEAR($P50)&gt;Z$3,0,VDB($N50,$O50,$Q50,IF(YEAR($P50)=Z$3,0,MIN($Q50,(DATE(Z$3,1,1)-$P50)/365)),MIN($Q50,(DATE(Z$3,12,31)-$P50)/365),$S50))))</f>
        <v>0</v>
      </c>
      <c r="AA92" s="330" t="n">
        <f aca="false">IF($N50=0,0,IF($R50="SL",SLN($N50,$O50,$Q50)*IF(YEAR($P50)&lt;AA$3,IF(YEAR($P50)+$Q50=AA$3,(MONTH($P50)-1)/12,IF(YEAR($P50)+$Q50&lt;AA$3,0,1)),IF(YEAR($P50)&gt;AA$3,0,(12-MONTH($P50)+1)/12)),IF(YEAR($P50)&gt;AA$3,0,VDB($N50,$O50,$Q50,IF(YEAR($P50)=AA$3,0,MIN($Q50,(DATE(AA$3,1,1)-$P50)/365)),MIN($Q50,(DATE(AA$3,12,31)-$P50)/365),$S50))))</f>
        <v>0</v>
      </c>
      <c r="AB92" s="330" t="n">
        <f aca="false">IF($N50=0,0,IF($R50="SL",SLN($N50,$O50,$Q50)*IF(YEAR($P50)&lt;AB$3,IF(YEAR($P50)+$Q50=AB$3,(MONTH($P50)-1)/12,IF(YEAR($P50)+$Q50&lt;AB$3,0,1)),IF(YEAR($P50)&gt;AB$3,0,(12-MONTH($P50)+1)/12)),IF(YEAR($P50)&gt;AB$3,0,VDB($N50,$O50,$Q50,IF(YEAR($P50)=AB$3,0,MIN($Q50,(DATE(AB$3,1,1)-$P50)/365)),MIN($Q50,(DATE(AB$3,12,31)-$P50)/365),$S50))))</f>
        <v>0</v>
      </c>
      <c r="AC92" s="330" t="n">
        <f aca="false">IF($N50=0,0,IF($R50="SL",SLN($N50,$O50,$Q50)*IF(YEAR($P50)&lt;AC$3,IF(YEAR($P50)+$Q50=AC$3,(MONTH($P50)-1)/12,IF(YEAR($P50)+$Q50&lt;AC$3,0,1)),IF(YEAR($P50)&gt;AC$3,0,(12-MONTH($P50)+1)/12)),IF(YEAR($P50)&gt;AC$3,0,VDB($N50,$O50,$Q50,IF(YEAR($P50)=AC$3,0,MIN($Q50,(DATE(AC$3,1,1)-$P50)/365)),MIN($Q50,(DATE(AC$3,12,31)-$P50)/365),$S50))))</f>
        <v>0</v>
      </c>
      <c r="AD92" s="330" t="n">
        <f aca="false">IF($N50=0,0,IF($R50="SL",SLN($N50,$O50,$Q50)*IF(YEAR($P50)&lt;AD$3,IF(YEAR($P50)+$Q50=AD$3,(MONTH($P50)-1)/12,IF(YEAR($P50)+$Q50&lt;AD$3,0,1)),IF(YEAR($P50)&gt;AD$3,0,(12-MONTH($P50)+1)/12)),IF(YEAR($P50)&gt;AD$3,0,VDB($N50,$O50,$Q50,IF(YEAR($P50)=AD$3,0,MIN($Q50,(DATE(AD$3,1,1)-$P50)/365)),MIN($Q50,(DATE(AD$3,12,31)-$P50)/365),$S50))))</f>
        <v>0</v>
      </c>
      <c r="AE92" s="330" t="n">
        <f aca="false">IF($N50=0,0,IF($R50="SL",SLN($N50,$O50,$Q50)*IF(YEAR($P50)&lt;AE$3,IF(YEAR($P50)+$Q50=AE$3,(MONTH($P50)-1)/12,IF(YEAR($P50)+$Q50&lt;AE$3,0,1)),IF(YEAR($P50)&gt;AE$3,0,(12-MONTH($P50)+1)/12)),IF(YEAR($P50)&gt;AE$3,0,VDB($N50,$O50,$Q50,IF(YEAR($P50)=AE$3,0,MIN($Q50,(DATE(AE$3,1,1)-$P50)/365)),MIN($Q50,(DATE(AE$3,12,31)-$P50)/365),$S50))))</f>
        <v>0</v>
      </c>
      <c r="AF92" s="330" t="n">
        <f aca="false">IF($N50=0,0,IF($R50="SL",SLN($N50,$O50,$Q50)*IF(YEAR($P50)&lt;AF$3,IF(YEAR($P50)+$Q50=AF$3,(MONTH($P50)-1)/12,IF(YEAR($P50)+$Q50&lt;AF$3,0,1)),IF(YEAR($P50)&gt;AF$3,0,(12-MONTH($P50)+1)/12)),IF(YEAR($P50)&gt;AF$3,0,VDB($N50,$O50,$Q50,IF(YEAR($P50)=AF$3,0,MIN($Q50,(DATE(AF$3,1,1)-$P50)/365)),MIN($Q50,(DATE(AF$3,12,31)-$P50)/365),$S50))))</f>
        <v>0</v>
      </c>
    </row>
    <row r="93" customFormat="false" ht="11.25" hidden="false" customHeight="false" outlineLevel="0" collapsed="false">
      <c r="B93" s="323" t="s">
        <v>339</v>
      </c>
      <c r="C93" s="259"/>
      <c r="D93" s="298"/>
      <c r="E93" s="298"/>
      <c r="F93" s="298"/>
      <c r="G93" s="298"/>
      <c r="H93" s="298"/>
      <c r="I93" s="333" t="n">
        <f aca="false">SUM(I83:I92)</f>
        <v>3277.97601069589</v>
      </c>
      <c r="J93" s="333" t="n">
        <f aca="false">SUM(J83:J92)</f>
        <v>7541.50138776548</v>
      </c>
      <c r="K93" s="333" t="n">
        <f aca="false">SUM(K83:K92)</f>
        <v>6767.94218050455</v>
      </c>
      <c r="L93" s="333" t="n">
        <f aca="false">SUM(L83:L92)</f>
        <v>6091.14796245409</v>
      </c>
      <c r="M93" s="333" t="n">
        <f aca="false">SUM(M83:M92)</f>
        <v>5586.03119783599</v>
      </c>
      <c r="N93" s="333" t="n">
        <f aca="false">SUM(N83:N92)</f>
        <v>5176.66833686555</v>
      </c>
      <c r="O93" s="333" t="n">
        <f aca="false">SUM(O83:O92)</f>
        <v>4821.68524896114</v>
      </c>
      <c r="P93" s="333" t="n">
        <f aca="false">SUM(P83:P92)</f>
        <v>4790.4778215326</v>
      </c>
      <c r="Q93" s="333" t="n">
        <f aca="false">SUM(Q83:Q92)</f>
        <v>5137.86538636625</v>
      </c>
      <c r="R93" s="333" t="n">
        <f aca="false">SUM(R83:R92)</f>
        <v>5587.63563099592</v>
      </c>
      <c r="S93" s="333" t="n">
        <f aca="false">SUM(S83:S92)</f>
        <v>5423.19642874056</v>
      </c>
      <c r="T93" s="333" t="n">
        <f aca="false">SUM(T83:T92)</f>
        <v>5315.14024058541</v>
      </c>
      <c r="U93" s="333" t="n">
        <f aca="false">SUM(U83:U92)</f>
        <v>5356.92241221546</v>
      </c>
      <c r="V93" s="333" t="n">
        <f aca="false">SUM(V83:V92)</f>
        <v>5465.92250964061</v>
      </c>
      <c r="W93" s="333" t="n">
        <f aca="false">SUM(W83:W92)</f>
        <v>5390.45568182014</v>
      </c>
      <c r="X93" s="333" t="n">
        <f aca="false">SUM(X83:X92)</f>
        <v>3360.07574667055</v>
      </c>
      <c r="Y93" s="333" t="n">
        <f aca="false">SUM(Y83:Y92)</f>
        <v>989.466826239399</v>
      </c>
      <c r="Z93" s="333" t="n">
        <f aca="false">SUM(Z83:Z92)</f>
        <v>1317.37517159917</v>
      </c>
      <c r="AA93" s="333" t="n">
        <f aca="false">SUM(AA83:AA92)</f>
        <v>1104.74630254402</v>
      </c>
      <c r="AB93" s="333" t="n">
        <f aca="false">SUM(AB83:AB92)</f>
        <v>953.296084651023</v>
      </c>
      <c r="AC93" s="333" t="n">
        <f aca="false">SUM(AC83:AC92)</f>
        <v>806.959392974248</v>
      </c>
      <c r="AD93" s="333" t="n">
        <f aca="false">SUM(AD83:AD92)</f>
        <v>693.402114653699</v>
      </c>
      <c r="AE93" s="333" t="n">
        <f aca="false">SUM(AE83:AE92)</f>
        <v>691.50238283273</v>
      </c>
      <c r="AF93" s="333" t="n">
        <f aca="false">SUM(AF83:AF92)</f>
        <v>691.50238283273</v>
      </c>
    </row>
    <row r="94" customFormat="false" ht="11.25" hidden="false" customHeight="false" outlineLevel="0" collapsed="false">
      <c r="C94" s="298"/>
      <c r="D94" s="298"/>
      <c r="E94" s="298"/>
      <c r="F94" s="298"/>
      <c r="G94" s="298"/>
      <c r="H94" s="298"/>
      <c r="I94" s="298"/>
      <c r="J94" s="321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</row>
    <row r="95" customFormat="false" ht="11.25" hidden="false" customHeight="false" outlineLevel="0" collapsed="false">
      <c r="A95" s="323" t="s">
        <v>307</v>
      </c>
      <c r="D95" s="298"/>
      <c r="E95" s="298"/>
      <c r="F95" s="298"/>
      <c r="G95" s="298"/>
      <c r="H95" s="321"/>
    </row>
    <row r="96" customFormat="false" ht="11.25" hidden="false" customHeight="false" outlineLevel="0" collapsed="false">
      <c r="C96" s="235" t="str">
        <f aca="false">+C75</f>
        <v>Funding 1</v>
      </c>
      <c r="D96" s="298"/>
      <c r="E96" s="298"/>
      <c r="F96" s="298"/>
      <c r="G96" s="298"/>
      <c r="H96" s="321"/>
      <c r="I96" s="330" t="n">
        <f aca="false">IF($N54=0,0,IF($R54="SL",SLN($N54,$O54,$Q54)*IF(YEAR($P54)&lt;(J$3-1),IF(YEAR($P54)+$Q54=J$3-1,(MONTH($P54)-1)/12,IF(YEAR($P54)+$Q54&lt;J$3-1,0,1)),IF(YEAR($P54)&gt;J$3-1,0,(12-MONTH($P54)+1)/12)),IF(YEAR($P54)&gt;J$3-1,0,VDB($N54,$O54,$Q54,IF(YEAR($P54)=J$3-1,0,MIN($Q54,(DATE(J$3-1,1,1)-$P54)/365)),MIN($Q54,(DATE(J$3-1,12,31)-$P54)/365),$S54))))</f>
        <v>0</v>
      </c>
      <c r="J96" s="330" t="n">
        <f aca="false">IF($N54=0,0,IF($R54="SL",SLN($N54,$O54,$Q54)*IF(YEAR($P54)&lt;J$3,IF(YEAR($P54)+$Q54=J$3,(MONTH($P54)-1)/12,IF(YEAR($P54)+$Q54&lt;J$3,0,1)),IF(YEAR($P54)&gt;J$3,0,(12-MONTH($P54)+1)/12)),IF(YEAR($P54)&gt;J$3,0,VDB($N54,$O54,$Q54,IF(YEAR($P54)=J$3,0,MIN($Q54,(DATE(J$3,1,1)-$P54)/365)),MIN($Q54,(DATE(J$3,12,31)-$P54)/365),$S54))))</f>
        <v>0</v>
      </c>
      <c r="K96" s="330" t="n">
        <f aca="false">IF($N54=0,0,IF($R54="SL",SLN($N54,$O54,$Q54)*IF(YEAR($P54)&lt;K$3,IF(YEAR($P54)+$Q54=K$3,(MONTH($P54)-1)/12,IF(YEAR($P54)+$Q54&lt;K$3,0,1)),IF(YEAR($P54)&gt;K$3,0,(12-MONTH($P54)+1)/12)),IF(YEAR($P54)&gt;K$3,0,VDB($N54,$O54,$Q54,IF(YEAR($P54)=K$3,0,MIN($Q54,(DATE(K$3,1,1)-$P54)/365)),MIN($Q54,(DATE(K$3,12,31)-$P54)/365),$S54))))</f>
        <v>0</v>
      </c>
      <c r="L96" s="330" t="n">
        <f aca="false">IF($N54=0,0,IF($R54="SL",SLN($N54,$O54,$Q54)*IF(YEAR($P54)&lt;L$3,IF(YEAR($P54)+$Q54=L$3,(MONTH($P54)-1)/12,IF(YEAR($P54)+$Q54&lt;L$3,0,1)),IF(YEAR($P54)&gt;L$3,0,(12-MONTH($P54)+1)/12)),IF(YEAR($P54)&gt;L$3,0,VDB($N54,$O54,$Q54,IF(YEAR($P54)=L$3,0,MIN($Q54,(DATE(L$3,1,1)-$P54)/365)),MIN($Q54,(DATE(L$3,12,31)-$P54)/365),$S54))))</f>
        <v>0</v>
      </c>
      <c r="M96" s="330" t="n">
        <f aca="false">IF($N54=0,0,IF($R54="SL",SLN($N54,$O54,$Q54)*IF(YEAR($P54)&lt;M$3,IF(YEAR($P54)+$Q54=M$3,(MONTH($P54)-1)/12,IF(YEAR($P54)+$Q54&lt;M$3,0,1)),IF(YEAR($P54)&gt;M$3,0,(12-MONTH($P54)+1)/12)),IF(YEAR($P54)&gt;M$3,0,VDB($N54,$O54,$Q54,IF(YEAR($P54)=M$3,0,MIN($Q54,(DATE(M$3,1,1)-$P54)/365)),MIN($Q54,(DATE(M$3,12,31)-$P54)/365),$S54))))</f>
        <v>0</v>
      </c>
      <c r="N96" s="330" t="n">
        <f aca="false">IF($N54=0,0,IF($R54="SL",SLN($N54,$O54,$Q54)*IF(YEAR($P54)&lt;N$3,IF(YEAR($P54)+$Q54=N$3,(MONTH($P54)-1)/12,IF(YEAR($P54)+$Q54&lt;N$3,0,1)),IF(YEAR($P54)&gt;N$3,0,(12-MONTH($P54)+1)/12)),IF(YEAR($P54)&gt;N$3,0,VDB($N54,$O54,$Q54,IF(YEAR($P54)=N$3,0,MIN($Q54,(DATE(N$3,1,1)-$P54)/365)),MIN($Q54,(DATE(N$3,12,31)-$P54)/365),$S54))))</f>
        <v>0</v>
      </c>
      <c r="O96" s="330" t="n">
        <f aca="false">IF($N54=0,0,IF($R54="SL",SLN($N54,$O54,$Q54)*IF(YEAR($P54)&lt;O$3,IF(YEAR($P54)+$Q54=O$3,(MONTH($P54)-1)/12,IF(YEAR($P54)+$Q54&lt;O$3,0,1)),IF(YEAR($P54)&gt;O$3,0,(12-MONTH($P54)+1)/12)),IF(YEAR($P54)&gt;O$3,0,VDB($N54,$O54,$Q54,IF(YEAR($P54)=O$3,0,MIN($Q54,(DATE(O$3,1,1)-$P54)/365)),MIN($Q54,(DATE(O$3,12,31)-$P54)/365),$S54))))</f>
        <v>0</v>
      </c>
      <c r="P96" s="330" t="n">
        <f aca="false">IF($N54=0,0,IF($R54="SL",SLN($N54,$O54,$Q54)*IF(YEAR($P54)&lt;P$3,IF(YEAR($P54)+$Q54=P$3,(MONTH($P54)-1)/12,IF(YEAR($P54)+$Q54&lt;P$3,0,1)),IF(YEAR($P54)&gt;P$3,0,(12-MONTH($P54)+1)/12)),IF(YEAR($P54)&gt;P$3,0,VDB($N54,$O54,$Q54,IF(YEAR($P54)=P$3,0,MIN($Q54,(DATE(P$3,1,1)-$P54)/365)),MIN($Q54,(DATE(P$3,12,31)-$P54)/365),$S54))))</f>
        <v>0</v>
      </c>
      <c r="Q96" s="330" t="n">
        <f aca="false">IF($N54=0,0,IF($R54="SL",SLN($N54,$O54,$Q54)*IF(YEAR($P54)&lt;Q$3,IF(YEAR($P54)+$Q54=Q$3,(MONTH($P54)-1)/12,IF(YEAR($P54)+$Q54&lt;Q$3,0,1)),IF(YEAR($P54)&gt;Q$3,0,(12-MONTH($P54)+1)/12)),IF(YEAR($P54)&gt;Q$3,0,VDB($N54,$O54,$Q54,IF(YEAR($P54)=Q$3,0,MIN($Q54,(DATE(Q$3,1,1)-$P54)/365)),MIN($Q54,(DATE(Q$3,12,31)-$P54)/365),$S54))))</f>
        <v>0</v>
      </c>
      <c r="R96" s="330" t="n">
        <f aca="false">IF($N54=0,0,IF($R54="SL",SLN($N54,$O54,$Q54)*IF(YEAR($P54)&lt;R$3,IF(YEAR($P54)+$Q54=R$3,(MONTH($P54)-1)/12,IF(YEAR($P54)+$Q54&lt;R$3,0,1)),IF(YEAR($P54)&gt;R$3,0,(12-MONTH($P54)+1)/12)),IF(YEAR($P54)&gt;R$3,0,VDB($N54,$O54,$Q54,IF(YEAR($P54)=R$3,0,MIN($Q54,(DATE(R$3,1,1)-$P54)/365)),MIN($Q54,(DATE(R$3,12,31)-$P54)/365),$S54))))</f>
        <v>0</v>
      </c>
      <c r="S96" s="330" t="n">
        <f aca="false">IF($N54=0,0,IF($R54="SL",SLN($N54,$O54,$Q54)*IF(YEAR($P54)&lt;S$3,IF(YEAR($P54)+$Q54=S$3,(MONTH($P54)-1)/12,IF(YEAR($P54)+$Q54&lt;S$3,0,1)),IF(YEAR($P54)&gt;S$3,0,(12-MONTH($P54)+1)/12)),IF(YEAR($P54)&gt;S$3,0,VDB($N54,$O54,$Q54,IF(YEAR($P54)=S$3,0,MIN($Q54,(DATE(S$3,1,1)-$P54)/365)),MIN($Q54,(DATE(S$3,12,31)-$P54)/365),$S54))))</f>
        <v>0</v>
      </c>
      <c r="T96" s="330" t="n">
        <f aca="false">IF($N54=0,0,IF($R54="SL",SLN($N54,$O54,$Q54)*IF(YEAR($P54)&lt;T$3,IF(YEAR($P54)+$Q54=T$3,(MONTH($P54)-1)/12,IF(YEAR($P54)+$Q54&lt;T$3,0,1)),IF(YEAR($P54)&gt;T$3,0,(12-MONTH($P54)+1)/12)),IF(YEAR($P54)&gt;T$3,0,VDB($N54,$O54,$Q54,IF(YEAR($P54)=T$3,0,MIN($Q54,(DATE(T$3,1,1)-$P54)/365)),MIN($Q54,(DATE(T$3,12,31)-$P54)/365),$S54))))</f>
        <v>0</v>
      </c>
      <c r="U96" s="330" t="n">
        <f aca="false">IF($N54=0,0,IF($R54="SL",SLN($N54,$O54,$Q54)*IF(YEAR($P54)&lt;U$3,IF(YEAR($P54)+$Q54=U$3,(MONTH($P54)-1)/12,IF(YEAR($P54)+$Q54&lt;U$3,0,1)),IF(YEAR($P54)&gt;U$3,0,(12-MONTH($P54)+1)/12)),IF(YEAR($P54)&gt;U$3,0,VDB($N54,$O54,$Q54,IF(YEAR($P54)=U$3,0,MIN($Q54,(DATE(U$3,1,1)-$P54)/365)),MIN($Q54,(DATE(U$3,12,31)-$P54)/365),$S54))))</f>
        <v>0</v>
      </c>
      <c r="V96" s="330" t="n">
        <f aca="false">IF($N54=0,0,IF($R54="SL",SLN($N54,$O54,$Q54)*IF(YEAR($P54)&lt;V$3,IF(YEAR($P54)+$Q54=V$3,(MONTH($P54)-1)/12,IF(YEAR($P54)+$Q54&lt;V$3,0,1)),IF(YEAR($P54)&gt;V$3,0,(12-MONTH($P54)+1)/12)),IF(YEAR($P54)&gt;V$3,0,VDB($N54,$O54,$Q54,IF(YEAR($P54)=V$3,0,MIN($Q54,(DATE(V$3,1,1)-$P54)/365)),MIN($Q54,(DATE(V$3,12,31)-$P54)/365),$S54))))</f>
        <v>0</v>
      </c>
      <c r="W96" s="330" t="n">
        <f aca="false">IF($N54=0,0,IF($R54="SL",SLN($N54,$O54,$Q54)*IF(YEAR($P54)&lt;W$3,IF(YEAR($P54)+$Q54=W$3,(MONTH($P54)-1)/12,IF(YEAR($P54)+$Q54&lt;W$3,0,1)),IF(YEAR($P54)&gt;W$3,0,(12-MONTH($P54)+1)/12)),IF(YEAR($P54)&gt;W$3,0,VDB($N54,$O54,$Q54,IF(YEAR($P54)=W$3,0,MIN($Q54,(DATE(W$3,1,1)-$P54)/365)),MIN($Q54,(DATE(W$3,12,31)-$P54)/365),$S54))))</f>
        <v>0</v>
      </c>
      <c r="X96" s="330" t="n">
        <f aca="false">IF($N54=0,0,IF($R54="SL",SLN($N54,$O54,$Q54)*IF(YEAR($P54)&lt;X$3,IF(YEAR($P54)+$Q54=X$3,(MONTH($P54)-1)/12,IF(YEAR($P54)+$Q54&lt;X$3,0,1)),IF(YEAR($P54)&gt;X$3,0,(12-MONTH($P54)+1)/12)),IF(YEAR($P54)&gt;X$3,0,VDB($N54,$O54,$Q54,IF(YEAR($P54)=X$3,0,MIN($Q54,(DATE(X$3,1,1)-$P54)/365)),MIN($Q54,(DATE(X$3,12,31)-$P54)/365),$S54))))</f>
        <v>0</v>
      </c>
      <c r="Y96" s="330" t="n">
        <f aca="false">IF($N54=0,0,IF($R54="SL",SLN($N54,$O54,$Q54)*IF(YEAR($P54)&lt;Y$3,IF(YEAR($P54)+$Q54=Y$3,(MONTH($P54)-1)/12,IF(YEAR($P54)+$Q54&lt;Y$3,0,1)),IF(YEAR($P54)&gt;Y$3,0,(12-MONTH($P54)+1)/12)),IF(YEAR($P54)&gt;Y$3,0,VDB($N54,$O54,$Q54,IF(YEAR($P54)=Y$3,0,MIN($Q54,(DATE(Y$3,1,1)-$P54)/365)),MIN($Q54,(DATE(Y$3,12,31)-$P54)/365),$S54))))</f>
        <v>0</v>
      </c>
      <c r="Z96" s="330" t="n">
        <f aca="false">IF($N54=0,0,IF($R54="SL",SLN($N54,$O54,$Q54)*IF(YEAR($P54)&lt;Z$3,IF(YEAR($P54)+$Q54=Z$3,(MONTH($P54)-1)/12,IF(YEAR($P54)+$Q54&lt;Z$3,0,1)),IF(YEAR($P54)&gt;Z$3,0,(12-MONTH($P54)+1)/12)),IF(YEAR($P54)&gt;Z$3,0,VDB($N54,$O54,$Q54,IF(YEAR($P54)=Z$3,0,MIN($Q54,(DATE(Z$3,1,1)-$P54)/365)),MIN($Q54,(DATE(Z$3,12,31)-$P54)/365),$S54))))</f>
        <v>0</v>
      </c>
      <c r="AA96" s="330" t="n">
        <f aca="false">IF($N54=0,0,IF($R54="SL",SLN($N54,$O54,$Q54)*IF(YEAR($P54)&lt;AA$3,IF(YEAR($P54)+$Q54=AA$3,(MONTH($P54)-1)/12,IF(YEAR($P54)+$Q54&lt;AA$3,0,1)),IF(YEAR($P54)&gt;AA$3,0,(12-MONTH($P54)+1)/12)),IF(YEAR($P54)&gt;AA$3,0,VDB($N54,$O54,$Q54,IF(YEAR($P54)=AA$3,0,MIN($Q54,(DATE(AA$3,1,1)-$P54)/365)),MIN($Q54,(DATE(AA$3,12,31)-$P54)/365),$S54))))</f>
        <v>0</v>
      </c>
      <c r="AB96" s="330" t="n">
        <f aca="false">IF($N54=0,0,IF($R54="SL",SLN($N54,$O54,$Q54)*IF(YEAR($P54)&lt;AB$3,IF(YEAR($P54)+$Q54=AB$3,(MONTH($P54)-1)/12,IF(YEAR($P54)+$Q54&lt;AB$3,0,1)),IF(YEAR($P54)&gt;AB$3,0,(12-MONTH($P54)+1)/12)),IF(YEAR($P54)&gt;AB$3,0,VDB($N54,$O54,$Q54,IF(YEAR($P54)=AB$3,0,MIN($Q54,(DATE(AB$3,1,1)-$P54)/365)),MIN($Q54,(DATE(AB$3,12,31)-$P54)/365),$S54))))</f>
        <v>0</v>
      </c>
      <c r="AC96" s="330" t="n">
        <f aca="false">IF($N54=0,0,IF($R54="SL",SLN($N54,$O54,$Q54)*IF(YEAR($P54)&lt;AC$3,IF(YEAR($P54)+$Q54=AC$3,(MONTH($P54)-1)/12,IF(YEAR($P54)+$Q54&lt;AC$3,0,1)),IF(YEAR($P54)&gt;AC$3,0,(12-MONTH($P54)+1)/12)),IF(YEAR($P54)&gt;AC$3,0,VDB($N54,$O54,$Q54,IF(YEAR($P54)=AC$3,0,MIN($Q54,(DATE(AC$3,1,1)-$P54)/365)),MIN($Q54,(DATE(AC$3,12,31)-$P54)/365),$S54))))</f>
        <v>0</v>
      </c>
      <c r="AD96" s="330" t="n">
        <f aca="false">IF($N54=0,0,IF($R54="SL",SLN($N54,$O54,$Q54)*IF(YEAR($P54)&lt;AD$3,IF(YEAR($P54)+$Q54=AD$3,(MONTH($P54)-1)/12,IF(YEAR($P54)+$Q54&lt;AD$3,0,1)),IF(YEAR($P54)&gt;AD$3,0,(12-MONTH($P54)+1)/12)),IF(YEAR($P54)&gt;AD$3,0,VDB($N54,$O54,$Q54,IF(YEAR($P54)=AD$3,0,MIN($Q54,(DATE(AD$3,1,1)-$P54)/365)),MIN($Q54,(DATE(AD$3,12,31)-$P54)/365),$S54))))</f>
        <v>0</v>
      </c>
      <c r="AE96" s="330" t="n">
        <f aca="false">IF($N54=0,0,IF($R54="SL",SLN($N54,$O54,$Q54)*IF(YEAR($P54)&lt;AE$3,IF(YEAR($P54)+$Q54=AE$3,(MONTH($P54)-1)/12,IF(YEAR($P54)+$Q54&lt;AE$3,0,1)),IF(YEAR($P54)&gt;AE$3,0,(12-MONTH($P54)+1)/12)),IF(YEAR($P54)&gt;AE$3,0,VDB($N54,$O54,$Q54,IF(YEAR($P54)=AE$3,0,MIN($Q54,(DATE(AE$3,1,1)-$P54)/365)),MIN($Q54,(DATE(AE$3,12,31)-$P54)/365),$S54))))</f>
        <v>0</v>
      </c>
      <c r="AF96" s="330" t="n">
        <f aca="false">IF($N54=0,0,IF($R54="SL",SLN($N54,$O54,$Q54)*IF(YEAR($P54)&lt;AF$3,IF(YEAR($P54)+$Q54=AF$3,(MONTH($P54)-1)/12,IF(YEAR($P54)+$Q54&lt;AF$3,0,1)),IF(YEAR($P54)&gt;AF$3,0,(12-MONTH($P54)+1)/12)),IF(YEAR($P54)&gt;AF$3,0,VDB($N54,$O54,$Q54,IF(YEAR($P54)=AF$3,0,MIN($Q54,(DATE(AF$3,1,1)-$P54)/365)),MIN($Q54,(DATE(AF$3,12,31)-$P54)/365),$S54))))</f>
        <v>0</v>
      </c>
    </row>
    <row r="97" customFormat="false" ht="11.25" hidden="false" customHeight="false" outlineLevel="1" collapsed="false">
      <c r="A97" s="291"/>
      <c r="C97" s="235" t="str">
        <f aca="false">+C76</f>
        <v>Funding 2</v>
      </c>
      <c r="D97" s="298"/>
      <c r="E97" s="298"/>
      <c r="F97" s="298"/>
      <c r="G97" s="298"/>
      <c r="H97" s="321"/>
      <c r="I97" s="330" t="n">
        <f aca="false">IF($N55=0,0,IF($R55="SL",SLN($N55,$O55,$Q55)*IF(YEAR($P55)&lt;(J$3-1),IF(YEAR($P55)+$Q55=J$3-1,(MONTH($P55)-1)/12,IF(YEAR($P55)+$Q55&lt;J$3-1,0,1)),IF(YEAR($P55)&gt;J$3-1,0,(12-MONTH($P55)+1)/12)),IF(YEAR($P55)&gt;J$3-1,0,VDB($N55,$O55,$Q55,IF(YEAR($P55)=J$3-1,0,MIN($Q55,(DATE(J$3-1,1,1)-$P55)/365)),MIN($Q55,(DATE(J$3-1,12,31)-$P55)/365),$S55))))</f>
        <v>0</v>
      </c>
      <c r="J97" s="330" t="n">
        <f aca="false">IF($N55=0,0,IF($R55="SL",SLN($N55,$O55,$Q55)*IF(YEAR($P55)&lt;J$3,IF(YEAR($P55)+$Q55=J$3,(MONTH($P55)-1)/12,IF(YEAR($P55)+$Q55&lt;J$3,0,1)),IF(YEAR($P55)&gt;J$3,0,(12-MONTH($P55)+1)/12)),IF(YEAR($P55)&gt;J$3,0,VDB($N55,$O55,$Q55,IF(YEAR($P55)=J$3,0,MIN($Q55,(DATE(J$3,1,1)-$P55)/365)),MIN($Q55,(DATE(J$3,12,31)-$P55)/365),$S55))))</f>
        <v>0</v>
      </c>
      <c r="K97" s="330" t="n">
        <f aca="false">IF($N55=0,0,IF($R55="SL",SLN($N55,$O55,$Q55)*IF(YEAR($P55)&lt;K$3,IF(YEAR($P55)+$Q55=K$3,(MONTH($P55)-1)/12,IF(YEAR($P55)+$Q55&lt;K$3,0,1)),IF(YEAR($P55)&gt;K$3,0,(12-MONTH($P55)+1)/12)),IF(YEAR($P55)&gt;K$3,0,VDB($N55,$O55,$Q55,IF(YEAR($P55)=K$3,0,MIN($Q55,(DATE(K$3,1,1)-$P55)/365)),MIN($Q55,(DATE(K$3,12,31)-$P55)/365),$S55))))</f>
        <v>0</v>
      </c>
      <c r="L97" s="330" t="n">
        <f aca="false">IF($N55=0,0,IF($R55="SL",SLN($N55,$O55,$Q55)*IF(YEAR($P55)&lt;L$3,IF(YEAR($P55)+$Q55=L$3,(MONTH($P55)-1)/12,IF(YEAR($P55)+$Q55&lt;L$3,0,1)),IF(YEAR($P55)&gt;L$3,0,(12-MONTH($P55)+1)/12)),IF(YEAR($P55)&gt;L$3,0,VDB($N55,$O55,$Q55,IF(YEAR($P55)=L$3,0,MIN($Q55,(DATE(L$3,1,1)-$P55)/365)),MIN($Q55,(DATE(L$3,12,31)-$P55)/365),$S55))))</f>
        <v>0</v>
      </c>
      <c r="M97" s="330" t="n">
        <f aca="false">IF($N55=0,0,IF($R55="SL",SLN($N55,$O55,$Q55)*IF(YEAR($P55)&lt;M$3,IF(YEAR($P55)+$Q55=M$3,(MONTH($P55)-1)/12,IF(YEAR($P55)+$Q55&lt;M$3,0,1)),IF(YEAR($P55)&gt;M$3,0,(12-MONTH($P55)+1)/12)),IF(YEAR($P55)&gt;M$3,0,VDB($N55,$O55,$Q55,IF(YEAR($P55)=M$3,0,MIN($Q55,(DATE(M$3,1,1)-$P55)/365)),MIN($Q55,(DATE(M$3,12,31)-$P55)/365),$S55))))</f>
        <v>0</v>
      </c>
      <c r="N97" s="330" t="n">
        <f aca="false">IF($N55=0,0,IF($R55="SL",SLN($N55,$O55,$Q55)*IF(YEAR($P55)&lt;N$3,IF(YEAR($P55)+$Q55=N$3,(MONTH($P55)-1)/12,IF(YEAR($P55)+$Q55&lt;N$3,0,1)),IF(YEAR($P55)&gt;N$3,0,(12-MONTH($P55)+1)/12)),IF(YEAR($P55)&gt;N$3,0,VDB($N55,$O55,$Q55,IF(YEAR($P55)=N$3,0,MIN($Q55,(DATE(N$3,1,1)-$P55)/365)),MIN($Q55,(DATE(N$3,12,31)-$P55)/365),$S55))))</f>
        <v>0</v>
      </c>
      <c r="O97" s="330" t="n">
        <f aca="false">IF($N55=0,0,IF($R55="SL",SLN($N55,$O55,$Q55)*IF(YEAR($P55)&lt;O$3,IF(YEAR($P55)+$Q55=O$3,(MONTH($P55)-1)/12,IF(YEAR($P55)+$Q55&lt;O$3,0,1)),IF(YEAR($P55)&gt;O$3,0,(12-MONTH($P55)+1)/12)),IF(YEAR($P55)&gt;O$3,0,VDB($N55,$O55,$Q55,IF(YEAR($P55)=O$3,0,MIN($Q55,(DATE(O$3,1,1)-$P55)/365)),MIN($Q55,(DATE(O$3,12,31)-$P55)/365),$S55))))</f>
        <v>0</v>
      </c>
      <c r="P97" s="330" t="n">
        <f aca="false">IF($N55=0,0,IF($R55="SL",SLN($N55,$O55,$Q55)*IF(YEAR($P55)&lt;P$3,IF(YEAR($P55)+$Q55=P$3,(MONTH($P55)-1)/12,IF(YEAR($P55)+$Q55&lt;P$3,0,1)),IF(YEAR($P55)&gt;P$3,0,(12-MONTH($P55)+1)/12)),IF(YEAR($P55)&gt;P$3,0,VDB($N55,$O55,$Q55,IF(YEAR($P55)=P$3,0,MIN($Q55,(DATE(P$3,1,1)-$P55)/365)),MIN($Q55,(DATE(P$3,12,31)-$P55)/365),$S55))))</f>
        <v>0</v>
      </c>
      <c r="Q97" s="330" t="n">
        <f aca="false">IF($N55=0,0,IF($R55="SL",SLN($N55,$O55,$Q55)*IF(YEAR($P55)&lt;Q$3,IF(YEAR($P55)+$Q55=Q$3,(MONTH($P55)-1)/12,IF(YEAR($P55)+$Q55&lt;Q$3,0,1)),IF(YEAR($P55)&gt;Q$3,0,(12-MONTH($P55)+1)/12)),IF(YEAR($P55)&gt;Q$3,0,VDB($N55,$O55,$Q55,IF(YEAR($P55)=Q$3,0,MIN($Q55,(DATE(Q$3,1,1)-$P55)/365)),MIN($Q55,(DATE(Q$3,12,31)-$P55)/365),$S55))))</f>
        <v>0</v>
      </c>
      <c r="R97" s="330" t="n">
        <f aca="false">IF($N55=0,0,IF($R55="SL",SLN($N55,$O55,$Q55)*IF(YEAR($P55)&lt;R$3,IF(YEAR($P55)+$Q55=R$3,(MONTH($P55)-1)/12,IF(YEAR($P55)+$Q55&lt;R$3,0,1)),IF(YEAR($P55)&gt;R$3,0,(12-MONTH($P55)+1)/12)),IF(YEAR($P55)&gt;R$3,0,VDB($N55,$O55,$Q55,IF(YEAR($P55)=R$3,0,MIN($Q55,(DATE(R$3,1,1)-$P55)/365)),MIN($Q55,(DATE(R$3,12,31)-$P55)/365),$S55))))</f>
        <v>0</v>
      </c>
      <c r="S97" s="330" t="n">
        <f aca="false">IF($N55=0,0,IF($R55="SL",SLN($N55,$O55,$Q55)*IF(YEAR($P55)&lt;S$3,IF(YEAR($P55)+$Q55=S$3,(MONTH($P55)-1)/12,IF(YEAR($P55)+$Q55&lt;S$3,0,1)),IF(YEAR($P55)&gt;S$3,0,(12-MONTH($P55)+1)/12)),IF(YEAR($P55)&gt;S$3,0,VDB($N55,$O55,$Q55,IF(YEAR($P55)=S$3,0,MIN($Q55,(DATE(S$3,1,1)-$P55)/365)),MIN($Q55,(DATE(S$3,12,31)-$P55)/365),$S55))))</f>
        <v>0</v>
      </c>
      <c r="T97" s="330" t="n">
        <f aca="false">IF($N55=0,0,IF($R55="SL",SLN($N55,$O55,$Q55)*IF(YEAR($P55)&lt;T$3,IF(YEAR($P55)+$Q55=T$3,(MONTH($P55)-1)/12,IF(YEAR($P55)+$Q55&lt;T$3,0,1)),IF(YEAR($P55)&gt;T$3,0,(12-MONTH($P55)+1)/12)),IF(YEAR($P55)&gt;T$3,0,VDB($N55,$O55,$Q55,IF(YEAR($P55)=T$3,0,MIN($Q55,(DATE(T$3,1,1)-$P55)/365)),MIN($Q55,(DATE(T$3,12,31)-$P55)/365),$S55))))</f>
        <v>0</v>
      </c>
      <c r="U97" s="330" t="n">
        <f aca="false">IF($N55=0,0,IF($R55="SL",SLN($N55,$O55,$Q55)*IF(YEAR($P55)&lt;U$3,IF(YEAR($P55)+$Q55=U$3,(MONTH($P55)-1)/12,IF(YEAR($P55)+$Q55&lt;U$3,0,1)),IF(YEAR($P55)&gt;U$3,0,(12-MONTH($P55)+1)/12)),IF(YEAR($P55)&gt;U$3,0,VDB($N55,$O55,$Q55,IF(YEAR($P55)=U$3,0,MIN($Q55,(DATE(U$3,1,1)-$P55)/365)),MIN($Q55,(DATE(U$3,12,31)-$P55)/365),$S55))))</f>
        <v>0</v>
      </c>
      <c r="V97" s="330" t="n">
        <f aca="false">IF($N55=0,0,IF($R55="SL",SLN($N55,$O55,$Q55)*IF(YEAR($P55)&lt;V$3,IF(YEAR($P55)+$Q55=V$3,(MONTH($P55)-1)/12,IF(YEAR($P55)+$Q55&lt;V$3,0,1)),IF(YEAR($P55)&gt;V$3,0,(12-MONTH($P55)+1)/12)),IF(YEAR($P55)&gt;V$3,0,VDB($N55,$O55,$Q55,IF(YEAR($P55)=V$3,0,MIN($Q55,(DATE(V$3,1,1)-$P55)/365)),MIN($Q55,(DATE(V$3,12,31)-$P55)/365),$S55))))</f>
        <v>0</v>
      </c>
      <c r="W97" s="330" t="n">
        <f aca="false">IF($N55=0,0,IF($R55="SL",SLN($N55,$O55,$Q55)*IF(YEAR($P55)&lt;W$3,IF(YEAR($P55)+$Q55=W$3,(MONTH($P55)-1)/12,IF(YEAR($P55)+$Q55&lt;W$3,0,1)),IF(YEAR($P55)&gt;W$3,0,(12-MONTH($P55)+1)/12)),IF(YEAR($P55)&gt;W$3,0,VDB($N55,$O55,$Q55,IF(YEAR($P55)=W$3,0,MIN($Q55,(DATE(W$3,1,1)-$P55)/365)),MIN($Q55,(DATE(W$3,12,31)-$P55)/365),$S55))))</f>
        <v>0</v>
      </c>
      <c r="X97" s="330" t="n">
        <f aca="false">IF($N55=0,0,IF($R55="SL",SLN($N55,$O55,$Q55)*IF(YEAR($P55)&lt;X$3,IF(YEAR($P55)+$Q55=X$3,(MONTH($P55)-1)/12,IF(YEAR($P55)+$Q55&lt;X$3,0,1)),IF(YEAR($P55)&gt;X$3,0,(12-MONTH($P55)+1)/12)),IF(YEAR($P55)&gt;X$3,0,VDB($N55,$O55,$Q55,IF(YEAR($P55)=X$3,0,MIN($Q55,(DATE(X$3,1,1)-$P55)/365)),MIN($Q55,(DATE(X$3,12,31)-$P55)/365),$S55))))</f>
        <v>0</v>
      </c>
      <c r="Y97" s="330" t="n">
        <f aca="false">IF($N55=0,0,IF($R55="SL",SLN($N55,$O55,$Q55)*IF(YEAR($P55)&lt;Y$3,IF(YEAR($P55)+$Q55=Y$3,(MONTH($P55)-1)/12,IF(YEAR($P55)+$Q55&lt;Y$3,0,1)),IF(YEAR($P55)&gt;Y$3,0,(12-MONTH($P55)+1)/12)),IF(YEAR($P55)&gt;Y$3,0,VDB($N55,$O55,$Q55,IF(YEAR($P55)=Y$3,0,MIN($Q55,(DATE(Y$3,1,1)-$P55)/365)),MIN($Q55,(DATE(Y$3,12,31)-$P55)/365),$S55))))</f>
        <v>0</v>
      </c>
      <c r="Z97" s="330" t="n">
        <f aca="false">IF($N55=0,0,IF($R55="SL",SLN($N55,$O55,$Q55)*IF(YEAR($P55)&lt;Z$3,IF(YEAR($P55)+$Q55=Z$3,(MONTH($P55)-1)/12,IF(YEAR($P55)+$Q55&lt;Z$3,0,1)),IF(YEAR($P55)&gt;Z$3,0,(12-MONTH($P55)+1)/12)),IF(YEAR($P55)&gt;Z$3,0,VDB($N55,$O55,$Q55,IF(YEAR($P55)=Z$3,0,MIN($Q55,(DATE(Z$3,1,1)-$P55)/365)),MIN($Q55,(DATE(Z$3,12,31)-$P55)/365),$S55))))</f>
        <v>0</v>
      </c>
      <c r="AA97" s="330" t="n">
        <f aca="false">IF($N55=0,0,IF($R55="SL",SLN($N55,$O55,$Q55)*IF(YEAR($P55)&lt;AA$3,IF(YEAR($P55)+$Q55=AA$3,(MONTH($P55)-1)/12,IF(YEAR($P55)+$Q55&lt;AA$3,0,1)),IF(YEAR($P55)&gt;AA$3,0,(12-MONTH($P55)+1)/12)),IF(YEAR($P55)&gt;AA$3,0,VDB($N55,$O55,$Q55,IF(YEAR($P55)=AA$3,0,MIN($Q55,(DATE(AA$3,1,1)-$P55)/365)),MIN($Q55,(DATE(AA$3,12,31)-$P55)/365),$S55))))</f>
        <v>0</v>
      </c>
      <c r="AB97" s="330" t="n">
        <f aca="false">IF($N55=0,0,IF($R55="SL",SLN($N55,$O55,$Q55)*IF(YEAR($P55)&lt;AB$3,IF(YEAR($P55)+$Q55=AB$3,(MONTH($P55)-1)/12,IF(YEAR($P55)+$Q55&lt;AB$3,0,1)),IF(YEAR($P55)&gt;AB$3,0,(12-MONTH($P55)+1)/12)),IF(YEAR($P55)&gt;AB$3,0,VDB($N55,$O55,$Q55,IF(YEAR($P55)=AB$3,0,MIN($Q55,(DATE(AB$3,1,1)-$P55)/365)),MIN($Q55,(DATE(AB$3,12,31)-$P55)/365),$S55))))</f>
        <v>0</v>
      </c>
      <c r="AC97" s="330" t="n">
        <f aca="false">IF($N55=0,0,IF($R55="SL",SLN($N55,$O55,$Q55)*IF(YEAR($P55)&lt;AC$3,IF(YEAR($P55)+$Q55=AC$3,(MONTH($P55)-1)/12,IF(YEAR($P55)+$Q55&lt;AC$3,0,1)),IF(YEAR($P55)&gt;AC$3,0,(12-MONTH($P55)+1)/12)),IF(YEAR($P55)&gt;AC$3,0,VDB($N55,$O55,$Q55,IF(YEAR($P55)=AC$3,0,MIN($Q55,(DATE(AC$3,1,1)-$P55)/365)),MIN($Q55,(DATE(AC$3,12,31)-$P55)/365),$S55))))</f>
        <v>0</v>
      </c>
      <c r="AD97" s="330" t="n">
        <f aca="false">IF($N55=0,0,IF($R55="SL",SLN($N55,$O55,$Q55)*IF(YEAR($P55)&lt;AD$3,IF(YEAR($P55)+$Q55=AD$3,(MONTH($P55)-1)/12,IF(YEAR($P55)+$Q55&lt;AD$3,0,1)),IF(YEAR($P55)&gt;AD$3,0,(12-MONTH($P55)+1)/12)),IF(YEAR($P55)&gt;AD$3,0,VDB($N55,$O55,$Q55,IF(YEAR($P55)=AD$3,0,MIN($Q55,(DATE(AD$3,1,1)-$P55)/365)),MIN($Q55,(DATE(AD$3,12,31)-$P55)/365),$S55))))</f>
        <v>0</v>
      </c>
      <c r="AE97" s="330" t="n">
        <f aca="false">IF($N55=0,0,IF($R55="SL",SLN($N55,$O55,$Q55)*IF(YEAR($P55)&lt;AE$3,IF(YEAR($P55)+$Q55=AE$3,(MONTH($P55)-1)/12,IF(YEAR($P55)+$Q55&lt;AE$3,0,1)),IF(YEAR($P55)&gt;AE$3,0,(12-MONTH($P55)+1)/12)),IF(YEAR($P55)&gt;AE$3,0,VDB($N55,$O55,$Q55,IF(YEAR($P55)=AE$3,0,MIN($Q55,(DATE(AE$3,1,1)-$P55)/365)),MIN($Q55,(DATE(AE$3,12,31)-$P55)/365),$S55))))</f>
        <v>0</v>
      </c>
      <c r="AF97" s="330" t="n">
        <f aca="false">IF($N55=0,0,IF($R55="SL",SLN($N55,$O55,$Q55)*IF(YEAR($P55)&lt;AF$3,IF(YEAR($P55)+$Q55=AF$3,(MONTH($P55)-1)/12,IF(YEAR($P55)+$Q55&lt;AF$3,0,1)),IF(YEAR($P55)&gt;AF$3,0,(12-MONTH($P55)+1)/12)),IF(YEAR($P55)&gt;AF$3,0,VDB($N55,$O55,$Q55,IF(YEAR($P55)=AF$3,0,MIN($Q55,(DATE(AF$3,1,1)-$P55)/365)),MIN($Q55,(DATE(AF$3,12,31)-$P55)/365),$S55))))</f>
        <v>0</v>
      </c>
    </row>
    <row r="98" customFormat="false" ht="11.25" hidden="false" customHeight="false" outlineLevel="0" collapsed="false">
      <c r="A98" s="291"/>
      <c r="B98" s="323" t="s">
        <v>340</v>
      </c>
      <c r="D98" s="298"/>
      <c r="E98" s="298"/>
      <c r="F98" s="298"/>
      <c r="G98" s="298"/>
      <c r="H98" s="321"/>
      <c r="I98" s="334" t="n">
        <f aca="false">+I97+I96</f>
        <v>0</v>
      </c>
      <c r="J98" s="334" t="n">
        <f aca="false">+J97+J96</f>
        <v>0</v>
      </c>
      <c r="K98" s="334" t="n">
        <f aca="false">+K97+K96</f>
        <v>0</v>
      </c>
      <c r="L98" s="334" t="n">
        <f aca="false">+L97+L96</f>
        <v>0</v>
      </c>
      <c r="M98" s="334" t="n">
        <f aca="false">+M97+M96</f>
        <v>0</v>
      </c>
      <c r="N98" s="334" t="n">
        <f aca="false">+N97+N96</f>
        <v>0</v>
      </c>
      <c r="O98" s="334" t="n">
        <f aca="false">+O97+O96</f>
        <v>0</v>
      </c>
      <c r="P98" s="334" t="n">
        <f aca="false">+P97+P96</f>
        <v>0</v>
      </c>
      <c r="Q98" s="334" t="n">
        <f aca="false">+Q97+Q96</f>
        <v>0</v>
      </c>
      <c r="R98" s="334" t="n">
        <f aca="false">+R97+R96</f>
        <v>0</v>
      </c>
      <c r="S98" s="334" t="n">
        <f aca="false">+S97+S96</f>
        <v>0</v>
      </c>
      <c r="T98" s="334" t="n">
        <f aca="false">+T97+T96</f>
        <v>0</v>
      </c>
      <c r="U98" s="334" t="n">
        <f aca="false">+U97+U96</f>
        <v>0</v>
      </c>
      <c r="V98" s="334" t="n">
        <f aca="false">+V97+V96</f>
        <v>0</v>
      </c>
      <c r="W98" s="334" t="n">
        <f aca="false">+W97+W96</f>
        <v>0</v>
      </c>
      <c r="X98" s="334" t="n">
        <f aca="false">+X97+X96</f>
        <v>0</v>
      </c>
      <c r="Y98" s="334" t="n">
        <f aca="false">+Y97+Y96</f>
        <v>0</v>
      </c>
      <c r="Z98" s="334" t="n">
        <f aca="false">+Z97+Z96</f>
        <v>0</v>
      </c>
      <c r="AA98" s="334" t="n">
        <f aca="false">+AA97+AA96</f>
        <v>0</v>
      </c>
      <c r="AB98" s="334" t="n">
        <f aca="false">+AB97+AB96</f>
        <v>0</v>
      </c>
      <c r="AC98" s="334" t="n">
        <f aca="false">+AC97+AC96</f>
        <v>0</v>
      </c>
      <c r="AD98" s="334" t="n">
        <f aca="false">+AD97+AD96</f>
        <v>0</v>
      </c>
      <c r="AE98" s="334" t="n">
        <f aca="false">+AE97+AE96</f>
        <v>0</v>
      </c>
      <c r="AF98" s="334" t="n">
        <f aca="false">+AF97+AF96</f>
        <v>0</v>
      </c>
    </row>
    <row r="99" customFormat="false" ht="11.25" hidden="false" customHeight="false" outlineLevel="0" collapsed="false"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</row>
    <row r="100" customFormat="false" ht="11.25" hidden="false" customHeight="false" outlineLevel="0" collapsed="false">
      <c r="A100" s="323" t="s">
        <v>345</v>
      </c>
      <c r="I100" s="275" t="n">
        <f aca="false">+I93+I98</f>
        <v>3277.97601069589</v>
      </c>
      <c r="J100" s="275" t="n">
        <f aca="false">+J93+J98</f>
        <v>7541.50138776548</v>
      </c>
      <c r="K100" s="275" t="n">
        <f aca="false">+K93+K98</f>
        <v>6767.94218050455</v>
      </c>
      <c r="L100" s="275" t="n">
        <f aca="false">+L93+L98</f>
        <v>6091.14796245409</v>
      </c>
      <c r="M100" s="275" t="n">
        <f aca="false">+M93+M98</f>
        <v>5586.03119783599</v>
      </c>
      <c r="N100" s="275" t="n">
        <f aca="false">+N93+N98</f>
        <v>5176.66833686555</v>
      </c>
      <c r="O100" s="275" t="n">
        <f aca="false">+O93+O98</f>
        <v>4821.68524896114</v>
      </c>
      <c r="P100" s="275" t="n">
        <f aca="false">+P93+P98</f>
        <v>4790.4778215326</v>
      </c>
      <c r="Q100" s="275" t="n">
        <f aca="false">+Q93+Q98</f>
        <v>5137.86538636625</v>
      </c>
      <c r="R100" s="275" t="n">
        <f aca="false">+R93+R98</f>
        <v>5587.63563099592</v>
      </c>
      <c r="S100" s="275" t="n">
        <f aca="false">+S93+S98</f>
        <v>5423.19642874056</v>
      </c>
      <c r="T100" s="275" t="n">
        <f aca="false">+T93+T98</f>
        <v>5315.14024058541</v>
      </c>
      <c r="U100" s="275" t="n">
        <f aca="false">+U93+U98</f>
        <v>5356.92241221546</v>
      </c>
      <c r="V100" s="275" t="n">
        <f aca="false">+V93+V98</f>
        <v>5465.92250964061</v>
      </c>
      <c r="W100" s="275" t="n">
        <f aca="false">+W93+W98</f>
        <v>5390.45568182014</v>
      </c>
      <c r="X100" s="275" t="n">
        <f aca="false">+X93+X98</f>
        <v>3360.07574667055</v>
      </c>
      <c r="Y100" s="275" t="n">
        <f aca="false">+Y93+Y98</f>
        <v>989.466826239399</v>
      </c>
      <c r="Z100" s="275" t="n">
        <f aca="false">+Z93+Z98</f>
        <v>1317.37517159917</v>
      </c>
      <c r="AA100" s="275" t="n">
        <f aca="false">+AA93+AA98</f>
        <v>1104.74630254402</v>
      </c>
      <c r="AB100" s="275" t="n">
        <f aca="false">+AB93+AB98</f>
        <v>953.296084651023</v>
      </c>
      <c r="AC100" s="275" t="n">
        <f aca="false">+AC93+AC98</f>
        <v>806.959392974248</v>
      </c>
      <c r="AD100" s="275" t="n">
        <f aca="false">+AD93+AD98</f>
        <v>693.402114653699</v>
      </c>
      <c r="AE100" s="275" t="n">
        <f aca="false">+AE93+AE98</f>
        <v>691.50238283273</v>
      </c>
      <c r="AF100" s="275" t="n">
        <f aca="false">+AF93+AF98</f>
        <v>691.50238283273</v>
      </c>
    </row>
    <row r="101" customFormat="false" ht="11.25" hidden="false" customHeight="false" outlineLevel="0" collapsed="false">
      <c r="A101" s="336" t="s">
        <v>342</v>
      </c>
      <c r="B101" s="275" t="n">
        <f aca="false">+SUM(I100:AF100)-N51</f>
        <v>-653.717964063893</v>
      </c>
      <c r="I101" s="275"/>
      <c r="J101" s="275"/>
      <c r="K101" s="275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75"/>
      <c r="AC101" s="275"/>
      <c r="AD101" s="275"/>
      <c r="AE101" s="275"/>
      <c r="AF101" s="275"/>
    </row>
    <row r="102" customFormat="false" ht="12" hidden="false" customHeight="false" outlineLevel="0" collapsed="false">
      <c r="A102" s="337"/>
      <c r="B102" s="338"/>
      <c r="C102" s="338"/>
      <c r="D102" s="338"/>
      <c r="E102" s="338"/>
      <c r="F102" s="338"/>
      <c r="G102" s="338"/>
      <c r="H102" s="338"/>
      <c r="I102" s="339"/>
      <c r="J102" s="339"/>
      <c r="K102" s="33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</row>
    <row r="103" customFormat="false" ht="12.75" hidden="false" customHeight="false" outlineLevel="0" collapsed="false">
      <c r="A103" s="323"/>
      <c r="I103" s="275"/>
      <c r="J103" s="275"/>
      <c r="K103" s="275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  <c r="Z103" s="275"/>
      <c r="AA103" s="275"/>
      <c r="AB103" s="275"/>
      <c r="AC103" s="275"/>
      <c r="AD103" s="275"/>
      <c r="AE103" s="275"/>
      <c r="AF103" s="275"/>
    </row>
    <row r="104" customFormat="false" ht="12.75" hidden="false" customHeight="false" outlineLevel="0" collapsed="false">
      <c r="A104" s="323" t="s">
        <v>346</v>
      </c>
      <c r="I104" s="263" t="n">
        <f aca="false">+I$3</f>
        <v>36525</v>
      </c>
      <c r="J104" s="264" t="n">
        <f aca="false">+J$3</f>
        <v>2000</v>
      </c>
      <c r="K104" s="264" t="n">
        <f aca="false">+K$3</f>
        <v>2001</v>
      </c>
      <c r="L104" s="264" t="n">
        <f aca="false">+L$3</f>
        <v>2002</v>
      </c>
      <c r="M104" s="264" t="n">
        <f aca="false">+M$3</f>
        <v>2003</v>
      </c>
      <c r="N104" s="264" t="n">
        <f aca="false">+N$3</f>
        <v>2004</v>
      </c>
      <c r="O104" s="264" t="n">
        <f aca="false">+O$3</f>
        <v>2005</v>
      </c>
      <c r="P104" s="264" t="n">
        <f aca="false">+P$3</f>
        <v>2006</v>
      </c>
      <c r="Q104" s="264" t="n">
        <f aca="false">+Q$3</f>
        <v>2007</v>
      </c>
      <c r="R104" s="264" t="n">
        <f aca="false">+R$3</f>
        <v>2008</v>
      </c>
      <c r="S104" s="264" t="n">
        <f aca="false">+S$3</f>
        <v>2009</v>
      </c>
      <c r="T104" s="264" t="n">
        <f aca="false">+T$3</f>
        <v>2010</v>
      </c>
      <c r="U104" s="264" t="n">
        <f aca="false">+U$3</f>
        <v>2011</v>
      </c>
      <c r="V104" s="264" t="n">
        <f aca="false">+V$3</f>
        <v>2012</v>
      </c>
      <c r="W104" s="264" t="n">
        <f aca="false">+W$3</f>
        <v>2013</v>
      </c>
      <c r="X104" s="264" t="n">
        <f aca="false">+X$3</f>
        <v>2014</v>
      </c>
      <c r="Y104" s="264" t="n">
        <f aca="false">+Y$3</f>
        <v>2015</v>
      </c>
      <c r="Z104" s="264" t="n">
        <f aca="false">+Z$3</f>
        <v>2016</v>
      </c>
      <c r="AA104" s="264" t="n">
        <f aca="false">+AA$3</f>
        <v>2017</v>
      </c>
      <c r="AB104" s="264" t="n">
        <f aca="false">+AB$3</f>
        <v>2018</v>
      </c>
      <c r="AC104" s="264" t="n">
        <f aca="false">+AC$3</f>
        <v>2019</v>
      </c>
      <c r="AD104" s="264" t="n">
        <f aca="false">+AD$3</f>
        <v>2020</v>
      </c>
      <c r="AE104" s="264" t="n">
        <f aca="false">+AE$3</f>
        <v>2021</v>
      </c>
      <c r="AF104" s="264" t="n">
        <f aca="false">+AF$3</f>
        <v>2022</v>
      </c>
    </row>
    <row r="105" customFormat="false" ht="12" hidden="false" customHeight="false" outlineLevel="0" collapsed="false">
      <c r="A105" s="323"/>
      <c r="B105" s="323" t="s">
        <v>289</v>
      </c>
      <c r="H105" s="340" t="n">
        <f aca="false">+H20</f>
        <v>78714.55552</v>
      </c>
      <c r="I105" s="340" t="n">
        <f aca="false">+I20</f>
        <v>0</v>
      </c>
      <c r="J105" s="340" t="n">
        <f aca="false">+J20</f>
        <v>0</v>
      </c>
      <c r="K105" s="340" t="n">
        <f aca="false">+K20</f>
        <v>0</v>
      </c>
      <c r="L105" s="340" t="n">
        <f aca="false">+L20</f>
        <v>0</v>
      </c>
      <c r="M105" s="340" t="n">
        <f aca="false">+M20</f>
        <v>1331.9046155778</v>
      </c>
      <c r="N105" s="340" t="n">
        <f aca="false">+N20</f>
        <v>0</v>
      </c>
      <c r="O105" s="340" t="n">
        <f aca="false">+O20</f>
        <v>0</v>
      </c>
      <c r="P105" s="340" t="n">
        <f aca="false">+P20</f>
        <v>0</v>
      </c>
      <c r="Q105" s="340" t="n">
        <f aca="false">+Q20</f>
        <v>4611.73981979569</v>
      </c>
      <c r="R105" s="340" t="n">
        <f aca="false">+R20</f>
        <v>0</v>
      </c>
      <c r="S105" s="340" t="n">
        <f aca="false">+S20</f>
        <v>0</v>
      </c>
      <c r="T105" s="340" t="n">
        <f aca="false">+T20</f>
        <v>0</v>
      </c>
      <c r="U105" s="340" t="n">
        <f aca="false">+U20</f>
        <v>1870.65531397766</v>
      </c>
      <c r="V105" s="340" t="n">
        <f aca="false">+V20</f>
        <v>0</v>
      </c>
      <c r="W105" s="340" t="n">
        <f aca="false">+W20</f>
        <v>0</v>
      </c>
      <c r="X105" s="340" t="n">
        <f aca="false">+X20</f>
        <v>0</v>
      </c>
      <c r="Y105" s="340" t="n">
        <f aca="false">+Y20</f>
        <v>6463.75753668992</v>
      </c>
      <c r="Z105" s="340" t="n">
        <f aca="false">+Z20</f>
        <v>0</v>
      </c>
      <c r="AA105" s="340" t="n">
        <f aca="false">+AA20</f>
        <v>0</v>
      </c>
      <c r="AB105" s="340" t="n">
        <f aca="false">+AB20</f>
        <v>0</v>
      </c>
      <c r="AC105" s="340" t="n">
        <f aca="false">+AC20</f>
        <v>0</v>
      </c>
      <c r="AD105" s="340" t="n">
        <f aca="false">+AD20</f>
        <v>0</v>
      </c>
      <c r="AE105" s="340" t="n">
        <f aca="false">+AE20</f>
        <v>0</v>
      </c>
      <c r="AF105" s="340" t="n">
        <f aca="false">+AF20</f>
        <v>0</v>
      </c>
    </row>
    <row r="106" customFormat="false" ht="11.25" hidden="false" customHeight="false" outlineLevel="0" collapsed="false">
      <c r="A106" s="323"/>
      <c r="B106" s="323" t="s">
        <v>347</v>
      </c>
      <c r="H106" s="340" t="n">
        <f aca="false">+H25</f>
        <v>0</v>
      </c>
      <c r="I106" s="340" t="n">
        <f aca="false">+I25</f>
        <v>0</v>
      </c>
      <c r="J106" s="340" t="n">
        <f aca="false">+J25</f>
        <v>0</v>
      </c>
      <c r="K106" s="340" t="n">
        <f aca="false">+K25</f>
        <v>0</v>
      </c>
      <c r="L106" s="340" t="n">
        <f aca="false">+L25</f>
        <v>0</v>
      </c>
      <c r="M106" s="340" t="n">
        <f aca="false">+M25</f>
        <v>0</v>
      </c>
      <c r="N106" s="340" t="n">
        <f aca="false">+N25</f>
        <v>0</v>
      </c>
      <c r="O106" s="340" t="n">
        <f aca="false">+O25</f>
        <v>0</v>
      </c>
      <c r="P106" s="340" t="n">
        <f aca="false">+P25</f>
        <v>0</v>
      </c>
      <c r="Q106" s="340" t="n">
        <f aca="false">+Q25</f>
        <v>0</v>
      </c>
      <c r="R106" s="340" t="n">
        <f aca="false">+R25</f>
        <v>0</v>
      </c>
      <c r="S106" s="340" t="n">
        <f aca="false">+S25</f>
        <v>0</v>
      </c>
      <c r="T106" s="340" t="n">
        <f aca="false">+T25</f>
        <v>0</v>
      </c>
      <c r="U106" s="340" t="n">
        <f aca="false">+U25</f>
        <v>0</v>
      </c>
      <c r="V106" s="340" t="n">
        <f aca="false">+V25</f>
        <v>0</v>
      </c>
      <c r="W106" s="340" t="n">
        <f aca="false">+W25</f>
        <v>0</v>
      </c>
      <c r="X106" s="340" t="n">
        <f aca="false">+X25</f>
        <v>0</v>
      </c>
      <c r="Y106" s="340" t="n">
        <f aca="false">+Y25</f>
        <v>0</v>
      </c>
      <c r="Z106" s="340" t="n">
        <f aca="false">+Z25</f>
        <v>0</v>
      </c>
      <c r="AA106" s="340" t="n">
        <f aca="false">+AA25</f>
        <v>0</v>
      </c>
      <c r="AB106" s="340" t="n">
        <f aca="false">+AB25</f>
        <v>0</v>
      </c>
      <c r="AC106" s="340" t="n">
        <f aca="false">+AC25</f>
        <v>0</v>
      </c>
      <c r="AD106" s="340" t="n">
        <f aca="false">+AD25</f>
        <v>0</v>
      </c>
      <c r="AE106" s="340" t="n">
        <f aca="false">+AE25</f>
        <v>0</v>
      </c>
      <c r="AF106" s="340" t="n">
        <f aca="false">+AF25</f>
        <v>0</v>
      </c>
    </row>
    <row r="107" customFormat="false" ht="11.25" hidden="false" customHeight="false" outlineLevel="0" collapsed="false">
      <c r="A107" s="323"/>
      <c r="B107" s="323" t="s">
        <v>348</v>
      </c>
      <c r="H107" s="340" t="n">
        <f aca="false">+H27</f>
        <v>0</v>
      </c>
      <c r="I107" s="340" t="n">
        <f aca="false">+I27</f>
        <v>0</v>
      </c>
      <c r="J107" s="340" t="n">
        <f aca="false">+J27</f>
        <v>0</v>
      </c>
      <c r="K107" s="340" t="n">
        <f aca="false">+K27</f>
        <v>0</v>
      </c>
      <c r="L107" s="340" t="n">
        <f aca="false">+L27</f>
        <v>0</v>
      </c>
      <c r="M107" s="340" t="n">
        <f aca="false">+M27</f>
        <v>0</v>
      </c>
      <c r="N107" s="340" t="n">
        <f aca="false">+N27</f>
        <v>0</v>
      </c>
      <c r="O107" s="340" t="n">
        <f aca="false">+O27</f>
        <v>0</v>
      </c>
      <c r="P107" s="340" t="n">
        <f aca="false">+P27</f>
        <v>0</v>
      </c>
      <c r="Q107" s="340" t="n">
        <f aca="false">+Q27</f>
        <v>0</v>
      </c>
      <c r="R107" s="340" t="n">
        <f aca="false">+R27</f>
        <v>0</v>
      </c>
      <c r="S107" s="340" t="n">
        <f aca="false">+S27</f>
        <v>0</v>
      </c>
      <c r="T107" s="340" t="n">
        <f aca="false">+T27</f>
        <v>0</v>
      </c>
      <c r="U107" s="340" t="n">
        <f aca="false">+U27</f>
        <v>0</v>
      </c>
      <c r="V107" s="340" t="n">
        <f aca="false">+V27</f>
        <v>0</v>
      </c>
      <c r="W107" s="340" t="n">
        <f aca="false">+W27</f>
        <v>0</v>
      </c>
      <c r="X107" s="340" t="n">
        <f aca="false">+X27</f>
        <v>0</v>
      </c>
      <c r="Y107" s="340" t="n">
        <f aca="false">+Y27</f>
        <v>0</v>
      </c>
      <c r="Z107" s="340" t="n">
        <f aca="false">+Z27</f>
        <v>0</v>
      </c>
      <c r="AA107" s="340" t="n">
        <f aca="false">+AA27</f>
        <v>0</v>
      </c>
      <c r="AB107" s="340" t="n">
        <f aca="false">+AB27</f>
        <v>0</v>
      </c>
      <c r="AC107" s="340" t="n">
        <f aca="false">+AC27</f>
        <v>0</v>
      </c>
      <c r="AD107" s="340" t="n">
        <f aca="false">+AD27</f>
        <v>0</v>
      </c>
      <c r="AE107" s="340" t="n">
        <f aca="false">+AE27</f>
        <v>0</v>
      </c>
      <c r="AF107" s="340" t="n">
        <f aca="false">+AF27</f>
        <v>0</v>
      </c>
    </row>
    <row r="108" customFormat="false" ht="11.25" hidden="false" customHeight="false" outlineLevel="0" collapsed="false">
      <c r="A108" s="323"/>
      <c r="B108" s="341" t="s">
        <v>313</v>
      </c>
      <c r="E108" s="342" t="n">
        <v>0</v>
      </c>
      <c r="F108" s="342" t="n">
        <v>0</v>
      </c>
      <c r="G108" s="342" t="n">
        <v>0</v>
      </c>
      <c r="H108" s="333" t="n">
        <f aca="false">+H29</f>
        <v>78714.55552</v>
      </c>
      <c r="I108" s="333" t="n">
        <f aca="false">+I29</f>
        <v>0</v>
      </c>
      <c r="J108" s="333" t="n">
        <f aca="false">+J29</f>
        <v>0</v>
      </c>
      <c r="K108" s="333" t="n">
        <f aca="false">+K29</f>
        <v>0</v>
      </c>
      <c r="L108" s="333" t="n">
        <f aca="false">+L29</f>
        <v>0</v>
      </c>
      <c r="M108" s="333" t="n">
        <f aca="false">+M29</f>
        <v>1331.9046155778</v>
      </c>
      <c r="N108" s="333" t="n">
        <f aca="false">+N29</f>
        <v>0</v>
      </c>
      <c r="O108" s="333" t="n">
        <f aca="false">+O29</f>
        <v>0</v>
      </c>
      <c r="P108" s="333" t="n">
        <f aca="false">+P29</f>
        <v>0</v>
      </c>
      <c r="Q108" s="333" t="n">
        <f aca="false">+Q29</f>
        <v>4611.73981979569</v>
      </c>
      <c r="R108" s="333" t="n">
        <f aca="false">+R29</f>
        <v>0</v>
      </c>
      <c r="S108" s="333" t="n">
        <f aca="false">+S29</f>
        <v>0</v>
      </c>
      <c r="T108" s="333" t="n">
        <f aca="false">+T29</f>
        <v>0</v>
      </c>
      <c r="U108" s="333" t="n">
        <f aca="false">+U29</f>
        <v>1870.65531397766</v>
      </c>
      <c r="V108" s="333" t="n">
        <f aca="false">+V29</f>
        <v>0</v>
      </c>
      <c r="W108" s="333" t="n">
        <f aca="false">+W29</f>
        <v>0</v>
      </c>
      <c r="X108" s="333" t="n">
        <f aca="false">+X29</f>
        <v>0</v>
      </c>
      <c r="Y108" s="333" t="n">
        <f aca="false">+Y29</f>
        <v>6463.75753668992</v>
      </c>
      <c r="Z108" s="333" t="n">
        <f aca="false">+Z29</f>
        <v>0</v>
      </c>
      <c r="AA108" s="333" t="n">
        <f aca="false">+AA29</f>
        <v>0</v>
      </c>
      <c r="AB108" s="333" t="n">
        <f aca="false">+AB29</f>
        <v>0</v>
      </c>
      <c r="AC108" s="333" t="n">
        <f aca="false">+AC29</f>
        <v>0</v>
      </c>
      <c r="AD108" s="333" t="n">
        <f aca="false">+AD29</f>
        <v>0</v>
      </c>
      <c r="AE108" s="333" t="n">
        <f aca="false">+AE29</f>
        <v>0</v>
      </c>
      <c r="AF108" s="333" t="n">
        <f aca="false">+AF29</f>
        <v>0</v>
      </c>
    </row>
    <row r="109" customFormat="false" ht="11.25" hidden="false" customHeight="false" outlineLevel="0" collapsed="false">
      <c r="A109" s="323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  <c r="Z109" s="275"/>
      <c r="AA109" s="275"/>
      <c r="AB109" s="275"/>
      <c r="AC109" s="275"/>
      <c r="AD109" s="275"/>
      <c r="AE109" s="275"/>
      <c r="AF109" s="275"/>
    </row>
    <row r="110" customFormat="false" ht="11.25" hidden="false" customHeight="false" outlineLevel="0" collapsed="false">
      <c r="A110" s="323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75"/>
      <c r="AC110" s="275"/>
      <c r="AD110" s="275"/>
      <c r="AE110" s="275"/>
      <c r="AF110" s="275"/>
    </row>
    <row r="111" customFormat="false" ht="11.25" hidden="false" customHeight="false" outlineLevel="0" collapsed="false">
      <c r="A111" s="323"/>
      <c r="B111" s="323" t="s">
        <v>349</v>
      </c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  <c r="AC111" s="275"/>
      <c r="AD111" s="275"/>
      <c r="AE111" s="275"/>
      <c r="AF111" s="275"/>
    </row>
    <row r="112" customFormat="false" ht="11.25" hidden="false" customHeight="false" outlineLevel="0" collapsed="false">
      <c r="A112" s="323"/>
      <c r="B112" s="235" t="s">
        <v>350</v>
      </c>
      <c r="E112" s="343" t="n">
        <v>0</v>
      </c>
      <c r="F112" s="343" t="n">
        <v>0</v>
      </c>
      <c r="G112" s="343" t="n">
        <v>0</v>
      </c>
      <c r="H112" s="343" t="n">
        <v>0</v>
      </c>
      <c r="I112" s="343" t="n">
        <v>0</v>
      </c>
      <c r="J112" s="343" t="n">
        <v>0</v>
      </c>
      <c r="K112" s="343" t="n">
        <v>0</v>
      </c>
      <c r="L112" s="343" t="n">
        <v>0</v>
      </c>
      <c r="M112" s="343" t="n">
        <v>0</v>
      </c>
      <c r="N112" s="343" t="n">
        <v>0</v>
      </c>
      <c r="O112" s="343" t="n">
        <v>0</v>
      </c>
      <c r="P112" s="343" t="n">
        <v>0</v>
      </c>
      <c r="Q112" s="343" t="n">
        <v>0</v>
      </c>
      <c r="R112" s="343" t="n">
        <v>0</v>
      </c>
      <c r="S112" s="343" t="n">
        <v>0</v>
      </c>
      <c r="T112" s="343" t="n">
        <v>0</v>
      </c>
      <c r="U112" s="343" t="n">
        <v>0</v>
      </c>
      <c r="V112" s="343" t="n">
        <v>0</v>
      </c>
      <c r="W112" s="343" t="n">
        <v>0</v>
      </c>
      <c r="X112" s="343" t="n">
        <v>0</v>
      </c>
      <c r="Y112" s="343" t="n">
        <v>0</v>
      </c>
      <c r="Z112" s="343" t="n">
        <v>0</v>
      </c>
      <c r="AA112" s="343" t="n">
        <v>0</v>
      </c>
      <c r="AB112" s="343" t="n">
        <v>0</v>
      </c>
      <c r="AC112" s="343" t="n">
        <v>0</v>
      </c>
      <c r="AD112" s="343" t="n">
        <v>0</v>
      </c>
      <c r="AE112" s="343" t="n">
        <v>0</v>
      </c>
      <c r="AF112" s="343" t="n">
        <v>0</v>
      </c>
    </row>
    <row r="113" customFormat="false" ht="11.25" hidden="false" customHeight="false" outlineLevel="0" collapsed="false">
      <c r="A113" s="323"/>
      <c r="B113" s="291" t="s">
        <v>351</v>
      </c>
      <c r="I113" s="275" t="n">
        <f aca="false">+I72</f>
        <v>2186.51543111111</v>
      </c>
      <c r="J113" s="275" t="n">
        <f aca="false">+J72</f>
        <v>5247.63703466667</v>
      </c>
      <c r="K113" s="275" t="n">
        <f aca="false">+K72</f>
        <v>5247.63703466667</v>
      </c>
      <c r="L113" s="275" t="n">
        <f aca="false">+L72</f>
        <v>5247.63703466667</v>
      </c>
      <c r="M113" s="275" t="n">
        <f aca="false">+M72</f>
        <v>5317.00706672801</v>
      </c>
      <c r="N113" s="275" t="n">
        <f aca="false">+N72</f>
        <v>5414.12511161389</v>
      </c>
      <c r="O113" s="275" t="n">
        <f aca="false">+O72</f>
        <v>5414.12511161389</v>
      </c>
      <c r="P113" s="275" t="n">
        <f aca="false">+P72</f>
        <v>5414.12511161389</v>
      </c>
      <c r="Q113" s="275" t="n">
        <f aca="false">+Q72</f>
        <v>5414.12511161389</v>
      </c>
      <c r="R113" s="275" t="n">
        <f aca="false">+R72</f>
        <v>5414.12511161389</v>
      </c>
      <c r="S113" s="275" t="n">
        <f aca="false">+S72</f>
        <v>5414.12511161389</v>
      </c>
      <c r="T113" s="275" t="n">
        <f aca="false">+T72</f>
        <v>5414.12511161389</v>
      </c>
      <c r="U113" s="275" t="n">
        <f aca="false">+U72</f>
        <v>5442.18504382222</v>
      </c>
      <c r="V113" s="275" t="n">
        <f aca="false">+V72</f>
        <v>5481.46894891387</v>
      </c>
      <c r="W113" s="275" t="n">
        <f aca="false">+W72</f>
        <v>5481.46894891387</v>
      </c>
      <c r="X113" s="275" t="n">
        <f aca="false">+X72</f>
        <v>3294.95351780276</v>
      </c>
      <c r="Y113" s="275" t="n">
        <f aca="false">+Y72</f>
        <v>570.485952616474</v>
      </c>
      <c r="Z113" s="275" t="n">
        <f aca="false">+Z72</f>
        <v>1041.80160633345</v>
      </c>
      <c r="AA113" s="275" t="n">
        <f aca="false">+AA72</f>
        <v>1041.80160633345</v>
      </c>
      <c r="AB113" s="275" t="n">
        <f aca="false">+AB72</f>
        <v>1041.80160633345</v>
      </c>
      <c r="AC113" s="275" t="n">
        <f aca="false">+AC72</f>
        <v>944.371642063778</v>
      </c>
      <c r="AD113" s="275" t="n">
        <f aca="false">+AD72</f>
        <v>807.96969208624</v>
      </c>
      <c r="AE113" s="275" t="n">
        <f aca="false">+AE72</f>
        <v>807.96969208624</v>
      </c>
      <c r="AF113" s="275" t="n">
        <f aca="false">+AF72</f>
        <v>807.96969208624</v>
      </c>
    </row>
    <row r="114" customFormat="false" ht="11.25" hidden="false" customHeight="false" outlineLevel="0" collapsed="false">
      <c r="A114" s="323"/>
      <c r="B114" s="291" t="s">
        <v>352</v>
      </c>
      <c r="E114" s="344" t="n">
        <f aca="false">+E112</f>
        <v>0</v>
      </c>
      <c r="F114" s="344" t="n">
        <f aca="false">+F112</f>
        <v>0</v>
      </c>
      <c r="G114" s="344" t="n">
        <f aca="false">+G112</f>
        <v>0</v>
      </c>
      <c r="H114" s="344" t="n">
        <f aca="false">+H112</f>
        <v>0</v>
      </c>
      <c r="I114" s="333" t="n">
        <f aca="false">+I113+I112</f>
        <v>2186.51543111111</v>
      </c>
      <c r="J114" s="333" t="n">
        <f aca="false">+J113+J112</f>
        <v>5247.63703466667</v>
      </c>
      <c r="K114" s="333" t="n">
        <f aca="false">+K113+K112</f>
        <v>5247.63703466667</v>
      </c>
      <c r="L114" s="333" t="n">
        <f aca="false">+L113+L112</f>
        <v>5247.63703466667</v>
      </c>
      <c r="M114" s="333" t="n">
        <f aca="false">+M113+M112</f>
        <v>5317.00706672801</v>
      </c>
      <c r="N114" s="333" t="n">
        <f aca="false">+N113+N112</f>
        <v>5414.12511161389</v>
      </c>
      <c r="O114" s="333" t="n">
        <f aca="false">+O113+O112</f>
        <v>5414.12511161389</v>
      </c>
      <c r="P114" s="333" t="n">
        <f aca="false">+P113+P112</f>
        <v>5414.12511161389</v>
      </c>
      <c r="Q114" s="333" t="n">
        <f aca="false">+Q113+Q112</f>
        <v>5414.12511161389</v>
      </c>
      <c r="R114" s="333" t="n">
        <f aca="false">+R113+R112</f>
        <v>5414.12511161389</v>
      </c>
      <c r="S114" s="333" t="n">
        <f aca="false">+S113+S112</f>
        <v>5414.12511161389</v>
      </c>
      <c r="T114" s="333" t="n">
        <f aca="false">+T113+T112</f>
        <v>5414.12511161389</v>
      </c>
      <c r="U114" s="333" t="n">
        <f aca="false">+U113+U112</f>
        <v>5442.18504382222</v>
      </c>
      <c r="V114" s="333" t="n">
        <f aca="false">+V113+V112</f>
        <v>5481.46894891387</v>
      </c>
      <c r="W114" s="333" t="n">
        <f aca="false">+W113+W112</f>
        <v>5481.46894891387</v>
      </c>
      <c r="X114" s="333" t="n">
        <f aca="false">+X113+X112</f>
        <v>3294.95351780276</v>
      </c>
      <c r="Y114" s="333" t="n">
        <f aca="false">+Y113+Y112</f>
        <v>570.485952616474</v>
      </c>
      <c r="Z114" s="333" t="n">
        <f aca="false">+Z113+Z112</f>
        <v>1041.80160633345</v>
      </c>
      <c r="AA114" s="333" t="n">
        <f aca="false">+AA113+AA112</f>
        <v>1041.80160633345</v>
      </c>
      <c r="AB114" s="333" t="n">
        <f aca="false">+AB113+AB112</f>
        <v>1041.80160633345</v>
      </c>
      <c r="AC114" s="333" t="n">
        <f aca="false">+AC113+AC112</f>
        <v>944.371642063778</v>
      </c>
      <c r="AD114" s="333" t="n">
        <f aca="false">+AD113+AD112</f>
        <v>807.96969208624</v>
      </c>
      <c r="AE114" s="333" t="n">
        <f aca="false">+AE113+AE112</f>
        <v>807.96969208624</v>
      </c>
      <c r="AF114" s="333" t="n">
        <f aca="false">+AF113+AF112</f>
        <v>807.96969208624</v>
      </c>
    </row>
    <row r="115" customFormat="false" ht="11.25" hidden="false" customHeight="false" outlineLevel="0" collapsed="false">
      <c r="A115" s="323"/>
      <c r="B115" s="291" t="s">
        <v>353</v>
      </c>
      <c r="E115" s="313"/>
      <c r="F115" s="313"/>
      <c r="G115" s="313"/>
      <c r="H115" s="313"/>
      <c r="I115" s="321" t="n">
        <f aca="false">+I77</f>
        <v>0</v>
      </c>
      <c r="J115" s="321" t="n">
        <f aca="false">+J77</f>
        <v>0</v>
      </c>
      <c r="K115" s="321" t="n">
        <f aca="false">+K77</f>
        <v>0</v>
      </c>
      <c r="L115" s="321" t="n">
        <f aca="false">+L77</f>
        <v>0</v>
      </c>
      <c r="M115" s="321" t="n">
        <f aca="false">+M77</f>
        <v>0</v>
      </c>
      <c r="N115" s="321" t="n">
        <f aca="false">+N77</f>
        <v>0</v>
      </c>
      <c r="O115" s="321" t="n">
        <f aca="false">+O77</f>
        <v>0</v>
      </c>
      <c r="P115" s="321" t="n">
        <f aca="false">+P77</f>
        <v>0</v>
      </c>
      <c r="Q115" s="321" t="n">
        <f aca="false">+Q77</f>
        <v>0</v>
      </c>
      <c r="R115" s="321" t="n">
        <f aca="false">+R77</f>
        <v>0</v>
      </c>
      <c r="S115" s="321" t="n">
        <f aca="false">+S77</f>
        <v>0</v>
      </c>
      <c r="T115" s="321" t="n">
        <f aca="false">+T77</f>
        <v>0</v>
      </c>
      <c r="U115" s="321" t="n">
        <f aca="false">+U77</f>
        <v>0</v>
      </c>
      <c r="V115" s="321" t="n">
        <f aca="false">+V77</f>
        <v>0</v>
      </c>
      <c r="W115" s="321" t="n">
        <f aca="false">+W77</f>
        <v>0</v>
      </c>
      <c r="X115" s="321" t="n">
        <f aca="false">+X77</f>
        <v>0</v>
      </c>
      <c r="Y115" s="321" t="n">
        <f aca="false">+Y77</f>
        <v>0</v>
      </c>
      <c r="Z115" s="321" t="n">
        <f aca="false">+Z77</f>
        <v>0</v>
      </c>
      <c r="AA115" s="321" t="n">
        <f aca="false">+AA77</f>
        <v>0</v>
      </c>
      <c r="AB115" s="321" t="n">
        <f aca="false">+AB77</f>
        <v>0</v>
      </c>
      <c r="AC115" s="321" t="n">
        <f aca="false">+AC77</f>
        <v>0</v>
      </c>
      <c r="AD115" s="321" t="n">
        <f aca="false">+AD77</f>
        <v>0</v>
      </c>
      <c r="AE115" s="321" t="n">
        <f aca="false">+AE77</f>
        <v>0</v>
      </c>
      <c r="AF115" s="321" t="n">
        <f aca="false">+AF77</f>
        <v>0</v>
      </c>
    </row>
    <row r="116" customFormat="false" ht="11.25" hidden="false" customHeight="false" outlineLevel="0" collapsed="false">
      <c r="A116" s="323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75"/>
      <c r="AC116" s="275"/>
      <c r="AD116" s="275"/>
      <c r="AE116" s="275"/>
      <c r="AF116" s="275"/>
    </row>
    <row r="117" customFormat="false" ht="11.25" hidden="false" customHeight="false" outlineLevel="0" collapsed="false">
      <c r="A117" s="323"/>
      <c r="B117" s="323" t="s">
        <v>354</v>
      </c>
      <c r="I117" s="275"/>
      <c r="J117" s="275"/>
      <c r="K117" s="275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  <c r="Z117" s="275"/>
      <c r="AA117" s="275"/>
      <c r="AB117" s="275"/>
      <c r="AC117" s="275"/>
      <c r="AD117" s="275"/>
      <c r="AE117" s="275"/>
      <c r="AF117" s="275"/>
    </row>
    <row r="118" customFormat="false" ht="11.25" hidden="false" customHeight="false" outlineLevel="0" collapsed="false">
      <c r="A118" s="323"/>
      <c r="B118" s="235" t="s">
        <v>350</v>
      </c>
      <c r="E118" s="343" t="n">
        <v>0</v>
      </c>
      <c r="F118" s="343" t="n">
        <v>0</v>
      </c>
      <c r="G118" s="343" t="n">
        <v>0</v>
      </c>
      <c r="H118" s="343" t="n">
        <v>0</v>
      </c>
      <c r="I118" s="343" t="n">
        <v>0</v>
      </c>
      <c r="J118" s="343" t="n">
        <v>0</v>
      </c>
      <c r="K118" s="343" t="n">
        <v>0</v>
      </c>
      <c r="L118" s="343" t="n">
        <v>0</v>
      </c>
      <c r="M118" s="343" t="n">
        <v>0</v>
      </c>
      <c r="N118" s="343" t="n">
        <v>0</v>
      </c>
      <c r="O118" s="343" t="n">
        <v>0</v>
      </c>
      <c r="P118" s="343" t="n">
        <v>0</v>
      </c>
      <c r="Q118" s="343" t="n">
        <v>0</v>
      </c>
      <c r="R118" s="343" t="n">
        <v>0</v>
      </c>
      <c r="S118" s="343" t="n">
        <v>0</v>
      </c>
      <c r="T118" s="343" t="n">
        <v>0</v>
      </c>
      <c r="U118" s="343" t="n">
        <v>0</v>
      </c>
      <c r="V118" s="343" t="n">
        <v>0</v>
      </c>
      <c r="W118" s="343" t="n">
        <v>0</v>
      </c>
      <c r="X118" s="343" t="n">
        <v>0</v>
      </c>
      <c r="Y118" s="343" t="n">
        <v>0</v>
      </c>
      <c r="Z118" s="343" t="n">
        <v>0</v>
      </c>
      <c r="AA118" s="343" t="n">
        <v>0</v>
      </c>
      <c r="AB118" s="343" t="n">
        <v>0</v>
      </c>
      <c r="AC118" s="343" t="n">
        <v>0</v>
      </c>
      <c r="AD118" s="343" t="n">
        <v>0</v>
      </c>
      <c r="AE118" s="343" t="n">
        <v>0</v>
      </c>
      <c r="AF118" s="343" t="n">
        <v>0</v>
      </c>
    </row>
    <row r="119" customFormat="false" ht="11.25" hidden="false" customHeight="false" outlineLevel="0" collapsed="false">
      <c r="A119" s="323"/>
      <c r="B119" s="291" t="s">
        <v>351</v>
      </c>
      <c r="I119" s="275" t="n">
        <f aca="false">+I93</f>
        <v>3277.97601069589</v>
      </c>
      <c r="J119" s="275" t="n">
        <f aca="false">+J93</f>
        <v>7541.50138776548</v>
      </c>
      <c r="K119" s="275" t="n">
        <f aca="false">+K93</f>
        <v>6767.94218050455</v>
      </c>
      <c r="L119" s="275" t="n">
        <f aca="false">+L93</f>
        <v>6091.14796245409</v>
      </c>
      <c r="M119" s="275" t="n">
        <f aca="false">+M93</f>
        <v>5586.03119783599</v>
      </c>
      <c r="N119" s="275" t="n">
        <f aca="false">+N93</f>
        <v>5176.66833686555</v>
      </c>
      <c r="O119" s="275" t="n">
        <f aca="false">+O93</f>
        <v>4821.68524896114</v>
      </c>
      <c r="P119" s="275" t="n">
        <f aca="false">+P93</f>
        <v>4790.4778215326</v>
      </c>
      <c r="Q119" s="275" t="n">
        <f aca="false">+Q93</f>
        <v>5137.86538636625</v>
      </c>
      <c r="R119" s="275" t="n">
        <f aca="false">+R93</f>
        <v>5587.63563099592</v>
      </c>
      <c r="S119" s="275" t="n">
        <f aca="false">+S93</f>
        <v>5423.19642874056</v>
      </c>
      <c r="T119" s="275" t="n">
        <f aca="false">+T93</f>
        <v>5315.14024058541</v>
      </c>
      <c r="U119" s="275" t="n">
        <f aca="false">+U93</f>
        <v>5356.92241221546</v>
      </c>
      <c r="V119" s="275" t="n">
        <f aca="false">+V93</f>
        <v>5465.92250964061</v>
      </c>
      <c r="W119" s="275" t="n">
        <f aca="false">+W93</f>
        <v>5390.45568182014</v>
      </c>
      <c r="X119" s="275" t="n">
        <f aca="false">+X93</f>
        <v>3360.07574667055</v>
      </c>
      <c r="Y119" s="275" t="n">
        <f aca="false">+Y93</f>
        <v>989.466826239399</v>
      </c>
      <c r="Z119" s="275" t="n">
        <f aca="false">+Z93</f>
        <v>1317.37517159917</v>
      </c>
      <c r="AA119" s="275" t="n">
        <f aca="false">+AA93</f>
        <v>1104.74630254402</v>
      </c>
      <c r="AB119" s="275" t="n">
        <f aca="false">+AB93</f>
        <v>953.296084651023</v>
      </c>
      <c r="AC119" s="275" t="n">
        <f aca="false">+AC93</f>
        <v>806.959392974248</v>
      </c>
      <c r="AD119" s="275" t="n">
        <f aca="false">+AD93</f>
        <v>693.402114653699</v>
      </c>
      <c r="AE119" s="275" t="n">
        <f aca="false">+AE93</f>
        <v>691.50238283273</v>
      </c>
      <c r="AF119" s="275" t="n">
        <f aca="false">+AF93</f>
        <v>691.50238283273</v>
      </c>
    </row>
    <row r="120" customFormat="false" ht="11.25" hidden="false" customHeight="false" outlineLevel="0" collapsed="false">
      <c r="B120" s="291" t="s">
        <v>355</v>
      </c>
      <c r="E120" s="344" t="n">
        <f aca="false">+E118</f>
        <v>0</v>
      </c>
      <c r="F120" s="344" t="n">
        <f aca="false">+F118</f>
        <v>0</v>
      </c>
      <c r="G120" s="344" t="n">
        <f aca="false">+G118</f>
        <v>0</v>
      </c>
      <c r="H120" s="344" t="n">
        <f aca="false">+H118</f>
        <v>0</v>
      </c>
      <c r="I120" s="333" t="n">
        <f aca="false">+I119+I118</f>
        <v>3277.97601069589</v>
      </c>
      <c r="J120" s="333" t="n">
        <f aca="false">+J119+J118</f>
        <v>7541.50138776548</v>
      </c>
      <c r="K120" s="333" t="n">
        <f aca="false">+K119+K118</f>
        <v>6767.94218050455</v>
      </c>
      <c r="L120" s="333" t="n">
        <f aca="false">+L119+L118</f>
        <v>6091.14796245409</v>
      </c>
      <c r="M120" s="333" t="n">
        <f aca="false">+M119+M118</f>
        <v>5586.03119783599</v>
      </c>
      <c r="N120" s="333" t="n">
        <f aca="false">+N119+N118</f>
        <v>5176.66833686555</v>
      </c>
      <c r="O120" s="333" t="n">
        <f aca="false">+O119+O118</f>
        <v>4821.68524896114</v>
      </c>
      <c r="P120" s="333" t="n">
        <f aca="false">+P119+P118</f>
        <v>4790.4778215326</v>
      </c>
      <c r="Q120" s="333" t="n">
        <f aca="false">+Q119+Q118</f>
        <v>5137.86538636625</v>
      </c>
      <c r="R120" s="333" t="n">
        <f aca="false">+R119+R118</f>
        <v>5587.63563099592</v>
      </c>
      <c r="S120" s="333" t="n">
        <f aca="false">+S119+S118</f>
        <v>5423.19642874056</v>
      </c>
      <c r="T120" s="333" t="n">
        <f aca="false">+T119+T118</f>
        <v>5315.14024058541</v>
      </c>
      <c r="U120" s="333" t="n">
        <f aca="false">+U119+U118</f>
        <v>5356.92241221546</v>
      </c>
      <c r="V120" s="333" t="n">
        <f aca="false">+V119+V118</f>
        <v>5465.92250964061</v>
      </c>
      <c r="W120" s="333" t="n">
        <f aca="false">+W119+W118</f>
        <v>5390.45568182014</v>
      </c>
      <c r="X120" s="333" t="n">
        <f aca="false">+X119+X118</f>
        <v>3360.07574667055</v>
      </c>
      <c r="Y120" s="333" t="n">
        <f aca="false">+Y119+Y118</f>
        <v>989.466826239399</v>
      </c>
      <c r="Z120" s="333" t="n">
        <f aca="false">+Z119+Z118</f>
        <v>1317.37517159917</v>
      </c>
      <c r="AA120" s="333" t="n">
        <f aca="false">+AA119+AA118</f>
        <v>1104.74630254402</v>
      </c>
      <c r="AB120" s="333" t="n">
        <f aca="false">+AB119+AB118</f>
        <v>953.296084651023</v>
      </c>
      <c r="AC120" s="333" t="n">
        <f aca="false">+AC119+AC118</f>
        <v>806.959392974248</v>
      </c>
      <c r="AD120" s="333" t="n">
        <f aca="false">+AD119+AD118</f>
        <v>693.402114653699</v>
      </c>
      <c r="AE120" s="333" t="n">
        <f aca="false">+AE119+AE118</f>
        <v>691.50238283273</v>
      </c>
      <c r="AF120" s="333" t="n">
        <f aca="false">+AF119+AF118</f>
        <v>691.50238283273</v>
      </c>
    </row>
    <row r="121" customFormat="false" ht="11.25" hidden="false" customHeight="false" outlineLevel="0" collapsed="false">
      <c r="B121" s="291" t="s">
        <v>356</v>
      </c>
      <c r="E121" s="313"/>
      <c r="F121" s="313"/>
      <c r="G121" s="313"/>
      <c r="H121" s="313"/>
      <c r="I121" s="321" t="n">
        <f aca="false">+I98</f>
        <v>0</v>
      </c>
      <c r="J121" s="321" t="n">
        <f aca="false">+J98</f>
        <v>0</v>
      </c>
      <c r="K121" s="321" t="n">
        <f aca="false">+K98</f>
        <v>0</v>
      </c>
      <c r="L121" s="321" t="n">
        <f aca="false">+L98</f>
        <v>0</v>
      </c>
      <c r="M121" s="321" t="n">
        <f aca="false">+M98</f>
        <v>0</v>
      </c>
      <c r="N121" s="321" t="n">
        <f aca="false">+N98</f>
        <v>0</v>
      </c>
      <c r="O121" s="321" t="n">
        <f aca="false">+O98</f>
        <v>0</v>
      </c>
      <c r="P121" s="321" t="n">
        <f aca="false">+P98</f>
        <v>0</v>
      </c>
      <c r="Q121" s="321" t="n">
        <f aca="false">+Q98</f>
        <v>0</v>
      </c>
      <c r="R121" s="321" t="n">
        <f aca="false">+R98</f>
        <v>0</v>
      </c>
      <c r="S121" s="321" t="n">
        <f aca="false">+S98</f>
        <v>0</v>
      </c>
      <c r="T121" s="321" t="n">
        <f aca="false">+T98</f>
        <v>0</v>
      </c>
      <c r="U121" s="321" t="n">
        <f aca="false">+U98</f>
        <v>0</v>
      </c>
      <c r="V121" s="321" t="n">
        <f aca="false">+V98</f>
        <v>0</v>
      </c>
      <c r="W121" s="321" t="n">
        <f aca="false">+W98</f>
        <v>0</v>
      </c>
      <c r="X121" s="321" t="n">
        <f aca="false">+X98</f>
        <v>0</v>
      </c>
      <c r="Y121" s="321" t="n">
        <f aca="false">+Y98</f>
        <v>0</v>
      </c>
      <c r="Z121" s="321" t="n">
        <f aca="false">+Z98</f>
        <v>0</v>
      </c>
      <c r="AA121" s="321" t="n">
        <f aca="false">+AA98</f>
        <v>0</v>
      </c>
      <c r="AB121" s="321" t="n">
        <f aca="false">+AB98</f>
        <v>0</v>
      </c>
      <c r="AC121" s="321" t="n">
        <f aca="false">+AC98</f>
        <v>0</v>
      </c>
      <c r="AD121" s="321" t="n">
        <f aca="false">+AD98</f>
        <v>0</v>
      </c>
      <c r="AE121" s="321" t="n">
        <f aca="false">+AE98</f>
        <v>0</v>
      </c>
      <c r="AF121" s="321" t="n">
        <f aca="false">+AF98</f>
        <v>0</v>
      </c>
    </row>
    <row r="122" customFormat="false" ht="11.25" hidden="false" customHeight="false" outlineLevel="0" collapsed="false">
      <c r="B122" s="291"/>
      <c r="E122" s="313"/>
      <c r="F122" s="313"/>
      <c r="G122" s="313"/>
      <c r="H122" s="313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</row>
    <row r="123" customFormat="false" ht="12" hidden="false" customHeight="false" outlineLevel="0" collapsed="false">
      <c r="A123" s="338"/>
      <c r="B123" s="345"/>
      <c r="C123" s="338"/>
      <c r="D123" s="338"/>
      <c r="E123" s="346"/>
      <c r="F123" s="346"/>
      <c r="G123" s="346"/>
      <c r="H123" s="346"/>
      <c r="I123" s="339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  <c r="AA123" s="339"/>
      <c r="AB123" s="339"/>
      <c r="AC123" s="339"/>
      <c r="AD123" s="339"/>
      <c r="AE123" s="339"/>
      <c r="AF123" s="339"/>
    </row>
    <row r="124" customFormat="false" ht="12" hidden="false" customHeight="false" outlineLevel="0" collapsed="false">
      <c r="A124" s="347" t="s">
        <v>357</v>
      </c>
      <c r="B124" s="291"/>
      <c r="E124" s="348"/>
      <c r="F124" s="348"/>
      <c r="G124" s="348"/>
      <c r="H124" s="348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275"/>
    </row>
    <row r="125" customFormat="false" ht="12" hidden="false" customHeight="false" outlineLevel="0" collapsed="false">
      <c r="A125" s="347"/>
      <c r="B125" s="291"/>
      <c r="E125" s="348"/>
      <c r="F125" s="348"/>
      <c r="G125" s="348"/>
      <c r="H125" s="348" t="n">
        <v>1</v>
      </c>
      <c r="I125" s="349" t="n">
        <v>1</v>
      </c>
      <c r="J125" s="349" t="n">
        <f aca="false">(1+J129)*I125</f>
        <v>1.03</v>
      </c>
      <c r="K125" s="349" t="n">
        <f aca="false">(1+K129)*J125</f>
        <v>1.0609</v>
      </c>
      <c r="L125" s="349" t="n">
        <f aca="false">(1+L129)*K125</f>
        <v>1.092727</v>
      </c>
      <c r="M125" s="349" t="n">
        <f aca="false">(1+M129)*L125</f>
        <v>1.12550881</v>
      </c>
      <c r="N125" s="349" t="n">
        <f aca="false">(1+N129)*M125</f>
        <v>1.1592740743</v>
      </c>
      <c r="O125" s="349" t="n">
        <f aca="false">(1+O129)*N125</f>
        <v>1.194052296529</v>
      </c>
      <c r="P125" s="349" t="n">
        <f aca="false">(1+P129)*O125</f>
        <v>1.22987386542487</v>
      </c>
      <c r="Q125" s="349" t="n">
        <f aca="false">(1+Q129)*P125</f>
        <v>1.26677008138762</v>
      </c>
      <c r="R125" s="349" t="n">
        <f aca="false">(1+R129)*Q125</f>
        <v>1.30477318382925</v>
      </c>
      <c r="S125" s="349" t="n">
        <f aca="false">(1+S129)*R125</f>
        <v>1.34391637934412</v>
      </c>
      <c r="T125" s="349" t="n">
        <f aca="false">(1+T129)*S125</f>
        <v>1.38423387072445</v>
      </c>
      <c r="U125" s="349" t="n">
        <f aca="false">(1+U129)*T125</f>
        <v>1.42576088684618</v>
      </c>
      <c r="V125" s="349" t="n">
        <f aca="false">(1+V129)*U125</f>
        <v>1.46853371345156</v>
      </c>
      <c r="W125" s="349" t="n">
        <f aca="false">(1+W129)*V125</f>
        <v>1.51258972485511</v>
      </c>
      <c r="X125" s="349" t="n">
        <f aca="false">(1+X129)*W125</f>
        <v>1.55796741660077</v>
      </c>
      <c r="Y125" s="349" t="n">
        <f aca="false">(1+Y129)*X125</f>
        <v>1.60470643909879</v>
      </c>
      <c r="Z125" s="349" t="n">
        <f aca="false">(1+Z129)*Y125</f>
        <v>1.65284763227175</v>
      </c>
      <c r="AA125" s="349" t="n">
        <f aca="false">(1+AA129)*Z125</f>
        <v>1.7024330612399</v>
      </c>
      <c r="AB125" s="349" t="n">
        <f aca="false">(1+AB129)*AA125</f>
        <v>1.7535060530771</v>
      </c>
      <c r="AC125" s="349" t="n">
        <f aca="false">(1+AC129)*AB125</f>
        <v>1.80611123466942</v>
      </c>
      <c r="AD125" s="349" t="n">
        <f aca="false">(1+AD129)*AC125</f>
        <v>1.8602945717095</v>
      </c>
      <c r="AE125" s="349" t="n">
        <f aca="false">(1+AE129)*AD125</f>
        <v>1.91610340886078</v>
      </c>
      <c r="AF125" s="349" t="n">
        <f aca="false">(1+AF129)*AE125</f>
        <v>1.97358651112661</v>
      </c>
    </row>
    <row r="126" customFormat="false" ht="12.75" hidden="false" customHeight="false" outlineLevel="0" collapsed="false">
      <c r="A126" s="323" t="s">
        <v>358</v>
      </c>
      <c r="I126" s="263" t="n">
        <f aca="false">+I$3</f>
        <v>36525</v>
      </c>
      <c r="J126" s="264" t="n">
        <f aca="false">+J$3</f>
        <v>2000</v>
      </c>
      <c r="K126" s="264" t="n">
        <f aca="false">+K$3</f>
        <v>2001</v>
      </c>
      <c r="L126" s="264" t="n">
        <f aca="false">+L$3</f>
        <v>2002</v>
      </c>
      <c r="M126" s="264" t="n">
        <f aca="false">+M$3</f>
        <v>2003</v>
      </c>
      <c r="N126" s="264" t="n">
        <f aca="false">+N$3</f>
        <v>2004</v>
      </c>
      <c r="O126" s="264" t="n">
        <f aca="false">+O$3</f>
        <v>2005</v>
      </c>
      <c r="P126" s="264" t="n">
        <f aca="false">+P$3</f>
        <v>2006</v>
      </c>
      <c r="Q126" s="264" t="n">
        <f aca="false">+Q$3</f>
        <v>2007</v>
      </c>
      <c r="R126" s="264" t="n">
        <f aca="false">+R$3</f>
        <v>2008</v>
      </c>
      <c r="S126" s="264" t="n">
        <f aca="false">+S$3</f>
        <v>2009</v>
      </c>
      <c r="T126" s="264" t="n">
        <f aca="false">+T$3</f>
        <v>2010</v>
      </c>
      <c r="U126" s="264" t="n">
        <f aca="false">+U$3</f>
        <v>2011</v>
      </c>
      <c r="V126" s="264" t="n">
        <f aca="false">+V$3</f>
        <v>2012</v>
      </c>
      <c r="W126" s="264" t="n">
        <f aca="false">+W$3</f>
        <v>2013</v>
      </c>
      <c r="X126" s="264" t="n">
        <f aca="false">+X$3</f>
        <v>2014</v>
      </c>
      <c r="Y126" s="264" t="n">
        <f aca="false">+Y$3</f>
        <v>2015</v>
      </c>
      <c r="Z126" s="264" t="n">
        <f aca="false">+Z$3</f>
        <v>2016</v>
      </c>
      <c r="AA126" s="264" t="n">
        <f aca="false">+AA$3</f>
        <v>2017</v>
      </c>
      <c r="AB126" s="264" t="n">
        <f aca="false">+AB$3</f>
        <v>2018</v>
      </c>
      <c r="AC126" s="264" t="n">
        <f aca="false">+AC$3</f>
        <v>2019</v>
      </c>
      <c r="AD126" s="264" t="n">
        <f aca="false">+AD$3</f>
        <v>2020</v>
      </c>
      <c r="AE126" s="264" t="n">
        <f aca="false">+AE$3</f>
        <v>2021</v>
      </c>
      <c r="AF126" s="264" t="n">
        <f aca="false">+AF$3</f>
        <v>2022</v>
      </c>
    </row>
    <row r="127" customFormat="false" ht="12" hidden="false" customHeight="false" outlineLevel="0" collapsed="false">
      <c r="A127" s="323"/>
      <c r="H127" s="235" t="n">
        <v>1999</v>
      </c>
      <c r="I127" s="350" t="n">
        <f aca="false">YEAR(I126)</f>
        <v>1999</v>
      </c>
      <c r="J127" s="351" t="n">
        <f aca="false">J126</f>
        <v>2000</v>
      </c>
      <c r="K127" s="351" t="n">
        <f aca="false">K126</f>
        <v>2001</v>
      </c>
      <c r="L127" s="351" t="n">
        <f aca="false">L126</f>
        <v>2002</v>
      </c>
      <c r="M127" s="351" t="n">
        <f aca="false">M126</f>
        <v>2003</v>
      </c>
      <c r="N127" s="351" t="n">
        <f aca="false">N126</f>
        <v>2004</v>
      </c>
      <c r="O127" s="351" t="n">
        <f aca="false">O126</f>
        <v>2005</v>
      </c>
      <c r="P127" s="351" t="n">
        <f aca="false">P126</f>
        <v>2006</v>
      </c>
      <c r="Q127" s="351" t="n">
        <f aca="false">Q126</f>
        <v>2007</v>
      </c>
      <c r="R127" s="351" t="n">
        <f aca="false">R126</f>
        <v>2008</v>
      </c>
      <c r="S127" s="351" t="n">
        <f aca="false">S126</f>
        <v>2009</v>
      </c>
      <c r="T127" s="351" t="n">
        <f aca="false">T126</f>
        <v>2010</v>
      </c>
      <c r="U127" s="351" t="n">
        <f aca="false">U126</f>
        <v>2011</v>
      </c>
      <c r="V127" s="351" t="n">
        <f aca="false">V126</f>
        <v>2012</v>
      </c>
      <c r="W127" s="351" t="n">
        <f aca="false">W126</f>
        <v>2013</v>
      </c>
      <c r="X127" s="351" t="n">
        <f aca="false">X126</f>
        <v>2014</v>
      </c>
      <c r="Y127" s="351" t="n">
        <f aca="false">Y126</f>
        <v>2015</v>
      </c>
      <c r="Z127" s="351" t="n">
        <f aca="false">Z126</f>
        <v>2016</v>
      </c>
      <c r="AA127" s="351" t="n">
        <f aca="false">AA126</f>
        <v>2017</v>
      </c>
      <c r="AB127" s="351" t="n">
        <f aca="false">AB126</f>
        <v>2018</v>
      </c>
      <c r="AC127" s="351" t="n">
        <f aca="false">AC126</f>
        <v>2019</v>
      </c>
      <c r="AD127" s="351" t="n">
        <f aca="false">AD126</f>
        <v>2020</v>
      </c>
      <c r="AE127" s="351" t="n">
        <f aca="false">AE126</f>
        <v>2021</v>
      </c>
      <c r="AF127" s="351" t="n">
        <f aca="false">AF126</f>
        <v>2022</v>
      </c>
    </row>
    <row r="128" customFormat="false" ht="11.25" hidden="false" customHeight="false" outlineLevel="0" collapsed="false">
      <c r="A128" s="352" t="s">
        <v>359</v>
      </c>
      <c r="B128" s="291" t="s">
        <v>360</v>
      </c>
      <c r="D128" s="259"/>
      <c r="I128" s="353" t="n">
        <v>0.0267639902676398</v>
      </c>
      <c r="J128" s="353" t="n">
        <f aca="false">Summary!E71</f>
        <v>0.03</v>
      </c>
      <c r="K128" s="353" t="n">
        <f aca="false">J128</f>
        <v>0.03</v>
      </c>
      <c r="L128" s="353" t="n">
        <f aca="false">K128</f>
        <v>0.03</v>
      </c>
      <c r="M128" s="353" t="n">
        <f aca="false">L128</f>
        <v>0.03</v>
      </c>
      <c r="N128" s="353" t="n">
        <f aca="false">M128</f>
        <v>0.03</v>
      </c>
      <c r="O128" s="353" t="n">
        <f aca="false">N128</f>
        <v>0.03</v>
      </c>
      <c r="P128" s="353" t="n">
        <f aca="false">O128</f>
        <v>0.03</v>
      </c>
      <c r="Q128" s="353" t="n">
        <f aca="false">P128</f>
        <v>0.03</v>
      </c>
      <c r="R128" s="353" t="n">
        <f aca="false">Q128</f>
        <v>0.03</v>
      </c>
      <c r="S128" s="353" t="n">
        <f aca="false">R128</f>
        <v>0.03</v>
      </c>
      <c r="T128" s="353" t="n">
        <f aca="false">S128</f>
        <v>0.03</v>
      </c>
      <c r="U128" s="353" t="n">
        <f aca="false">T128</f>
        <v>0.03</v>
      </c>
      <c r="V128" s="353" t="n">
        <f aca="false">U128</f>
        <v>0.03</v>
      </c>
      <c r="W128" s="353" t="n">
        <f aca="false">V128</f>
        <v>0.03</v>
      </c>
      <c r="X128" s="353" t="n">
        <f aca="false">W128</f>
        <v>0.03</v>
      </c>
      <c r="Y128" s="353" t="n">
        <f aca="false">X128</f>
        <v>0.03</v>
      </c>
      <c r="Z128" s="353" t="n">
        <f aca="false">Y128</f>
        <v>0.03</v>
      </c>
      <c r="AA128" s="353" t="n">
        <f aca="false">Z128</f>
        <v>0.03</v>
      </c>
      <c r="AB128" s="353" t="n">
        <f aca="false">AA128</f>
        <v>0.03</v>
      </c>
      <c r="AC128" s="353" t="n">
        <f aca="false">AB128</f>
        <v>0.03</v>
      </c>
      <c r="AD128" s="353" t="n">
        <f aca="false">AC128</f>
        <v>0.03</v>
      </c>
      <c r="AE128" s="353" t="n">
        <f aca="false">AD128</f>
        <v>0.03</v>
      </c>
      <c r="AF128" s="353" t="n">
        <f aca="false">AE128</f>
        <v>0.03</v>
      </c>
    </row>
    <row r="129" customFormat="false" ht="11.25" hidden="false" customHeight="false" outlineLevel="0" collapsed="false">
      <c r="B129" s="291" t="s">
        <v>361</v>
      </c>
      <c r="I129" s="354" t="n">
        <f aca="false">IF(Summary!$E$70="no",Summary!$E$71,CCFMODEL!I128)</f>
        <v>0.0267639902676398</v>
      </c>
      <c r="J129" s="354" t="n">
        <f aca="false">IF(Summary!$E$70="no",Summary!$E$71,CCFMODEL!J128)</f>
        <v>0.03</v>
      </c>
      <c r="K129" s="354" t="n">
        <f aca="false">IF(Summary!$E$70="no",Summary!$E$71,CCFMODEL!K128)</f>
        <v>0.03</v>
      </c>
      <c r="L129" s="354" t="n">
        <f aca="false">IF(Summary!$E$70="no",Summary!$E$71,CCFMODEL!L128)</f>
        <v>0.03</v>
      </c>
      <c r="M129" s="354" t="n">
        <f aca="false">IF(Summary!$E$70="no",Summary!$E$71,CCFMODEL!M128)</f>
        <v>0.03</v>
      </c>
      <c r="N129" s="354" t="n">
        <f aca="false">IF(Summary!$E$70="no",Summary!$E$71,CCFMODEL!N128)</f>
        <v>0.03</v>
      </c>
      <c r="O129" s="354" t="n">
        <f aca="false">IF(Summary!$E$70="no",Summary!$E$71,CCFMODEL!O128)</f>
        <v>0.03</v>
      </c>
      <c r="P129" s="354" t="n">
        <f aca="false">IF(Summary!$E$70="no",Summary!$E$71,CCFMODEL!P128)</f>
        <v>0.03</v>
      </c>
      <c r="Q129" s="354" t="n">
        <f aca="false">IF(Summary!$E$70="no",Summary!$E$71,CCFMODEL!Q128)</f>
        <v>0.03</v>
      </c>
      <c r="R129" s="354" t="n">
        <f aca="false">IF(Summary!$E$70="no",Summary!$E$71,CCFMODEL!R128)</f>
        <v>0.03</v>
      </c>
      <c r="S129" s="354" t="n">
        <f aca="false">IF(Summary!$E$70="no",Summary!$E$71,CCFMODEL!S128)</f>
        <v>0.03</v>
      </c>
      <c r="T129" s="354" t="n">
        <f aca="false">IF(Summary!$E$70="no",Summary!$E$71,CCFMODEL!T128)</f>
        <v>0.03</v>
      </c>
      <c r="U129" s="354" t="n">
        <f aca="false">IF(Summary!$E$70="no",Summary!$E$71,CCFMODEL!U128)</f>
        <v>0.03</v>
      </c>
      <c r="V129" s="354" t="n">
        <f aca="false">IF(Summary!$E$70="no",Summary!$E$71,CCFMODEL!V128)</f>
        <v>0.03</v>
      </c>
      <c r="W129" s="354" t="n">
        <f aca="false">IF(Summary!$E$70="no",Summary!$E$71,CCFMODEL!W128)</f>
        <v>0.03</v>
      </c>
      <c r="X129" s="354" t="n">
        <f aca="false">IF(Summary!$E$70="no",Summary!$E$71,CCFMODEL!X128)</f>
        <v>0.03</v>
      </c>
      <c r="Y129" s="354" t="n">
        <f aca="false">IF(Summary!$E$70="no",Summary!$E$71,CCFMODEL!Y128)</f>
        <v>0.03</v>
      </c>
      <c r="Z129" s="354" t="n">
        <f aca="false">IF(Summary!$E$70="no",Summary!$E$71,CCFMODEL!Z128)</f>
        <v>0.03</v>
      </c>
      <c r="AA129" s="354" t="n">
        <f aca="false">IF(Summary!$E$70="no",Summary!$E$71,CCFMODEL!AA128)</f>
        <v>0.03</v>
      </c>
      <c r="AB129" s="354" t="n">
        <f aca="false">IF(Summary!$E$70="no",Summary!$E$71,CCFMODEL!AB128)</f>
        <v>0.03</v>
      </c>
      <c r="AC129" s="354" t="n">
        <f aca="false">IF(Summary!$E$70="no",Summary!$E$71,CCFMODEL!AC128)</f>
        <v>0.03</v>
      </c>
      <c r="AD129" s="354" t="n">
        <f aca="false">IF(Summary!$E$70="no",Summary!$E$71,CCFMODEL!AD128)</f>
        <v>0.03</v>
      </c>
      <c r="AE129" s="354" t="n">
        <f aca="false">IF(Summary!$E$70="no",Summary!$E$71,CCFMODEL!AE128)</f>
        <v>0.03</v>
      </c>
      <c r="AF129" s="354" t="n">
        <f aca="false">IF(Summary!$E$70="no",Summary!$E$71,CCFMODEL!AF128)</f>
        <v>0.03</v>
      </c>
    </row>
    <row r="130" customFormat="false" ht="11.25" hidden="false" customHeight="false" outlineLevel="0" collapsed="false">
      <c r="B130" s="235" t="s">
        <v>362</v>
      </c>
      <c r="H130" s="239"/>
      <c r="I130" s="355" t="n">
        <f aca="false">1+I129</f>
        <v>1.02676399026764</v>
      </c>
      <c r="J130" s="355" t="n">
        <f aca="false">+I130*(1+J129)</f>
        <v>1.05756690997567</v>
      </c>
      <c r="K130" s="355" t="n">
        <f aca="false">+J130*(1+K129)</f>
        <v>1.08929391727494</v>
      </c>
      <c r="L130" s="355" t="n">
        <f aca="false">+K130*(1+L129)</f>
        <v>1.12197273479319</v>
      </c>
      <c r="M130" s="356" t="n">
        <f aca="false">+L130*(1+M129)</f>
        <v>1.15563191683698</v>
      </c>
      <c r="N130" s="356" t="n">
        <f aca="false">+M130*(1+N129)</f>
        <v>1.19030087434209</v>
      </c>
      <c r="O130" s="356" t="n">
        <f aca="false">+N130*(1+O129)</f>
        <v>1.22600990057236</v>
      </c>
      <c r="P130" s="356" t="n">
        <f aca="false">+O130*(1+P129)</f>
        <v>1.26279019758953</v>
      </c>
      <c r="Q130" s="356" t="n">
        <f aca="false">+P130*(1+Q129)</f>
        <v>1.30067390351721</v>
      </c>
      <c r="R130" s="356" t="n">
        <f aca="false">+Q130*(1+R129)</f>
        <v>1.33969412062273</v>
      </c>
      <c r="S130" s="356" t="n">
        <f aca="false">+R130*(1+S129)</f>
        <v>1.37988494424141</v>
      </c>
      <c r="T130" s="356" t="n">
        <f aca="false">+S130*(1+T129)</f>
        <v>1.42128149256865</v>
      </c>
      <c r="U130" s="356" t="n">
        <f aca="false">+T130*(1+U129)</f>
        <v>1.46391993734571</v>
      </c>
      <c r="V130" s="356" t="n">
        <f aca="false">+U130*(1+V129)</f>
        <v>1.50783753546608</v>
      </c>
      <c r="W130" s="356" t="n">
        <f aca="false">+V130*(1+W129)</f>
        <v>1.55307266153007</v>
      </c>
      <c r="X130" s="356" t="n">
        <f aca="false">+W130*(1+X129)</f>
        <v>1.59966484137597</v>
      </c>
      <c r="Y130" s="356" t="n">
        <f aca="false">+X130*(1+Y129)</f>
        <v>1.64765478661725</v>
      </c>
      <c r="Z130" s="356" t="n">
        <f aca="false">+Y130*(1+Z129)</f>
        <v>1.69708443021576</v>
      </c>
      <c r="AA130" s="356" t="n">
        <f aca="false">+Z130*(1+AA129)</f>
        <v>1.74799696312224</v>
      </c>
      <c r="AB130" s="356" t="n">
        <f aca="false">+AA130*(1+AB129)</f>
        <v>1.8004368720159</v>
      </c>
      <c r="AC130" s="356" t="n">
        <f aca="false">+AB130*(1+AC129)</f>
        <v>1.85444997817638</v>
      </c>
      <c r="AD130" s="356" t="n">
        <f aca="false">+AC130*(1+AD129)</f>
        <v>1.91008347752167</v>
      </c>
      <c r="AE130" s="356" t="n">
        <f aca="false">+AD130*(1+AE129)</f>
        <v>1.96738598184732</v>
      </c>
      <c r="AF130" s="356" t="n">
        <f aca="false">+AE130*(1+AF129)</f>
        <v>2.02640756130274</v>
      </c>
    </row>
    <row r="131" customFormat="false" ht="11.25" hidden="false" customHeight="false" outlineLevel="0" collapsed="false">
      <c r="B131" s="235" t="s">
        <v>363</v>
      </c>
      <c r="H131" s="239"/>
      <c r="I131" s="356" t="n">
        <f aca="false">(1+(+I129*0.8))</f>
        <v>1.02141119221411</v>
      </c>
      <c r="J131" s="356" t="n">
        <f aca="false">+I131*(1+J129*0.8)</f>
        <v>1.04592506082725</v>
      </c>
      <c r="K131" s="356" t="n">
        <f aca="false">+J131*(1+K129*0.8)</f>
        <v>1.0710272622871</v>
      </c>
      <c r="L131" s="356" t="n">
        <f aca="false">+K131*(1+L129*0.8)</f>
        <v>1.096731916582</v>
      </c>
      <c r="M131" s="356" t="n">
        <f aca="false">+L131*(1+M129*0.8)</f>
        <v>1.12305348257996</v>
      </c>
      <c r="N131" s="356" t="n">
        <f aca="false">+M131*(1+N129*0.8)</f>
        <v>1.15000676616188</v>
      </c>
      <c r="O131" s="356" t="n">
        <f aca="false">+N131*(1+O129*0.8)</f>
        <v>1.17760692854977</v>
      </c>
      <c r="P131" s="356" t="n">
        <f aca="false">+O131*(1+P129*0.8)</f>
        <v>1.20586949483496</v>
      </c>
      <c r="Q131" s="356" t="n">
        <f aca="false">+P131*(1+Q129*0.8)</f>
        <v>1.234810362711</v>
      </c>
      <c r="R131" s="356" t="n">
        <f aca="false">+Q131*(1+R129*0.8)</f>
        <v>1.26444581141606</v>
      </c>
      <c r="S131" s="356" t="n">
        <f aca="false">+R131*(1+S129*0.8)</f>
        <v>1.29479251089005</v>
      </c>
      <c r="T131" s="356" t="n">
        <f aca="false">+S131*(1+T129*0.8)</f>
        <v>1.32586753115141</v>
      </c>
      <c r="U131" s="356" t="n">
        <f aca="false">+T131*(1+U129*0.8)</f>
        <v>1.35768835189905</v>
      </c>
      <c r="V131" s="356" t="n">
        <f aca="false">+U131*(1+V129*0.8)</f>
        <v>1.39027287234462</v>
      </c>
      <c r="W131" s="356" t="n">
        <f aca="false">+V131*(1+W129*0.8)</f>
        <v>1.42363942128089</v>
      </c>
      <c r="X131" s="356" t="n">
        <f aca="false">+W131*(1+X129*0.8)</f>
        <v>1.45780676739163</v>
      </c>
      <c r="Y131" s="356" t="n">
        <f aca="false">+X131*(1+Y129*0.8)</f>
        <v>1.49279412980903</v>
      </c>
      <c r="Z131" s="356" t="n">
        <f aca="false">+Y131*(1+Z129*0.8)</f>
        <v>1.52862118892445</v>
      </c>
      <c r="AA131" s="356" t="n">
        <f aca="false">+Z131*(1+AA129*0.8)</f>
        <v>1.56530809745864</v>
      </c>
      <c r="AB131" s="356" t="n">
        <f aca="false">+AA131*(1+AB129*0.8)</f>
        <v>1.60287549179765</v>
      </c>
      <c r="AC131" s="356" t="n">
        <f aca="false">+AB131*(1+AC129*0.8)</f>
        <v>1.64134450360079</v>
      </c>
      <c r="AD131" s="356" t="n">
        <f aca="false">+AC131*(1+AD129*0.8)</f>
        <v>1.68073677168721</v>
      </c>
      <c r="AE131" s="356" t="n">
        <f aca="false">+AD131*(1+AE129*0.8)</f>
        <v>1.7210744542077</v>
      </c>
      <c r="AF131" s="356" t="n">
        <f aca="false">+AE131*(1+AF129*0.8)</f>
        <v>1.76238024110869</v>
      </c>
    </row>
    <row r="132" customFormat="false" ht="11.25" hidden="false" customHeight="false" outlineLevel="1" collapsed="false">
      <c r="A132" s="325"/>
      <c r="B132" s="357"/>
      <c r="C132" s="325"/>
      <c r="D132" s="325"/>
      <c r="E132" s="358"/>
      <c r="F132" s="358"/>
      <c r="G132" s="358"/>
      <c r="H132" s="35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5"/>
      <c r="AH132" s="325"/>
      <c r="AI132" s="325"/>
      <c r="AJ132" s="325"/>
      <c r="AK132" s="325"/>
      <c r="AL132" s="325"/>
      <c r="AM132" s="325"/>
      <c r="AN132" s="325"/>
      <c r="AO132" s="325"/>
      <c r="AP132" s="325"/>
      <c r="AQ132" s="325"/>
      <c r="AR132" s="325"/>
      <c r="AS132" s="325"/>
      <c r="AT132" s="325"/>
      <c r="AU132" s="325"/>
      <c r="AV132" s="325"/>
      <c r="AW132" s="325"/>
      <c r="AX132" s="325"/>
      <c r="AY132" s="325"/>
      <c r="AZ132" s="325"/>
      <c r="BA132" s="325"/>
      <c r="BB132" s="325"/>
      <c r="BC132" s="325"/>
      <c r="BD132" s="325"/>
      <c r="BE132" s="325"/>
      <c r="BF132" s="325"/>
      <c r="BG132" s="325"/>
      <c r="BH132" s="325"/>
      <c r="BI132" s="325"/>
      <c r="BJ132" s="325"/>
      <c r="BK132" s="325"/>
      <c r="BL132" s="325"/>
      <c r="BM132" s="325"/>
      <c r="BN132" s="325"/>
      <c r="BO132" s="325"/>
      <c r="BP132" s="325"/>
      <c r="BQ132" s="325"/>
      <c r="BR132" s="325"/>
      <c r="BS132" s="325"/>
      <c r="BT132" s="325"/>
      <c r="BU132" s="325"/>
      <c r="BV132" s="325"/>
      <c r="BW132" s="325"/>
      <c r="BX132" s="325"/>
      <c r="BY132" s="325"/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25"/>
      <c r="CV132" s="325"/>
      <c r="CW132" s="325"/>
      <c r="CX132" s="325"/>
      <c r="CY132" s="325"/>
      <c r="CZ132" s="325"/>
      <c r="DA132" s="325"/>
      <c r="DB132" s="325"/>
      <c r="DC132" s="325"/>
      <c r="DD132" s="325"/>
      <c r="DE132" s="325"/>
      <c r="DF132" s="325"/>
      <c r="DG132" s="325"/>
      <c r="DH132" s="325"/>
      <c r="DI132" s="325"/>
      <c r="DJ132" s="325"/>
      <c r="DK132" s="325"/>
      <c r="DL132" s="325"/>
      <c r="DM132" s="325"/>
      <c r="DN132" s="325"/>
      <c r="DO132" s="325"/>
      <c r="DP132" s="325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  <c r="EI132" s="325"/>
      <c r="EJ132" s="325"/>
      <c r="EK132" s="325"/>
      <c r="EL132" s="325"/>
      <c r="EM132" s="325"/>
      <c r="EN132" s="325"/>
      <c r="EO132" s="325"/>
      <c r="EP132" s="325"/>
      <c r="EQ132" s="325"/>
      <c r="ER132" s="325"/>
      <c r="ES132" s="325"/>
      <c r="ET132" s="325"/>
      <c r="EU132" s="325"/>
      <c r="EV132" s="325"/>
      <c r="EW132" s="325"/>
      <c r="EX132" s="325"/>
      <c r="EY132" s="325"/>
      <c r="EZ132" s="325"/>
      <c r="FA132" s="325"/>
      <c r="FB132" s="325"/>
      <c r="FC132" s="325"/>
      <c r="FD132" s="325"/>
      <c r="FE132" s="325"/>
      <c r="FF132" s="325"/>
      <c r="FG132" s="325"/>
      <c r="FH132" s="325"/>
      <c r="FI132" s="325"/>
      <c r="FJ132" s="325"/>
      <c r="FK132" s="325"/>
      <c r="FL132" s="325"/>
      <c r="FM132" s="325"/>
      <c r="FN132" s="325"/>
      <c r="FO132" s="325"/>
      <c r="FP132" s="325"/>
      <c r="FQ132" s="325"/>
      <c r="FR132" s="325"/>
      <c r="FS132" s="325"/>
      <c r="FT132" s="325"/>
      <c r="FU132" s="325"/>
      <c r="FV132" s="325"/>
      <c r="FW132" s="325"/>
      <c r="FX132" s="325"/>
      <c r="FY132" s="325"/>
      <c r="FZ132" s="325"/>
      <c r="GA132" s="325"/>
      <c r="GB132" s="325"/>
      <c r="GC132" s="325"/>
      <c r="GD132" s="325"/>
      <c r="GE132" s="325"/>
      <c r="GF132" s="325"/>
      <c r="GG132" s="325"/>
      <c r="GH132" s="325"/>
      <c r="GI132" s="325"/>
      <c r="GJ132" s="325"/>
      <c r="GK132" s="325"/>
      <c r="GL132" s="325"/>
      <c r="GM132" s="325"/>
      <c r="GN132" s="325"/>
      <c r="GO132" s="325"/>
      <c r="GP132" s="325"/>
      <c r="GQ132" s="325"/>
      <c r="GR132" s="325"/>
      <c r="GS132" s="325"/>
      <c r="GT132" s="325"/>
      <c r="GU132" s="325"/>
      <c r="GV132" s="325"/>
      <c r="GW132" s="325"/>
      <c r="GX132" s="325"/>
      <c r="GY132" s="325"/>
      <c r="GZ132" s="325"/>
      <c r="HA132" s="325"/>
      <c r="HB132" s="325"/>
      <c r="HC132" s="325"/>
      <c r="HD132" s="325"/>
      <c r="HE132" s="325"/>
      <c r="HF132" s="325"/>
      <c r="HG132" s="325"/>
      <c r="HH132" s="325"/>
      <c r="HI132" s="325"/>
      <c r="HJ132" s="325"/>
      <c r="HK132" s="325"/>
      <c r="HL132" s="325"/>
      <c r="HM132" s="325"/>
      <c r="HN132" s="325"/>
      <c r="HO132" s="325"/>
      <c r="HP132" s="325"/>
      <c r="HQ132" s="325"/>
      <c r="HR132" s="325"/>
      <c r="HS132" s="325"/>
      <c r="HT132" s="325"/>
      <c r="HU132" s="325"/>
      <c r="HV132" s="325"/>
      <c r="HW132" s="325"/>
      <c r="HX132" s="325"/>
      <c r="HY132" s="325"/>
      <c r="HZ132" s="325"/>
      <c r="IA132" s="325"/>
      <c r="IB132" s="325"/>
      <c r="IC132" s="325"/>
      <c r="ID132" s="325"/>
      <c r="IE132" s="325"/>
      <c r="IF132" s="325"/>
      <c r="IG132" s="325"/>
      <c r="IH132" s="325"/>
      <c r="II132" s="325"/>
      <c r="IJ132" s="325"/>
      <c r="IK132" s="325"/>
      <c r="IL132" s="325"/>
      <c r="IM132" s="325"/>
      <c r="IN132" s="325"/>
      <c r="IO132" s="325"/>
      <c r="IP132" s="325"/>
      <c r="IQ132" s="325"/>
      <c r="IR132" s="325"/>
      <c r="IS132" s="325"/>
      <c r="IT132" s="325"/>
      <c r="IU132" s="325"/>
      <c r="IV132" s="325"/>
      <c r="IW132" s="325"/>
    </row>
    <row r="133" customFormat="false" ht="11.25" hidden="false" customHeight="false" outlineLevel="1" collapsed="false">
      <c r="A133" s="359"/>
      <c r="B133" s="359"/>
      <c r="C133" s="359"/>
      <c r="D133" s="359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  <c r="O133" s="360"/>
      <c r="P133" s="360"/>
      <c r="Q133" s="360"/>
      <c r="R133" s="360"/>
      <c r="S133" s="360"/>
      <c r="T133" s="360"/>
      <c r="U133" s="360"/>
      <c r="V133" s="360"/>
      <c r="W133" s="360"/>
      <c r="X133" s="360"/>
      <c r="Y133" s="360"/>
      <c r="Z133" s="360"/>
      <c r="AA133" s="360"/>
      <c r="AB133" s="360"/>
      <c r="AC133" s="360"/>
      <c r="AD133" s="360"/>
      <c r="AE133" s="360"/>
      <c r="AF133" s="360"/>
      <c r="AG133" s="359"/>
      <c r="AH133" s="359"/>
      <c r="AI133" s="359"/>
      <c r="AJ133" s="359"/>
      <c r="AK133" s="359"/>
      <c r="AL133" s="359"/>
      <c r="AM133" s="359"/>
      <c r="AN133" s="359"/>
      <c r="AO133" s="359"/>
      <c r="AP133" s="359"/>
      <c r="AQ133" s="359"/>
      <c r="AR133" s="359"/>
      <c r="AS133" s="359"/>
      <c r="AT133" s="359"/>
      <c r="AU133" s="359"/>
      <c r="AV133" s="359"/>
      <c r="AW133" s="359"/>
      <c r="AX133" s="359"/>
      <c r="AY133" s="359"/>
      <c r="AZ133" s="359"/>
      <c r="BA133" s="359"/>
      <c r="BB133" s="359"/>
      <c r="BC133" s="359"/>
      <c r="BD133" s="359"/>
      <c r="BE133" s="359"/>
      <c r="BF133" s="359"/>
      <c r="BG133" s="359"/>
      <c r="BH133" s="359"/>
      <c r="BI133" s="359"/>
      <c r="BJ133" s="359"/>
      <c r="BK133" s="359"/>
      <c r="BL133" s="359"/>
      <c r="BM133" s="359"/>
      <c r="BN133" s="359"/>
      <c r="BO133" s="359"/>
      <c r="BP133" s="359"/>
      <c r="BQ133" s="359"/>
      <c r="BR133" s="359"/>
      <c r="BS133" s="359"/>
      <c r="BT133" s="359"/>
      <c r="BU133" s="359"/>
      <c r="BV133" s="359"/>
      <c r="BW133" s="359"/>
      <c r="BX133" s="359"/>
      <c r="BY133" s="359"/>
      <c r="BZ133" s="359"/>
      <c r="CA133" s="359"/>
      <c r="CB133" s="359"/>
      <c r="CC133" s="359"/>
      <c r="CD133" s="359"/>
      <c r="CE133" s="359"/>
      <c r="CF133" s="359"/>
      <c r="CG133" s="359"/>
      <c r="CH133" s="359"/>
      <c r="CI133" s="359"/>
      <c r="CJ133" s="359"/>
      <c r="CK133" s="359"/>
      <c r="CL133" s="359"/>
      <c r="CM133" s="359"/>
      <c r="CN133" s="359"/>
      <c r="CO133" s="359"/>
      <c r="CP133" s="359"/>
      <c r="CQ133" s="359"/>
      <c r="CR133" s="359"/>
      <c r="CS133" s="359"/>
      <c r="CT133" s="359"/>
      <c r="CU133" s="359"/>
      <c r="CV133" s="359"/>
      <c r="CW133" s="359"/>
      <c r="CX133" s="359"/>
      <c r="CY133" s="359"/>
      <c r="CZ133" s="359"/>
      <c r="DA133" s="359"/>
      <c r="DB133" s="359"/>
      <c r="DC133" s="359"/>
      <c r="DD133" s="359"/>
      <c r="DE133" s="359"/>
      <c r="DF133" s="359"/>
      <c r="DG133" s="359"/>
      <c r="DH133" s="359"/>
      <c r="DI133" s="359"/>
      <c r="DJ133" s="359"/>
      <c r="DK133" s="359"/>
      <c r="DL133" s="359"/>
      <c r="DM133" s="359"/>
      <c r="DN133" s="359"/>
      <c r="DO133" s="359"/>
      <c r="DP133" s="359"/>
      <c r="DQ133" s="359"/>
      <c r="DR133" s="359"/>
      <c r="DS133" s="359"/>
      <c r="DT133" s="359"/>
      <c r="DU133" s="359"/>
      <c r="DV133" s="359"/>
      <c r="DW133" s="359"/>
      <c r="DX133" s="359"/>
      <c r="DY133" s="359"/>
      <c r="DZ133" s="359"/>
      <c r="EA133" s="359"/>
      <c r="EB133" s="359"/>
      <c r="EC133" s="359"/>
      <c r="ED133" s="359"/>
      <c r="EE133" s="359"/>
      <c r="EF133" s="359"/>
      <c r="EG133" s="359"/>
      <c r="EH133" s="359"/>
      <c r="EI133" s="359"/>
      <c r="EJ133" s="359"/>
      <c r="EK133" s="359"/>
      <c r="EL133" s="359"/>
      <c r="EM133" s="359"/>
      <c r="EN133" s="359"/>
      <c r="EO133" s="359"/>
      <c r="EP133" s="359"/>
      <c r="EQ133" s="359"/>
      <c r="ER133" s="359"/>
      <c r="ES133" s="359"/>
      <c r="ET133" s="359"/>
      <c r="EU133" s="359"/>
      <c r="EV133" s="359"/>
      <c r="EW133" s="359"/>
      <c r="EX133" s="359"/>
      <c r="EY133" s="359"/>
      <c r="EZ133" s="359"/>
      <c r="FA133" s="359"/>
      <c r="FB133" s="359"/>
      <c r="FC133" s="359"/>
      <c r="FD133" s="359"/>
      <c r="FE133" s="359"/>
      <c r="FF133" s="359"/>
      <c r="FG133" s="359"/>
      <c r="FH133" s="359"/>
      <c r="FI133" s="359"/>
      <c r="FJ133" s="359"/>
      <c r="FK133" s="359"/>
      <c r="FL133" s="359"/>
      <c r="FM133" s="359"/>
      <c r="FN133" s="359"/>
      <c r="FO133" s="359"/>
      <c r="FP133" s="359"/>
      <c r="FQ133" s="359"/>
      <c r="FR133" s="359"/>
      <c r="FS133" s="359"/>
      <c r="FT133" s="359"/>
      <c r="FU133" s="359"/>
      <c r="FV133" s="359"/>
      <c r="FW133" s="359"/>
      <c r="FX133" s="359"/>
      <c r="FY133" s="359"/>
      <c r="FZ133" s="359"/>
      <c r="GA133" s="359"/>
      <c r="GB133" s="359"/>
      <c r="GC133" s="359"/>
      <c r="GD133" s="359"/>
      <c r="GE133" s="359"/>
      <c r="GF133" s="359"/>
      <c r="GG133" s="359"/>
      <c r="GH133" s="359"/>
      <c r="GI133" s="359"/>
      <c r="GJ133" s="359"/>
      <c r="GK133" s="359"/>
      <c r="GL133" s="359"/>
      <c r="GM133" s="359"/>
      <c r="GN133" s="359"/>
      <c r="GO133" s="359"/>
      <c r="GP133" s="359"/>
      <c r="GQ133" s="359"/>
      <c r="GR133" s="359"/>
      <c r="GS133" s="359"/>
      <c r="GT133" s="359"/>
      <c r="GU133" s="359"/>
      <c r="GV133" s="359"/>
      <c r="GW133" s="359"/>
      <c r="GX133" s="359"/>
      <c r="GY133" s="359"/>
      <c r="GZ133" s="359"/>
      <c r="HA133" s="359"/>
      <c r="HB133" s="359"/>
      <c r="HC133" s="359"/>
      <c r="HD133" s="359"/>
      <c r="HE133" s="359"/>
      <c r="HF133" s="359"/>
      <c r="HG133" s="359"/>
      <c r="HH133" s="359"/>
      <c r="HI133" s="359"/>
      <c r="HJ133" s="359"/>
      <c r="HK133" s="359"/>
      <c r="HL133" s="359"/>
      <c r="HM133" s="359"/>
      <c r="HN133" s="359"/>
      <c r="HO133" s="359"/>
      <c r="HP133" s="359"/>
      <c r="HQ133" s="359"/>
      <c r="HR133" s="359"/>
      <c r="HS133" s="359"/>
      <c r="HT133" s="359"/>
      <c r="HU133" s="359"/>
      <c r="HV133" s="359"/>
      <c r="HW133" s="359"/>
      <c r="HX133" s="359"/>
      <c r="HY133" s="359"/>
      <c r="HZ133" s="359"/>
      <c r="IA133" s="359"/>
      <c r="IB133" s="359"/>
      <c r="IC133" s="359"/>
      <c r="ID133" s="359"/>
      <c r="IE133" s="359"/>
      <c r="IF133" s="359"/>
      <c r="IG133" s="359"/>
      <c r="IH133" s="359"/>
      <c r="II133" s="359"/>
      <c r="IJ133" s="359"/>
      <c r="IK133" s="359"/>
      <c r="IL133" s="359"/>
      <c r="IM133" s="359"/>
      <c r="IN133" s="359"/>
      <c r="IO133" s="359"/>
      <c r="IP133" s="359"/>
      <c r="IQ133" s="359"/>
      <c r="IR133" s="359"/>
      <c r="IS133" s="359"/>
      <c r="IT133" s="359"/>
      <c r="IU133" s="359"/>
      <c r="IV133" s="359"/>
      <c r="IW133" s="359"/>
    </row>
    <row r="134" customFormat="false" ht="11.25" hidden="false" customHeight="false" outlineLevel="1" collapsed="false">
      <c r="A134" s="261" t="s">
        <v>364</v>
      </c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</row>
    <row r="135" customFormat="false" ht="11.25" hidden="false" customHeight="false" outlineLevel="1" collapsed="false">
      <c r="A135" s="361"/>
      <c r="B135" s="262" t="s">
        <v>365</v>
      </c>
      <c r="C135" s="262"/>
      <c r="D135" s="362" t="s">
        <v>366</v>
      </c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</row>
    <row r="136" customFormat="false" ht="11.25" hidden="false" customHeight="false" outlineLevel="1" collapsed="false">
      <c r="A136" s="265" t="str">
        <f aca="false">curr2&amp;" Exchange Rate"</f>
        <v>Reis Exchange Rate</v>
      </c>
      <c r="B136" s="262"/>
      <c r="C136" s="262"/>
      <c r="D136" s="363"/>
      <c r="E136" s="262"/>
      <c r="F136" s="262"/>
      <c r="G136" s="262"/>
      <c r="H136" s="262"/>
      <c r="I136" s="364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</row>
    <row r="137" customFormat="false" ht="11.25" hidden="false" customHeight="false" outlineLevel="1" collapsed="false">
      <c r="A137" s="365" t="s">
        <v>359</v>
      </c>
      <c r="B137" s="366" t="s">
        <v>360</v>
      </c>
      <c r="C137" s="283"/>
      <c r="D137" s="367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</row>
    <row r="138" customFormat="false" ht="11.25" hidden="false" customHeight="false" outlineLevel="1" collapsed="false">
      <c r="A138" s="361"/>
      <c r="B138" s="361" t="str">
        <f aca="false">"Exchange rate: "&amp;curr2&amp;"/USD"</f>
        <v>Exchange rate: Reis/USD</v>
      </c>
      <c r="C138" s="283"/>
      <c r="D138" s="283"/>
      <c r="E138" s="368" t="n">
        <v>1</v>
      </c>
      <c r="F138" s="368" t="n">
        <v>1</v>
      </c>
      <c r="G138" s="368" t="n">
        <v>1</v>
      </c>
      <c r="H138" s="368" t="n">
        <v>1</v>
      </c>
      <c r="I138" s="368" t="n">
        <v>1</v>
      </c>
      <c r="J138" s="368" t="n">
        <v>1</v>
      </c>
      <c r="K138" s="368" t="n">
        <v>1</v>
      </c>
      <c r="L138" s="368" t="n">
        <v>1</v>
      </c>
      <c r="M138" s="368" t="n">
        <v>1</v>
      </c>
      <c r="N138" s="368" t="n">
        <v>1</v>
      </c>
      <c r="O138" s="368" t="n">
        <v>1</v>
      </c>
      <c r="P138" s="368" t="n">
        <v>1</v>
      </c>
      <c r="Q138" s="368" t="n">
        <v>1</v>
      </c>
      <c r="R138" s="368" t="n">
        <v>1</v>
      </c>
      <c r="S138" s="368" t="n">
        <v>1</v>
      </c>
      <c r="T138" s="368" t="n">
        <v>1</v>
      </c>
      <c r="U138" s="368" t="n">
        <v>1</v>
      </c>
      <c r="V138" s="368" t="n">
        <v>1</v>
      </c>
      <c r="W138" s="368" t="n">
        <v>1</v>
      </c>
      <c r="X138" s="368" t="n">
        <v>1</v>
      </c>
      <c r="Y138" s="368" t="n">
        <v>1</v>
      </c>
      <c r="Z138" s="368" t="n">
        <v>1</v>
      </c>
      <c r="AA138" s="368" t="n">
        <v>1</v>
      </c>
      <c r="AB138" s="368" t="n">
        <v>1</v>
      </c>
      <c r="AC138" s="368" t="n">
        <v>1</v>
      </c>
      <c r="AD138" s="368" t="n">
        <v>1</v>
      </c>
      <c r="AE138" s="368" t="n">
        <v>1</v>
      </c>
      <c r="AF138" s="368" t="n">
        <v>1</v>
      </c>
    </row>
    <row r="139" customFormat="false" ht="11.25" hidden="false" customHeight="false" outlineLevel="1" collapsed="false">
      <c r="A139" s="361"/>
      <c r="B139" s="262" t="str">
        <f aca="false">"Dollar Value of "&amp;curr2</f>
        <v>Dollar Value of Reis</v>
      </c>
      <c r="C139" s="283"/>
      <c r="D139" s="283"/>
      <c r="E139" s="369" t="n">
        <f aca="false">IF(E138=0,0,1/E138)</f>
        <v>1</v>
      </c>
      <c r="F139" s="369" t="n">
        <f aca="false">IF(F138=0,0,1/F138)</f>
        <v>1</v>
      </c>
      <c r="G139" s="369" t="n">
        <f aca="false">IF(G138=0,0,1/G138)</f>
        <v>1</v>
      </c>
      <c r="H139" s="369" t="n">
        <f aca="false">IF(H138=0,0,1/H138)</f>
        <v>1</v>
      </c>
      <c r="I139" s="369" t="n">
        <f aca="false">IF(I138=0,0,1/I138)</f>
        <v>1</v>
      </c>
      <c r="J139" s="369" t="n">
        <f aca="false">IF(J138=0,0,1/J138)</f>
        <v>1</v>
      </c>
      <c r="K139" s="369" t="n">
        <f aca="false">IF(K138=0,0,1/K138)</f>
        <v>1</v>
      </c>
      <c r="L139" s="369" t="n">
        <f aca="false">IF(L138=0,0,1/L138)</f>
        <v>1</v>
      </c>
      <c r="M139" s="369" t="n">
        <f aca="false">IF(M138=0,0,1/M138)</f>
        <v>1</v>
      </c>
      <c r="N139" s="369" t="n">
        <f aca="false">IF(N138=0,0,1/N138)</f>
        <v>1</v>
      </c>
      <c r="O139" s="369" t="n">
        <f aca="false">IF(O138=0,0,1/O138)</f>
        <v>1</v>
      </c>
      <c r="P139" s="369" t="n">
        <f aca="false">IF(P138=0,0,1/P138)</f>
        <v>1</v>
      </c>
      <c r="Q139" s="369" t="n">
        <f aca="false">IF(Q138=0,0,1/Q138)</f>
        <v>1</v>
      </c>
      <c r="R139" s="369" t="n">
        <f aca="false">IF(R138=0,0,1/R138)</f>
        <v>1</v>
      </c>
      <c r="S139" s="369" t="n">
        <f aca="false">IF(S138=0,0,1/S138)</f>
        <v>1</v>
      </c>
      <c r="T139" s="369" t="n">
        <f aca="false">IF(T138=0,0,1/T138)</f>
        <v>1</v>
      </c>
      <c r="U139" s="369" t="n">
        <f aca="false">IF(U138=0,0,1/U138)</f>
        <v>1</v>
      </c>
      <c r="V139" s="369" t="n">
        <f aca="false">IF(V138=0,0,1/V138)</f>
        <v>1</v>
      </c>
      <c r="W139" s="369" t="n">
        <f aca="false">IF(W138=0,0,1/W138)</f>
        <v>1</v>
      </c>
      <c r="X139" s="369" t="n">
        <f aca="false">IF(X138=0,0,1/X138)</f>
        <v>1</v>
      </c>
      <c r="Y139" s="369" t="n">
        <f aca="false">IF(Y138=0,0,1/Y138)</f>
        <v>1</v>
      </c>
      <c r="Z139" s="369" t="n">
        <f aca="false">IF(Z138=0,0,1/Z138)</f>
        <v>1</v>
      </c>
      <c r="AA139" s="369" t="n">
        <f aca="false">IF(AA138=0,0,1/AA138)</f>
        <v>1</v>
      </c>
      <c r="AB139" s="369" t="n">
        <f aca="false">IF(AB138=0,0,1/AB138)</f>
        <v>1</v>
      </c>
      <c r="AC139" s="369" t="n">
        <f aca="false">IF(AC138=0,0,1/AC138)</f>
        <v>1</v>
      </c>
      <c r="AD139" s="369" t="n">
        <f aca="false">IF(AD138=0,0,1/AD138)</f>
        <v>1</v>
      </c>
      <c r="AE139" s="369" t="n">
        <f aca="false">IF(AE138=0,0,1/AE138)</f>
        <v>1</v>
      </c>
      <c r="AF139" s="369" t="n">
        <f aca="false">IF(AF138=0,0,1/AF138)</f>
        <v>1</v>
      </c>
    </row>
    <row r="140" customFormat="false" ht="11.25" hidden="false" customHeight="false" outlineLevel="1" collapsed="false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</row>
    <row r="141" customFormat="false" ht="11.25" hidden="false" customHeight="false" outlineLevel="1" collapsed="false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</row>
    <row r="142" customFormat="false" ht="11.25" hidden="false" customHeight="false" outlineLevel="1" collapsed="false">
      <c r="A142" s="265" t="str">
        <f aca="false">curr2&amp;" Escalation Factors"</f>
        <v>Reis Escalation Factors</v>
      </c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</row>
    <row r="143" customFormat="false" ht="11.25" hidden="false" customHeight="false" outlineLevel="1" collapsed="false">
      <c r="A143" s="365" t="s">
        <v>359</v>
      </c>
      <c r="B143" s="366" t="s">
        <v>360</v>
      </c>
      <c r="C143" s="283" t="s">
        <v>367</v>
      </c>
      <c r="D143" s="367" t="s">
        <v>368</v>
      </c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F143" s="283"/>
    </row>
    <row r="144" customFormat="false" ht="11.25" hidden="false" customHeight="false" outlineLevel="1" collapsed="false">
      <c r="A144" s="283"/>
      <c r="B144" s="366" t="s">
        <v>361</v>
      </c>
      <c r="C144" s="283"/>
      <c r="D144" s="283"/>
      <c r="E144" s="283"/>
      <c r="F144" s="283"/>
      <c r="G144" s="283"/>
      <c r="H144" s="370" t="n">
        <v>0</v>
      </c>
      <c r="I144" s="370" t="n">
        <v>0</v>
      </c>
      <c r="J144" s="370" t="n">
        <v>0</v>
      </c>
      <c r="K144" s="370" t="n">
        <v>0</v>
      </c>
      <c r="L144" s="370" t="n">
        <v>0</v>
      </c>
      <c r="M144" s="370" t="n">
        <v>0</v>
      </c>
      <c r="N144" s="370" t="n">
        <v>0</v>
      </c>
      <c r="O144" s="370" t="n">
        <v>0</v>
      </c>
      <c r="P144" s="370" t="n">
        <v>0</v>
      </c>
      <c r="Q144" s="370" t="n">
        <v>0</v>
      </c>
      <c r="R144" s="370" t="n">
        <v>0</v>
      </c>
      <c r="S144" s="370" t="n">
        <v>0</v>
      </c>
      <c r="T144" s="370" t="n">
        <v>0</v>
      </c>
      <c r="U144" s="370" t="n">
        <v>0</v>
      </c>
      <c r="V144" s="370" t="n">
        <v>0</v>
      </c>
      <c r="W144" s="370" t="n">
        <v>0</v>
      </c>
      <c r="X144" s="370" t="n">
        <v>0</v>
      </c>
      <c r="Y144" s="370" t="n">
        <v>0</v>
      </c>
      <c r="Z144" s="370" t="n">
        <v>0</v>
      </c>
      <c r="AA144" s="370" t="n">
        <v>0</v>
      </c>
      <c r="AB144" s="370" t="n">
        <v>0</v>
      </c>
      <c r="AC144" s="370" t="n">
        <v>0</v>
      </c>
      <c r="AD144" s="370" t="n">
        <v>0</v>
      </c>
      <c r="AE144" s="370" t="n">
        <v>0</v>
      </c>
      <c r="AF144" s="370" t="n">
        <v>0</v>
      </c>
    </row>
    <row r="145" customFormat="false" ht="11.25" hidden="false" customHeight="false" outlineLevel="1" collapsed="false">
      <c r="A145" s="283"/>
      <c r="B145" s="283" t="s">
        <v>362</v>
      </c>
      <c r="C145" s="283"/>
      <c r="D145" s="283"/>
      <c r="E145" s="283"/>
      <c r="F145" s="283"/>
      <c r="G145" s="283"/>
      <c r="H145" s="371"/>
      <c r="I145" s="356" t="n">
        <f aca="false">(1+(+I144/12))^(+stub)</f>
        <v>1</v>
      </c>
      <c r="J145" s="372" t="n">
        <f aca="false">+I145*(1+J144)</f>
        <v>1</v>
      </c>
      <c r="K145" s="372" t="n">
        <f aca="false">+J145*(1+K144)</f>
        <v>1</v>
      </c>
      <c r="L145" s="372" t="n">
        <f aca="false">+K145*(1+L144)</f>
        <v>1</v>
      </c>
      <c r="M145" s="372" t="n">
        <f aca="false">+L145*(1+M144)</f>
        <v>1</v>
      </c>
      <c r="N145" s="372" t="n">
        <f aca="false">+M145*(1+N144)</f>
        <v>1</v>
      </c>
      <c r="O145" s="372" t="n">
        <f aca="false">+N145*(1+O144)</f>
        <v>1</v>
      </c>
      <c r="P145" s="372" t="n">
        <f aca="false">+O145*(1+P144)</f>
        <v>1</v>
      </c>
      <c r="Q145" s="372" t="n">
        <f aca="false">+P145*(1+Q144)</f>
        <v>1</v>
      </c>
      <c r="R145" s="372" t="n">
        <f aca="false">+Q145*(1+R144)</f>
        <v>1</v>
      </c>
      <c r="S145" s="372" t="n">
        <f aca="false">+R145*(1+S144)</f>
        <v>1</v>
      </c>
      <c r="T145" s="372" t="n">
        <f aca="false">+S145*(1+T144)</f>
        <v>1</v>
      </c>
      <c r="U145" s="372" t="n">
        <f aca="false">+T145*(1+U144)</f>
        <v>1</v>
      </c>
      <c r="V145" s="372" t="n">
        <f aca="false">+U145*(1+V144)</f>
        <v>1</v>
      </c>
      <c r="W145" s="372" t="n">
        <f aca="false">+V145*(1+W144)</f>
        <v>1</v>
      </c>
      <c r="X145" s="372" t="n">
        <f aca="false">+W145*(1+X144)</f>
        <v>1</v>
      </c>
      <c r="Y145" s="372" t="n">
        <f aca="false">+X145*(1+Y144)</f>
        <v>1</v>
      </c>
      <c r="Z145" s="372" t="n">
        <f aca="false">+Y145*(1+Z144)</f>
        <v>1</v>
      </c>
      <c r="AA145" s="372" t="n">
        <f aca="false">+Z145*(1+AA144)</f>
        <v>1</v>
      </c>
      <c r="AB145" s="372" t="n">
        <f aca="false">+AA145*(1+AB144)</f>
        <v>1</v>
      </c>
      <c r="AC145" s="372" t="n">
        <f aca="false">+AB145*(1+AC144)</f>
        <v>1</v>
      </c>
      <c r="AD145" s="372" t="n">
        <f aca="false">+AC145*(1+AD144)</f>
        <v>1</v>
      </c>
      <c r="AE145" s="372" t="n">
        <f aca="false">+AD145*(1+AE144)</f>
        <v>1</v>
      </c>
      <c r="AF145" s="372" t="n">
        <f aca="false">+AE145*(1+AF144)</f>
        <v>1</v>
      </c>
    </row>
    <row r="146" customFormat="false" ht="12" hidden="false" customHeight="false" outlineLevel="1" collapsed="false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</row>
    <row r="147" customFormat="false" ht="12" hidden="false" customHeight="false" outlineLevel="1" collapsed="false">
      <c r="A147" s="298"/>
      <c r="B147" s="298"/>
      <c r="C147" s="298"/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  <c r="AA147" s="298"/>
      <c r="AB147" s="298"/>
      <c r="AC147" s="298"/>
      <c r="AD147" s="298"/>
      <c r="AE147" s="298"/>
      <c r="AF147" s="298"/>
    </row>
    <row r="148" customFormat="false" ht="11.25" hidden="false" customHeight="false" outlineLevel="0" collapsed="false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</row>
    <row r="149" customFormat="false" ht="12" hidden="false" customHeight="false" outlineLevel="0" collapsed="false">
      <c r="A149" s="373" t="s">
        <v>369</v>
      </c>
      <c r="B149" s="359"/>
      <c r="C149" s="359"/>
      <c r="D149" s="359"/>
      <c r="E149" s="359"/>
      <c r="F149" s="359"/>
      <c r="G149" s="359"/>
      <c r="H149" s="359"/>
      <c r="I149" s="359"/>
      <c r="J149" s="359"/>
      <c r="K149" s="359"/>
      <c r="L149" s="35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</row>
    <row r="150" customFormat="false" ht="12.75" hidden="false" customHeight="false" outlineLevel="0" collapsed="false">
      <c r="A150" s="290" t="s">
        <v>370</v>
      </c>
      <c r="I150" s="263" t="n">
        <f aca="false">+I$3</f>
        <v>36525</v>
      </c>
      <c r="J150" s="264" t="n">
        <f aca="false">+J$3</f>
        <v>2000</v>
      </c>
      <c r="K150" s="264" t="n">
        <f aca="false">+K$3</f>
        <v>2001</v>
      </c>
      <c r="L150" s="264" t="n">
        <f aca="false">+L$3</f>
        <v>2002</v>
      </c>
      <c r="M150" s="264" t="n">
        <f aca="false">+M$3</f>
        <v>2003</v>
      </c>
      <c r="N150" s="264" t="n">
        <f aca="false">+N$3</f>
        <v>2004</v>
      </c>
      <c r="O150" s="264" t="n">
        <f aca="false">+O$3</f>
        <v>2005</v>
      </c>
      <c r="P150" s="264" t="n">
        <f aca="false">+P$3</f>
        <v>2006</v>
      </c>
      <c r="Q150" s="264" t="n">
        <f aca="false">+Q$3</f>
        <v>2007</v>
      </c>
      <c r="R150" s="264" t="n">
        <f aca="false">+R$3</f>
        <v>2008</v>
      </c>
      <c r="S150" s="264" t="n">
        <f aca="false">+S$3</f>
        <v>2009</v>
      </c>
      <c r="T150" s="264" t="n">
        <f aca="false">+T$3</f>
        <v>2010</v>
      </c>
      <c r="U150" s="264" t="n">
        <f aca="false">+U$3</f>
        <v>2011</v>
      </c>
      <c r="V150" s="264" t="n">
        <f aca="false">+V$3</f>
        <v>2012</v>
      </c>
      <c r="W150" s="264" t="n">
        <f aca="false">+W$3</f>
        <v>2013</v>
      </c>
      <c r="X150" s="264" t="n">
        <f aca="false">+X$3</f>
        <v>2014</v>
      </c>
      <c r="Y150" s="264" t="n">
        <f aca="false">+Y$3</f>
        <v>2015</v>
      </c>
      <c r="Z150" s="264" t="n">
        <f aca="false">+Z$3</f>
        <v>2016</v>
      </c>
      <c r="AA150" s="264" t="n">
        <f aca="false">+AA$3</f>
        <v>2017</v>
      </c>
      <c r="AB150" s="264" t="n">
        <f aca="false">+AB$3</f>
        <v>2018</v>
      </c>
      <c r="AC150" s="264" t="n">
        <f aca="false">+AC$3</f>
        <v>2019</v>
      </c>
      <c r="AD150" s="264" t="n">
        <f aca="false">+AD$3</f>
        <v>2020</v>
      </c>
      <c r="AE150" s="264" t="n">
        <f aca="false">+AE$3</f>
        <v>2021</v>
      </c>
      <c r="AF150" s="264" t="n">
        <f aca="false">+AF$3</f>
        <v>2022</v>
      </c>
    </row>
    <row r="151" customFormat="false" ht="14.25" hidden="false" customHeight="true" outlineLevel="0" collapsed="false">
      <c r="A151" s="374" t="s">
        <v>0</v>
      </c>
      <c r="B151" s="366" t="str">
        <f aca="false">"Currency (USD-1, "&amp;curr2&amp;"-2)"</f>
        <v>Currency (USD-1, Reis-2)</v>
      </c>
      <c r="D151" s="375" t="n">
        <v>1</v>
      </c>
      <c r="I151" s="376"/>
      <c r="J151" s="376"/>
      <c r="K151" s="376"/>
      <c r="L151" s="376"/>
      <c r="M151" s="376"/>
      <c r="N151" s="376"/>
      <c r="O151" s="376"/>
      <c r="P151" s="376"/>
      <c r="Q151" s="376"/>
      <c r="R151" s="376"/>
      <c r="S151" s="376"/>
      <c r="T151" s="376"/>
      <c r="U151" s="376"/>
      <c r="V151" s="376"/>
      <c r="W151" s="376"/>
      <c r="X151" s="376"/>
      <c r="Y151" s="376"/>
      <c r="Z151" s="376"/>
      <c r="AA151" s="376"/>
      <c r="AB151" s="376"/>
      <c r="AC151" s="376"/>
      <c r="AD151" s="376"/>
      <c r="AE151" s="376"/>
      <c r="AF151" s="376"/>
    </row>
    <row r="152" customFormat="false" ht="11.25" hidden="false" customHeight="false" outlineLevel="0" collapsed="false">
      <c r="B152" s="366" t="s">
        <v>371</v>
      </c>
      <c r="C152" s="283"/>
      <c r="D152" s="377" t="n">
        <v>1</v>
      </c>
    </row>
    <row r="153" customFormat="false" ht="11.25" hidden="false" customHeight="false" outlineLevel="0" collapsed="false">
      <c r="B153" s="291" t="s">
        <v>372</v>
      </c>
      <c r="D153" s="378" t="n">
        <v>0</v>
      </c>
      <c r="G153" s="291" t="s">
        <v>373</v>
      </c>
      <c r="I153" s="379" t="n">
        <f aca="false">+$D$153*IF($D151=1,CHOOSE($D$152,1,I130),CHOOSE($D$152,1,I145))</f>
        <v>0</v>
      </c>
      <c r="J153" s="379" t="n">
        <f aca="false">+$D$153*IF($D151=1,CHOOSE($D$152,1,J130),CHOOSE($D$152,1,J145))</f>
        <v>0</v>
      </c>
      <c r="K153" s="379" t="n">
        <f aca="false">+$D$153*IF($D151=1,CHOOSE($D$152,1,K130),CHOOSE($D$152,1,K145))</f>
        <v>0</v>
      </c>
      <c r="L153" s="379" t="n">
        <f aca="false">+$D$153*IF($D151=1,CHOOSE($D$152,1,L130),CHOOSE($D$152,1,L145))</f>
        <v>0</v>
      </c>
      <c r="M153" s="379" t="n">
        <f aca="false">+$D$153*IF($D151=1,CHOOSE($D$152,1,M130),CHOOSE($D$152,1,M145))</f>
        <v>0</v>
      </c>
      <c r="N153" s="379" t="n">
        <f aca="false">+$D$153*IF($D151=1,CHOOSE($D$152,1,N130),CHOOSE($D$152,1,N145))</f>
        <v>0</v>
      </c>
      <c r="O153" s="379" t="n">
        <f aca="false">+$D$153*IF($D151=1,CHOOSE($D$152,1,O130),CHOOSE($D$152,1,O145))</f>
        <v>0</v>
      </c>
      <c r="P153" s="379" t="n">
        <f aca="false">+$D$153*IF($D151=1,CHOOSE($D$152,1,P130),CHOOSE($D$152,1,P145))</f>
        <v>0</v>
      </c>
      <c r="Q153" s="379" t="n">
        <f aca="false">+$D$153*IF($D151=1,CHOOSE($D$152,1,Q130),CHOOSE($D$152,1,Q145))</f>
        <v>0</v>
      </c>
      <c r="R153" s="379" t="n">
        <f aca="false">+$D$153*IF($D151=1,CHOOSE($D$152,1,R130),CHOOSE($D$152,1,R145))</f>
        <v>0</v>
      </c>
      <c r="S153" s="379" t="n">
        <f aca="false">+$D$153*IF($D151=1,CHOOSE($D$152,1,S130),CHOOSE($D$152,1,S145))</f>
        <v>0</v>
      </c>
      <c r="T153" s="379" t="n">
        <f aca="false">+$D$153*IF($D151=1,CHOOSE($D$152,1,T130),CHOOSE($D$152,1,T145))</f>
        <v>0</v>
      </c>
      <c r="U153" s="379" t="n">
        <f aca="false">+$D$153*IF($D151=1,CHOOSE($D$152,1,U130),CHOOSE($D$152,1,U145))</f>
        <v>0</v>
      </c>
      <c r="V153" s="379" t="n">
        <f aca="false">+$D$153*IF($D151=1,CHOOSE($D$152,1,V130),CHOOSE($D$152,1,V145))</f>
        <v>0</v>
      </c>
      <c r="W153" s="379" t="n">
        <f aca="false">+$D$153*IF($D151=1,CHOOSE($D$152,1,W130),CHOOSE($D$152,1,W145))</f>
        <v>0</v>
      </c>
      <c r="X153" s="379" t="n">
        <f aca="false">+$D$153*IF($D151=1,CHOOSE($D$152,1,X130),CHOOSE($D$152,1,X145))</f>
        <v>0</v>
      </c>
      <c r="Y153" s="379" t="n">
        <f aca="false">+$D$153*IF($D151=1,CHOOSE($D$152,1,Y130),CHOOSE($D$152,1,Y145))</f>
        <v>0</v>
      </c>
      <c r="Z153" s="379" t="n">
        <f aca="false">+$D$153*IF($D151=1,CHOOSE($D$152,1,Z130),CHOOSE($D$152,1,Z145))</f>
        <v>0</v>
      </c>
      <c r="AA153" s="379" t="n">
        <f aca="false">+$D$153*IF($D151=1,CHOOSE($D$152,1,AA130),CHOOSE($D$152,1,AA145))</f>
        <v>0</v>
      </c>
      <c r="AB153" s="379" t="n">
        <f aca="false">+$D$153*IF($D151=1,CHOOSE($D$152,1,AB130),CHOOSE($D$152,1,AB145))</f>
        <v>0</v>
      </c>
      <c r="AC153" s="379" t="n">
        <f aca="false">+$D$153*IF($D151=1,CHOOSE($D$152,1,AC130),CHOOSE($D$152,1,AC145))</f>
        <v>0</v>
      </c>
      <c r="AD153" s="379" t="n">
        <f aca="false">+$D$153*IF($D151=1,CHOOSE($D$152,1,AD130),CHOOSE($D$152,1,AD145))</f>
        <v>0</v>
      </c>
      <c r="AE153" s="379" t="n">
        <f aca="false">+$D$153*IF($D151=1,CHOOSE($D$152,1,AE130),CHOOSE($D$152,1,AE145))</f>
        <v>0</v>
      </c>
      <c r="AF153" s="379" t="n">
        <f aca="false">+$D$153*IF($D151=1,CHOOSE($D$152,1,AF130),CHOOSE($D$152,1,AF145))</f>
        <v>0</v>
      </c>
    </row>
    <row r="154" customFormat="false" ht="11.25" hidden="false" customHeight="false" outlineLevel="0" collapsed="false">
      <c r="G154" s="380" t="s">
        <v>374</v>
      </c>
      <c r="I154" s="381" t="n">
        <f aca="false" t="array" ref="I154:AF154">+TRANSPOSE(CALC!HS17:HS40)</f>
        <v>0</v>
      </c>
      <c r="J154" s="381" t="e">
        <v>#VALUE!</v>
      </c>
      <c r="K154" s="381" t="e">
        <v>#VALUE!</v>
      </c>
      <c r="L154" s="381" t="e">
        <v>#VALUE!</v>
      </c>
      <c r="M154" s="381" t="e">
        <v>#VALUE!</v>
      </c>
      <c r="N154" s="381" t="e">
        <v>#VALUE!</v>
      </c>
      <c r="O154" s="381" t="e">
        <v>#VALUE!</v>
      </c>
      <c r="P154" s="381" t="e">
        <v>#VALUE!</v>
      </c>
      <c r="Q154" s="381" t="e">
        <v>#VALUE!</v>
      </c>
      <c r="R154" s="381" t="e">
        <v>#VALUE!</v>
      </c>
      <c r="S154" s="381" t="e">
        <v>#VALUE!</v>
      </c>
      <c r="T154" s="381" t="e">
        <v>#VALUE!</v>
      </c>
      <c r="U154" s="381" t="e">
        <v>#VALUE!</v>
      </c>
      <c r="V154" s="381" t="e">
        <v>#VALUE!</v>
      </c>
      <c r="W154" s="381" t="e">
        <v>#VALUE!</v>
      </c>
      <c r="X154" s="381" t="e">
        <v>#VALUE!</v>
      </c>
      <c r="Y154" s="381" t="e">
        <v>#VALUE!</v>
      </c>
      <c r="Z154" s="381" t="e">
        <v>#VALUE!</v>
      </c>
      <c r="AA154" s="381" t="e">
        <v>#VALUE!</v>
      </c>
      <c r="AB154" s="381" t="e">
        <v>#VALUE!</v>
      </c>
      <c r="AC154" s="381" t="e">
        <v>#VALUE!</v>
      </c>
      <c r="AD154" s="381" t="e">
        <v>#VALUE!</v>
      </c>
      <c r="AE154" s="381" t="e">
        <v>#VALUE!</v>
      </c>
      <c r="AF154" s="381" t="e">
        <v>#VALUE!</v>
      </c>
    </row>
    <row r="155" customFormat="false" ht="11.25" hidden="false" customHeight="false" outlineLevel="0" collapsed="false">
      <c r="G155" s="380" t="s">
        <v>374</v>
      </c>
      <c r="I155" s="381" t="n">
        <v>0</v>
      </c>
      <c r="J155" s="381" t="n">
        <v>0</v>
      </c>
      <c r="K155" s="381" t="n">
        <v>0</v>
      </c>
      <c r="L155" s="381" t="n">
        <v>0</v>
      </c>
      <c r="M155" s="381" t="n">
        <v>0</v>
      </c>
      <c r="N155" s="381" t="n">
        <v>0</v>
      </c>
      <c r="O155" s="381" t="n">
        <v>0</v>
      </c>
      <c r="P155" s="381" t="n">
        <v>0</v>
      </c>
      <c r="Q155" s="381" t="n">
        <v>0</v>
      </c>
      <c r="R155" s="381" t="n">
        <v>0</v>
      </c>
      <c r="S155" s="381" t="n">
        <v>0</v>
      </c>
      <c r="T155" s="381" t="n">
        <v>0</v>
      </c>
      <c r="U155" s="381" t="n">
        <v>0</v>
      </c>
      <c r="V155" s="381" t="n">
        <v>0</v>
      </c>
      <c r="W155" s="381" t="n">
        <v>0</v>
      </c>
      <c r="X155" s="381" t="n">
        <v>0</v>
      </c>
      <c r="Y155" s="381" t="n">
        <v>0</v>
      </c>
      <c r="Z155" s="381" t="n">
        <v>0</v>
      </c>
      <c r="AA155" s="381" t="n">
        <v>0</v>
      </c>
      <c r="AB155" s="381" t="n">
        <v>0</v>
      </c>
      <c r="AC155" s="381" t="n">
        <v>0</v>
      </c>
      <c r="AD155" s="381" t="n">
        <v>0</v>
      </c>
      <c r="AE155" s="381" t="n">
        <v>0</v>
      </c>
      <c r="AF155" s="381" t="n">
        <v>0</v>
      </c>
    </row>
    <row r="156" customFormat="false" ht="11.25" hidden="false" customHeight="false" outlineLevel="0" collapsed="false">
      <c r="G156" s="380" t="s">
        <v>374</v>
      </c>
      <c r="I156" s="381" t="n">
        <v>0</v>
      </c>
      <c r="J156" s="381" t="n">
        <v>0</v>
      </c>
      <c r="K156" s="381" t="n">
        <v>0</v>
      </c>
      <c r="L156" s="381" t="n">
        <v>0</v>
      </c>
      <c r="M156" s="381" t="n">
        <v>0</v>
      </c>
      <c r="N156" s="381" t="n">
        <v>0</v>
      </c>
      <c r="O156" s="381" t="n">
        <v>0</v>
      </c>
      <c r="P156" s="381" t="n">
        <v>0</v>
      </c>
      <c r="Q156" s="381" t="n">
        <v>0</v>
      </c>
      <c r="R156" s="381" t="n">
        <v>0</v>
      </c>
      <c r="S156" s="381" t="n">
        <v>0</v>
      </c>
      <c r="T156" s="381" t="n">
        <v>0</v>
      </c>
      <c r="U156" s="381" t="n">
        <v>0</v>
      </c>
      <c r="V156" s="381" t="n">
        <v>0</v>
      </c>
      <c r="W156" s="381" t="n">
        <v>0</v>
      </c>
      <c r="X156" s="381" t="n">
        <v>0</v>
      </c>
      <c r="Y156" s="381" t="n">
        <v>0</v>
      </c>
      <c r="Z156" s="381" t="n">
        <v>0</v>
      </c>
      <c r="AA156" s="381" t="n">
        <v>0</v>
      </c>
      <c r="AB156" s="381" t="n">
        <v>0</v>
      </c>
      <c r="AC156" s="381" t="n">
        <v>0</v>
      </c>
      <c r="AD156" s="381" t="n">
        <v>0</v>
      </c>
      <c r="AE156" s="381" t="n">
        <v>0</v>
      </c>
      <c r="AF156" s="381" t="n">
        <v>0</v>
      </c>
    </row>
    <row r="157" customFormat="false" ht="11.25" hidden="false" customHeight="false" outlineLevel="0" collapsed="false">
      <c r="G157" s="380" t="s">
        <v>374</v>
      </c>
      <c r="I157" s="381" t="n">
        <v>0</v>
      </c>
      <c r="J157" s="381" t="n">
        <v>0</v>
      </c>
      <c r="K157" s="381" t="n">
        <v>0</v>
      </c>
      <c r="L157" s="381" t="n">
        <v>0</v>
      </c>
      <c r="M157" s="381" t="n">
        <v>0</v>
      </c>
      <c r="N157" s="381" t="n">
        <v>0</v>
      </c>
      <c r="O157" s="381" t="n">
        <v>0</v>
      </c>
      <c r="P157" s="381" t="n">
        <v>0</v>
      </c>
      <c r="Q157" s="381" t="n">
        <v>0</v>
      </c>
      <c r="R157" s="381" t="n">
        <v>0</v>
      </c>
      <c r="S157" s="381" t="n">
        <v>0</v>
      </c>
      <c r="T157" s="381" t="n">
        <v>0</v>
      </c>
      <c r="U157" s="381" t="n">
        <v>0</v>
      </c>
      <c r="V157" s="381" t="n">
        <v>0</v>
      </c>
      <c r="W157" s="381" t="n">
        <v>0</v>
      </c>
      <c r="X157" s="381" t="n">
        <v>0</v>
      </c>
      <c r="Y157" s="381" t="n">
        <v>0</v>
      </c>
      <c r="Z157" s="381" t="n">
        <v>0</v>
      </c>
      <c r="AA157" s="381" t="n">
        <v>0</v>
      </c>
      <c r="AB157" s="381" t="n">
        <v>0</v>
      </c>
      <c r="AC157" s="381" t="n">
        <v>0</v>
      </c>
      <c r="AD157" s="381" t="n">
        <v>0</v>
      </c>
      <c r="AE157" s="381" t="n">
        <v>0</v>
      </c>
      <c r="AF157" s="381" t="n">
        <v>0</v>
      </c>
    </row>
    <row r="158" customFormat="false" ht="11.25" hidden="false" customHeight="false" outlineLevel="0" collapsed="false">
      <c r="G158" s="382" t="s">
        <v>375</v>
      </c>
      <c r="I158" s="356" t="n">
        <f aca="false">SUM(I153:I157)</f>
        <v>0</v>
      </c>
      <c r="J158" s="356" t="e">
        <f aca="false">SUM(J153:J157)</f>
        <v>#VALUE!</v>
      </c>
      <c r="K158" s="356" t="e">
        <f aca="false">SUM(K153:K157)</f>
        <v>#VALUE!</v>
      </c>
      <c r="L158" s="356" t="e">
        <f aca="false">SUM(L153:L157)</f>
        <v>#VALUE!</v>
      </c>
      <c r="M158" s="356" t="e">
        <f aca="false">SUM(M153:M157)</f>
        <v>#VALUE!</v>
      </c>
      <c r="N158" s="356" t="e">
        <f aca="false">SUM(N153:N157)</f>
        <v>#VALUE!</v>
      </c>
      <c r="O158" s="356" t="e">
        <f aca="false">SUM(O153:O157)</f>
        <v>#VALUE!</v>
      </c>
      <c r="P158" s="356" t="e">
        <f aca="false">SUM(P153:P157)</f>
        <v>#VALUE!</v>
      </c>
      <c r="Q158" s="356" t="e">
        <f aca="false">SUM(Q153:Q157)</f>
        <v>#VALUE!</v>
      </c>
      <c r="R158" s="356" t="e">
        <f aca="false">SUM(R153:R157)</f>
        <v>#VALUE!</v>
      </c>
      <c r="S158" s="356" t="e">
        <f aca="false">SUM(S153:S157)</f>
        <v>#VALUE!</v>
      </c>
      <c r="T158" s="356" t="e">
        <f aca="false">SUM(T153:T157)</f>
        <v>#VALUE!</v>
      </c>
      <c r="U158" s="356" t="e">
        <f aca="false">SUM(U153:U157)</f>
        <v>#VALUE!</v>
      </c>
      <c r="V158" s="356" t="e">
        <f aca="false">SUM(V153:V157)</f>
        <v>#VALUE!</v>
      </c>
      <c r="W158" s="356" t="e">
        <f aca="false">SUM(W153:W157)</f>
        <v>#VALUE!</v>
      </c>
      <c r="X158" s="356" t="e">
        <f aca="false">SUM(X153:X157)</f>
        <v>#VALUE!</v>
      </c>
      <c r="Y158" s="356" t="e">
        <f aca="false">SUM(Y153:Y157)</f>
        <v>#VALUE!</v>
      </c>
      <c r="Z158" s="356" t="e">
        <f aca="false">SUM(Z153:Z157)</f>
        <v>#VALUE!</v>
      </c>
      <c r="AA158" s="356" t="e">
        <f aca="false">SUM(AA153:AA157)</f>
        <v>#VALUE!</v>
      </c>
      <c r="AB158" s="356" t="e">
        <f aca="false">SUM(AB153:AB157)</f>
        <v>#VALUE!</v>
      </c>
      <c r="AC158" s="356" t="e">
        <f aca="false">SUM(AC153:AC157)</f>
        <v>#VALUE!</v>
      </c>
      <c r="AD158" s="356" t="e">
        <f aca="false">SUM(AD153:AD157)</f>
        <v>#VALUE!</v>
      </c>
      <c r="AE158" s="356" t="e">
        <f aca="false">SUM(AE153:AE157)</f>
        <v>#VALUE!</v>
      </c>
      <c r="AF158" s="356" t="e">
        <f aca="false">SUM(AF153:AF157)</f>
        <v>#VALUE!</v>
      </c>
    </row>
    <row r="159" customFormat="false" ht="11.25" hidden="false" customHeight="false" outlineLevel="0" collapsed="false">
      <c r="G159" s="291" t="s">
        <v>376</v>
      </c>
      <c r="I159" s="356" t="n">
        <f aca="false">IF($D151=1,I158,+I158*I$139)</f>
        <v>0</v>
      </c>
      <c r="J159" s="356" t="e">
        <f aca="false">IF($D151=1,J158,+J158*J$139)</f>
        <v>#VALUE!</v>
      </c>
      <c r="K159" s="356" t="e">
        <f aca="false">IF($D151=1,K158,+K158*K$139)</f>
        <v>#VALUE!</v>
      </c>
      <c r="L159" s="356" t="e">
        <f aca="false">IF($D151=1,L158,+L158*L$139)</f>
        <v>#VALUE!</v>
      </c>
      <c r="M159" s="356" t="e">
        <f aca="false">IF($D151=1,M158,+M158*M$139)</f>
        <v>#VALUE!</v>
      </c>
      <c r="N159" s="356" t="e">
        <f aca="false">IF($D151=1,N158,+N158*N$139)</f>
        <v>#VALUE!</v>
      </c>
      <c r="O159" s="356" t="e">
        <f aca="false">IF($D151=1,O158,+O158*O$139)</f>
        <v>#VALUE!</v>
      </c>
      <c r="P159" s="356" t="e">
        <f aca="false">IF($D151=1,P158,+P158*P$139)</f>
        <v>#VALUE!</v>
      </c>
      <c r="Q159" s="356" t="e">
        <f aca="false">IF($D151=1,Q158,+Q158*Q$139)</f>
        <v>#VALUE!</v>
      </c>
      <c r="R159" s="356" t="e">
        <f aca="false">IF($D151=1,R158,+R158*R$139)</f>
        <v>#VALUE!</v>
      </c>
      <c r="S159" s="356" t="e">
        <f aca="false">IF($D151=1,S158,+S158*S$139)</f>
        <v>#VALUE!</v>
      </c>
      <c r="T159" s="356" t="e">
        <f aca="false">IF($D151=1,T158,+T158*T$139)</f>
        <v>#VALUE!</v>
      </c>
      <c r="U159" s="356" t="e">
        <f aca="false">IF($D151=1,U158,+U158*U$139)</f>
        <v>#VALUE!</v>
      </c>
      <c r="V159" s="356" t="e">
        <f aca="false">IF($D151=1,V158,+V158*V$139)</f>
        <v>#VALUE!</v>
      </c>
      <c r="W159" s="356" t="e">
        <f aca="false">IF($D151=1,W158,+W158*W$139)</f>
        <v>#VALUE!</v>
      </c>
      <c r="X159" s="356" t="e">
        <f aca="false">IF($D151=1,X158,+X158*X$139)</f>
        <v>#VALUE!</v>
      </c>
      <c r="Y159" s="356" t="e">
        <f aca="false">IF($D151=1,Y158,+Y158*Y$139)</f>
        <v>#VALUE!</v>
      </c>
      <c r="Z159" s="356" t="e">
        <f aca="false">IF($D151=1,Z158,+Z158*Z$139)</f>
        <v>#VALUE!</v>
      </c>
      <c r="AA159" s="356" t="e">
        <f aca="false">IF($D151=1,AA158,+AA158*AA$139)</f>
        <v>#VALUE!</v>
      </c>
      <c r="AB159" s="356" t="e">
        <f aca="false">IF($D151=1,AB158,+AB158*AB$139)</f>
        <v>#VALUE!</v>
      </c>
      <c r="AC159" s="356" t="e">
        <f aca="false">IF($D151=1,AC158,+AC158*AC$139)</f>
        <v>#VALUE!</v>
      </c>
      <c r="AD159" s="356" t="e">
        <f aca="false">IF($D151=1,AD158,+AD158*AD$139)</f>
        <v>#VALUE!</v>
      </c>
      <c r="AE159" s="356" t="e">
        <f aca="false">IF($D151=1,AE158,+AE158*AE$139)</f>
        <v>#VALUE!</v>
      </c>
      <c r="AF159" s="356" t="e">
        <f aca="false">IF($D151=1,AF158,+AF158*AF$139)</f>
        <v>#VALUE!</v>
      </c>
    </row>
    <row r="161" customFormat="false" ht="12" hidden="false" customHeight="false" outlineLevel="0" collapsed="false"/>
    <row r="162" customFormat="false" ht="12.75" hidden="false" customHeight="false" outlineLevel="0" collapsed="false">
      <c r="A162" s="383" t="s">
        <v>377</v>
      </c>
      <c r="B162" s="298"/>
      <c r="C162" s="298"/>
      <c r="D162" s="298"/>
      <c r="E162" s="298"/>
      <c r="F162" s="298"/>
      <c r="G162" s="384"/>
      <c r="H162" s="298"/>
      <c r="I162" s="263" t="n">
        <f aca="false">+I$3</f>
        <v>36525</v>
      </c>
      <c r="J162" s="264" t="n">
        <f aca="false">+J$3</f>
        <v>2000</v>
      </c>
      <c r="K162" s="264" t="n">
        <f aca="false">+K$3</f>
        <v>2001</v>
      </c>
      <c r="L162" s="264" t="n">
        <f aca="false">+L$3</f>
        <v>2002</v>
      </c>
      <c r="M162" s="264" t="n">
        <f aca="false">+M$3</f>
        <v>2003</v>
      </c>
      <c r="N162" s="264" t="n">
        <f aca="false">+N$3</f>
        <v>2004</v>
      </c>
      <c r="O162" s="264" t="n">
        <f aca="false">+O$3</f>
        <v>2005</v>
      </c>
      <c r="P162" s="264" t="n">
        <f aca="false">+P$3</f>
        <v>2006</v>
      </c>
      <c r="Q162" s="264" t="n">
        <f aca="false">+Q$3</f>
        <v>2007</v>
      </c>
      <c r="R162" s="264" t="n">
        <f aca="false">+R$3</f>
        <v>2008</v>
      </c>
      <c r="S162" s="264" t="n">
        <f aca="false">+S$3</f>
        <v>2009</v>
      </c>
      <c r="T162" s="264" t="n">
        <f aca="false">+T$3</f>
        <v>2010</v>
      </c>
      <c r="U162" s="264" t="n">
        <f aca="false">+U$3</f>
        <v>2011</v>
      </c>
      <c r="V162" s="264" t="n">
        <f aca="false">+V$3</f>
        <v>2012</v>
      </c>
      <c r="W162" s="264" t="n">
        <f aca="false">+W$3</f>
        <v>2013</v>
      </c>
      <c r="X162" s="264" t="n">
        <f aca="false">+X$3</f>
        <v>2014</v>
      </c>
      <c r="Y162" s="264" t="n">
        <f aca="false">+Y$3</f>
        <v>2015</v>
      </c>
      <c r="Z162" s="264" t="n">
        <f aca="false">+Z$3</f>
        <v>2016</v>
      </c>
      <c r="AA162" s="264" t="n">
        <f aca="false">+AA$3</f>
        <v>2017</v>
      </c>
      <c r="AB162" s="264" t="n">
        <f aca="false">+AB$3</f>
        <v>2018</v>
      </c>
      <c r="AC162" s="264" t="n">
        <f aca="false">+AC$3</f>
        <v>2019</v>
      </c>
      <c r="AD162" s="264" t="n">
        <f aca="false">+AD$3</f>
        <v>2020</v>
      </c>
      <c r="AE162" s="264" t="n">
        <f aca="false">+AE$3</f>
        <v>2021</v>
      </c>
      <c r="AF162" s="264" t="n">
        <f aca="false">+AF$3</f>
        <v>2022</v>
      </c>
    </row>
    <row r="163" customFormat="false" ht="12" hidden="false" customHeight="false" outlineLevel="0" collapsed="false">
      <c r="A163" s="385"/>
      <c r="B163" s="298"/>
      <c r="C163" s="298"/>
      <c r="D163" s="298"/>
      <c r="E163" s="298"/>
      <c r="F163" s="298"/>
      <c r="G163" s="384"/>
      <c r="H163" s="298"/>
      <c r="I163" s="376"/>
      <c r="J163" s="376"/>
      <c r="K163" s="376"/>
      <c r="L163" s="376"/>
      <c r="M163" s="376"/>
      <c r="N163" s="376"/>
      <c r="O163" s="376"/>
      <c r="P163" s="376"/>
      <c r="Q163" s="376"/>
      <c r="R163" s="376"/>
      <c r="S163" s="376"/>
      <c r="T163" s="376"/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6"/>
      <c r="AE163" s="376"/>
      <c r="AF163" s="376"/>
    </row>
    <row r="164" customFormat="false" ht="11.25" hidden="false" customHeight="false" outlineLevel="0" collapsed="false">
      <c r="A164" s="386" t="s">
        <v>0</v>
      </c>
      <c r="C164" s="241"/>
      <c r="D164" s="241"/>
      <c r="E164" s="298"/>
      <c r="F164" s="298" t="s">
        <v>378</v>
      </c>
      <c r="G164" s="384"/>
      <c r="H164" s="298"/>
      <c r="I164" s="306" t="n">
        <f aca="false" t="array" ref="I164:AF164">+TRANSPOSE(CALC!HR17:HR40)/1000</f>
        <v>0</v>
      </c>
      <c r="J164" s="306" t="e">
        <v>#VALUE!</v>
      </c>
      <c r="K164" s="306" t="e">
        <v>#VALUE!</v>
      </c>
      <c r="L164" s="306" t="e">
        <v>#VALUE!</v>
      </c>
      <c r="M164" s="306" t="e">
        <v>#VALUE!</v>
      </c>
      <c r="N164" s="306" t="e">
        <v>#VALUE!</v>
      </c>
      <c r="O164" s="306" t="e">
        <v>#VALUE!</v>
      </c>
      <c r="P164" s="306" t="e">
        <v>#VALUE!</v>
      </c>
      <c r="Q164" s="306" t="e">
        <v>#VALUE!</v>
      </c>
      <c r="R164" s="306" t="e">
        <v>#VALUE!</v>
      </c>
      <c r="S164" s="306" t="e">
        <v>#VALUE!</v>
      </c>
      <c r="T164" s="306" t="e">
        <v>#VALUE!</v>
      </c>
      <c r="U164" s="306" t="e">
        <v>#VALUE!</v>
      </c>
      <c r="V164" s="306" t="e">
        <v>#VALUE!</v>
      </c>
      <c r="W164" s="306" t="e">
        <v>#VALUE!</v>
      </c>
      <c r="X164" s="306" t="e">
        <v>#VALUE!</v>
      </c>
      <c r="Y164" s="306" t="e">
        <v>#VALUE!</v>
      </c>
      <c r="Z164" s="306" t="e">
        <v>#VALUE!</v>
      </c>
      <c r="AA164" s="306" t="e">
        <v>#VALUE!</v>
      </c>
      <c r="AB164" s="306" t="e">
        <v>#VALUE!</v>
      </c>
      <c r="AC164" s="306" t="e">
        <v>#VALUE!</v>
      </c>
      <c r="AD164" s="306" t="e">
        <v>#VALUE!</v>
      </c>
      <c r="AE164" s="306" t="e">
        <v>#VALUE!</v>
      </c>
      <c r="AF164" s="306" t="e">
        <v>#VALUE!</v>
      </c>
    </row>
    <row r="165" customFormat="false" ht="11.25" hidden="false" customHeight="false" outlineLevel="0" collapsed="false">
      <c r="A165" s="298"/>
      <c r="C165" s="241"/>
      <c r="D165" s="241"/>
      <c r="E165" s="298"/>
      <c r="F165" s="298" t="s">
        <v>249</v>
      </c>
      <c r="G165" s="384"/>
      <c r="H165" s="298"/>
      <c r="I165" s="387" t="n">
        <f aca="false">+I159</f>
        <v>0</v>
      </c>
      <c r="J165" s="387" t="e">
        <f aca="false">+J159</f>
        <v>#VALUE!</v>
      </c>
      <c r="K165" s="387" t="e">
        <f aca="false">+K159</f>
        <v>#VALUE!</v>
      </c>
      <c r="L165" s="387" t="e">
        <f aca="false">+L159</f>
        <v>#VALUE!</v>
      </c>
      <c r="M165" s="387" t="e">
        <f aca="false">+M159</f>
        <v>#VALUE!</v>
      </c>
      <c r="N165" s="387" t="e">
        <f aca="false">+N159</f>
        <v>#VALUE!</v>
      </c>
      <c r="O165" s="387" t="e">
        <f aca="false">+O159</f>
        <v>#VALUE!</v>
      </c>
      <c r="P165" s="387" t="e">
        <f aca="false">+P159</f>
        <v>#VALUE!</v>
      </c>
      <c r="Q165" s="387" t="e">
        <f aca="false">+Q159</f>
        <v>#VALUE!</v>
      </c>
      <c r="R165" s="387" t="e">
        <f aca="false">+R159</f>
        <v>#VALUE!</v>
      </c>
      <c r="S165" s="387" t="e">
        <f aca="false">+S159</f>
        <v>#VALUE!</v>
      </c>
      <c r="T165" s="387" t="e">
        <f aca="false">+T159</f>
        <v>#VALUE!</v>
      </c>
      <c r="U165" s="387" t="e">
        <f aca="false">+U159</f>
        <v>#VALUE!</v>
      </c>
      <c r="V165" s="387" t="e">
        <f aca="false">+V159</f>
        <v>#VALUE!</v>
      </c>
      <c r="W165" s="387" t="e">
        <f aca="false">+W159</f>
        <v>#VALUE!</v>
      </c>
      <c r="X165" s="387" t="e">
        <f aca="false">+X159</f>
        <v>#VALUE!</v>
      </c>
      <c r="Y165" s="387" t="e">
        <f aca="false">+Y159</f>
        <v>#VALUE!</v>
      </c>
      <c r="Z165" s="387" t="e">
        <f aca="false">+Z159</f>
        <v>#VALUE!</v>
      </c>
      <c r="AA165" s="387" t="e">
        <f aca="false">+AA159</f>
        <v>#VALUE!</v>
      </c>
      <c r="AB165" s="387" t="e">
        <f aca="false">+AB159</f>
        <v>#VALUE!</v>
      </c>
      <c r="AC165" s="387" t="e">
        <f aca="false">+AC159</f>
        <v>#VALUE!</v>
      </c>
      <c r="AD165" s="387" t="e">
        <f aca="false">+AD159</f>
        <v>#VALUE!</v>
      </c>
      <c r="AE165" s="387" t="e">
        <f aca="false">+AE159</f>
        <v>#VALUE!</v>
      </c>
      <c r="AF165" s="387" t="e">
        <f aca="false">+AF159</f>
        <v>#VALUE!</v>
      </c>
    </row>
    <row r="166" customFormat="false" ht="11.25" hidden="false" customHeight="false" outlineLevel="0" collapsed="false">
      <c r="A166" s="298"/>
      <c r="C166" s="241"/>
      <c r="D166" s="241"/>
      <c r="E166" s="298"/>
      <c r="F166" s="297" t="s">
        <v>379</v>
      </c>
      <c r="G166" s="384"/>
      <c r="H166" s="298"/>
      <c r="I166" s="388" t="n">
        <f aca="false">I165*I164</f>
        <v>0</v>
      </c>
      <c r="J166" s="388" t="e">
        <f aca="false">+J165*J164</f>
        <v>#VALUE!</v>
      </c>
      <c r="K166" s="388" t="e">
        <f aca="false">+K165*K164</f>
        <v>#VALUE!</v>
      </c>
      <c r="L166" s="388" t="e">
        <f aca="false">+L165*L164</f>
        <v>#VALUE!</v>
      </c>
      <c r="M166" s="388" t="e">
        <f aca="false">+M165*M164</f>
        <v>#VALUE!</v>
      </c>
      <c r="N166" s="388" t="e">
        <f aca="false">+N165*N164</f>
        <v>#VALUE!</v>
      </c>
      <c r="O166" s="388" t="e">
        <f aca="false">+O165*O164</f>
        <v>#VALUE!</v>
      </c>
      <c r="P166" s="388" t="e">
        <f aca="false">+P165*P164</f>
        <v>#VALUE!</v>
      </c>
      <c r="Q166" s="388" t="e">
        <f aca="false">+Q165*Q164</f>
        <v>#VALUE!</v>
      </c>
      <c r="R166" s="388" t="e">
        <f aca="false">+R165*R164</f>
        <v>#VALUE!</v>
      </c>
      <c r="S166" s="388" t="e">
        <f aca="false">+S165*S164</f>
        <v>#VALUE!</v>
      </c>
      <c r="T166" s="388" t="e">
        <f aca="false">+T165*T164</f>
        <v>#VALUE!</v>
      </c>
      <c r="U166" s="388" t="e">
        <f aca="false">+U165*U164</f>
        <v>#VALUE!</v>
      </c>
      <c r="V166" s="388" t="e">
        <f aca="false">+V165*V164</f>
        <v>#VALUE!</v>
      </c>
      <c r="W166" s="388" t="e">
        <f aca="false">+W165*W164</f>
        <v>#VALUE!</v>
      </c>
      <c r="X166" s="388" t="e">
        <f aca="false">+X165*X164</f>
        <v>#VALUE!</v>
      </c>
      <c r="Y166" s="388" t="e">
        <f aca="false">+Y165*Y164</f>
        <v>#VALUE!</v>
      </c>
      <c r="Z166" s="388" t="e">
        <f aca="false">+Z165*Z164</f>
        <v>#VALUE!</v>
      </c>
      <c r="AA166" s="388" t="e">
        <f aca="false">+AA165*AA164</f>
        <v>#VALUE!</v>
      </c>
      <c r="AB166" s="388" t="e">
        <f aca="false">+AB165*AB164</f>
        <v>#VALUE!</v>
      </c>
      <c r="AC166" s="388" t="e">
        <f aca="false">+AC165*AC164</f>
        <v>#VALUE!</v>
      </c>
      <c r="AD166" s="388" t="e">
        <f aca="false">+AD165*AD164</f>
        <v>#VALUE!</v>
      </c>
      <c r="AE166" s="388" t="e">
        <f aca="false">+AE165*AE164</f>
        <v>#VALUE!</v>
      </c>
      <c r="AF166" s="388" t="e">
        <f aca="false">+AF165*AF164</f>
        <v>#VALUE!</v>
      </c>
    </row>
    <row r="167" customFormat="false" ht="11.25" hidden="false" customHeight="false" outlineLevel="0" collapsed="false">
      <c r="A167" s="325"/>
      <c r="B167" s="325"/>
      <c r="C167" s="389"/>
      <c r="D167" s="389"/>
      <c r="E167" s="325"/>
      <c r="F167" s="390" t="e">
        <f aca="false">XNPV(0.1,I166:AF166,I638:AF638)</f>
        <v>#VALUE!</v>
      </c>
      <c r="G167" s="391"/>
      <c r="H167" s="325"/>
      <c r="I167" s="392"/>
      <c r="J167" s="392"/>
      <c r="K167" s="392"/>
      <c r="L167" s="392"/>
      <c r="M167" s="392"/>
      <c r="N167" s="392"/>
      <c r="O167" s="392"/>
      <c r="P167" s="392"/>
      <c r="Q167" s="392"/>
      <c r="R167" s="392"/>
      <c r="S167" s="392"/>
      <c r="T167" s="392"/>
      <c r="U167" s="392"/>
      <c r="V167" s="392"/>
      <c r="W167" s="392"/>
      <c r="X167" s="392"/>
      <c r="Y167" s="392"/>
      <c r="Z167" s="392"/>
      <c r="AA167" s="392"/>
      <c r="AB167" s="392"/>
      <c r="AC167" s="392"/>
      <c r="AD167" s="392"/>
      <c r="AE167" s="392"/>
      <c r="AF167" s="392"/>
    </row>
    <row r="168" customFormat="false" ht="11.25" hidden="false" customHeight="false" outlineLevel="0" collapsed="false">
      <c r="A168" s="393" t="s">
        <v>380</v>
      </c>
      <c r="B168" s="298"/>
      <c r="C168" s="394"/>
      <c r="D168" s="394"/>
      <c r="E168" s="298"/>
      <c r="F168" s="297"/>
      <c r="G168" s="384"/>
      <c r="H168" s="298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</row>
    <row r="169" customFormat="false" ht="11.25" hidden="false" customHeight="false" outlineLevel="0" collapsed="false">
      <c r="A169" s="385" t="s">
        <v>370</v>
      </c>
      <c r="B169" s="298"/>
      <c r="C169" s="394"/>
      <c r="D169" s="394"/>
      <c r="E169" s="298"/>
      <c r="F169" s="297"/>
      <c r="G169" s="384"/>
      <c r="H169" s="298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</row>
    <row r="170" customFormat="false" ht="11.25" hidden="false" customHeight="false" outlineLevel="0" collapsed="false">
      <c r="A170" s="374" t="s">
        <v>0</v>
      </c>
      <c r="B170" s="366" t="str">
        <f aca="false">"Currency (USD-1, "&amp;curr2&amp;"-2)"</f>
        <v>Currency (USD-1, Reis-2)</v>
      </c>
      <c r="D170" s="375" t="n">
        <v>1</v>
      </c>
      <c r="I170" s="376"/>
      <c r="J170" s="376"/>
      <c r="K170" s="376"/>
      <c r="L170" s="376"/>
      <c r="M170" s="376"/>
      <c r="N170" s="376"/>
      <c r="O170" s="376"/>
      <c r="P170" s="376"/>
      <c r="Q170" s="376"/>
      <c r="R170" s="376"/>
      <c r="S170" s="376"/>
      <c r="T170" s="376"/>
      <c r="U170" s="376"/>
      <c r="V170" s="376"/>
      <c r="W170" s="376"/>
      <c r="X170" s="376"/>
      <c r="Y170" s="376"/>
      <c r="Z170" s="376"/>
      <c r="AA170" s="376"/>
      <c r="AB170" s="376"/>
      <c r="AC170" s="376"/>
      <c r="AD170" s="376"/>
      <c r="AE170" s="376"/>
      <c r="AF170" s="376"/>
    </row>
    <row r="171" customFormat="false" ht="11.25" hidden="false" customHeight="false" outlineLevel="0" collapsed="false">
      <c r="B171" s="366" t="s">
        <v>371</v>
      </c>
      <c r="C171" s="283"/>
      <c r="D171" s="377" t="n">
        <v>1</v>
      </c>
    </row>
    <row r="172" customFormat="false" ht="11.25" hidden="false" customHeight="false" outlineLevel="0" collapsed="false">
      <c r="B172" s="291" t="s">
        <v>372</v>
      </c>
      <c r="D172" s="378" t="n">
        <v>0</v>
      </c>
      <c r="G172" s="291" t="s">
        <v>373</v>
      </c>
      <c r="I172" s="379" t="n">
        <f aca="false">+$D$153*IF($D170=1,CHOOSE($D$152,1,I147),CHOOSE($D$152,1,I162))</f>
        <v>0</v>
      </c>
      <c r="J172" s="379" t="n">
        <f aca="false">+$D$153*IF($D170=1,CHOOSE($D$152,1,J147),CHOOSE($D$152,1,J162))</f>
        <v>0</v>
      </c>
      <c r="K172" s="379" t="n">
        <f aca="false">+$D$153*IF($D170=1,CHOOSE($D$152,1,K147),CHOOSE($D$152,1,K162))</f>
        <v>0</v>
      </c>
      <c r="L172" s="379" t="n">
        <f aca="false">+$D$153*IF($D170=1,CHOOSE($D$152,1,L147),CHOOSE($D$152,1,L162))</f>
        <v>0</v>
      </c>
      <c r="M172" s="379" t="n">
        <f aca="false">+$D$153*IF($D170=1,CHOOSE($D$152,1,M147),CHOOSE($D$152,1,M162))</f>
        <v>0</v>
      </c>
      <c r="N172" s="379" t="n">
        <f aca="false">+$D$153*IF($D170=1,CHOOSE($D$152,1,N147),CHOOSE($D$152,1,N162))</f>
        <v>0</v>
      </c>
      <c r="O172" s="379" t="n">
        <f aca="false">+$D$153*IF($D170=1,CHOOSE($D$152,1,O147),CHOOSE($D$152,1,O162))</f>
        <v>0</v>
      </c>
      <c r="P172" s="379" t="n">
        <f aca="false">+$D$153*IF($D170=1,CHOOSE($D$152,1,P147),CHOOSE($D$152,1,P162))</f>
        <v>0</v>
      </c>
      <c r="Q172" s="379" t="n">
        <f aca="false">+$D$153*IF($D170=1,CHOOSE($D$152,1,Q147),CHOOSE($D$152,1,Q162))</f>
        <v>0</v>
      </c>
      <c r="R172" s="379" t="n">
        <f aca="false">+$D$153*IF($D170=1,CHOOSE($D$152,1,R147),CHOOSE($D$152,1,R162))</f>
        <v>0</v>
      </c>
      <c r="S172" s="379" t="n">
        <f aca="false">+$D$153*IF($D170=1,CHOOSE($D$152,1,S147),CHOOSE($D$152,1,S162))</f>
        <v>0</v>
      </c>
      <c r="T172" s="379" t="n">
        <f aca="false">+$D$153*IF($D170=1,CHOOSE($D$152,1,T147),CHOOSE($D$152,1,T162))</f>
        <v>0</v>
      </c>
      <c r="U172" s="379" t="n">
        <f aca="false">+$D$153*IF($D170=1,CHOOSE($D$152,1,U147),CHOOSE($D$152,1,U162))</f>
        <v>0</v>
      </c>
      <c r="V172" s="379" t="n">
        <f aca="false">+$D$153*IF($D170=1,CHOOSE($D$152,1,V147),CHOOSE($D$152,1,V162))</f>
        <v>0</v>
      </c>
      <c r="W172" s="379" t="n">
        <f aca="false">+$D$153*IF($D170=1,CHOOSE($D$152,1,W147),CHOOSE($D$152,1,W162))</f>
        <v>0</v>
      </c>
      <c r="X172" s="379" t="n">
        <f aca="false">+$D$153*IF($D170=1,CHOOSE($D$152,1,X147),CHOOSE($D$152,1,X162))</f>
        <v>0</v>
      </c>
      <c r="Y172" s="379" t="n">
        <f aca="false">+$D$153*IF($D170=1,CHOOSE($D$152,1,Y147),CHOOSE($D$152,1,Y162))</f>
        <v>0</v>
      </c>
      <c r="Z172" s="379" t="n">
        <f aca="false">+$D$153*IF($D170=1,CHOOSE($D$152,1,Z147),CHOOSE($D$152,1,Z162))</f>
        <v>0</v>
      </c>
      <c r="AA172" s="379" t="n">
        <f aca="false">+$D$153*IF($D170=1,CHOOSE($D$152,1,AA147),CHOOSE($D$152,1,AA162))</f>
        <v>0</v>
      </c>
      <c r="AB172" s="379" t="n">
        <f aca="false">+$D$153*IF($D170=1,CHOOSE($D$152,1,AB147),CHOOSE($D$152,1,AB162))</f>
        <v>0</v>
      </c>
      <c r="AC172" s="379" t="n">
        <f aca="false">+$D$153*IF($D170=1,CHOOSE($D$152,1,AC147),CHOOSE($D$152,1,AC162))</f>
        <v>0</v>
      </c>
      <c r="AD172" s="379" t="n">
        <f aca="false">+$D$153*IF($D170=1,CHOOSE($D$152,1,AD147),CHOOSE($D$152,1,AD162))</f>
        <v>0</v>
      </c>
      <c r="AE172" s="379" t="n">
        <f aca="false">+$D$153*IF($D170=1,CHOOSE($D$152,1,AE147),CHOOSE($D$152,1,AE162))</f>
        <v>0</v>
      </c>
      <c r="AF172" s="379" t="n">
        <f aca="false">+$D$153*IF($D170=1,CHOOSE($D$152,1,AF147),CHOOSE($D$152,1,AF162))</f>
        <v>0</v>
      </c>
    </row>
    <row r="173" customFormat="false" ht="11.25" hidden="false" customHeight="false" outlineLevel="0" collapsed="false">
      <c r="G173" s="380" t="s">
        <v>374</v>
      </c>
      <c r="I173" s="381" t="n">
        <f aca="false" t="array" ref="I173:AF173">TRANSPOSE(CALC!HV17:HV40)</f>
        <v>0</v>
      </c>
      <c r="J173" s="381" t="n">
        <v>72.4298578610685</v>
      </c>
      <c r="K173" s="381" t="n">
        <v>59.8233409909264</v>
      </c>
      <c r="L173" s="381" t="n">
        <v>47.6992015688297</v>
      </c>
      <c r="M173" s="381" t="n">
        <v>40.0636989771749</v>
      </c>
      <c r="N173" s="381" t="n">
        <v>36.8257065318567</v>
      </c>
      <c r="O173" s="381" t="n">
        <v>39.3386761756953</v>
      </c>
      <c r="P173" s="381" t="n">
        <v>39.7719263511116</v>
      </c>
      <c r="Q173" s="381" t="n">
        <v>41.5344250745401</v>
      </c>
      <c r="R173" s="381" t="n">
        <v>42.5271170723927</v>
      </c>
      <c r="S173" s="381" t="n">
        <v>44.0288012297136</v>
      </c>
      <c r="T173" s="381" t="n">
        <v>44.2982703443782</v>
      </c>
      <c r="U173" s="381" t="n">
        <v>45.4564140318945</v>
      </c>
      <c r="V173" s="381" t="n">
        <v>46.3696738006547</v>
      </c>
      <c r="W173" s="381" t="n">
        <v>47.6077874286841</v>
      </c>
      <c r="X173" s="381" t="n">
        <v>48.2578966716975</v>
      </c>
      <c r="Y173" s="381" t="n">
        <v>49.8230973442269</v>
      </c>
      <c r="Z173" s="381" t="n">
        <v>50.9958201408396</v>
      </c>
      <c r="AA173" s="381" t="n">
        <v>51.5202479244433</v>
      </c>
      <c r="AB173" s="381" t="n">
        <v>51.6419551930384</v>
      </c>
      <c r="AC173" s="381" t="n">
        <v>53.8458781980151</v>
      </c>
      <c r="AD173" s="381" t="n">
        <v>53.8420406073886</v>
      </c>
      <c r="AE173" s="381" t="n">
        <v>55.4576969783802</v>
      </c>
      <c r="AF173" s="381" t="n">
        <v>56.2068743091115</v>
      </c>
    </row>
    <row r="174" customFormat="false" ht="11.25" hidden="false" customHeight="false" outlineLevel="0" collapsed="false">
      <c r="G174" s="380" t="s">
        <v>374</v>
      </c>
      <c r="I174" s="381" t="n">
        <v>0</v>
      </c>
      <c r="J174" s="381" t="n">
        <v>0</v>
      </c>
      <c r="K174" s="381" t="n">
        <v>0</v>
      </c>
      <c r="L174" s="381" t="n">
        <v>0</v>
      </c>
      <c r="M174" s="381" t="n">
        <v>0</v>
      </c>
      <c r="N174" s="381" t="n">
        <v>0</v>
      </c>
      <c r="O174" s="381" t="n">
        <v>0</v>
      </c>
      <c r="P174" s="381" t="n">
        <v>0</v>
      </c>
      <c r="Q174" s="381" t="n">
        <v>0</v>
      </c>
      <c r="R174" s="381" t="n">
        <v>0</v>
      </c>
      <c r="S174" s="381" t="n">
        <v>0</v>
      </c>
      <c r="T174" s="381" t="n">
        <v>0</v>
      </c>
      <c r="U174" s="381" t="n">
        <v>0</v>
      </c>
      <c r="V174" s="381" t="n">
        <v>0</v>
      </c>
      <c r="W174" s="381" t="n">
        <v>0</v>
      </c>
      <c r="X174" s="381" t="n">
        <v>0</v>
      </c>
      <c r="Y174" s="381" t="n">
        <v>0</v>
      </c>
      <c r="Z174" s="381" t="n">
        <v>0</v>
      </c>
      <c r="AA174" s="381" t="n">
        <v>0</v>
      </c>
      <c r="AB174" s="381" t="n">
        <v>0</v>
      </c>
      <c r="AC174" s="381" t="n">
        <v>0</v>
      </c>
      <c r="AD174" s="381" t="n">
        <v>0</v>
      </c>
      <c r="AE174" s="381" t="n">
        <v>0</v>
      </c>
      <c r="AF174" s="381" t="n">
        <v>0</v>
      </c>
    </row>
    <row r="175" customFormat="false" ht="11.25" hidden="false" customHeight="false" outlineLevel="0" collapsed="false">
      <c r="G175" s="380" t="s">
        <v>374</v>
      </c>
      <c r="I175" s="381" t="n">
        <v>0</v>
      </c>
      <c r="J175" s="381" t="n">
        <v>0</v>
      </c>
      <c r="K175" s="381" t="n">
        <v>0</v>
      </c>
      <c r="L175" s="381" t="n">
        <v>0</v>
      </c>
      <c r="M175" s="381" t="n">
        <v>0</v>
      </c>
      <c r="N175" s="381" t="n">
        <v>0</v>
      </c>
      <c r="O175" s="381" t="n">
        <v>0</v>
      </c>
      <c r="P175" s="381" t="n">
        <v>0</v>
      </c>
      <c r="Q175" s="381" t="n">
        <v>0</v>
      </c>
      <c r="R175" s="381" t="n">
        <v>0</v>
      </c>
      <c r="S175" s="381" t="n">
        <v>0</v>
      </c>
      <c r="T175" s="381" t="n">
        <v>0</v>
      </c>
      <c r="U175" s="381" t="n">
        <v>0</v>
      </c>
      <c r="V175" s="381" t="n">
        <v>0</v>
      </c>
      <c r="W175" s="381" t="n">
        <v>0</v>
      </c>
      <c r="X175" s="381" t="n">
        <v>0</v>
      </c>
      <c r="Y175" s="381" t="n">
        <v>0</v>
      </c>
      <c r="Z175" s="381" t="n">
        <v>0</v>
      </c>
      <c r="AA175" s="381" t="n">
        <v>0</v>
      </c>
      <c r="AB175" s="381" t="n">
        <v>0</v>
      </c>
      <c r="AC175" s="381" t="n">
        <v>0</v>
      </c>
      <c r="AD175" s="381" t="n">
        <v>0</v>
      </c>
      <c r="AE175" s="381" t="n">
        <v>0</v>
      </c>
      <c r="AF175" s="381" t="n">
        <v>0</v>
      </c>
    </row>
    <row r="176" customFormat="false" ht="11.25" hidden="false" customHeight="false" outlineLevel="0" collapsed="false">
      <c r="G176" s="380" t="s">
        <v>374</v>
      </c>
      <c r="I176" s="381" t="n">
        <v>0</v>
      </c>
      <c r="J176" s="381" t="n">
        <v>0</v>
      </c>
      <c r="K176" s="381" t="n">
        <v>0</v>
      </c>
      <c r="L176" s="381" t="n">
        <v>0</v>
      </c>
      <c r="M176" s="381" t="n">
        <v>0</v>
      </c>
      <c r="N176" s="381" t="n">
        <v>0</v>
      </c>
      <c r="O176" s="381" t="n">
        <v>0</v>
      </c>
      <c r="P176" s="381" t="n">
        <v>0</v>
      </c>
      <c r="Q176" s="381" t="n">
        <v>0</v>
      </c>
      <c r="R176" s="381" t="n">
        <v>0</v>
      </c>
      <c r="S176" s="381" t="n">
        <v>0</v>
      </c>
      <c r="T176" s="381" t="n">
        <v>0</v>
      </c>
      <c r="U176" s="381" t="n">
        <v>0</v>
      </c>
      <c r="V176" s="381" t="n">
        <v>0</v>
      </c>
      <c r="W176" s="381" t="n">
        <v>0</v>
      </c>
      <c r="X176" s="381" t="n">
        <v>0</v>
      </c>
      <c r="Y176" s="381" t="n">
        <v>0</v>
      </c>
      <c r="Z176" s="381" t="n">
        <v>0</v>
      </c>
      <c r="AA176" s="381" t="n">
        <v>0</v>
      </c>
      <c r="AB176" s="381" t="n">
        <v>0</v>
      </c>
      <c r="AC176" s="381" t="n">
        <v>0</v>
      </c>
      <c r="AD176" s="381" t="n">
        <v>0</v>
      </c>
      <c r="AE176" s="381" t="n">
        <v>0</v>
      </c>
      <c r="AF176" s="381" t="n">
        <v>0</v>
      </c>
    </row>
    <row r="177" customFormat="false" ht="11.25" hidden="false" customHeight="false" outlineLevel="0" collapsed="false">
      <c r="G177" s="382" t="s">
        <v>375</v>
      </c>
      <c r="I177" s="356" t="n">
        <f aca="false">SUM(I172:I176)</f>
        <v>0</v>
      </c>
      <c r="J177" s="356" t="n">
        <f aca="false">SUM(J172:J176)</f>
        <v>72.4298578610685</v>
      </c>
      <c r="K177" s="356" t="n">
        <f aca="false">SUM(K172:K176)</f>
        <v>59.8233409909264</v>
      </c>
      <c r="L177" s="356" t="n">
        <f aca="false">SUM(L172:L176)</f>
        <v>47.6992015688297</v>
      </c>
      <c r="M177" s="356" t="n">
        <f aca="false">SUM(M172:M176)</f>
        <v>40.0636989771749</v>
      </c>
      <c r="N177" s="356" t="n">
        <f aca="false">SUM(N172:N176)</f>
        <v>36.8257065318567</v>
      </c>
      <c r="O177" s="356" t="n">
        <f aca="false">SUM(O172:O176)</f>
        <v>39.3386761756953</v>
      </c>
      <c r="P177" s="356" t="n">
        <f aca="false">SUM(P172:P176)</f>
        <v>39.7719263511116</v>
      </c>
      <c r="Q177" s="356" t="n">
        <f aca="false">SUM(Q172:Q176)</f>
        <v>41.5344250745401</v>
      </c>
      <c r="R177" s="356" t="n">
        <f aca="false">SUM(R172:R176)</f>
        <v>42.5271170723927</v>
      </c>
      <c r="S177" s="356" t="n">
        <f aca="false">SUM(S172:S176)</f>
        <v>44.0288012297136</v>
      </c>
      <c r="T177" s="356" t="n">
        <f aca="false">SUM(T172:T176)</f>
        <v>44.2982703443782</v>
      </c>
      <c r="U177" s="356" t="n">
        <f aca="false">SUM(U172:U176)</f>
        <v>45.4564140318945</v>
      </c>
      <c r="V177" s="356" t="n">
        <f aca="false">SUM(V172:V176)</f>
        <v>46.3696738006547</v>
      </c>
      <c r="W177" s="356" t="n">
        <f aca="false">SUM(W172:W176)</f>
        <v>47.6077874286841</v>
      </c>
      <c r="X177" s="356" t="n">
        <f aca="false">SUM(X172:X176)</f>
        <v>48.2578966716975</v>
      </c>
      <c r="Y177" s="356" t="n">
        <f aca="false">SUM(Y172:Y176)</f>
        <v>49.8230973442269</v>
      </c>
      <c r="Z177" s="356" t="n">
        <f aca="false">SUM(Z172:Z176)</f>
        <v>50.9958201408396</v>
      </c>
      <c r="AA177" s="356" t="n">
        <f aca="false">SUM(AA172:AA176)</f>
        <v>51.5202479244433</v>
      </c>
      <c r="AB177" s="356" t="n">
        <f aca="false">SUM(AB172:AB176)</f>
        <v>51.6419551930384</v>
      </c>
      <c r="AC177" s="356" t="n">
        <f aca="false">SUM(AC172:AC176)</f>
        <v>53.8458781980151</v>
      </c>
      <c r="AD177" s="356" t="n">
        <f aca="false">SUM(AD172:AD176)</f>
        <v>53.8420406073886</v>
      </c>
      <c r="AE177" s="356" t="n">
        <f aca="false">SUM(AE172:AE176)</f>
        <v>55.4576969783802</v>
      </c>
      <c r="AF177" s="356" t="n">
        <f aca="false">SUM(AF172:AF176)</f>
        <v>56.2068743091115</v>
      </c>
    </row>
    <row r="178" customFormat="false" ht="11.25" hidden="false" customHeight="false" outlineLevel="0" collapsed="false">
      <c r="G178" s="291" t="s">
        <v>376</v>
      </c>
      <c r="I178" s="356" t="n">
        <f aca="false">IF($D170=1,I177,+I177*I$139)</f>
        <v>0</v>
      </c>
      <c r="J178" s="356" t="n">
        <f aca="false">IF($D170=1,J177,+J177*J$139)</f>
        <v>72.4298578610685</v>
      </c>
      <c r="K178" s="356" t="n">
        <f aca="false">IF($D170=1,K177,+K177*K$139)</f>
        <v>59.8233409909264</v>
      </c>
      <c r="L178" s="356" t="n">
        <f aca="false">IF($D170=1,L177,+L177*L$139)</f>
        <v>47.6992015688297</v>
      </c>
      <c r="M178" s="356" t="n">
        <f aca="false">IF($D170=1,M177,+M177*M$139)</f>
        <v>40.0636989771749</v>
      </c>
      <c r="N178" s="356" t="n">
        <f aca="false">IF($D170=1,N177,+N177*N$139)</f>
        <v>36.8257065318567</v>
      </c>
      <c r="O178" s="356" t="n">
        <f aca="false">IF($D170=1,O177,+O177*O$139)</f>
        <v>39.3386761756953</v>
      </c>
      <c r="P178" s="356" t="n">
        <f aca="false">IF($D170=1,P177,+P177*P$139)</f>
        <v>39.7719263511116</v>
      </c>
      <c r="Q178" s="356" t="n">
        <f aca="false">IF($D170=1,Q177,+Q177*Q$139)</f>
        <v>41.5344250745401</v>
      </c>
      <c r="R178" s="356" t="n">
        <f aca="false">IF($D170=1,R177,+R177*R$139)</f>
        <v>42.5271170723927</v>
      </c>
      <c r="S178" s="356" t="n">
        <f aca="false">IF($D170=1,S177,+S177*S$139)</f>
        <v>44.0288012297136</v>
      </c>
      <c r="T178" s="356" t="n">
        <f aca="false">IF($D170=1,T177,+T177*T$139)</f>
        <v>44.2982703443782</v>
      </c>
      <c r="U178" s="356" t="n">
        <f aca="false">IF($D170=1,U177,+U177*U$139)</f>
        <v>45.4564140318945</v>
      </c>
      <c r="V178" s="356" t="n">
        <f aca="false">IF($D170=1,V177,+V177*V$139)</f>
        <v>46.3696738006547</v>
      </c>
      <c r="W178" s="356" t="n">
        <f aca="false">IF($D170=1,W177,+W177*W$139)</f>
        <v>47.6077874286841</v>
      </c>
      <c r="X178" s="356" t="n">
        <f aca="false">IF($D170=1,X177,+X177*X$139)</f>
        <v>48.2578966716975</v>
      </c>
      <c r="Y178" s="356" t="n">
        <f aca="false">IF($D170=1,Y177,+Y177*Y$139)</f>
        <v>49.8230973442269</v>
      </c>
      <c r="Z178" s="356" t="n">
        <f aca="false">IF($D170=1,Z177,+Z177*Z$139)</f>
        <v>50.9958201408396</v>
      </c>
      <c r="AA178" s="356" t="n">
        <f aca="false">IF($D170=1,AA177,+AA177*AA$139)</f>
        <v>51.5202479244433</v>
      </c>
      <c r="AB178" s="356" t="n">
        <f aca="false">IF($D170=1,AB177,+AB177*AB$139)</f>
        <v>51.6419551930384</v>
      </c>
      <c r="AC178" s="356" t="n">
        <f aca="false">IF($D170=1,AC177,+AC177*AC$139)</f>
        <v>53.8458781980151</v>
      </c>
      <c r="AD178" s="356" t="n">
        <f aca="false">IF($D170=1,AD177,+AD177*AD$139)</f>
        <v>53.8420406073886</v>
      </c>
      <c r="AE178" s="356" t="n">
        <f aca="false">IF($D170=1,AE177,+AE177*AE$139)</f>
        <v>55.4576969783802</v>
      </c>
      <c r="AF178" s="356" t="n">
        <f aca="false">IF($D170=1,AF177,+AF177*AF$139)</f>
        <v>56.2068743091115</v>
      </c>
    </row>
    <row r="180" customFormat="false" ht="12" hidden="false" customHeight="false" outlineLevel="0" collapsed="false"/>
    <row r="181" customFormat="false" ht="12.75" hidden="false" customHeight="false" outlineLevel="0" collapsed="false">
      <c r="A181" s="383" t="s">
        <v>377</v>
      </c>
      <c r="B181" s="298"/>
      <c r="C181" s="298"/>
      <c r="D181" s="298"/>
      <c r="E181" s="298"/>
      <c r="F181" s="298"/>
      <c r="G181" s="384"/>
      <c r="H181" s="298"/>
      <c r="I181" s="263" t="n">
        <f aca="false">+I$3</f>
        <v>36525</v>
      </c>
      <c r="J181" s="264" t="n">
        <f aca="false">+J$3</f>
        <v>2000</v>
      </c>
      <c r="K181" s="264" t="n">
        <f aca="false">+K$3</f>
        <v>2001</v>
      </c>
      <c r="L181" s="264" t="n">
        <f aca="false">+L$3</f>
        <v>2002</v>
      </c>
      <c r="M181" s="264" t="n">
        <f aca="false">+M$3</f>
        <v>2003</v>
      </c>
      <c r="N181" s="264" t="n">
        <f aca="false">+N$3</f>
        <v>2004</v>
      </c>
      <c r="O181" s="264" t="n">
        <f aca="false">+O$3</f>
        <v>2005</v>
      </c>
      <c r="P181" s="264" t="n">
        <f aca="false">+P$3</f>
        <v>2006</v>
      </c>
      <c r="Q181" s="264" t="n">
        <f aca="false">+Q$3</f>
        <v>2007</v>
      </c>
      <c r="R181" s="264" t="n">
        <f aca="false">+R$3</f>
        <v>2008</v>
      </c>
      <c r="S181" s="264" t="n">
        <f aca="false">+S$3</f>
        <v>2009</v>
      </c>
      <c r="T181" s="264" t="n">
        <f aca="false">+T$3</f>
        <v>2010</v>
      </c>
      <c r="U181" s="264" t="n">
        <f aca="false">+U$3</f>
        <v>2011</v>
      </c>
      <c r="V181" s="264" t="n">
        <f aca="false">+V$3</f>
        <v>2012</v>
      </c>
      <c r="W181" s="264" t="n">
        <f aca="false">+W$3</f>
        <v>2013</v>
      </c>
      <c r="X181" s="264" t="n">
        <f aca="false">+X$3</f>
        <v>2014</v>
      </c>
      <c r="Y181" s="264" t="n">
        <f aca="false">+Y$3</f>
        <v>2015</v>
      </c>
      <c r="Z181" s="264" t="n">
        <f aca="false">+Z$3</f>
        <v>2016</v>
      </c>
      <c r="AA181" s="264" t="n">
        <f aca="false">+AA$3</f>
        <v>2017</v>
      </c>
      <c r="AB181" s="264" t="n">
        <f aca="false">+AB$3</f>
        <v>2018</v>
      </c>
      <c r="AC181" s="264" t="n">
        <f aca="false">+AC$3</f>
        <v>2019</v>
      </c>
      <c r="AD181" s="264" t="n">
        <f aca="false">+AD$3</f>
        <v>2020</v>
      </c>
      <c r="AE181" s="264" t="n">
        <f aca="false">+AE$3</f>
        <v>2021</v>
      </c>
      <c r="AF181" s="264" t="n">
        <f aca="false">+AF$3</f>
        <v>2022</v>
      </c>
    </row>
    <row r="182" customFormat="false" ht="12" hidden="false" customHeight="false" outlineLevel="0" collapsed="false">
      <c r="A182" s="385"/>
      <c r="B182" s="298"/>
      <c r="C182" s="298"/>
      <c r="D182" s="298" t="s">
        <v>0</v>
      </c>
      <c r="E182" s="298"/>
      <c r="F182" s="298" t="s">
        <v>381</v>
      </c>
      <c r="G182" s="384"/>
      <c r="H182" s="298"/>
      <c r="I182" s="306" t="n">
        <f aca="false" t="array" ref="I182:AF182">+TRANSPOSE(CALC!HX17:HX40)/1000</f>
        <v>0</v>
      </c>
      <c r="J182" s="306" t="n">
        <v>0</v>
      </c>
      <c r="K182" s="306" t="n">
        <v>0</v>
      </c>
      <c r="L182" s="306" t="n">
        <v>0</v>
      </c>
      <c r="M182" s="306" t="n">
        <v>0</v>
      </c>
      <c r="N182" s="306" t="n">
        <v>0</v>
      </c>
      <c r="O182" s="306" t="n">
        <v>0</v>
      </c>
      <c r="P182" s="306" t="n">
        <v>0</v>
      </c>
      <c r="Q182" s="306" t="n">
        <v>0</v>
      </c>
      <c r="R182" s="306" t="n">
        <v>0</v>
      </c>
      <c r="S182" s="306" t="n">
        <v>0</v>
      </c>
      <c r="T182" s="306" t="n">
        <v>0</v>
      </c>
      <c r="U182" s="306" t="n">
        <v>0</v>
      </c>
      <c r="V182" s="306" t="n">
        <v>0</v>
      </c>
      <c r="W182" s="306" t="n">
        <v>0</v>
      </c>
      <c r="X182" s="306" t="n">
        <v>0</v>
      </c>
      <c r="Y182" s="306" t="n">
        <v>0</v>
      </c>
      <c r="Z182" s="306" t="n">
        <v>0</v>
      </c>
      <c r="AA182" s="306" t="n">
        <v>0</v>
      </c>
      <c r="AB182" s="306" t="n">
        <v>0</v>
      </c>
      <c r="AC182" s="306" t="n">
        <v>0</v>
      </c>
      <c r="AD182" s="306" t="n">
        <v>0</v>
      </c>
      <c r="AE182" s="306" t="n">
        <v>0</v>
      </c>
      <c r="AF182" s="306" t="n">
        <v>0</v>
      </c>
    </row>
    <row r="183" customFormat="false" ht="11.25" hidden="false" customHeight="false" outlineLevel="0" collapsed="false">
      <c r="A183" s="386" t="s">
        <v>0</v>
      </c>
      <c r="C183" s="241"/>
      <c r="D183" s="241"/>
      <c r="E183" s="298"/>
      <c r="F183" s="298" t="s">
        <v>378</v>
      </c>
      <c r="G183" s="384"/>
      <c r="H183" s="298"/>
      <c r="I183" s="306" t="n">
        <f aca="false" t="array" ref="I183:AF183">+TRANSPOSE(CALC!HU17:HU40)/1000</f>
        <v>0</v>
      </c>
      <c r="J183" s="306" t="n">
        <v>67.4796708</v>
      </c>
      <c r="K183" s="306" t="n">
        <v>126.21641265</v>
      </c>
      <c r="L183" s="306" t="n">
        <v>119.68060275</v>
      </c>
      <c r="M183" s="306" t="n">
        <v>113.0250267</v>
      </c>
      <c r="N183" s="306" t="n">
        <v>104.3334261</v>
      </c>
      <c r="O183" s="306" t="n">
        <v>90.38922435</v>
      </c>
      <c r="P183" s="306" t="n">
        <v>98.77285485</v>
      </c>
      <c r="Q183" s="306" t="n">
        <v>99.73098405</v>
      </c>
      <c r="R183" s="306" t="n">
        <v>103.1015457</v>
      </c>
      <c r="S183" s="306" t="n">
        <v>98.6530887</v>
      </c>
      <c r="T183" s="306" t="n">
        <v>101.95521255</v>
      </c>
      <c r="U183" s="306" t="n">
        <v>98.4819942</v>
      </c>
      <c r="V183" s="306" t="n">
        <v>98.84129265</v>
      </c>
      <c r="W183" s="306" t="n">
        <v>97.19878545</v>
      </c>
      <c r="X183" s="306" t="n">
        <v>97.50675555</v>
      </c>
      <c r="Y183" s="306" t="n">
        <v>97.50675555</v>
      </c>
      <c r="Z183" s="306" t="n">
        <v>97.2501138</v>
      </c>
      <c r="AA183" s="306" t="n">
        <v>97.16456655</v>
      </c>
      <c r="AB183" s="306" t="n">
        <v>96.51440745</v>
      </c>
      <c r="AC183" s="306" t="n">
        <v>96.51440745</v>
      </c>
      <c r="AD183" s="306" t="n">
        <v>97.2158949</v>
      </c>
      <c r="AE183" s="306" t="n">
        <v>95.6760444</v>
      </c>
      <c r="AF183" s="306" t="n">
        <v>20.89063845</v>
      </c>
    </row>
    <row r="184" customFormat="false" ht="11.25" hidden="false" customHeight="false" outlineLevel="0" collapsed="false">
      <c r="A184" s="298"/>
      <c r="C184" s="241"/>
      <c r="D184" s="241"/>
      <c r="E184" s="298"/>
      <c r="F184" s="298" t="s">
        <v>249</v>
      </c>
      <c r="G184" s="384"/>
      <c r="H184" s="298"/>
      <c r="I184" s="387" t="n">
        <f aca="false">+I178</f>
        <v>0</v>
      </c>
      <c r="J184" s="387" t="n">
        <f aca="false">+J178</f>
        <v>72.4298578610685</v>
      </c>
      <c r="K184" s="387" t="n">
        <f aca="false">+K178</f>
        <v>59.8233409909264</v>
      </c>
      <c r="L184" s="387" t="n">
        <f aca="false">+L178</f>
        <v>47.6992015688297</v>
      </c>
      <c r="M184" s="387" t="n">
        <f aca="false">+M178</f>
        <v>40.0636989771749</v>
      </c>
      <c r="N184" s="387" t="n">
        <f aca="false">+N178</f>
        <v>36.8257065318567</v>
      </c>
      <c r="O184" s="387" t="n">
        <f aca="false">+O178</f>
        <v>39.3386761756953</v>
      </c>
      <c r="P184" s="387" t="n">
        <f aca="false">+P178</f>
        <v>39.7719263511116</v>
      </c>
      <c r="Q184" s="387" t="n">
        <f aca="false">+Q178</f>
        <v>41.5344250745401</v>
      </c>
      <c r="R184" s="387" t="n">
        <f aca="false">+R178</f>
        <v>42.5271170723927</v>
      </c>
      <c r="S184" s="387" t="n">
        <f aca="false">+S178</f>
        <v>44.0288012297136</v>
      </c>
      <c r="T184" s="387" t="n">
        <f aca="false">+T178</f>
        <v>44.2982703443782</v>
      </c>
      <c r="U184" s="387" t="n">
        <f aca="false">+U178</f>
        <v>45.4564140318945</v>
      </c>
      <c r="V184" s="387" t="n">
        <f aca="false">+V178</f>
        <v>46.3696738006547</v>
      </c>
      <c r="W184" s="387" t="n">
        <f aca="false">+W178</f>
        <v>47.6077874286841</v>
      </c>
      <c r="X184" s="387" t="n">
        <f aca="false">+X178</f>
        <v>48.2578966716975</v>
      </c>
      <c r="Y184" s="387" t="n">
        <f aca="false">+Y178</f>
        <v>49.8230973442269</v>
      </c>
      <c r="Z184" s="387" t="n">
        <f aca="false">+Z178</f>
        <v>50.9958201408396</v>
      </c>
      <c r="AA184" s="387" t="n">
        <f aca="false">+AA178</f>
        <v>51.5202479244433</v>
      </c>
      <c r="AB184" s="387" t="n">
        <f aca="false">+AB178</f>
        <v>51.6419551930384</v>
      </c>
      <c r="AC184" s="387" t="n">
        <f aca="false">+AC178</f>
        <v>53.8458781980151</v>
      </c>
      <c r="AD184" s="387" t="n">
        <f aca="false">+AD178</f>
        <v>53.8420406073886</v>
      </c>
      <c r="AE184" s="387" t="n">
        <f aca="false">+AE178</f>
        <v>55.4576969783802</v>
      </c>
      <c r="AF184" s="387" t="n">
        <f aca="false">+AF178</f>
        <v>56.2068743091115</v>
      </c>
    </row>
    <row r="185" customFormat="false" ht="11.25" hidden="false" customHeight="false" outlineLevel="0" collapsed="false">
      <c r="A185" s="298"/>
      <c r="C185" s="241" t="s">
        <v>0</v>
      </c>
      <c r="D185" s="241"/>
      <c r="E185" s="298"/>
      <c r="F185" s="297" t="s">
        <v>382</v>
      </c>
      <c r="G185" s="384"/>
      <c r="H185" s="298"/>
      <c r="I185" s="396" t="n">
        <f aca="false">(I183*I184)+I182</f>
        <v>0</v>
      </c>
      <c r="J185" s="396" t="n">
        <f aca="false">(J183*J184)+J182</f>
        <v>4887.54296455569</v>
      </c>
      <c r="K185" s="396" t="n">
        <f aca="false">(K183*K184)+K182</f>
        <v>7550.68749261242</v>
      </c>
      <c r="L185" s="396" t="n">
        <f aca="false">(L183*L184)+L182</f>
        <v>5708.66919445129</v>
      </c>
      <c r="M185" s="396" t="n">
        <f aca="false">(M183*M184)+M182</f>
        <v>4528.20064659595</v>
      </c>
      <c r="N185" s="396" t="n">
        <f aca="false">(N183*N184)+N182</f>
        <v>3842.15213102176</v>
      </c>
      <c r="O185" s="396" t="n">
        <f aca="false">(O183*O184)+O182</f>
        <v>3555.79242647693</v>
      </c>
      <c r="P185" s="396" t="n">
        <f aca="false">(P183*P184)+P182</f>
        <v>3928.38670858324</v>
      </c>
      <c r="Q185" s="396" t="n">
        <f aca="false">(Q183*Q184)+Q182</f>
        <v>4142.26908463487</v>
      </c>
      <c r="R185" s="396" t="n">
        <f aca="false">(R183*R184)+R182</f>
        <v>4384.61150432855</v>
      </c>
      <c r="S185" s="396" t="n">
        <f aca="false">(S183*S184)+S182</f>
        <v>4343.57723306961</v>
      </c>
      <c r="T185" s="396" t="n">
        <f aca="false">(T183*T184)+T182</f>
        <v>4516.43956855844</v>
      </c>
      <c r="U185" s="396" t="n">
        <f aca="false">(U183*U184)+U182</f>
        <v>4476.63830304183</v>
      </c>
      <c r="V185" s="396" t="n">
        <f aca="false">(V183*V184)+V182</f>
        <v>4583.23849821555</v>
      </c>
      <c r="W185" s="396" t="n">
        <f aca="false">(W183*W184)+W182</f>
        <v>4627.41911602988</v>
      </c>
      <c r="X185" s="396" t="n">
        <f aca="false">(X183*X184)+X182</f>
        <v>4705.47093412437</v>
      </c>
      <c r="Y185" s="396" t="n">
        <f aca="false">(Y183*Y184)+Y182</f>
        <v>4858.08857348739</v>
      </c>
      <c r="Z185" s="396" t="n">
        <f aca="false">(Z183*Z184)+Z182</f>
        <v>4959.34931202099</v>
      </c>
      <c r="AA185" s="396" t="n">
        <f aca="false">(AA183*AA184)+AA182</f>
        <v>5005.94255812707</v>
      </c>
      <c r="AB185" s="396" t="n">
        <f aca="false">(AB183*AB184)+AB182</f>
        <v>4984.19270501555</v>
      </c>
      <c r="AC185" s="396" t="n">
        <f aca="false">(AC183*AC184)+AC182</f>
        <v>5196.9030279063</v>
      </c>
      <c r="AD185" s="396" t="n">
        <f aca="false">(AD183*AD184)+AD182</f>
        <v>5234.30216088942</v>
      </c>
      <c r="AE185" s="396" t="n">
        <f aca="false">(AE183*AE184)+AE182</f>
        <v>5305.97307842525</v>
      </c>
      <c r="AF185" s="396" t="n">
        <f aca="false">(AF183*AF184)+AF182</f>
        <v>1174.19748959624</v>
      </c>
    </row>
    <row r="186" customFormat="false" ht="11.25" hidden="false" customHeight="false" outlineLevel="0" collapsed="false">
      <c r="A186" s="325"/>
      <c r="B186" s="325"/>
      <c r="C186" s="389"/>
      <c r="D186" s="389"/>
      <c r="E186" s="325"/>
      <c r="F186" s="357"/>
      <c r="G186" s="391"/>
      <c r="H186" s="325"/>
      <c r="I186" s="392"/>
      <c r="J186" s="392"/>
      <c r="K186" s="392"/>
      <c r="L186" s="392"/>
      <c r="M186" s="392"/>
      <c r="N186" s="392"/>
      <c r="O186" s="392"/>
      <c r="P186" s="392"/>
      <c r="Q186" s="392"/>
      <c r="R186" s="392"/>
      <c r="S186" s="392"/>
      <c r="T186" s="392"/>
      <c r="U186" s="392"/>
      <c r="V186" s="392"/>
      <c r="W186" s="392"/>
      <c r="X186" s="392"/>
      <c r="Y186" s="392"/>
      <c r="Z186" s="392"/>
      <c r="AA186" s="392"/>
      <c r="AB186" s="392"/>
      <c r="AC186" s="392"/>
      <c r="AD186" s="392"/>
      <c r="AE186" s="392"/>
      <c r="AF186" s="392"/>
    </row>
    <row r="187" customFormat="false" ht="11.25" hidden="false" customHeight="false" outlineLevel="0" collapsed="false">
      <c r="A187" s="393" t="s">
        <v>383</v>
      </c>
      <c r="B187" s="298"/>
      <c r="C187" s="394"/>
      <c r="D187" s="394"/>
      <c r="E187" s="298"/>
      <c r="F187" s="297"/>
      <c r="G187" s="384"/>
      <c r="H187" s="298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5"/>
      <c r="AC187" s="395"/>
      <c r="AD187" s="395"/>
      <c r="AE187" s="395"/>
      <c r="AF187" s="395"/>
    </row>
    <row r="188" customFormat="false" ht="11.25" hidden="false" customHeight="false" outlineLevel="0" collapsed="false">
      <c r="A188" s="385" t="s">
        <v>370</v>
      </c>
      <c r="C188" s="241"/>
      <c r="D188" s="241"/>
      <c r="E188" s="298"/>
      <c r="F188" s="297"/>
      <c r="G188" s="384"/>
      <c r="H188" s="298"/>
      <c r="I188" s="397" t="n">
        <v>1999</v>
      </c>
      <c r="J188" s="397" t="n">
        <f aca="false">+I188+1</f>
        <v>2000</v>
      </c>
      <c r="K188" s="397" t="n">
        <f aca="false">+J188+1</f>
        <v>2001</v>
      </c>
      <c r="L188" s="397" t="n">
        <f aca="false">+K188+1</f>
        <v>2002</v>
      </c>
      <c r="M188" s="397" t="n">
        <f aca="false">+L188+1</f>
        <v>2003</v>
      </c>
      <c r="N188" s="397" t="n">
        <f aca="false">+M188+1</f>
        <v>2004</v>
      </c>
      <c r="O188" s="397" t="n">
        <f aca="false">+N188+1</f>
        <v>2005</v>
      </c>
      <c r="P188" s="397" t="n">
        <f aca="false">+O188+1</f>
        <v>2006</v>
      </c>
      <c r="Q188" s="397" t="n">
        <f aca="false">+P188+1</f>
        <v>2007</v>
      </c>
      <c r="R188" s="397" t="n">
        <f aca="false">+Q188+1</f>
        <v>2008</v>
      </c>
      <c r="S188" s="397" t="n">
        <f aca="false">+R188+1</f>
        <v>2009</v>
      </c>
      <c r="T188" s="397" t="n">
        <f aca="false">+S188+1</f>
        <v>2010</v>
      </c>
      <c r="U188" s="397" t="n">
        <f aca="false">+T188+1</f>
        <v>2011</v>
      </c>
      <c r="V188" s="397" t="n">
        <f aca="false">+U188+1</f>
        <v>2012</v>
      </c>
      <c r="W188" s="397" t="n">
        <f aca="false">+V188+1</f>
        <v>2013</v>
      </c>
      <c r="X188" s="397" t="n">
        <f aca="false">+W188+1</f>
        <v>2014</v>
      </c>
      <c r="Y188" s="397" t="n">
        <f aca="false">+X188+1</f>
        <v>2015</v>
      </c>
      <c r="Z188" s="397" t="n">
        <f aca="false">+Y188+1</f>
        <v>2016</v>
      </c>
      <c r="AA188" s="397" t="n">
        <f aca="false">+Z188+1</f>
        <v>2017</v>
      </c>
      <c r="AB188" s="397" t="n">
        <f aca="false">+AA188+1</f>
        <v>2018</v>
      </c>
      <c r="AC188" s="397" t="n">
        <f aca="false">+AB188+1</f>
        <v>2019</v>
      </c>
      <c r="AD188" s="397" t="n">
        <f aca="false">+AC188+1</f>
        <v>2020</v>
      </c>
      <c r="AE188" s="397" t="n">
        <f aca="false">+AD188+1</f>
        <v>2021</v>
      </c>
      <c r="AF188" s="397" t="n">
        <f aca="false">+AE188+1</f>
        <v>2022</v>
      </c>
    </row>
    <row r="189" customFormat="false" ht="11.25" hidden="false" customHeight="false" outlineLevel="0" collapsed="false">
      <c r="A189" s="374" t="s">
        <v>0</v>
      </c>
      <c r="B189" s="366" t="str">
        <f aca="false">"Currency (USD-1, "&amp;curr2&amp;"-2)"</f>
        <v>Currency (USD-1, Reis-2)</v>
      </c>
      <c r="D189" s="375" t="n">
        <v>1</v>
      </c>
      <c r="I189" s="376"/>
      <c r="J189" s="376"/>
      <c r="K189" s="376"/>
      <c r="L189" s="376"/>
      <c r="M189" s="376"/>
      <c r="N189" s="376"/>
      <c r="O189" s="376"/>
      <c r="P189" s="376"/>
      <c r="Q189" s="376"/>
      <c r="R189" s="376"/>
      <c r="S189" s="376"/>
      <c r="T189" s="376"/>
      <c r="U189" s="376"/>
      <c r="V189" s="376"/>
      <c r="W189" s="376"/>
      <c r="X189" s="376"/>
      <c r="Y189" s="376"/>
      <c r="Z189" s="376"/>
      <c r="AA189" s="376"/>
      <c r="AB189" s="376"/>
      <c r="AC189" s="376"/>
      <c r="AD189" s="376"/>
      <c r="AE189" s="376"/>
      <c r="AF189" s="376"/>
    </row>
    <row r="190" customFormat="false" ht="11.25" hidden="false" customHeight="false" outlineLevel="0" collapsed="false">
      <c r="B190" s="366" t="s">
        <v>371</v>
      </c>
      <c r="C190" s="283"/>
      <c r="D190" s="377" t="n">
        <v>1</v>
      </c>
      <c r="E190" s="398" t="n">
        <v>0.02</v>
      </c>
    </row>
    <row r="191" customFormat="false" ht="11.25" hidden="false" customHeight="false" outlineLevel="0" collapsed="false">
      <c r="B191" s="291" t="s">
        <v>372</v>
      </c>
      <c r="D191" s="378" t="n">
        <v>0</v>
      </c>
      <c r="G191" s="291" t="s">
        <v>384</v>
      </c>
      <c r="I191" s="399" t="n">
        <v>0</v>
      </c>
      <c r="J191" s="399" t="n">
        <v>0</v>
      </c>
      <c r="K191" s="399" t="n">
        <v>0</v>
      </c>
      <c r="L191" s="399" t="n">
        <v>0</v>
      </c>
      <c r="M191" s="399" t="n">
        <v>0</v>
      </c>
      <c r="N191" s="399" t="n">
        <v>0</v>
      </c>
      <c r="O191" s="399" t="n">
        <v>0</v>
      </c>
      <c r="P191" s="399" t="n">
        <v>0</v>
      </c>
      <c r="Q191" s="399" t="n">
        <v>0</v>
      </c>
      <c r="R191" s="399" t="n">
        <v>0</v>
      </c>
      <c r="S191" s="399" t="n">
        <v>0</v>
      </c>
      <c r="T191" s="399" t="n">
        <v>0</v>
      </c>
      <c r="U191" s="399" t="n">
        <v>0</v>
      </c>
      <c r="V191" s="399" t="n">
        <v>0</v>
      </c>
      <c r="W191" s="399" t="n">
        <v>0</v>
      </c>
      <c r="X191" s="399" t="n">
        <v>0</v>
      </c>
      <c r="Y191" s="399" t="n">
        <v>0</v>
      </c>
      <c r="Z191" s="399" t="n">
        <v>0</v>
      </c>
      <c r="AA191" s="399" t="n">
        <v>0</v>
      </c>
      <c r="AB191" s="399" t="n">
        <v>0</v>
      </c>
      <c r="AC191" s="399" t="n">
        <v>0</v>
      </c>
      <c r="AD191" s="399" t="n">
        <v>0</v>
      </c>
      <c r="AE191" s="399" t="n">
        <v>0</v>
      </c>
      <c r="AF191" s="399" t="n">
        <v>0</v>
      </c>
    </row>
    <row r="192" customFormat="false" ht="11.25" hidden="false" customHeight="false" outlineLevel="0" collapsed="false">
      <c r="G192" s="400" t="s">
        <v>385</v>
      </c>
      <c r="H192" s="348"/>
      <c r="I192" s="379" t="n">
        <v>0</v>
      </c>
      <c r="J192" s="379" t="n">
        <v>0</v>
      </c>
      <c r="K192" s="379" t="n">
        <v>0</v>
      </c>
      <c r="L192" s="379" t="n">
        <v>0</v>
      </c>
      <c r="M192" s="379" t="n">
        <v>0</v>
      </c>
      <c r="N192" s="379" t="n">
        <v>0</v>
      </c>
      <c r="O192" s="379" t="n">
        <v>0</v>
      </c>
      <c r="P192" s="379" t="n">
        <v>0</v>
      </c>
      <c r="Q192" s="379" t="n">
        <v>0</v>
      </c>
      <c r="R192" s="379" t="n">
        <v>0</v>
      </c>
      <c r="S192" s="379" t="n">
        <v>0</v>
      </c>
      <c r="T192" s="379" t="n">
        <v>0</v>
      </c>
      <c r="U192" s="379" t="n">
        <v>0</v>
      </c>
      <c r="V192" s="379" t="n">
        <v>0</v>
      </c>
      <c r="W192" s="379" t="n">
        <v>0</v>
      </c>
      <c r="X192" s="379" t="n">
        <v>0</v>
      </c>
      <c r="Y192" s="379" t="n">
        <v>0</v>
      </c>
      <c r="Z192" s="379" t="n">
        <v>0</v>
      </c>
      <c r="AA192" s="379" t="n">
        <v>0</v>
      </c>
      <c r="AB192" s="379" t="n">
        <v>0</v>
      </c>
      <c r="AC192" s="379" t="n">
        <v>0</v>
      </c>
      <c r="AD192" s="379" t="n">
        <v>0</v>
      </c>
      <c r="AE192" s="379" t="n">
        <v>0</v>
      </c>
      <c r="AF192" s="379" t="n">
        <v>0</v>
      </c>
    </row>
    <row r="193" customFormat="false" ht="11.25" hidden="false" customHeight="false" outlineLevel="0" collapsed="false">
      <c r="G193" s="380" t="s">
        <v>374</v>
      </c>
      <c r="I193" s="381" t="n">
        <v>0</v>
      </c>
      <c r="J193" s="381" t="n">
        <v>0</v>
      </c>
      <c r="K193" s="381" t="n">
        <v>0</v>
      </c>
      <c r="L193" s="381" t="n">
        <v>0</v>
      </c>
      <c r="M193" s="381" t="n">
        <v>0</v>
      </c>
      <c r="N193" s="381" t="n">
        <v>0</v>
      </c>
      <c r="O193" s="381" t="n">
        <v>0</v>
      </c>
      <c r="P193" s="381" t="n">
        <v>0</v>
      </c>
      <c r="Q193" s="381" t="n">
        <v>0</v>
      </c>
      <c r="R193" s="381" t="n">
        <v>0</v>
      </c>
      <c r="S193" s="381" t="n">
        <v>0</v>
      </c>
      <c r="T193" s="381" t="n">
        <v>0</v>
      </c>
      <c r="U193" s="381" t="n">
        <v>0</v>
      </c>
      <c r="V193" s="381" t="n">
        <v>0</v>
      </c>
      <c r="W193" s="381" t="n">
        <v>0</v>
      </c>
      <c r="X193" s="381" t="n">
        <v>0</v>
      </c>
      <c r="Y193" s="381" t="n">
        <v>0</v>
      </c>
      <c r="Z193" s="381" t="n">
        <v>0</v>
      </c>
      <c r="AA193" s="381" t="n">
        <v>0</v>
      </c>
      <c r="AB193" s="381" t="n">
        <v>0</v>
      </c>
      <c r="AC193" s="381" t="n">
        <v>0</v>
      </c>
      <c r="AD193" s="381" t="n">
        <v>0</v>
      </c>
      <c r="AE193" s="381" t="n">
        <v>0</v>
      </c>
      <c r="AF193" s="381" t="n">
        <v>0</v>
      </c>
    </row>
    <row r="194" customFormat="false" ht="11.25" hidden="false" customHeight="false" outlineLevel="0" collapsed="false">
      <c r="G194" s="380" t="s">
        <v>374</v>
      </c>
      <c r="I194" s="381" t="n">
        <v>0</v>
      </c>
      <c r="J194" s="381" t="n">
        <v>0</v>
      </c>
      <c r="K194" s="381" t="n">
        <v>0</v>
      </c>
      <c r="L194" s="381" t="n">
        <v>0</v>
      </c>
      <c r="M194" s="381" t="n">
        <v>0</v>
      </c>
      <c r="N194" s="381" t="n">
        <v>0</v>
      </c>
      <c r="O194" s="381" t="n">
        <v>0</v>
      </c>
      <c r="P194" s="381" t="n">
        <v>0</v>
      </c>
      <c r="Q194" s="381" t="n">
        <v>0</v>
      </c>
      <c r="R194" s="381" t="n">
        <v>0</v>
      </c>
      <c r="S194" s="381" t="n">
        <v>0</v>
      </c>
      <c r="T194" s="381" t="n">
        <v>0</v>
      </c>
      <c r="U194" s="381" t="n">
        <v>0</v>
      </c>
      <c r="V194" s="381" t="n">
        <v>0</v>
      </c>
      <c r="W194" s="381" t="n">
        <v>0</v>
      </c>
      <c r="X194" s="381" t="n">
        <v>0</v>
      </c>
      <c r="Y194" s="381" t="n">
        <v>0</v>
      </c>
      <c r="Z194" s="381" t="n">
        <v>0</v>
      </c>
      <c r="AA194" s="381" t="n">
        <v>0</v>
      </c>
      <c r="AB194" s="381" t="n">
        <v>0</v>
      </c>
      <c r="AC194" s="381" t="n">
        <v>0</v>
      </c>
      <c r="AD194" s="381" t="n">
        <v>0</v>
      </c>
      <c r="AE194" s="381" t="n">
        <v>0</v>
      </c>
      <c r="AF194" s="381" t="n">
        <v>0</v>
      </c>
    </row>
    <row r="195" customFormat="false" ht="11.25" hidden="false" customHeight="false" outlineLevel="0" collapsed="false">
      <c r="G195" s="380" t="s">
        <v>374</v>
      </c>
      <c r="I195" s="381" t="n">
        <v>0</v>
      </c>
      <c r="J195" s="381" t="n">
        <v>0</v>
      </c>
      <c r="K195" s="381" t="n">
        <v>0</v>
      </c>
      <c r="L195" s="381" t="n">
        <v>0</v>
      </c>
      <c r="M195" s="381" t="n">
        <v>0</v>
      </c>
      <c r="N195" s="381" t="n">
        <v>0</v>
      </c>
      <c r="O195" s="381" t="n">
        <v>0</v>
      </c>
      <c r="P195" s="381" t="n">
        <v>0</v>
      </c>
      <c r="Q195" s="381" t="n">
        <v>0</v>
      </c>
      <c r="R195" s="381" t="n">
        <v>0</v>
      </c>
      <c r="S195" s="381" t="n">
        <v>0</v>
      </c>
      <c r="T195" s="381" t="n">
        <v>0</v>
      </c>
      <c r="U195" s="381" t="n">
        <v>0</v>
      </c>
      <c r="V195" s="381" t="n">
        <v>0</v>
      </c>
      <c r="W195" s="381" t="n">
        <v>0</v>
      </c>
      <c r="X195" s="381" t="n">
        <v>0</v>
      </c>
      <c r="Y195" s="381" t="n">
        <v>0</v>
      </c>
      <c r="Z195" s="381" t="n">
        <v>0</v>
      </c>
      <c r="AA195" s="381" t="n">
        <v>0</v>
      </c>
      <c r="AB195" s="381" t="n">
        <v>0</v>
      </c>
      <c r="AC195" s="381" t="n">
        <v>0</v>
      </c>
      <c r="AD195" s="381" t="n">
        <v>0</v>
      </c>
      <c r="AE195" s="381" t="n">
        <v>0</v>
      </c>
      <c r="AF195" s="381" t="n">
        <v>0</v>
      </c>
    </row>
    <row r="196" customFormat="false" ht="11.25" hidden="false" customHeight="false" outlineLevel="0" collapsed="false">
      <c r="A196" s="383" t="s">
        <v>377</v>
      </c>
      <c r="C196" s="241"/>
      <c r="D196" s="241"/>
      <c r="E196" s="298"/>
      <c r="F196" s="297"/>
      <c r="G196" s="384"/>
      <c r="H196" s="298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5"/>
      <c r="V196" s="395"/>
      <c r="W196" s="395"/>
      <c r="X196" s="395"/>
      <c r="Y196" s="395"/>
      <c r="Z196" s="395"/>
      <c r="AA196" s="395"/>
      <c r="AB196" s="395"/>
      <c r="AC196" s="395"/>
      <c r="AD196" s="395"/>
      <c r="AE196" s="395"/>
      <c r="AF196" s="395"/>
    </row>
    <row r="197" customFormat="false" ht="11.25" hidden="false" customHeight="false" outlineLevel="0" collapsed="false">
      <c r="C197" s="241"/>
      <c r="D197" s="241"/>
      <c r="E197" s="298"/>
      <c r="F197" s="297" t="s">
        <v>386</v>
      </c>
      <c r="G197" s="384"/>
      <c r="H197" s="298"/>
      <c r="I197" s="401" t="n">
        <f aca="false">Summary!O44*stub/1000</f>
        <v>21.6666666666667</v>
      </c>
      <c r="J197" s="401" t="n">
        <f aca="false">Summary!$O$44*(1+Summary!$N$44)/1000</f>
        <v>65</v>
      </c>
      <c r="K197" s="402" t="n">
        <f aca="false">J197*(1+Summary!$N$44)</f>
        <v>65</v>
      </c>
      <c r="L197" s="402" t="n">
        <f aca="false">K197*(1+Summary!$N$44)</f>
        <v>65</v>
      </c>
      <c r="M197" s="402" t="n">
        <f aca="false">L197*(1+Summary!$N$44)</f>
        <v>65</v>
      </c>
      <c r="N197" s="402" t="n">
        <f aca="false">M197*(1+Summary!$N$44)</f>
        <v>65</v>
      </c>
      <c r="O197" s="402" t="n">
        <f aca="false">N197*(1+Summary!$N$44)</f>
        <v>65</v>
      </c>
      <c r="P197" s="402" t="n">
        <f aca="false">O197*(1+Summary!$N$44)</f>
        <v>65</v>
      </c>
      <c r="Q197" s="402" t="n">
        <f aca="false">P197*(1+Summary!$N$44)</f>
        <v>65</v>
      </c>
      <c r="R197" s="402" t="n">
        <f aca="false">Q197*(1+Summary!$N$44)</f>
        <v>65</v>
      </c>
      <c r="S197" s="402" t="n">
        <f aca="false">R197*(1+Summary!$N$44)</f>
        <v>65</v>
      </c>
      <c r="T197" s="402" t="n">
        <f aca="false">S197*(1+Summary!$N$44)</f>
        <v>65</v>
      </c>
      <c r="U197" s="402" t="n">
        <f aca="false">T197*(1+Summary!$N$44)</f>
        <v>65</v>
      </c>
      <c r="V197" s="402" t="n">
        <f aca="false">U197*(1+Summary!$N$44)</f>
        <v>65</v>
      </c>
      <c r="W197" s="402" t="n">
        <f aca="false">V197*(1+Summary!$N$44)</f>
        <v>65</v>
      </c>
      <c r="X197" s="402" t="n">
        <f aca="false">W197*(1+Summary!$N$44)</f>
        <v>65</v>
      </c>
      <c r="Y197" s="402" t="n">
        <f aca="false">X197*(1+Summary!$N$44)</f>
        <v>65</v>
      </c>
      <c r="Z197" s="402" t="n">
        <f aca="false">Y197*(1+Summary!$N$44)</f>
        <v>65</v>
      </c>
      <c r="AA197" s="402" t="n">
        <f aca="false">Z197*(1+Summary!$N$44)</f>
        <v>65</v>
      </c>
      <c r="AB197" s="402" t="n">
        <f aca="false">AA197*(1+Summary!$N$44)</f>
        <v>65</v>
      </c>
      <c r="AC197" s="402" t="n">
        <f aca="false">AB197*(1+Summary!$N$44)</f>
        <v>65</v>
      </c>
      <c r="AD197" s="402" t="n">
        <f aca="false">AC197*(1+Summary!$N$44)</f>
        <v>65</v>
      </c>
      <c r="AE197" s="402" t="n">
        <f aca="false">AD197*(1+Summary!$N$44)</f>
        <v>65</v>
      </c>
      <c r="AF197" s="402" t="n">
        <f aca="false">AE197*(1+Summary!$N$44)</f>
        <v>65</v>
      </c>
    </row>
    <row r="198" customFormat="false" ht="11.25" hidden="false" customHeight="false" outlineLevel="0" collapsed="false">
      <c r="A198" s="298"/>
      <c r="C198" s="241"/>
      <c r="D198" s="241"/>
      <c r="E198" s="298"/>
      <c r="F198" s="297" t="s">
        <v>387</v>
      </c>
      <c r="G198" s="384"/>
      <c r="H198" s="298"/>
      <c r="I198" s="401" t="n">
        <v>0</v>
      </c>
      <c r="J198" s="401" t="n">
        <v>0</v>
      </c>
      <c r="K198" s="401" t="n">
        <v>0</v>
      </c>
      <c r="L198" s="401" t="n">
        <v>0</v>
      </c>
      <c r="M198" s="401" t="n">
        <v>0</v>
      </c>
      <c r="N198" s="401" t="n">
        <v>0</v>
      </c>
      <c r="O198" s="401" t="n">
        <v>0</v>
      </c>
      <c r="P198" s="401" t="n">
        <v>0</v>
      </c>
      <c r="Q198" s="401" t="n">
        <v>0</v>
      </c>
      <c r="R198" s="401" t="n">
        <v>0</v>
      </c>
      <c r="S198" s="401" t="n">
        <v>0</v>
      </c>
      <c r="T198" s="401" t="n">
        <v>0</v>
      </c>
      <c r="U198" s="401" t="n">
        <v>0</v>
      </c>
      <c r="V198" s="401" t="n">
        <v>0</v>
      </c>
      <c r="W198" s="401" t="n">
        <v>0</v>
      </c>
      <c r="X198" s="401" t="n">
        <v>0</v>
      </c>
      <c r="Y198" s="401" t="n">
        <v>0</v>
      </c>
      <c r="Z198" s="401" t="n">
        <v>0</v>
      </c>
      <c r="AA198" s="401" t="n">
        <v>0</v>
      </c>
      <c r="AB198" s="401" t="n">
        <v>0</v>
      </c>
      <c r="AC198" s="401" t="n">
        <v>0</v>
      </c>
      <c r="AD198" s="401" t="n">
        <v>0</v>
      </c>
      <c r="AE198" s="401" t="n">
        <v>0</v>
      </c>
      <c r="AF198" s="401" t="n">
        <v>0</v>
      </c>
    </row>
    <row r="199" customFormat="false" ht="11.25" hidden="false" customHeight="false" outlineLevel="0" collapsed="false">
      <c r="A199" s="298"/>
      <c r="C199" s="241"/>
      <c r="D199" s="241"/>
      <c r="E199" s="298"/>
      <c r="F199" s="297"/>
      <c r="G199" s="384"/>
      <c r="H199" s="298"/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  <c r="Z199" s="402"/>
      <c r="AA199" s="402"/>
      <c r="AB199" s="402"/>
      <c r="AC199" s="402"/>
      <c r="AD199" s="402"/>
      <c r="AE199" s="402"/>
      <c r="AF199" s="402"/>
    </row>
    <row r="200" customFormat="false" ht="11.25" hidden="false" customHeight="false" outlineLevel="0" collapsed="false">
      <c r="C200" s="241"/>
      <c r="D200" s="241"/>
      <c r="E200" s="298"/>
      <c r="F200" s="297" t="s">
        <v>388</v>
      </c>
      <c r="G200" s="384"/>
      <c r="H200" s="298"/>
      <c r="I200" s="401" t="n">
        <v>0</v>
      </c>
      <c r="J200" s="401" t="n">
        <v>0</v>
      </c>
      <c r="K200" s="401" t="n">
        <v>0</v>
      </c>
      <c r="L200" s="401" t="n">
        <v>0</v>
      </c>
      <c r="M200" s="401" t="n">
        <v>0</v>
      </c>
      <c r="N200" s="401" t="n">
        <v>0</v>
      </c>
      <c r="O200" s="401" t="n">
        <v>0</v>
      </c>
      <c r="P200" s="401" t="n">
        <v>0</v>
      </c>
      <c r="Q200" s="401" t="n">
        <v>0</v>
      </c>
      <c r="R200" s="401" t="n">
        <v>0</v>
      </c>
      <c r="S200" s="401" t="n">
        <v>0</v>
      </c>
      <c r="T200" s="401" t="n">
        <v>0</v>
      </c>
      <c r="U200" s="401" t="n">
        <v>0</v>
      </c>
      <c r="V200" s="401" t="n">
        <v>0</v>
      </c>
      <c r="W200" s="401" t="n">
        <v>0</v>
      </c>
      <c r="X200" s="401" t="n">
        <v>0</v>
      </c>
      <c r="Y200" s="401" t="n">
        <v>0</v>
      </c>
      <c r="Z200" s="401" t="n">
        <v>0</v>
      </c>
      <c r="AA200" s="401" t="n">
        <v>0</v>
      </c>
      <c r="AB200" s="401" t="n">
        <v>0</v>
      </c>
      <c r="AC200" s="401" t="n">
        <v>0</v>
      </c>
      <c r="AD200" s="401" t="n">
        <v>0</v>
      </c>
      <c r="AE200" s="401" t="n">
        <v>0</v>
      </c>
      <c r="AF200" s="401" t="n">
        <v>0</v>
      </c>
    </row>
    <row r="201" customFormat="false" ht="11.25" hidden="false" customHeight="false" outlineLevel="0" collapsed="false">
      <c r="C201" s="241"/>
      <c r="D201" s="241"/>
      <c r="E201" s="298"/>
      <c r="F201" s="297" t="s">
        <v>389</v>
      </c>
      <c r="G201" s="384"/>
      <c r="H201" s="298"/>
      <c r="I201" s="401" t="n">
        <v>0</v>
      </c>
      <c r="J201" s="401" t="n">
        <v>0</v>
      </c>
      <c r="K201" s="401" t="n">
        <v>0</v>
      </c>
      <c r="L201" s="401" t="n">
        <v>0</v>
      </c>
      <c r="M201" s="401" t="n">
        <v>0</v>
      </c>
      <c r="N201" s="401" t="n">
        <v>0</v>
      </c>
      <c r="O201" s="401" t="n">
        <v>0</v>
      </c>
      <c r="P201" s="401" t="n">
        <v>0</v>
      </c>
      <c r="Q201" s="401" t="n">
        <v>0</v>
      </c>
      <c r="R201" s="401" t="n">
        <v>0</v>
      </c>
      <c r="S201" s="401" t="n">
        <v>0</v>
      </c>
      <c r="T201" s="401" t="n">
        <v>0</v>
      </c>
      <c r="U201" s="401" t="n">
        <v>0</v>
      </c>
      <c r="V201" s="401" t="n">
        <v>0</v>
      </c>
      <c r="W201" s="401" t="n">
        <v>0</v>
      </c>
      <c r="X201" s="401" t="n">
        <v>0</v>
      </c>
      <c r="Y201" s="401" t="n">
        <v>0</v>
      </c>
      <c r="Z201" s="401" t="n">
        <v>0</v>
      </c>
      <c r="AA201" s="401" t="n">
        <v>0</v>
      </c>
      <c r="AB201" s="401" t="n">
        <v>0</v>
      </c>
      <c r="AC201" s="401" t="n">
        <v>0</v>
      </c>
      <c r="AD201" s="401" t="n">
        <v>0</v>
      </c>
      <c r="AE201" s="401" t="n">
        <v>0</v>
      </c>
      <c r="AF201" s="401" t="n">
        <v>0</v>
      </c>
    </row>
    <row r="202" customFormat="false" ht="11.25" hidden="false" customHeight="false" outlineLevel="0" collapsed="false">
      <c r="C202" s="241"/>
      <c r="D202" s="241"/>
      <c r="E202" s="298"/>
      <c r="F202" s="297" t="s">
        <v>390</v>
      </c>
      <c r="G202" s="384"/>
      <c r="H202" s="298"/>
      <c r="I202" s="403" t="n">
        <v>0</v>
      </c>
      <c r="J202" s="403" t="n">
        <v>0</v>
      </c>
      <c r="K202" s="403" t="n">
        <v>0</v>
      </c>
      <c r="L202" s="403" t="n">
        <v>0</v>
      </c>
      <c r="M202" s="403" t="n">
        <v>0</v>
      </c>
      <c r="N202" s="403" t="n">
        <v>0</v>
      </c>
      <c r="O202" s="403" t="n">
        <v>0</v>
      </c>
      <c r="P202" s="403" t="n">
        <v>0</v>
      </c>
      <c r="Q202" s="403" t="n">
        <v>0</v>
      </c>
      <c r="R202" s="403" t="n">
        <v>0</v>
      </c>
      <c r="S202" s="403" t="n">
        <v>0</v>
      </c>
      <c r="T202" s="403" t="n">
        <v>0</v>
      </c>
      <c r="U202" s="403" t="n">
        <v>0</v>
      </c>
      <c r="V202" s="403" t="n">
        <v>0</v>
      </c>
      <c r="W202" s="403" t="n">
        <v>0</v>
      </c>
      <c r="X202" s="403" t="n">
        <v>0</v>
      </c>
      <c r="Y202" s="403" t="n">
        <v>0</v>
      </c>
      <c r="Z202" s="403" t="n">
        <v>0</v>
      </c>
      <c r="AA202" s="403" t="n">
        <v>0</v>
      </c>
      <c r="AB202" s="403" t="n">
        <v>0</v>
      </c>
      <c r="AC202" s="403" t="n">
        <v>0</v>
      </c>
      <c r="AD202" s="403" t="n">
        <v>0</v>
      </c>
      <c r="AE202" s="403" t="n">
        <v>0</v>
      </c>
      <c r="AF202" s="403" t="n">
        <v>0</v>
      </c>
    </row>
    <row r="203" customFormat="false" ht="11.25" hidden="false" customHeight="false" outlineLevel="0" collapsed="false">
      <c r="C203" s="241"/>
      <c r="D203" s="241"/>
      <c r="E203" s="298"/>
      <c r="F203" s="297" t="s">
        <v>391</v>
      </c>
      <c r="G203" s="384"/>
      <c r="H203" s="298"/>
      <c r="I203" s="404" t="n">
        <f aca="false">I200+I201+I198+I202</f>
        <v>0</v>
      </c>
      <c r="J203" s="404" t="n">
        <f aca="false">J200+J201+J198+J202</f>
        <v>0</v>
      </c>
      <c r="K203" s="404" t="n">
        <f aca="false">K200+K201+K198+K202</f>
        <v>0</v>
      </c>
      <c r="L203" s="404" t="n">
        <f aca="false">L200+L201+L198+L202</f>
        <v>0</v>
      </c>
      <c r="M203" s="404" t="n">
        <f aca="false">M200+M201+M198+M202</f>
        <v>0</v>
      </c>
      <c r="N203" s="404" t="n">
        <f aca="false">N200+N201+N198+N202</f>
        <v>0</v>
      </c>
      <c r="O203" s="404" t="n">
        <f aca="false">O200+O201+O198+O202</f>
        <v>0</v>
      </c>
      <c r="P203" s="404" t="n">
        <f aca="false">P200+P201+P198+P202</f>
        <v>0</v>
      </c>
      <c r="Q203" s="404" t="n">
        <f aca="false">Q200+Q201+Q198+Q202</f>
        <v>0</v>
      </c>
      <c r="R203" s="404" t="n">
        <f aca="false">R200+R201+R198+R202</f>
        <v>0</v>
      </c>
      <c r="S203" s="404" t="n">
        <f aca="false">S200+S201+S198+S202</f>
        <v>0</v>
      </c>
      <c r="T203" s="404" t="n">
        <f aca="false">T200+T201+T198+T202</f>
        <v>0</v>
      </c>
      <c r="U203" s="404" t="n">
        <f aca="false">U200+U201+U198+U202</f>
        <v>0</v>
      </c>
      <c r="V203" s="404" t="n">
        <f aca="false">V200+V201+V198+V202</f>
        <v>0</v>
      </c>
      <c r="W203" s="404" t="n">
        <f aca="false">W200+W201+W198+W202</f>
        <v>0</v>
      </c>
      <c r="X203" s="404" t="n">
        <f aca="false">X200+X201+X198+X202</f>
        <v>0</v>
      </c>
      <c r="Y203" s="404" t="n">
        <f aca="false">Y200+Y201+Y198+Y202</f>
        <v>0</v>
      </c>
      <c r="Z203" s="404" t="n">
        <f aca="false">Z200+Z201+Z198+Z202</f>
        <v>0</v>
      </c>
      <c r="AA203" s="404" t="n">
        <f aca="false">AA200+AA201+AA198+AA202</f>
        <v>0</v>
      </c>
      <c r="AB203" s="404" t="n">
        <f aca="false">AB200+AB201+AB198+AB202</f>
        <v>0</v>
      </c>
      <c r="AC203" s="404" t="n">
        <f aca="false">AC200+AC201+AC198+AC202</f>
        <v>0</v>
      </c>
      <c r="AD203" s="404" t="n">
        <f aca="false">AD200+AD201+AD198+AD202</f>
        <v>0</v>
      </c>
      <c r="AE203" s="404" t="n">
        <f aca="false">AE200+AE201+AE198+AE202</f>
        <v>0</v>
      </c>
      <c r="AF203" s="404" t="n">
        <f aca="false">AF200+AF201+AF198+AF202</f>
        <v>0</v>
      </c>
    </row>
    <row r="204" customFormat="false" ht="11.25" hidden="false" customHeight="false" outlineLevel="0" collapsed="false">
      <c r="C204" s="241"/>
      <c r="D204" s="241"/>
      <c r="E204" s="298"/>
      <c r="F204" s="297"/>
      <c r="G204" s="384"/>
      <c r="H204" s="298"/>
      <c r="I204" s="404"/>
      <c r="J204" s="404"/>
      <c r="K204" s="404"/>
      <c r="L204" s="404"/>
      <c r="M204" s="404"/>
      <c r="N204" s="404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4"/>
      <c r="AE204" s="404"/>
      <c r="AF204" s="404"/>
    </row>
    <row r="205" customFormat="false" ht="11.25" hidden="false" customHeight="false" outlineLevel="0" collapsed="false">
      <c r="A205" s="298" t="s">
        <v>392</v>
      </c>
      <c r="C205" s="241"/>
      <c r="D205" s="241"/>
      <c r="E205" s="298"/>
      <c r="F205" s="297"/>
      <c r="G205" s="384"/>
      <c r="H205" s="298"/>
      <c r="I205" s="405" t="n">
        <v>0</v>
      </c>
      <c r="J205" s="405" t="n">
        <v>0</v>
      </c>
      <c r="K205" s="405" t="n">
        <v>0</v>
      </c>
      <c r="L205" s="405" t="n">
        <v>0</v>
      </c>
      <c r="M205" s="405" t="n">
        <v>0</v>
      </c>
      <c r="N205" s="405" t="n">
        <v>0</v>
      </c>
      <c r="O205" s="405" t="n">
        <v>0</v>
      </c>
      <c r="P205" s="405" t="n">
        <v>0</v>
      </c>
      <c r="Q205" s="405" t="n">
        <v>0</v>
      </c>
      <c r="R205" s="405" t="n">
        <v>0</v>
      </c>
      <c r="S205" s="405" t="n">
        <v>0</v>
      </c>
      <c r="T205" s="405" t="n">
        <v>0</v>
      </c>
      <c r="U205" s="405" t="n">
        <v>0</v>
      </c>
      <c r="V205" s="405" t="n">
        <v>0</v>
      </c>
      <c r="W205" s="405" t="n">
        <v>0</v>
      </c>
      <c r="X205" s="405" t="n">
        <v>0</v>
      </c>
      <c r="Y205" s="405" t="n">
        <v>0</v>
      </c>
      <c r="Z205" s="405" t="n">
        <v>0</v>
      </c>
      <c r="AA205" s="405" t="n">
        <v>0</v>
      </c>
      <c r="AB205" s="405" t="n">
        <v>0</v>
      </c>
      <c r="AC205" s="405" t="n">
        <v>0</v>
      </c>
      <c r="AD205" s="405" t="n">
        <v>0</v>
      </c>
      <c r="AE205" s="405" t="n">
        <v>0</v>
      </c>
      <c r="AF205" s="405" t="n">
        <v>0</v>
      </c>
    </row>
    <row r="206" customFormat="false" ht="11.25" hidden="false" customHeight="false" outlineLevel="0" collapsed="false">
      <c r="A206" s="325"/>
      <c r="B206" s="325"/>
      <c r="C206" s="389"/>
      <c r="D206" s="389"/>
      <c r="E206" s="325"/>
      <c r="F206" s="357"/>
      <c r="G206" s="391"/>
      <c r="H206" s="325"/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325"/>
      <c r="AH206" s="325"/>
      <c r="AI206" s="325"/>
      <c r="AJ206" s="325"/>
      <c r="AK206" s="325"/>
      <c r="AL206" s="325"/>
      <c r="AM206" s="325"/>
      <c r="AN206" s="325"/>
      <c r="AO206" s="325"/>
      <c r="AP206" s="325"/>
      <c r="AQ206" s="325"/>
      <c r="AR206" s="325"/>
      <c r="AS206" s="325"/>
      <c r="AT206" s="325"/>
      <c r="AU206" s="325"/>
      <c r="AV206" s="325"/>
      <c r="AW206" s="325"/>
      <c r="AX206" s="325"/>
      <c r="AY206" s="325"/>
      <c r="AZ206" s="325"/>
      <c r="BA206" s="325"/>
      <c r="BB206" s="325"/>
      <c r="BC206" s="325"/>
      <c r="BD206" s="325"/>
      <c r="BE206" s="325"/>
      <c r="BF206" s="325"/>
      <c r="BG206" s="325"/>
      <c r="BH206" s="325"/>
      <c r="BI206" s="325"/>
      <c r="BJ206" s="325"/>
      <c r="BK206" s="325"/>
      <c r="BL206" s="325"/>
      <c r="BM206" s="325"/>
      <c r="BN206" s="325"/>
      <c r="BO206" s="325"/>
      <c r="BP206" s="325"/>
      <c r="BQ206" s="325"/>
      <c r="BR206" s="325"/>
      <c r="BS206" s="325"/>
      <c r="BT206" s="325"/>
      <c r="BU206" s="325"/>
      <c r="BV206" s="325"/>
      <c r="BW206" s="325"/>
      <c r="BX206" s="325"/>
      <c r="BY206" s="325"/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25"/>
      <c r="CV206" s="325"/>
      <c r="CW206" s="325"/>
      <c r="CX206" s="325"/>
      <c r="CY206" s="325"/>
      <c r="CZ206" s="325"/>
      <c r="DA206" s="325"/>
      <c r="DB206" s="325"/>
      <c r="DC206" s="325"/>
      <c r="DD206" s="325"/>
      <c r="DE206" s="325"/>
      <c r="DF206" s="325"/>
      <c r="DG206" s="325"/>
      <c r="DH206" s="325"/>
      <c r="DI206" s="325"/>
      <c r="DJ206" s="325"/>
      <c r="DK206" s="325"/>
      <c r="DL206" s="325"/>
      <c r="DM206" s="325"/>
      <c r="DN206" s="325"/>
      <c r="DO206" s="325"/>
      <c r="DP206" s="325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  <c r="EE206" s="325"/>
      <c r="EF206" s="325"/>
      <c r="EG206" s="325"/>
      <c r="EH206" s="325"/>
      <c r="EI206" s="325"/>
      <c r="EJ206" s="325"/>
      <c r="EK206" s="325"/>
      <c r="EL206" s="325"/>
      <c r="EM206" s="325"/>
      <c r="EN206" s="325"/>
      <c r="EO206" s="325"/>
      <c r="EP206" s="325"/>
      <c r="EQ206" s="325"/>
      <c r="ER206" s="325"/>
      <c r="ES206" s="325"/>
      <c r="ET206" s="325"/>
      <c r="EU206" s="325"/>
      <c r="EV206" s="325"/>
      <c r="EW206" s="325"/>
      <c r="EX206" s="325"/>
      <c r="EY206" s="325"/>
      <c r="EZ206" s="325"/>
      <c r="FA206" s="325"/>
      <c r="FB206" s="325"/>
      <c r="FC206" s="325"/>
      <c r="FD206" s="325"/>
      <c r="FE206" s="325"/>
      <c r="FF206" s="325"/>
      <c r="FG206" s="325"/>
      <c r="FH206" s="325"/>
      <c r="FI206" s="325"/>
      <c r="FJ206" s="325"/>
      <c r="FK206" s="325"/>
      <c r="FL206" s="325"/>
      <c r="FM206" s="325"/>
      <c r="FN206" s="325"/>
      <c r="FO206" s="325"/>
      <c r="FP206" s="325"/>
      <c r="FQ206" s="325"/>
      <c r="FR206" s="325"/>
      <c r="FS206" s="325"/>
      <c r="FT206" s="325"/>
      <c r="FU206" s="325"/>
      <c r="FV206" s="325"/>
      <c r="FW206" s="325"/>
      <c r="FX206" s="325"/>
      <c r="FY206" s="325"/>
      <c r="FZ206" s="325"/>
      <c r="GA206" s="325"/>
      <c r="GB206" s="325"/>
      <c r="GC206" s="325"/>
      <c r="GD206" s="325"/>
      <c r="GE206" s="325"/>
      <c r="GF206" s="325"/>
      <c r="GG206" s="325"/>
      <c r="GH206" s="325"/>
      <c r="GI206" s="325"/>
      <c r="GJ206" s="325"/>
      <c r="GK206" s="325"/>
      <c r="GL206" s="325"/>
      <c r="GM206" s="325"/>
      <c r="GN206" s="325"/>
      <c r="GO206" s="325"/>
      <c r="GP206" s="325"/>
      <c r="GQ206" s="325"/>
      <c r="GR206" s="325"/>
      <c r="GS206" s="325"/>
      <c r="GT206" s="325"/>
      <c r="GU206" s="325"/>
      <c r="GV206" s="325"/>
      <c r="GW206" s="325"/>
      <c r="GX206" s="325"/>
      <c r="GY206" s="325"/>
      <c r="GZ206" s="325"/>
      <c r="HA206" s="325"/>
      <c r="HB206" s="325"/>
      <c r="HC206" s="325"/>
      <c r="HD206" s="325"/>
      <c r="HE206" s="325"/>
      <c r="HF206" s="325"/>
      <c r="HG206" s="325"/>
      <c r="HH206" s="325"/>
      <c r="HI206" s="325"/>
      <c r="HJ206" s="325"/>
      <c r="HK206" s="325"/>
      <c r="HL206" s="325"/>
      <c r="HM206" s="325"/>
      <c r="HN206" s="325"/>
      <c r="HO206" s="325"/>
      <c r="HP206" s="325"/>
      <c r="HQ206" s="325"/>
      <c r="HR206" s="325"/>
      <c r="HS206" s="325"/>
      <c r="HT206" s="325"/>
      <c r="HU206" s="325"/>
      <c r="HV206" s="325"/>
      <c r="HW206" s="325"/>
      <c r="HX206" s="325"/>
      <c r="HY206" s="325"/>
      <c r="HZ206" s="325"/>
      <c r="IA206" s="325"/>
      <c r="IB206" s="325"/>
      <c r="IC206" s="325"/>
      <c r="ID206" s="325"/>
      <c r="IE206" s="325"/>
      <c r="IF206" s="325"/>
      <c r="IG206" s="325"/>
      <c r="IH206" s="325"/>
      <c r="II206" s="325"/>
      <c r="IJ206" s="325"/>
      <c r="IK206" s="325"/>
      <c r="IL206" s="325"/>
      <c r="IM206" s="325"/>
      <c r="IN206" s="325"/>
      <c r="IO206" s="325"/>
      <c r="IP206" s="325"/>
      <c r="IQ206" s="325"/>
      <c r="IR206" s="325"/>
      <c r="IS206" s="325"/>
      <c r="IT206" s="325"/>
      <c r="IU206" s="325"/>
      <c r="IV206" s="325"/>
      <c r="IW206" s="325"/>
    </row>
    <row r="207" customFormat="false" ht="11.25" hidden="false" customHeight="false" outlineLevel="0" collapsed="false">
      <c r="A207" s="298"/>
      <c r="C207" s="241"/>
      <c r="D207" s="241"/>
      <c r="E207" s="298"/>
      <c r="F207" s="297"/>
      <c r="G207" s="384"/>
      <c r="H207" s="298"/>
      <c r="I207" s="405"/>
      <c r="J207" s="405"/>
      <c r="K207" s="405"/>
      <c r="L207" s="405"/>
      <c r="M207" s="405"/>
      <c r="N207" s="405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  <c r="AA207" s="405"/>
      <c r="AB207" s="405"/>
      <c r="AC207" s="405"/>
      <c r="AD207" s="405"/>
      <c r="AE207" s="405"/>
      <c r="AF207" s="405"/>
    </row>
    <row r="208" customFormat="false" ht="11.25" hidden="false" customHeight="false" outlineLevel="0" collapsed="false">
      <c r="A208" s="407" t="s">
        <v>393</v>
      </c>
      <c r="C208" s="241"/>
      <c r="D208" s="241"/>
      <c r="E208" s="298"/>
      <c r="F208" s="297"/>
      <c r="G208" s="384"/>
      <c r="H208" s="298"/>
      <c r="I208" s="405"/>
      <c r="J208" s="405"/>
      <c r="K208" s="405"/>
      <c r="L208" s="405"/>
      <c r="M208" s="405"/>
      <c r="N208" s="405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5"/>
      <c r="AF208" s="405"/>
    </row>
    <row r="209" customFormat="false" ht="11.25" hidden="false" customHeight="false" outlineLevel="0" collapsed="false">
      <c r="A209" s="298"/>
      <c r="C209" s="241"/>
      <c r="D209" s="241"/>
      <c r="E209" s="298"/>
      <c r="F209" s="297" t="s">
        <v>394</v>
      </c>
      <c r="G209" s="384"/>
      <c r="H209" s="298"/>
      <c r="I209" s="405"/>
      <c r="J209" s="405" t="n">
        <v>0</v>
      </c>
      <c r="K209" s="405" t="n">
        <v>0</v>
      </c>
      <c r="L209" s="405" t="n">
        <v>0</v>
      </c>
      <c r="M209" s="405" t="n">
        <v>0</v>
      </c>
      <c r="N209" s="405" t="n">
        <v>0</v>
      </c>
      <c r="O209" s="405" t="n">
        <v>0</v>
      </c>
      <c r="P209" s="405" t="n">
        <v>0</v>
      </c>
      <c r="Q209" s="405" t="n">
        <v>0</v>
      </c>
      <c r="R209" s="405" t="n">
        <v>0</v>
      </c>
      <c r="S209" s="405" t="n">
        <v>0</v>
      </c>
      <c r="T209" s="405" t="n">
        <v>0</v>
      </c>
      <c r="U209" s="405" t="n">
        <v>0</v>
      </c>
      <c r="V209" s="405" t="n">
        <v>0</v>
      </c>
      <c r="W209" s="405" t="n">
        <v>0</v>
      </c>
      <c r="X209" s="405" t="n">
        <v>0</v>
      </c>
      <c r="Y209" s="405" t="n">
        <v>0</v>
      </c>
      <c r="Z209" s="405" t="n">
        <v>0</v>
      </c>
      <c r="AA209" s="405" t="n">
        <v>0</v>
      </c>
      <c r="AB209" s="405" t="n">
        <v>0</v>
      </c>
      <c r="AC209" s="405" t="n">
        <v>0</v>
      </c>
      <c r="AD209" s="405" t="n">
        <v>0</v>
      </c>
      <c r="AE209" s="405" t="n">
        <v>0</v>
      </c>
      <c r="AF209" s="405" t="n">
        <v>0</v>
      </c>
    </row>
    <row r="210" customFormat="false" ht="11.25" hidden="false" customHeight="false" outlineLevel="0" collapsed="false">
      <c r="A210" s="298"/>
      <c r="C210" s="241"/>
      <c r="D210" s="241"/>
      <c r="E210" s="298"/>
      <c r="F210" s="297" t="s">
        <v>395</v>
      </c>
      <c r="G210" s="384"/>
      <c r="H210" s="298"/>
      <c r="I210" s="406"/>
      <c r="J210" s="406" t="n">
        <v>0</v>
      </c>
      <c r="K210" s="406" t="n">
        <v>0</v>
      </c>
      <c r="L210" s="406" t="n">
        <v>0</v>
      </c>
      <c r="M210" s="406" t="n">
        <v>0</v>
      </c>
      <c r="N210" s="406" t="n">
        <v>0</v>
      </c>
      <c r="O210" s="406" t="n">
        <v>0</v>
      </c>
      <c r="P210" s="406" t="n">
        <v>0</v>
      </c>
      <c r="Q210" s="406" t="n">
        <v>0</v>
      </c>
      <c r="R210" s="406" t="n">
        <v>0</v>
      </c>
      <c r="S210" s="406" t="n">
        <v>0</v>
      </c>
      <c r="T210" s="406" t="n">
        <v>0</v>
      </c>
      <c r="U210" s="406" t="n">
        <v>0</v>
      </c>
      <c r="V210" s="406" t="n">
        <v>0</v>
      </c>
      <c r="W210" s="406" t="n">
        <v>0</v>
      </c>
      <c r="X210" s="406" t="n">
        <v>0</v>
      </c>
      <c r="Y210" s="406" t="n">
        <v>0</v>
      </c>
      <c r="Z210" s="406" t="n">
        <v>0</v>
      </c>
      <c r="AA210" s="406" t="n">
        <v>0</v>
      </c>
      <c r="AB210" s="406" t="n">
        <v>0</v>
      </c>
      <c r="AC210" s="406" t="n">
        <v>0</v>
      </c>
      <c r="AD210" s="406" t="n">
        <v>0</v>
      </c>
      <c r="AE210" s="406" t="n">
        <v>0</v>
      </c>
      <c r="AF210" s="406" t="n">
        <v>0</v>
      </c>
    </row>
    <row r="211" customFormat="false" ht="11.25" hidden="false" customHeight="false" outlineLevel="0" collapsed="false">
      <c r="A211" s="298"/>
      <c r="C211" s="241"/>
      <c r="D211" s="241"/>
      <c r="E211" s="298"/>
      <c r="F211" s="297"/>
      <c r="G211" s="384"/>
      <c r="H211" s="298"/>
      <c r="I211" s="405"/>
      <c r="J211" s="405" t="n">
        <f aca="false">J209+J210</f>
        <v>0</v>
      </c>
      <c r="K211" s="405" t="n">
        <f aca="false">K209+K210</f>
        <v>0</v>
      </c>
      <c r="L211" s="405" t="n">
        <f aca="false">L209+L210</f>
        <v>0</v>
      </c>
      <c r="M211" s="405" t="n">
        <f aca="false">M209+M210</f>
        <v>0</v>
      </c>
      <c r="N211" s="405" t="n">
        <f aca="false">N209+N210</f>
        <v>0</v>
      </c>
      <c r="O211" s="405" t="n">
        <f aca="false">O209+O210</f>
        <v>0</v>
      </c>
      <c r="P211" s="405" t="n">
        <f aca="false">P209+P210</f>
        <v>0</v>
      </c>
      <c r="Q211" s="405" t="n">
        <f aca="false">Q209+Q210</f>
        <v>0</v>
      </c>
      <c r="R211" s="405" t="n">
        <f aca="false">R209+R210</f>
        <v>0</v>
      </c>
      <c r="S211" s="405" t="n">
        <f aca="false">S209+S210</f>
        <v>0</v>
      </c>
      <c r="T211" s="405" t="n">
        <f aca="false">T209+T210</f>
        <v>0</v>
      </c>
      <c r="U211" s="405" t="n">
        <f aca="false">U209+U210</f>
        <v>0</v>
      </c>
      <c r="V211" s="405" t="n">
        <f aca="false">V209+V210</f>
        <v>0</v>
      </c>
      <c r="W211" s="405" t="n">
        <f aca="false">W209+W210</f>
        <v>0</v>
      </c>
      <c r="X211" s="405" t="n">
        <f aca="false">X209+X210</f>
        <v>0</v>
      </c>
      <c r="Y211" s="405" t="n">
        <f aca="false">Y209+Y210</f>
        <v>0</v>
      </c>
      <c r="Z211" s="405" t="n">
        <f aca="false">Z209+Z210</f>
        <v>0</v>
      </c>
      <c r="AA211" s="405" t="n">
        <f aca="false">AA209+AA210</f>
        <v>0</v>
      </c>
      <c r="AB211" s="405" t="n">
        <f aca="false">AB209+AB210</f>
        <v>0</v>
      </c>
      <c r="AC211" s="405" t="n">
        <f aca="false">AC209+AC210</f>
        <v>0</v>
      </c>
      <c r="AD211" s="405" t="n">
        <f aca="false">AD209+AD210</f>
        <v>0</v>
      </c>
      <c r="AE211" s="405" t="n">
        <f aca="false">AE209+AE210</f>
        <v>0</v>
      </c>
      <c r="AF211" s="405" t="n">
        <f aca="false">AF209+AF210</f>
        <v>0</v>
      </c>
    </row>
    <row r="212" customFormat="false" ht="12.75" hidden="false" customHeight="false" outlineLevel="0" collapsed="false">
      <c r="A212" s="325"/>
      <c r="B212" s="325"/>
      <c r="C212" s="389"/>
      <c r="D212" s="389"/>
      <c r="E212" s="325"/>
      <c r="F212" s="357"/>
      <c r="G212" s="391"/>
      <c r="H212" s="325"/>
      <c r="I212" s="408"/>
      <c r="J212" s="408"/>
      <c r="K212" s="408"/>
      <c r="L212" s="408"/>
      <c r="M212" s="408"/>
      <c r="N212" s="408"/>
      <c r="O212" s="408"/>
      <c r="P212" s="408"/>
      <c r="Q212" s="408"/>
      <c r="R212" s="408"/>
      <c r="S212" s="408"/>
      <c r="T212" s="408"/>
      <c r="U212" s="408"/>
      <c r="V212" s="408"/>
      <c r="W212" s="408"/>
      <c r="X212" s="408"/>
      <c r="Y212" s="408"/>
      <c r="Z212" s="408"/>
      <c r="AA212" s="408"/>
      <c r="AB212" s="408"/>
      <c r="AC212" s="408"/>
      <c r="AD212" s="408"/>
      <c r="AE212" s="408"/>
      <c r="AF212" s="408"/>
    </row>
    <row r="213" customFormat="false" ht="11.25" hidden="false" customHeight="false" outlineLevel="0" collapsed="false">
      <c r="A213" s="298"/>
      <c r="C213" s="241"/>
      <c r="D213" s="241"/>
      <c r="E213" s="298"/>
      <c r="F213" s="297"/>
      <c r="G213" s="384"/>
      <c r="H213" s="298"/>
      <c r="I213" s="395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  <c r="AA213" s="395"/>
      <c r="AB213" s="395"/>
      <c r="AC213" s="395"/>
      <c r="AD213" s="395"/>
      <c r="AE213" s="395"/>
      <c r="AF213" s="395"/>
    </row>
    <row r="214" customFormat="false" ht="11.25" hidden="false" customHeight="false" outlineLevel="0" collapsed="false">
      <c r="A214" s="407" t="s">
        <v>396</v>
      </c>
      <c r="C214" s="241"/>
      <c r="D214" s="241"/>
      <c r="E214" s="298"/>
      <c r="F214" s="297"/>
      <c r="G214" s="384"/>
      <c r="H214" s="409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/>
      <c r="Z214" s="305"/>
      <c r="AA214" s="305"/>
      <c r="AB214" s="305"/>
      <c r="AC214" s="305"/>
      <c r="AD214" s="305"/>
      <c r="AE214" s="305"/>
      <c r="AF214" s="305"/>
    </row>
    <row r="215" customFormat="false" ht="11.25" hidden="false" customHeight="false" outlineLevel="0" collapsed="false">
      <c r="A215" s="298"/>
      <c r="C215" s="241"/>
      <c r="D215" s="241"/>
      <c r="E215" s="298"/>
      <c r="F215" s="297"/>
      <c r="G215" s="384"/>
      <c r="H215" s="298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</row>
    <row r="216" customFormat="false" ht="11.25" hidden="false" customHeight="false" outlineLevel="0" collapsed="false">
      <c r="A216" s="410" t="s">
        <v>397</v>
      </c>
      <c r="B216" s="298"/>
      <c r="C216" s="298"/>
      <c r="D216" s="298"/>
      <c r="E216" s="411" t="n">
        <v>0</v>
      </c>
      <c r="F216" s="411" t="n">
        <v>0</v>
      </c>
      <c r="G216" s="411" t="n">
        <v>0</v>
      </c>
      <c r="H216" s="409" t="n">
        <v>0</v>
      </c>
      <c r="I216" s="409" t="n">
        <f aca="false">+I166+I185+I203+I205+I214</f>
        <v>0</v>
      </c>
      <c r="J216" s="409" t="e">
        <f aca="false">+J166+J185+J203+J205+J214</f>
        <v>#VALUE!</v>
      </c>
      <c r="K216" s="409" t="e">
        <f aca="false">+K166+K185+K203+K205+K214</f>
        <v>#VALUE!</v>
      </c>
      <c r="L216" s="409" t="e">
        <f aca="false">+L166+L185+L203+L205+L214</f>
        <v>#VALUE!</v>
      </c>
      <c r="M216" s="409" t="e">
        <f aca="false">+M166+M185+M203+M205+M214</f>
        <v>#VALUE!</v>
      </c>
      <c r="N216" s="409" t="e">
        <f aca="false">+N166+N185+N203+N205+N214</f>
        <v>#VALUE!</v>
      </c>
      <c r="O216" s="409" t="e">
        <f aca="false">+O166+O185+O203+O205+O214</f>
        <v>#VALUE!</v>
      </c>
      <c r="P216" s="409" t="e">
        <f aca="false">+P166+P185+P203+P205+P214</f>
        <v>#VALUE!</v>
      </c>
      <c r="Q216" s="409" t="e">
        <f aca="false">+Q166+Q185+Q203+Q205+Q214</f>
        <v>#VALUE!</v>
      </c>
      <c r="R216" s="409" t="e">
        <f aca="false">+R166+R185+R203+R205+R214</f>
        <v>#VALUE!</v>
      </c>
      <c r="S216" s="409" t="e">
        <f aca="false">+S166+S185+S203+S205+S214</f>
        <v>#VALUE!</v>
      </c>
      <c r="T216" s="409" t="e">
        <f aca="false">+T166+T185+T203+T205+T214</f>
        <v>#VALUE!</v>
      </c>
      <c r="U216" s="409" t="e">
        <f aca="false">+U166+U185+U203+U205+U214</f>
        <v>#VALUE!</v>
      </c>
      <c r="V216" s="409" t="e">
        <f aca="false">+V166+V185+V203+V205+V214</f>
        <v>#VALUE!</v>
      </c>
      <c r="W216" s="409" t="e">
        <f aca="false">+W166+W185+W203+W205+W214</f>
        <v>#VALUE!</v>
      </c>
      <c r="X216" s="409" t="e">
        <f aca="false">+X166+X185+X203+X205+X214</f>
        <v>#VALUE!</v>
      </c>
      <c r="Y216" s="409" t="e">
        <f aca="false">+Y166+Y185+Y203+Y205+Y214</f>
        <v>#VALUE!</v>
      </c>
      <c r="Z216" s="409" t="e">
        <f aca="false">+Z166+Z185+Z203+Z205+Z214</f>
        <v>#VALUE!</v>
      </c>
      <c r="AA216" s="409" t="e">
        <f aca="false">+AA166+AA185+AA203+AA205+AA214</f>
        <v>#VALUE!</v>
      </c>
      <c r="AB216" s="409" t="e">
        <f aca="false">+AB166+AB185+AB203+AB205+AB214</f>
        <v>#VALUE!</v>
      </c>
      <c r="AC216" s="409" t="e">
        <f aca="false">+AC166+AC185+AC203+AC205+AC214</f>
        <v>#VALUE!</v>
      </c>
      <c r="AD216" s="409" t="e">
        <f aca="false">+AD166+AD185+AD203+AD205+AD214</f>
        <v>#VALUE!</v>
      </c>
      <c r="AE216" s="409" t="e">
        <f aca="false">+AE166+AE185+AE203+AE205+AE214</f>
        <v>#VALUE!</v>
      </c>
      <c r="AF216" s="409" t="e">
        <f aca="false">+AF166+AF185+AF203+AF205+AF214</f>
        <v>#VALUE!</v>
      </c>
    </row>
    <row r="217" customFormat="false" ht="12" hidden="false" customHeight="false" outlineLevel="0" collapsed="false"/>
    <row r="218" customFormat="false" ht="12.75" hidden="false" customHeight="false" outlineLevel="0" collapsed="false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</row>
    <row r="219" customFormat="false" ht="12.75" hidden="false" customHeight="false" outlineLevel="0" collapsed="false">
      <c r="A219" s="290" t="s">
        <v>398</v>
      </c>
      <c r="C219" s="308"/>
      <c r="D219" s="412"/>
      <c r="E219" s="413"/>
      <c r="F219" s="413"/>
      <c r="G219" s="413"/>
      <c r="H219" s="414"/>
      <c r="I219" s="263" t="n">
        <f aca="false">+I$3</f>
        <v>36525</v>
      </c>
      <c r="J219" s="264" t="n">
        <f aca="false">+J$3</f>
        <v>2000</v>
      </c>
      <c r="K219" s="264" t="n">
        <f aca="false">+K$3</f>
        <v>2001</v>
      </c>
      <c r="L219" s="264" t="n">
        <f aca="false">+L$3</f>
        <v>2002</v>
      </c>
      <c r="M219" s="264" t="n">
        <f aca="false">+M$3</f>
        <v>2003</v>
      </c>
      <c r="N219" s="264" t="n">
        <f aca="false">+N$3</f>
        <v>2004</v>
      </c>
      <c r="O219" s="264" t="n">
        <f aca="false">+O$3</f>
        <v>2005</v>
      </c>
      <c r="P219" s="264" t="n">
        <f aca="false">+P$3</f>
        <v>2006</v>
      </c>
      <c r="Q219" s="264" t="n">
        <f aca="false">+Q$3</f>
        <v>2007</v>
      </c>
      <c r="R219" s="264" t="n">
        <f aca="false">+R$3</f>
        <v>2008</v>
      </c>
      <c r="S219" s="264" t="n">
        <f aca="false">+S$3</f>
        <v>2009</v>
      </c>
      <c r="T219" s="264" t="n">
        <f aca="false">+T$3</f>
        <v>2010</v>
      </c>
      <c r="U219" s="264" t="n">
        <f aca="false">+U$3</f>
        <v>2011</v>
      </c>
      <c r="V219" s="264" t="n">
        <f aca="false">+V$3</f>
        <v>2012</v>
      </c>
      <c r="W219" s="264" t="n">
        <f aca="false">+W$3</f>
        <v>2013</v>
      </c>
      <c r="X219" s="264" t="n">
        <f aca="false">+X$3</f>
        <v>2014</v>
      </c>
      <c r="Y219" s="264" t="n">
        <f aca="false">+Y$3</f>
        <v>2015</v>
      </c>
      <c r="Z219" s="264" t="n">
        <f aca="false">+Z$3</f>
        <v>2016</v>
      </c>
      <c r="AA219" s="264" t="n">
        <f aca="false">+AA$3</f>
        <v>2017</v>
      </c>
      <c r="AB219" s="264" t="n">
        <f aca="false">+AB$3</f>
        <v>2018</v>
      </c>
      <c r="AC219" s="264" t="n">
        <f aca="false">+AC$3</f>
        <v>2019</v>
      </c>
      <c r="AD219" s="264" t="n">
        <f aca="false">+AD$3</f>
        <v>2020</v>
      </c>
      <c r="AE219" s="264" t="n">
        <f aca="false">+AE$3</f>
        <v>2021</v>
      </c>
      <c r="AF219" s="264" t="n">
        <f aca="false">+AF$3</f>
        <v>2022</v>
      </c>
    </row>
    <row r="220" customFormat="false" ht="12" hidden="false" customHeight="false" outlineLevel="0" collapsed="false">
      <c r="A220" s="415"/>
      <c r="B220" s="297"/>
      <c r="E220" s="411"/>
      <c r="F220" s="411"/>
      <c r="G220" s="411"/>
      <c r="H220" s="411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</row>
    <row r="221" customFormat="false" ht="11.25" hidden="false" customHeight="false" outlineLevel="0" collapsed="false">
      <c r="A221" s="265" t="s">
        <v>399</v>
      </c>
      <c r="B221" s="241"/>
      <c r="C221" s="241"/>
      <c r="E221" s="417" t="s">
        <v>400</v>
      </c>
      <c r="F221" s="411"/>
      <c r="G221" s="411"/>
      <c r="H221" s="418" t="s">
        <v>401</v>
      </c>
      <c r="I221" s="419" t="n">
        <f aca="false" t="array" ref="I221:AF221">+TRANSPOSE(CALC!HZ17:HZ40)/1000</f>
        <v>0</v>
      </c>
      <c r="J221" s="419" t="n">
        <v>2105.17054236439</v>
      </c>
      <c r="K221" s="419" t="n">
        <v>2575.68950354968</v>
      </c>
      <c r="L221" s="419" t="n">
        <v>2531.23165883256</v>
      </c>
      <c r="M221" s="419" t="n">
        <v>2484.27370862957</v>
      </c>
      <c r="N221" s="419" t="n">
        <v>2412.37108742316</v>
      </c>
      <c r="O221" s="419" t="n">
        <v>2300.9698543195</v>
      </c>
      <c r="P221" s="419" t="n">
        <v>2372.97252733147</v>
      </c>
      <c r="Q221" s="419" t="n">
        <v>2382.44907790686</v>
      </c>
      <c r="R221" s="419" t="n">
        <v>2387.30783157001</v>
      </c>
      <c r="S221" s="419" t="n">
        <v>2354.96549806865</v>
      </c>
      <c r="T221" s="419" t="n">
        <v>2388.85352536596</v>
      </c>
      <c r="U221" s="419" t="n">
        <v>2367.30755023754</v>
      </c>
      <c r="V221" s="419" t="n">
        <v>2368.39041797738</v>
      </c>
      <c r="W221" s="419" t="n">
        <v>2355.54693275398</v>
      </c>
      <c r="X221" s="419" t="n">
        <v>2362.78165352648</v>
      </c>
      <c r="Y221" s="419" t="n">
        <v>2364.42791208527</v>
      </c>
      <c r="Z221" s="419" t="n">
        <v>2340.73857320816</v>
      </c>
      <c r="AA221" s="419" t="n">
        <v>2343.05259885902</v>
      </c>
      <c r="AB221" s="419" t="n">
        <v>2345.25885728347</v>
      </c>
      <c r="AC221" s="419" t="n">
        <v>2352.65926665061</v>
      </c>
      <c r="AD221" s="419" t="n">
        <v>2370.18540221145</v>
      </c>
      <c r="AE221" s="419" t="n">
        <v>2360.68685562076</v>
      </c>
      <c r="AF221" s="419" t="n">
        <v>1761.86672633897</v>
      </c>
    </row>
    <row r="222" customFormat="false" ht="11.25" hidden="false" customHeight="false" outlineLevel="0" collapsed="false">
      <c r="A222" s="361"/>
      <c r="B222" s="241"/>
      <c r="C222" s="241"/>
      <c r="D222" s="283"/>
      <c r="E222" s="366" t="str">
        <f aca="false">+" Amount per "&amp;H221</f>
        <v> Amount per MMBTU</v>
      </c>
      <c r="F222" s="283"/>
      <c r="G222" s="283"/>
      <c r="H222" s="420"/>
      <c r="I222" s="421" t="n">
        <f aca="false" t="array" ref="I222:AF222">+-TRANSPOSE(CALC!IA17:IA40)</f>
        <v>-0</v>
      </c>
      <c r="J222" s="421" t="n">
        <v>2.8664851708039</v>
      </c>
      <c r="K222" s="421" t="n">
        <v>2.6665848742915</v>
      </c>
      <c r="L222" s="421" t="n">
        <v>2.59664408432636</v>
      </c>
      <c r="M222" s="421" t="n">
        <v>2.57946581623726</v>
      </c>
      <c r="N222" s="421" t="n">
        <v>2.59592814324985</v>
      </c>
      <c r="O222" s="421" t="n">
        <v>2.60689368234549</v>
      </c>
      <c r="P222" s="421" t="n">
        <v>2.63612490118586</v>
      </c>
      <c r="Q222" s="421" t="n">
        <v>2.65943426414344</v>
      </c>
      <c r="R222" s="421" t="n">
        <v>2.68003673316144</v>
      </c>
      <c r="S222" s="421" t="n">
        <v>2.69955816125969</v>
      </c>
      <c r="T222" s="421" t="n">
        <v>3.12851861614133</v>
      </c>
      <c r="U222" s="421" t="n">
        <v>3.43984888292397</v>
      </c>
      <c r="V222" s="421" t="n">
        <v>3.52045372337058</v>
      </c>
      <c r="W222" s="421" t="n">
        <v>3.59734618679643</v>
      </c>
      <c r="X222" s="421" t="n">
        <v>3.66891795798211</v>
      </c>
      <c r="Y222" s="421" t="n">
        <v>3.73158161593293</v>
      </c>
      <c r="Z222" s="421" t="n">
        <v>3.79860028670532</v>
      </c>
      <c r="AA222" s="421" t="n">
        <v>3.87577986262063</v>
      </c>
      <c r="AB222" s="421" t="n">
        <v>3.95545600213925</v>
      </c>
      <c r="AC222" s="421" t="n">
        <v>4.05020571665562</v>
      </c>
      <c r="AD222" s="421" t="n">
        <v>4.15697010029243</v>
      </c>
      <c r="AE222" s="421" t="n">
        <v>4.25860156530771</v>
      </c>
      <c r="AF222" s="421" t="n">
        <v>4.7653113768867</v>
      </c>
    </row>
    <row r="223" customFormat="false" ht="11.25" hidden="false" customHeight="false" outlineLevel="0" collapsed="false">
      <c r="D223" s="283"/>
      <c r="E223" s="366" t="str">
        <f aca="false">"Currency (USD-1, "&amp;curr2&amp;"-2)"</f>
        <v>Currency (USD-1, Reis-2)</v>
      </c>
      <c r="F223" s="283"/>
      <c r="G223" s="283"/>
      <c r="H223" s="377" t="n">
        <v>1</v>
      </c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  <c r="AA223" s="422"/>
      <c r="AB223" s="422"/>
      <c r="AC223" s="422"/>
      <c r="AD223" s="422"/>
      <c r="AE223" s="422"/>
      <c r="AF223" s="422"/>
    </row>
    <row r="224" customFormat="false" ht="11.25" hidden="false" customHeight="false" outlineLevel="0" collapsed="false">
      <c r="A224" s="361"/>
      <c r="B224" s="283"/>
      <c r="C224" s="283"/>
      <c r="D224" s="283"/>
      <c r="E224" s="366" t="s">
        <v>371</v>
      </c>
      <c r="F224" s="283"/>
      <c r="G224" s="283"/>
      <c r="H224" s="377" t="n">
        <v>1</v>
      </c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  <c r="AC224" s="422"/>
      <c r="AD224" s="422"/>
      <c r="AE224" s="422"/>
      <c r="AF224" s="422"/>
    </row>
    <row r="225" customFormat="false" ht="11.25" hidden="false" customHeight="false" outlineLevel="0" collapsed="false">
      <c r="A225" s="361"/>
      <c r="C225" s="361" t="s">
        <v>402</v>
      </c>
      <c r="D225" s="283"/>
      <c r="I225" s="270" t="n">
        <f aca="false">(I222*I221)*CHOOSE($H223,1,I$139)*IF($H223=1,CHOOSE($H224,1,I$130),CHOOSE($H224,1,I$145))</f>
        <v>-0</v>
      </c>
      <c r="J225" s="270" t="n">
        <f aca="false">(J222*J221)*CHOOSE($H223,1,J$139)*IF($H223=1,CHOOSE($H224,1,J$130),CHOOSE($H224,1,J$145))</f>
        <v>6034.4401417007</v>
      </c>
      <c r="K225" s="270" t="n">
        <f aca="false">(K222*K221)*CHOOSE($H223,1,K$139)*IF($H223=1,CHOOSE($H224,1,K$130),CHOOSE($H224,1,K$145))</f>
        <v>6868.29467103697</v>
      </c>
      <c r="L225" s="270" t="n">
        <f aca="false">(L222*L221)*CHOOSE($H223,1,L$139)*IF($H223=1,CHOOSE($H224,1,L$130),CHOOSE($H224,1,L$145))</f>
        <v>6572.70771296716</v>
      </c>
      <c r="M225" s="270" t="n">
        <f aca="false">(M222*M221)*CHOOSE($H223,1,M$139)*IF($H223=1,CHOOSE($H224,1,M$130),CHOOSE($H224,1,M$145))</f>
        <v>6408.09910958694</v>
      </c>
      <c r="N225" s="270" t="n">
        <f aca="false">(N222*N221)*CHOOSE($H223,1,N$139)*IF($H223=1,CHOOSE($H224,1,N$130),CHOOSE($H224,1,N$145))</f>
        <v>6262.34199780404</v>
      </c>
      <c r="O225" s="270" t="n">
        <f aca="false">(O222*O221)*CHOOSE($H223,1,O$139)*IF($H223=1,CHOOSE($H224,1,O$130),CHOOSE($H224,1,O$145))</f>
        <v>5998.38377649293</v>
      </c>
      <c r="P225" s="270" t="n">
        <f aca="false">(P222*P221)*CHOOSE($H223,1,P$139)*IF($H223=1,CHOOSE($H224,1,P$130),CHOOSE($H224,1,P$145))</f>
        <v>6255.45196912843</v>
      </c>
      <c r="Q225" s="270" t="n">
        <f aca="false">(Q222*Q221)*CHOOSE($H223,1,Q$139)*IF($H223=1,CHOOSE($H224,1,Q$130),CHOOSE($H224,1,Q$145))</f>
        <v>6335.96671036246</v>
      </c>
      <c r="R225" s="270" t="n">
        <f aca="false">(R222*R221)*CHOOSE($H223,1,R$139)*IF($H223=1,CHOOSE($H224,1,R$130),CHOOSE($H224,1,R$145))</f>
        <v>6398.0726819716</v>
      </c>
      <c r="S225" s="270" t="n">
        <f aca="false">(S222*S221)*CHOOSE($H223,1,S$139)*IF($H223=1,CHOOSE($H224,1,S$130),CHOOSE($H224,1,S$145))</f>
        <v>6357.36632979621</v>
      </c>
      <c r="T225" s="270" t="n">
        <f aca="false">(T222*T221)*CHOOSE($H223,1,T$139)*IF($H223=1,CHOOSE($H224,1,T$130),CHOOSE($H224,1,T$145))</f>
        <v>7473.57272534227</v>
      </c>
      <c r="U225" s="270" t="n">
        <f aca="false">(U222*U221)*CHOOSE($H223,1,U$139)*IF($H223=1,CHOOSE($H224,1,U$130),CHOOSE($H224,1,U$145))</f>
        <v>8143.18023222207</v>
      </c>
      <c r="V225" s="270" t="n">
        <f aca="false">(V222*V221)*CHOOSE($H223,1,V$139)*IF($H223=1,CHOOSE($H224,1,V$130),CHOOSE($H224,1,V$145))</f>
        <v>8337.80886536368</v>
      </c>
      <c r="W225" s="270" t="n">
        <f aca="false">(W222*W221)*CHOOSE($H223,1,W$139)*IF($H223=1,CHOOSE($H224,1,W$130),CHOOSE($H224,1,W$145))</f>
        <v>8473.71777636253</v>
      </c>
      <c r="X225" s="270" t="n">
        <f aca="false">(X222*X221)*CHOOSE($H223,1,X$139)*IF($H223=1,CHOOSE($H224,1,X$130),CHOOSE($H224,1,X$145))</f>
        <v>8668.85203941394</v>
      </c>
      <c r="Y225" s="270" t="n">
        <f aca="false">(Y222*Y221)*CHOOSE($H223,1,Y$139)*IF($H223=1,CHOOSE($H224,1,Y$130),CHOOSE($H224,1,Y$145))</f>
        <v>8823.05572893605</v>
      </c>
      <c r="Z225" s="270" t="n">
        <f aca="false">(Z222*Z221)*CHOOSE($H223,1,Z$139)*IF($H223=1,CHOOSE($H224,1,Z$130),CHOOSE($H224,1,Z$145))</f>
        <v>8891.53021529074</v>
      </c>
      <c r="AA225" s="270" t="n">
        <f aca="false">(AA222*AA221)*CHOOSE($H223,1,AA$139)*IF($H223=1,CHOOSE($H224,1,AA$130),CHOOSE($H224,1,AA$145))</f>
        <v>9081.15607971873</v>
      </c>
      <c r="AB225" s="270" t="n">
        <f aca="false">(AB222*AB221)*CHOOSE($H223,1,AB$139)*IF($H223=1,CHOOSE($H224,1,AB$130),CHOOSE($H224,1,AB$145))</f>
        <v>9276.56822361217</v>
      </c>
      <c r="AC225" s="270" t="n">
        <f aca="false">(AC222*AC221)*CHOOSE($H223,1,AC$139)*IF($H223=1,CHOOSE($H224,1,AC$130),CHOOSE($H224,1,AC$145))</f>
        <v>9528.75401113109</v>
      </c>
      <c r="AD225" s="270" t="n">
        <f aca="false">(AD222*AD221)*CHOOSE($H223,1,AD$139)*IF($H223=1,CHOOSE($H224,1,AD$130),CHOOSE($H224,1,AD$145))</f>
        <v>9852.7898491426</v>
      </c>
      <c r="AE225" s="270" t="n">
        <f aca="false">(AE222*AE221)*CHOOSE($H223,1,AE$139)*IF($H223=1,CHOOSE($H224,1,AE$130),CHOOSE($H224,1,AE$145))</f>
        <v>10053.2247385479</v>
      </c>
      <c r="AF225" s="270" t="n">
        <f aca="false">(AF222*AF221)*CHOOSE($H223,1,AF$139)*IF($H223=1,CHOOSE($H224,1,AF$130),CHOOSE($H224,1,AF$145))</f>
        <v>8395.84355558124</v>
      </c>
    </row>
    <row r="227" customFormat="false" ht="11.25" hidden="false" customHeight="false" outlineLevel="0" collapsed="false">
      <c r="A227" s="265" t="s">
        <v>403</v>
      </c>
      <c r="B227" s="241"/>
      <c r="C227" s="241"/>
      <c r="E227" s="417" t="s">
        <v>400</v>
      </c>
      <c r="F227" s="411"/>
      <c r="G227" s="411"/>
      <c r="H227" s="418" t="s">
        <v>404</v>
      </c>
      <c r="I227" s="411" t="n">
        <f aca="false" t="array" ref="I227:AF227">+TRANSPOSE(CALC!IC17:IC40)/1000</f>
        <v>0</v>
      </c>
      <c r="J227" s="411" t="n">
        <v>271.5962958</v>
      </c>
      <c r="K227" s="411" t="n">
        <v>329.75681265</v>
      </c>
      <c r="L227" s="411" t="n">
        <v>323.22100275</v>
      </c>
      <c r="M227" s="411" t="n">
        <v>316.5654267</v>
      </c>
      <c r="N227" s="411" t="n">
        <v>308.4500511</v>
      </c>
      <c r="O227" s="411" t="n">
        <v>293.92962435</v>
      </c>
      <c r="P227" s="411" t="n">
        <v>302.31325485</v>
      </c>
      <c r="Q227" s="411" t="n">
        <v>303.27138405</v>
      </c>
      <c r="R227" s="411" t="n">
        <v>307.2181707</v>
      </c>
      <c r="S227" s="411" t="n">
        <v>302.1934887</v>
      </c>
      <c r="T227" s="411" t="n">
        <v>305.49561255</v>
      </c>
      <c r="U227" s="411" t="n">
        <v>302.0223942</v>
      </c>
      <c r="V227" s="411" t="n">
        <v>302.95791765</v>
      </c>
      <c r="W227" s="411" t="n">
        <v>300.73918545</v>
      </c>
      <c r="X227" s="411" t="n">
        <v>301.04715555</v>
      </c>
      <c r="Y227" s="411" t="n">
        <v>301.04715555</v>
      </c>
      <c r="Z227" s="411" t="n">
        <v>301.3667388</v>
      </c>
      <c r="AA227" s="411" t="n">
        <v>300.70496655</v>
      </c>
      <c r="AB227" s="411" t="n">
        <v>300.05480745</v>
      </c>
      <c r="AC227" s="411" t="n">
        <v>300.05480745</v>
      </c>
      <c r="AD227" s="411" t="n">
        <v>301.3325199</v>
      </c>
      <c r="AE227" s="411" t="n">
        <v>299.2164444</v>
      </c>
      <c r="AF227" s="411" t="n">
        <v>224.43103845</v>
      </c>
    </row>
    <row r="228" customFormat="false" ht="11.25" hidden="false" customHeight="false" outlineLevel="0" collapsed="false">
      <c r="A228" s="361"/>
      <c r="B228" s="241"/>
      <c r="C228" s="241"/>
      <c r="D228" s="283"/>
      <c r="E228" s="366" t="str">
        <f aca="false">+" Amount per "&amp;H227</f>
        <v> Amount per MWH</v>
      </c>
      <c r="F228" s="283"/>
      <c r="G228" s="283"/>
      <c r="H228" s="420"/>
      <c r="I228" s="421" t="n">
        <f aca="false" t="array" ref="I228:AF228">+-TRANSPOSE(CALC!ID17:ID40)</f>
        <v>-0</v>
      </c>
      <c r="J228" s="421" t="e">
        <v>#VALUE!</v>
      </c>
      <c r="K228" s="421" t="e">
        <v>#VALUE!</v>
      </c>
      <c r="L228" s="421" t="e">
        <v>#VALUE!</v>
      </c>
      <c r="M228" s="421" t="e">
        <v>#VALUE!</v>
      </c>
      <c r="N228" s="421" t="e">
        <v>#VALUE!</v>
      </c>
      <c r="O228" s="421" t="e">
        <v>#VALUE!</v>
      </c>
      <c r="P228" s="421" t="e">
        <v>#VALUE!</v>
      </c>
      <c r="Q228" s="421" t="e">
        <v>#VALUE!</v>
      </c>
      <c r="R228" s="421" t="e">
        <v>#VALUE!</v>
      </c>
      <c r="S228" s="421" t="e">
        <v>#VALUE!</v>
      </c>
      <c r="T228" s="421" t="e">
        <v>#VALUE!</v>
      </c>
      <c r="U228" s="421" t="e">
        <v>#VALUE!</v>
      </c>
      <c r="V228" s="421" t="e">
        <v>#VALUE!</v>
      </c>
      <c r="W228" s="421" t="e">
        <v>#VALUE!</v>
      </c>
      <c r="X228" s="421" t="e">
        <v>#VALUE!</v>
      </c>
      <c r="Y228" s="421" t="e">
        <v>#VALUE!</v>
      </c>
      <c r="Z228" s="421" t="e">
        <v>#VALUE!</v>
      </c>
      <c r="AA228" s="421" t="e">
        <v>#VALUE!</v>
      </c>
      <c r="AB228" s="421" t="e">
        <v>#VALUE!</v>
      </c>
      <c r="AC228" s="421" t="e">
        <v>#VALUE!</v>
      </c>
      <c r="AD228" s="421" t="e">
        <v>#VALUE!</v>
      </c>
      <c r="AE228" s="421" t="e">
        <v>#VALUE!</v>
      </c>
      <c r="AF228" s="421" t="e">
        <v>#VALUE!</v>
      </c>
    </row>
    <row r="229" customFormat="false" ht="11.25" hidden="false" customHeight="false" outlineLevel="0" collapsed="false">
      <c r="D229" s="283"/>
      <c r="E229" s="366" t="str">
        <f aca="false">"Currency (USD-1, "&amp;curr2&amp;"-2)"</f>
        <v>Currency (USD-1, Reis-2)</v>
      </c>
      <c r="F229" s="283"/>
      <c r="G229" s="283"/>
      <c r="H229" s="377" t="n">
        <v>1</v>
      </c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  <c r="AA229" s="422"/>
      <c r="AB229" s="422"/>
      <c r="AC229" s="422"/>
      <c r="AD229" s="422"/>
      <c r="AE229" s="422"/>
      <c r="AF229" s="422"/>
    </row>
    <row r="230" customFormat="false" ht="11.25" hidden="false" customHeight="false" outlineLevel="0" collapsed="false">
      <c r="A230" s="361"/>
      <c r="B230" s="283"/>
      <c r="C230" s="283"/>
      <c r="D230" s="283"/>
      <c r="E230" s="366" t="s">
        <v>371</v>
      </c>
      <c r="F230" s="283"/>
      <c r="G230" s="283"/>
      <c r="H230" s="377" t="n">
        <v>1</v>
      </c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  <c r="AA230" s="422"/>
      <c r="AB230" s="422"/>
      <c r="AC230" s="422"/>
      <c r="AD230" s="422"/>
      <c r="AE230" s="422"/>
      <c r="AF230" s="422"/>
    </row>
    <row r="231" customFormat="false" ht="11.25" hidden="false" customHeight="false" outlineLevel="0" collapsed="false">
      <c r="A231" s="361"/>
      <c r="C231" s="361" t="s">
        <v>402</v>
      </c>
      <c r="D231" s="283"/>
      <c r="I231" s="270" t="n">
        <f aca="false">(I228*I227)*CHOOSE($H229,1,I$139)*IF($H229=1,CHOOSE($H230,1,I$130),CHOOSE($H230,1,I$145))</f>
        <v>-0</v>
      </c>
      <c r="J231" s="270" t="e">
        <f aca="false">(J228*J227)*CHOOSE($H229,1,J$139)*IF($H229=1,CHOOSE($H230,1,J$130),CHOOSE($H230,1,J$145))</f>
        <v>#VALUE!</v>
      </c>
      <c r="K231" s="270" t="e">
        <f aca="false">(K228*K227)*CHOOSE($H229,1,K$139)*IF($H229=1,CHOOSE($H230,1,K$130),CHOOSE($H230,1,K$145))</f>
        <v>#VALUE!</v>
      </c>
      <c r="L231" s="270" t="e">
        <f aca="false">(L228*L227)*CHOOSE($H229,1,L$139)*IF($H229=1,CHOOSE($H230,1,L$130),CHOOSE($H230,1,L$145))</f>
        <v>#VALUE!</v>
      </c>
      <c r="M231" s="270" t="e">
        <f aca="false">(M228*M227)*CHOOSE($H229,1,M$139)*IF($H229=1,CHOOSE($H230,1,M$130),CHOOSE($H230,1,M$145))</f>
        <v>#VALUE!</v>
      </c>
      <c r="N231" s="270" t="e">
        <f aca="false">(N228*N227)*CHOOSE($H229,1,N$139)*IF($H229=1,CHOOSE($H230,1,N$130),CHOOSE($H230,1,N$145))</f>
        <v>#VALUE!</v>
      </c>
      <c r="O231" s="270" t="e">
        <f aca="false">(O228*O227)*CHOOSE($H229,1,O$139)*IF($H229=1,CHOOSE($H230,1,O$130),CHOOSE($H230,1,O$145))</f>
        <v>#VALUE!</v>
      </c>
      <c r="P231" s="270" t="e">
        <f aca="false">(P228*P227)*CHOOSE($H229,1,P$139)*IF($H229=1,CHOOSE($H230,1,P$130),CHOOSE($H230,1,P$145))</f>
        <v>#VALUE!</v>
      </c>
      <c r="Q231" s="270" t="e">
        <f aca="false">(Q228*Q227)*CHOOSE($H229,1,Q$139)*IF($H229=1,CHOOSE($H230,1,Q$130),CHOOSE($H230,1,Q$145))</f>
        <v>#VALUE!</v>
      </c>
      <c r="R231" s="270" t="e">
        <f aca="false">(R228*R227)*CHOOSE($H229,1,R$139)*IF($H229=1,CHOOSE($H230,1,R$130),CHOOSE($H230,1,R$145))</f>
        <v>#VALUE!</v>
      </c>
      <c r="S231" s="270" t="e">
        <f aca="false">(S228*S227)*CHOOSE($H229,1,S$139)*IF($H229=1,CHOOSE($H230,1,S$130),CHOOSE($H230,1,S$145))</f>
        <v>#VALUE!</v>
      </c>
      <c r="T231" s="270" t="e">
        <f aca="false">(T228*T227)*CHOOSE($H229,1,T$139)*IF($H229=1,CHOOSE($H230,1,T$130),CHOOSE($H230,1,T$145))</f>
        <v>#VALUE!</v>
      </c>
      <c r="U231" s="270" t="e">
        <f aca="false">(U228*U227)*CHOOSE($H229,1,U$139)*IF($H229=1,CHOOSE($H230,1,U$130),CHOOSE($H230,1,U$145))</f>
        <v>#VALUE!</v>
      </c>
      <c r="V231" s="270" t="e">
        <f aca="false">(V228*V227)*CHOOSE($H229,1,V$139)*IF($H229=1,CHOOSE($H230,1,V$130),CHOOSE($H230,1,V$145))</f>
        <v>#VALUE!</v>
      </c>
      <c r="W231" s="270" t="e">
        <f aca="false">(W228*W227)*CHOOSE($H229,1,W$139)*IF($H229=1,CHOOSE($H230,1,W$130),CHOOSE($H230,1,W$145))</f>
        <v>#VALUE!</v>
      </c>
      <c r="X231" s="270" t="e">
        <f aca="false">(X228*X227)*CHOOSE($H229,1,X$139)*IF($H229=1,CHOOSE($H230,1,X$130),CHOOSE($H230,1,X$145))</f>
        <v>#VALUE!</v>
      </c>
      <c r="Y231" s="270" t="e">
        <f aca="false">(Y228*Y227)*CHOOSE($H229,1,Y$139)*IF($H229=1,CHOOSE($H230,1,Y$130),CHOOSE($H230,1,Y$145))</f>
        <v>#VALUE!</v>
      </c>
      <c r="Z231" s="270" t="e">
        <f aca="false">(Z228*Z227)*CHOOSE($H229,1,Z$139)*IF($H229=1,CHOOSE($H230,1,Z$130),CHOOSE($H230,1,Z$145))</f>
        <v>#VALUE!</v>
      </c>
      <c r="AA231" s="270" t="e">
        <f aca="false">(AA228*AA227)*CHOOSE($H229,1,AA$139)*IF($H229=1,CHOOSE($H230,1,AA$130),CHOOSE($H230,1,AA$145))</f>
        <v>#VALUE!</v>
      </c>
      <c r="AB231" s="270" t="e">
        <f aca="false">(AB228*AB227)*CHOOSE($H229,1,AB$139)*IF($H229=1,CHOOSE($H230,1,AB$130),CHOOSE($H230,1,AB$145))</f>
        <v>#VALUE!</v>
      </c>
      <c r="AC231" s="270" t="e">
        <f aca="false">(AC228*AC227)*CHOOSE($H229,1,AC$139)*IF($H229=1,CHOOSE($H230,1,AC$130),CHOOSE($H230,1,AC$145))</f>
        <v>#VALUE!</v>
      </c>
      <c r="AD231" s="270" t="e">
        <f aca="false">(AD228*AD227)*CHOOSE($H229,1,AD$139)*IF($H229=1,CHOOSE($H230,1,AD$130),CHOOSE($H230,1,AD$145))</f>
        <v>#VALUE!</v>
      </c>
      <c r="AE231" s="270" t="e">
        <f aca="false">(AE228*AE227)*CHOOSE($H229,1,AE$139)*IF($H229=1,CHOOSE($H230,1,AE$130),CHOOSE($H230,1,AE$145))</f>
        <v>#VALUE!</v>
      </c>
      <c r="AF231" s="270" t="e">
        <f aca="false">(AF228*AF227)*CHOOSE($H229,1,AF$139)*IF($H229=1,CHOOSE($H230,1,AF$130),CHOOSE($H230,1,AF$145))</f>
        <v>#VALUE!</v>
      </c>
    </row>
    <row r="232" customFormat="false" ht="11.25" hidden="false" customHeight="false" outlineLevel="0" collapsed="false">
      <c r="A232" s="361"/>
      <c r="B232" s="361"/>
      <c r="C232" s="283"/>
      <c r="D232" s="283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</row>
    <row r="233" customFormat="false" ht="11.25" hidden="false" customHeight="false" outlineLevel="0" collapsed="false">
      <c r="A233" s="265" t="s">
        <v>405</v>
      </c>
      <c r="B233" s="241"/>
      <c r="C233" s="241"/>
      <c r="E233" s="417" t="s">
        <v>400</v>
      </c>
      <c r="F233" s="411"/>
      <c r="G233" s="411"/>
      <c r="H233" s="418" t="s">
        <v>404</v>
      </c>
      <c r="I233" s="411" t="n">
        <f aca="false" t="array" ref="I233:AF233">+TRANSPOSE(CALC!II17:II40)/1000</f>
        <v>0</v>
      </c>
      <c r="J233" s="411" t="e">
        <v>#VALUE!</v>
      </c>
      <c r="K233" s="411" t="e">
        <v>#VALUE!</v>
      </c>
      <c r="L233" s="411" t="e">
        <v>#VALUE!</v>
      </c>
      <c r="M233" s="411" t="e">
        <v>#VALUE!</v>
      </c>
      <c r="N233" s="411" t="e">
        <v>#VALUE!</v>
      </c>
      <c r="O233" s="411" t="e">
        <v>#VALUE!</v>
      </c>
      <c r="P233" s="411" t="e">
        <v>#VALUE!</v>
      </c>
      <c r="Q233" s="411" t="e">
        <v>#VALUE!</v>
      </c>
      <c r="R233" s="411" t="e">
        <v>#VALUE!</v>
      </c>
      <c r="S233" s="411" t="e">
        <v>#VALUE!</v>
      </c>
      <c r="T233" s="411" t="e">
        <v>#VALUE!</v>
      </c>
      <c r="U233" s="411" t="e">
        <v>#VALUE!</v>
      </c>
      <c r="V233" s="411" t="e">
        <v>#VALUE!</v>
      </c>
      <c r="W233" s="411" t="e">
        <v>#VALUE!</v>
      </c>
      <c r="X233" s="411" t="e">
        <v>#VALUE!</v>
      </c>
      <c r="Y233" s="411" t="e">
        <v>#VALUE!</v>
      </c>
      <c r="Z233" s="411" t="e">
        <v>#VALUE!</v>
      </c>
      <c r="AA233" s="411" t="e">
        <v>#VALUE!</v>
      </c>
      <c r="AB233" s="411" t="e">
        <v>#VALUE!</v>
      </c>
      <c r="AC233" s="411" t="e">
        <v>#VALUE!</v>
      </c>
      <c r="AD233" s="411" t="e">
        <v>#VALUE!</v>
      </c>
      <c r="AE233" s="411" t="e">
        <v>#VALUE!</v>
      </c>
      <c r="AF233" s="411" t="e">
        <v>#VALUE!</v>
      </c>
    </row>
    <row r="234" customFormat="false" ht="11.25" hidden="false" customHeight="false" outlineLevel="0" collapsed="false">
      <c r="A234" s="361"/>
      <c r="B234" s="241"/>
      <c r="C234" s="241"/>
      <c r="D234" s="283"/>
      <c r="E234" s="366" t="str">
        <f aca="false">+" Amount per "&amp;H233</f>
        <v> Amount per MWH</v>
      </c>
      <c r="F234" s="283"/>
      <c r="G234" s="283"/>
      <c r="H234" s="420"/>
      <c r="I234" s="421" t="n">
        <f aca="false" t="array" ref="I234:AF234">+-TRANSPOSE(CALC!IJ17:IJ40)</f>
        <v>-0</v>
      </c>
      <c r="J234" s="421" t="e">
        <v>#VALUE!</v>
      </c>
      <c r="K234" s="421" t="e">
        <v>#VALUE!</v>
      </c>
      <c r="L234" s="421" t="e">
        <v>#VALUE!</v>
      </c>
      <c r="M234" s="421" t="e">
        <v>#VALUE!</v>
      </c>
      <c r="N234" s="421" t="e">
        <v>#VALUE!</v>
      </c>
      <c r="O234" s="421" t="e">
        <v>#VALUE!</v>
      </c>
      <c r="P234" s="421" t="e">
        <v>#VALUE!</v>
      </c>
      <c r="Q234" s="421" t="e">
        <v>#VALUE!</v>
      </c>
      <c r="R234" s="421" t="e">
        <v>#VALUE!</v>
      </c>
      <c r="S234" s="421" t="e">
        <v>#VALUE!</v>
      </c>
      <c r="T234" s="421" t="e">
        <v>#VALUE!</v>
      </c>
      <c r="U234" s="421" t="e">
        <v>#VALUE!</v>
      </c>
      <c r="V234" s="421" t="e">
        <v>#VALUE!</v>
      </c>
      <c r="W234" s="421" t="e">
        <v>#VALUE!</v>
      </c>
      <c r="X234" s="421" t="e">
        <v>#VALUE!</v>
      </c>
      <c r="Y234" s="421" t="e">
        <v>#VALUE!</v>
      </c>
      <c r="Z234" s="421" t="e">
        <v>#VALUE!</v>
      </c>
      <c r="AA234" s="421" t="e">
        <v>#VALUE!</v>
      </c>
      <c r="AB234" s="421" t="e">
        <v>#VALUE!</v>
      </c>
      <c r="AC234" s="421" t="e">
        <v>#VALUE!</v>
      </c>
      <c r="AD234" s="421" t="e">
        <v>#VALUE!</v>
      </c>
      <c r="AE234" s="421" t="e">
        <v>#VALUE!</v>
      </c>
      <c r="AF234" s="421" t="e">
        <v>#VALUE!</v>
      </c>
    </row>
    <row r="235" customFormat="false" ht="11.25" hidden="false" customHeight="false" outlineLevel="0" collapsed="false">
      <c r="D235" s="283"/>
      <c r="E235" s="366" t="str">
        <f aca="false">"Currency (USD-1, "&amp;curr2&amp;"-2)"</f>
        <v>Currency (USD-1, Reis-2)</v>
      </c>
      <c r="F235" s="283"/>
      <c r="G235" s="283"/>
      <c r="H235" s="377" t="n">
        <v>1</v>
      </c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  <c r="AA235" s="422"/>
      <c r="AB235" s="422"/>
      <c r="AC235" s="422"/>
      <c r="AD235" s="422"/>
      <c r="AE235" s="422"/>
      <c r="AF235" s="422"/>
    </row>
    <row r="236" customFormat="false" ht="11.25" hidden="false" customHeight="false" outlineLevel="0" collapsed="false">
      <c r="A236" s="361"/>
      <c r="B236" s="283"/>
      <c r="C236" s="283"/>
      <c r="D236" s="283"/>
      <c r="E236" s="366" t="s">
        <v>371</v>
      </c>
      <c r="F236" s="283"/>
      <c r="G236" s="283"/>
      <c r="H236" s="377" t="n">
        <v>1</v>
      </c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  <c r="AA236" s="422"/>
      <c r="AB236" s="422"/>
      <c r="AC236" s="422"/>
      <c r="AD236" s="422"/>
      <c r="AE236" s="422"/>
      <c r="AF236" s="422"/>
    </row>
    <row r="237" customFormat="false" ht="11.25" hidden="false" customHeight="false" outlineLevel="0" collapsed="false">
      <c r="A237" s="361"/>
      <c r="C237" s="361" t="s">
        <v>402</v>
      </c>
      <c r="D237" s="283"/>
      <c r="I237" s="270" t="n">
        <f aca="false">(I234*I233)*CHOOSE($H235,1,I$139)*IF($H235=1,CHOOSE($H236,1,I$130),CHOOSE($H236,1,I$145))</f>
        <v>-0</v>
      </c>
      <c r="J237" s="270" t="e">
        <f aca="false">(J234*J233)*CHOOSE($H235,1,J$139)*IF($H235=1,CHOOSE($H236,1,J$130),CHOOSE($H236,1,J$145))</f>
        <v>#VALUE!</v>
      </c>
      <c r="K237" s="270" t="e">
        <f aca="false">(K234*K233)*CHOOSE($H235,1,K$139)*IF($H235=1,CHOOSE($H236,1,K$130),CHOOSE($H236,1,K$145))</f>
        <v>#VALUE!</v>
      </c>
      <c r="L237" s="270" t="e">
        <f aca="false">(L234*L233)*CHOOSE($H235,1,L$139)*IF($H235=1,CHOOSE($H236,1,L$130),CHOOSE($H236,1,L$145))</f>
        <v>#VALUE!</v>
      </c>
      <c r="M237" s="270" t="e">
        <f aca="false">(M234*M233)*CHOOSE($H235,1,M$139)*IF($H235=1,CHOOSE($H236,1,M$130),CHOOSE($H236,1,M$145))</f>
        <v>#VALUE!</v>
      </c>
      <c r="N237" s="270" t="e">
        <f aca="false">(N234*N233)*CHOOSE($H235,1,N$139)*IF($H235=1,CHOOSE($H236,1,N$130),CHOOSE($H236,1,N$145))</f>
        <v>#VALUE!</v>
      </c>
      <c r="O237" s="270" t="e">
        <f aca="false">(O234*O233)*CHOOSE($H235,1,O$139)*IF($H235=1,CHOOSE($H236,1,O$130),CHOOSE($H236,1,O$145))</f>
        <v>#VALUE!</v>
      </c>
      <c r="P237" s="270" t="e">
        <f aca="false">(P234*P233)*CHOOSE($H235,1,P$139)*IF($H235=1,CHOOSE($H236,1,P$130),CHOOSE($H236,1,P$145))</f>
        <v>#VALUE!</v>
      </c>
      <c r="Q237" s="270" t="e">
        <f aca="false">(Q234*Q233)*CHOOSE($H235,1,Q$139)*IF($H235=1,CHOOSE($H236,1,Q$130),CHOOSE($H236,1,Q$145))</f>
        <v>#VALUE!</v>
      </c>
      <c r="R237" s="270" t="e">
        <f aca="false">(R234*R233)*CHOOSE($H235,1,R$139)*IF($H235=1,CHOOSE($H236,1,R$130),CHOOSE($H236,1,R$145))</f>
        <v>#VALUE!</v>
      </c>
      <c r="S237" s="270" t="e">
        <f aca="false">(S234*S233)*CHOOSE($H235,1,S$139)*IF($H235=1,CHOOSE($H236,1,S$130),CHOOSE($H236,1,S$145))</f>
        <v>#VALUE!</v>
      </c>
      <c r="T237" s="270" t="e">
        <f aca="false">(T234*T233)*CHOOSE($H235,1,T$139)*IF($H235=1,CHOOSE($H236,1,T$130),CHOOSE($H236,1,T$145))</f>
        <v>#VALUE!</v>
      </c>
      <c r="U237" s="270" t="e">
        <f aca="false">(U234*U233)*CHOOSE($H235,1,U$139)*IF($H235=1,CHOOSE($H236,1,U$130),CHOOSE($H236,1,U$145))</f>
        <v>#VALUE!</v>
      </c>
      <c r="V237" s="270" t="e">
        <f aca="false">(V234*V233)*CHOOSE($H235,1,V$139)*IF($H235=1,CHOOSE($H236,1,V$130),CHOOSE($H236,1,V$145))</f>
        <v>#VALUE!</v>
      </c>
      <c r="W237" s="270" t="e">
        <f aca="false">(W234*W233)*CHOOSE($H235,1,W$139)*IF($H235=1,CHOOSE($H236,1,W$130),CHOOSE($H236,1,W$145))</f>
        <v>#VALUE!</v>
      </c>
      <c r="X237" s="270" t="e">
        <f aca="false">(X234*X233)*CHOOSE($H235,1,X$139)*IF($H235=1,CHOOSE($H236,1,X$130),CHOOSE($H236,1,X$145))</f>
        <v>#VALUE!</v>
      </c>
      <c r="Y237" s="270" t="e">
        <f aca="false">(Y234*Y233)*CHOOSE($H235,1,Y$139)*IF($H235=1,CHOOSE($H236,1,Y$130),CHOOSE($H236,1,Y$145))</f>
        <v>#VALUE!</v>
      </c>
      <c r="Z237" s="270" t="e">
        <f aca="false">(Z234*Z233)*CHOOSE($H235,1,Z$139)*IF($H235=1,CHOOSE($H236,1,Z$130),CHOOSE($H236,1,Z$145))</f>
        <v>#VALUE!</v>
      </c>
      <c r="AA237" s="270" t="e">
        <f aca="false">(AA234*AA233)*CHOOSE($H235,1,AA$139)*IF($H235=1,CHOOSE($H236,1,AA$130),CHOOSE($H236,1,AA$145))</f>
        <v>#VALUE!</v>
      </c>
      <c r="AB237" s="270" t="e">
        <f aca="false">(AB234*AB233)*CHOOSE($H235,1,AB$139)*IF($H235=1,CHOOSE($H236,1,AB$130),CHOOSE($H236,1,AB$145))</f>
        <v>#VALUE!</v>
      </c>
      <c r="AC237" s="270" t="e">
        <f aca="false">(AC234*AC233)*CHOOSE($H235,1,AC$139)*IF($H235=1,CHOOSE($H236,1,AC$130),CHOOSE($H236,1,AC$145))</f>
        <v>#VALUE!</v>
      </c>
      <c r="AD237" s="270" t="e">
        <f aca="false">(AD234*AD233)*CHOOSE($H235,1,AD$139)*IF($H235=1,CHOOSE($H236,1,AD$130),CHOOSE($H236,1,AD$145))</f>
        <v>#VALUE!</v>
      </c>
      <c r="AE237" s="270" t="e">
        <f aca="false">(AE234*AE233)*CHOOSE($H235,1,AE$139)*IF($H235=1,CHOOSE($H236,1,AE$130),CHOOSE($H236,1,AE$145))</f>
        <v>#VALUE!</v>
      </c>
      <c r="AF237" s="270" t="e">
        <f aca="false">(AF234*AF233)*CHOOSE($H235,1,AF$139)*IF($H235=1,CHOOSE($H236,1,AF$130),CHOOSE($H236,1,AF$145))</f>
        <v>#VALUE!</v>
      </c>
    </row>
    <row r="238" customFormat="false" ht="11.25" hidden="false" customHeight="false" outlineLevel="0" collapsed="false">
      <c r="A238" s="361"/>
      <c r="B238" s="361"/>
      <c r="C238" s="283"/>
      <c r="D238" s="283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  <c r="AA238" s="270"/>
      <c r="AB238" s="270"/>
      <c r="AC238" s="270"/>
      <c r="AD238" s="270"/>
      <c r="AE238" s="270"/>
      <c r="AF238" s="270"/>
    </row>
    <row r="239" customFormat="false" ht="11.25" hidden="false" customHeight="false" outlineLevel="0" collapsed="false">
      <c r="A239" s="265" t="s">
        <v>406</v>
      </c>
      <c r="B239" s="361"/>
      <c r="C239" s="283"/>
      <c r="D239" s="283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</row>
    <row r="240" customFormat="false" ht="11.25" hidden="false" customHeight="false" outlineLevel="0" collapsed="false">
      <c r="A240" s="361"/>
      <c r="B240" s="361"/>
      <c r="C240" s="361" t="s">
        <v>402</v>
      </c>
      <c r="D240" s="283"/>
      <c r="I240" s="419" t="n">
        <f aca="false" t="array" ref="I240:AF240">-TRANSPOSE(CALC!IH17:IH40)/1000</f>
        <v>0</v>
      </c>
      <c r="J240" s="419" t="n">
        <v>374.66240140419</v>
      </c>
      <c r="K240" s="419" t="n">
        <v>721.805545439521</v>
      </c>
      <c r="L240" s="419" t="n">
        <v>704.961459137851</v>
      </c>
      <c r="M240" s="419" t="n">
        <v>293.884488575712</v>
      </c>
      <c r="N240" s="419" t="n">
        <v>279.423378697356</v>
      </c>
      <c r="O240" s="419" t="n">
        <v>249.340688905851</v>
      </c>
      <c r="P240" s="419" t="n">
        <v>280.641134008154</v>
      </c>
      <c r="Q240" s="419" t="n">
        <v>291.864348733334</v>
      </c>
      <c r="R240" s="419" t="n">
        <v>310.780202853162</v>
      </c>
      <c r="S240" s="419" t="n">
        <v>306.292301550095</v>
      </c>
      <c r="T240" s="419" t="n">
        <v>326.040877503491</v>
      </c>
      <c r="U240" s="419" t="n">
        <v>324.381948252626</v>
      </c>
      <c r="V240" s="419" t="n">
        <v>335.33237500123</v>
      </c>
      <c r="W240" s="419" t="n">
        <v>339.652746936723</v>
      </c>
      <c r="X240" s="419" t="n">
        <v>350.950789462446</v>
      </c>
      <c r="Y240" s="419" t="n">
        <v>361.479313146319</v>
      </c>
      <c r="Z240" s="419" t="n">
        <v>371.343721425055</v>
      </c>
      <c r="AA240" s="419" t="n">
        <v>382.147576318099</v>
      </c>
      <c r="AB240" s="419" t="n">
        <v>390.97822017093</v>
      </c>
      <c r="AC240" s="419" t="n">
        <v>402.707566776058</v>
      </c>
      <c r="AD240" s="419" t="n">
        <v>417.80356785219</v>
      </c>
      <c r="AE240" s="419" t="n">
        <v>423.521344240115</v>
      </c>
      <c r="AF240" s="419" t="n">
        <v>95.2491323599241</v>
      </c>
    </row>
    <row r="241" customFormat="false" ht="11.25" hidden="false" customHeight="false" outlineLevel="0" collapsed="false">
      <c r="A241" s="265" t="s">
        <v>407</v>
      </c>
      <c r="B241" s="361"/>
      <c r="C241" s="283"/>
      <c r="D241" s="283"/>
      <c r="I241" s="270"/>
      <c r="J241" s="270" t="n">
        <f aca="false">SUMIF(SharingAgrmt!$Y$6:$Y$30,CCFMODEL!J3,SharingAgrmt!$AB$6:$AB$30)/1000</f>
        <v>2631.81744088952</v>
      </c>
      <c r="K241" s="270" t="n">
        <f aca="false">SUMIF(SharingAgrmt!$Y$6:$Y$30,CCFMODEL!K3,SharingAgrmt!$AB$6:$AB$30)/1000</f>
        <v>526.834395950336</v>
      </c>
      <c r="L241" s="270" t="n">
        <f aca="false">SUMIF(SharingAgrmt!$Y$6:$Y$30,CCFMODEL!L3,SharingAgrmt!$AB$6:$AB$30)/1000</f>
        <v>308.578506329144</v>
      </c>
      <c r="M241" s="270" t="n">
        <f aca="false">SUMIF(SharingAgrmt!$Y$6:$Y$30,CCFMODEL!M3,SharingAgrmt!$AB$6:$AB$30)/1000</f>
        <v>264.309694835194</v>
      </c>
      <c r="N241" s="270" t="n">
        <f aca="false">SUMIF(SharingAgrmt!$Y$6:$Y$30,CCFMODEL!N3,SharingAgrmt!$AB$6:$AB$30)/1000</f>
        <v>166.536156764661</v>
      </c>
      <c r="O241" s="270" t="n">
        <f aca="false">SUMIF(SharingAgrmt!$Y$6:$Y$30,CCFMODEL!O3,SharingAgrmt!$AB$6:$AB$30)/1000</f>
        <v>274.023779624337</v>
      </c>
      <c r="P241" s="270" t="n">
        <f aca="false">SUMIF(SharingAgrmt!$Y$6:$Y$30,CCFMODEL!P3,SharingAgrmt!$AB$6:$AB$30)/1000</f>
        <v>305.334539245103</v>
      </c>
      <c r="Q241" s="270" t="n">
        <f aca="false">SUMIF(SharingAgrmt!$Y$6:$Y$30,CCFMODEL!Q3,SharingAgrmt!$AB$6:$AB$30)/1000</f>
        <v>338.257623188017</v>
      </c>
      <c r="R241" s="270" t="n">
        <f aca="false">SUMIF(SharingAgrmt!$Y$6:$Y$30,CCFMODEL!R3,SharingAgrmt!$AB$6:$AB$30)/1000</f>
        <v>382.005910267853</v>
      </c>
      <c r="S241" s="270" t="n">
        <f aca="false">SUMIF(SharingAgrmt!$Y$6:$Y$30,CCFMODEL!S3,SharingAgrmt!$AB$6:$AB$30)/1000</f>
        <v>392.216107695174</v>
      </c>
      <c r="T241" s="270" t="n">
        <f aca="false">SUMIF(SharingAgrmt!$Y$6:$Y$30,CCFMODEL!T3,SharingAgrmt!$AB$6:$AB$30)/1000</f>
        <v>392.536392136881</v>
      </c>
      <c r="U241" s="270" t="n">
        <f aca="false">SUMIF(SharingAgrmt!$Y$6:$Y$30,CCFMODEL!U3,SharingAgrmt!$AB$6:$AB$30)/1000</f>
        <v>400.863863397072</v>
      </c>
      <c r="V241" s="270" t="n">
        <f aca="false">SUMIF(SharingAgrmt!$Y$6:$Y$30,CCFMODEL!V3,SharingAgrmt!$AB$6:$AB$30)/1000</f>
        <v>413.017648541815</v>
      </c>
      <c r="W241" s="270" t="n">
        <f aca="false">SUMIF(SharingAgrmt!$Y$6:$Y$30,CCFMODEL!W3,SharingAgrmt!$AB$6:$AB$30)/1000</f>
        <v>426.289647719165</v>
      </c>
      <c r="X241" s="270" t="n">
        <f aca="false">SUMIF(SharingAgrmt!$Y$6:$Y$30,CCFMODEL!X3,SharingAgrmt!$AB$6:$AB$30)/1000</f>
        <v>426.393183154104</v>
      </c>
      <c r="Y241" s="270" t="n">
        <f aca="false">SUMIF(SharingAgrmt!$Y$6:$Y$30,CCFMODEL!Y3,SharingAgrmt!$AB$6:$AB$30)/1000</f>
        <v>467.982003525324</v>
      </c>
      <c r="Z241" s="270" t="n">
        <f aca="false">SUMIF(SharingAgrmt!$Y$6:$Y$30,CCFMODEL!Z3,SharingAgrmt!$AB$6:$AB$30)/1000</f>
        <v>492.197658174097</v>
      </c>
      <c r="AA241" s="270" t="n">
        <f aca="false">SUMIF(SharingAgrmt!$Y$6:$Y$30,CCFMODEL!AA3,SharingAgrmt!$AB$6:$AB$30)/1000</f>
        <v>487.526194147145</v>
      </c>
      <c r="AB241" s="270" t="n">
        <f aca="false">SUMIF(SharingAgrmt!$Y$6:$Y$30,CCFMODEL!AB3,SharingAgrmt!$AB$6:$AB$30)/1000</f>
        <v>469.970624450458</v>
      </c>
      <c r="AC241" s="270" t="n">
        <f aca="false">SUMIF(SharingAgrmt!$Y$6:$Y$30,CCFMODEL!AC3,SharingAgrmt!$AB$6:$AB$30)/1000</f>
        <v>513.820199543183</v>
      </c>
      <c r="AD241" s="270" t="n">
        <f aca="false">SUMIF(SharingAgrmt!$Y$6:$Y$30,CCFMODEL!AD3,SharingAgrmt!$AB$6:$AB$30)/1000</f>
        <v>490.19430018616</v>
      </c>
      <c r="AE241" s="270" t="n">
        <f aca="false">SUMIF(SharingAgrmt!$Y$6:$Y$30,CCFMODEL!AE3,SharingAgrmt!$AB$6:$AB$30)/1000</f>
        <v>515.311754853554</v>
      </c>
      <c r="AF241" s="270" t="n">
        <f aca="false">SUMIF(SharingAgrmt!$Y$6:$Y$30,CCFMODEL!AF3,SharingAgrmt!$AB$6:$AB$30)/1000</f>
        <v>91.8030673250204</v>
      </c>
    </row>
    <row r="242" customFormat="false" ht="11.25" hidden="false" customHeight="false" outlineLevel="0" collapsed="false">
      <c r="A242" s="361"/>
      <c r="B242" s="361" t="s">
        <v>408</v>
      </c>
      <c r="C242" s="283"/>
      <c r="D242" s="283"/>
      <c r="I242" s="423" t="n">
        <f aca="false">+I225+I231+I237+I240</f>
        <v>0</v>
      </c>
      <c r="J242" s="423" t="e">
        <f aca="false">+J225+J231+J237+J240+J241</f>
        <v>#VALUE!</v>
      </c>
      <c r="K242" s="423" t="e">
        <f aca="false">+K225+K231+K237+K240+K241</f>
        <v>#VALUE!</v>
      </c>
      <c r="L242" s="423" t="e">
        <f aca="false">+L225+L231+L237+L240+L241</f>
        <v>#VALUE!</v>
      </c>
      <c r="M242" s="423" t="e">
        <f aca="false">+M225+M231+M237+M240+M241</f>
        <v>#VALUE!</v>
      </c>
      <c r="N242" s="423" t="e">
        <f aca="false">+N225+N231+N237+N240+N241</f>
        <v>#VALUE!</v>
      </c>
      <c r="O242" s="423" t="e">
        <f aca="false">+O225+O231+O237+O240+O241</f>
        <v>#VALUE!</v>
      </c>
      <c r="P242" s="423" t="e">
        <f aca="false">+P225+P231+P237+P240+P241</f>
        <v>#VALUE!</v>
      </c>
      <c r="Q242" s="423" t="e">
        <f aca="false">+Q225+Q231+Q237+Q240+Q241</f>
        <v>#VALUE!</v>
      </c>
      <c r="R242" s="423" t="e">
        <f aca="false">+R225+R231+R237+R240+R241</f>
        <v>#VALUE!</v>
      </c>
      <c r="S242" s="423" t="e">
        <f aca="false">+S225+S231+S237+S240+S241</f>
        <v>#VALUE!</v>
      </c>
      <c r="T242" s="423" t="e">
        <f aca="false">+T225+T231+T237+T240+T241</f>
        <v>#VALUE!</v>
      </c>
      <c r="U242" s="423" t="e">
        <f aca="false">+U225+U231+U237+U240+U241</f>
        <v>#VALUE!</v>
      </c>
      <c r="V242" s="423" t="e">
        <f aca="false">+V225+V231+V237+V240+V241</f>
        <v>#VALUE!</v>
      </c>
      <c r="W242" s="423" t="e">
        <f aca="false">+W225+W231+W237+W240+W241</f>
        <v>#VALUE!</v>
      </c>
      <c r="X242" s="423" t="e">
        <f aca="false">+X225+X231+X237+X240+X241</f>
        <v>#VALUE!</v>
      </c>
      <c r="Y242" s="423" t="e">
        <f aca="false">+Y225+Y231+Y237+Y240+Y241</f>
        <v>#VALUE!</v>
      </c>
      <c r="Z242" s="423" t="e">
        <f aca="false">+Z225+Z231+Z237+Z240+Z241</f>
        <v>#VALUE!</v>
      </c>
      <c r="AA242" s="423" t="e">
        <f aca="false">+AA225+AA231+AA237+AA240+AA241</f>
        <v>#VALUE!</v>
      </c>
      <c r="AB242" s="423" t="e">
        <f aca="false">+AB225+AB231+AB237+AB240+AB241</f>
        <v>#VALUE!</v>
      </c>
      <c r="AC242" s="423" t="e">
        <f aca="false">+AC225+AC231+AC237+AC240+AC241</f>
        <v>#VALUE!</v>
      </c>
      <c r="AD242" s="423" t="e">
        <f aca="false">+AD225+AD231+AD237+AD240+AD241</f>
        <v>#VALUE!</v>
      </c>
      <c r="AE242" s="423" t="e">
        <f aca="false">+AE225+AE231+AE237+AE240+AE241</f>
        <v>#VALUE!</v>
      </c>
      <c r="AF242" s="423" t="e">
        <f aca="false">+AF225+AF231+AF237+AF240+AF241</f>
        <v>#VALUE!</v>
      </c>
    </row>
    <row r="243" customFormat="false" ht="11.25" hidden="false" customHeight="false" outlineLevel="0" collapsed="false">
      <c r="A243" s="361"/>
      <c r="B243" s="361"/>
      <c r="C243" s="283"/>
      <c r="D243" s="283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</row>
    <row r="244" customFormat="false" ht="12.75" hidden="false" customHeight="false" outlineLevel="0" collapsed="false">
      <c r="A244" s="341" t="s">
        <v>409</v>
      </c>
      <c r="B244" s="241"/>
      <c r="C244" s="241" t="s">
        <v>410</v>
      </c>
      <c r="E244" s="241"/>
      <c r="F244" s="241"/>
      <c r="G244" s="0"/>
      <c r="H244" s="241" t="s">
        <v>0</v>
      </c>
      <c r="I244" s="416"/>
      <c r="J244" s="416"/>
      <c r="K244" s="416"/>
      <c r="L244" s="416"/>
      <c r="M244" s="416"/>
      <c r="N244" s="416"/>
      <c r="O244" s="416"/>
      <c r="P244" s="416"/>
      <c r="Q244" s="416"/>
      <c r="R244" s="416"/>
      <c r="S244" s="416"/>
      <c r="T244" s="416"/>
      <c r="U244" s="416"/>
      <c r="V244" s="416"/>
      <c r="W244" s="416"/>
      <c r="X244" s="416"/>
      <c r="Y244" s="416"/>
      <c r="Z244" s="416"/>
      <c r="AA244" s="416"/>
      <c r="AB244" s="416"/>
      <c r="AC244" s="416"/>
      <c r="AD244" s="416"/>
      <c r="AE244" s="416"/>
      <c r="AF244" s="416"/>
    </row>
    <row r="245" customFormat="false" ht="11.25" hidden="false" customHeight="false" outlineLevel="0" collapsed="false">
      <c r="A245" s="415"/>
      <c r="B245" s="241"/>
      <c r="C245" s="241"/>
      <c r="E245" s="241" t="s">
        <v>411</v>
      </c>
      <c r="F245" s="241"/>
      <c r="G245" s="241"/>
      <c r="H245" s="424" t="n">
        <v>1</v>
      </c>
      <c r="I245" s="425"/>
      <c r="J245" s="426" t="n">
        <v>0</v>
      </c>
      <c r="K245" s="426" t="n">
        <v>0</v>
      </c>
      <c r="L245" s="426" t="n">
        <v>0</v>
      </c>
      <c r="M245" s="426" t="n">
        <v>0</v>
      </c>
      <c r="N245" s="426" t="n">
        <v>0</v>
      </c>
      <c r="O245" s="426" t="n">
        <v>0</v>
      </c>
      <c r="P245" s="426" t="n">
        <v>0</v>
      </c>
      <c r="Q245" s="426" t="n">
        <v>0</v>
      </c>
      <c r="R245" s="426" t="n">
        <v>0</v>
      </c>
      <c r="S245" s="426" t="n">
        <v>0</v>
      </c>
      <c r="T245" s="426" t="n">
        <v>0</v>
      </c>
      <c r="U245" s="426" t="n">
        <v>0</v>
      </c>
      <c r="V245" s="426" t="n">
        <v>0</v>
      </c>
      <c r="W245" s="426" t="n">
        <v>0</v>
      </c>
      <c r="X245" s="426" t="n">
        <v>0</v>
      </c>
      <c r="Y245" s="426" t="n">
        <v>0</v>
      </c>
      <c r="Z245" s="426" t="n">
        <v>0</v>
      </c>
      <c r="AA245" s="426" t="n">
        <v>0</v>
      </c>
      <c r="AB245" s="426" t="n">
        <v>0</v>
      </c>
      <c r="AC245" s="426" t="n">
        <v>0</v>
      </c>
      <c r="AD245" s="426" t="n">
        <v>0</v>
      </c>
      <c r="AE245" s="426" t="n">
        <v>0</v>
      </c>
      <c r="AF245" s="426" t="n">
        <v>0</v>
      </c>
    </row>
    <row r="246" customFormat="false" ht="11.25" hidden="false" customHeight="false" outlineLevel="0" collapsed="false">
      <c r="A246" s="415"/>
      <c r="B246" s="241"/>
      <c r="C246" s="241"/>
      <c r="E246" s="366" t="s">
        <v>412</v>
      </c>
      <c r="F246" s="283"/>
      <c r="G246" s="283"/>
      <c r="H246" s="424" t="n">
        <v>0</v>
      </c>
      <c r="I246" s="416"/>
      <c r="J246" s="416"/>
      <c r="K246" s="416"/>
      <c r="L246" s="416"/>
      <c r="M246" s="416"/>
      <c r="N246" s="416"/>
      <c r="O246" s="416"/>
      <c r="P246" s="416"/>
      <c r="Q246" s="416"/>
      <c r="R246" s="416"/>
      <c r="S246" s="416"/>
      <c r="T246" s="416"/>
      <c r="U246" s="416"/>
      <c r="V246" s="416"/>
      <c r="W246" s="416"/>
      <c r="X246" s="416"/>
      <c r="Y246" s="416"/>
      <c r="Z246" s="416"/>
      <c r="AA246" s="416"/>
      <c r="AB246" s="416"/>
      <c r="AC246" s="416"/>
      <c r="AD246" s="416"/>
      <c r="AE246" s="416"/>
      <c r="AF246" s="416"/>
    </row>
    <row r="247" customFormat="false" ht="11.25" hidden="false" customHeight="false" outlineLevel="0" collapsed="false">
      <c r="A247" s="415"/>
      <c r="B247" s="297"/>
      <c r="E247" s="366" t="str">
        <f aca="false">"Currency (USD-1, "&amp;curr2&amp;"-2)"</f>
        <v>Currency (USD-1, Reis-2)</v>
      </c>
      <c r="F247" s="283"/>
      <c r="G247" s="283"/>
      <c r="H247" s="377" t="n">
        <v>1</v>
      </c>
      <c r="I247" s="416"/>
      <c r="J247" s="416"/>
      <c r="K247" s="416"/>
      <c r="L247" s="416"/>
      <c r="M247" s="416"/>
      <c r="N247" s="416"/>
      <c r="O247" s="416"/>
      <c r="P247" s="416"/>
      <c r="Q247" s="416"/>
      <c r="R247" s="416"/>
      <c r="S247" s="416"/>
      <c r="T247" s="416"/>
      <c r="U247" s="416"/>
      <c r="V247" s="416"/>
      <c r="W247" s="416"/>
      <c r="X247" s="416"/>
      <c r="Y247" s="416"/>
      <c r="Z247" s="416"/>
      <c r="AA247" s="416"/>
      <c r="AB247" s="416"/>
      <c r="AC247" s="416"/>
      <c r="AD247" s="416"/>
      <c r="AE247" s="416"/>
      <c r="AF247" s="416"/>
    </row>
    <row r="248" customFormat="false" ht="11.25" hidden="false" customHeight="false" outlineLevel="0" collapsed="false">
      <c r="A248" s="415"/>
      <c r="B248" s="297"/>
      <c r="E248" s="366" t="s">
        <v>371</v>
      </c>
      <c r="F248" s="283"/>
      <c r="G248" s="283"/>
      <c r="H248" s="377" t="n">
        <v>1</v>
      </c>
      <c r="I248" s="416"/>
      <c r="J248" s="416"/>
      <c r="K248" s="416"/>
      <c r="L248" s="416"/>
      <c r="M248" s="416"/>
      <c r="N248" s="416"/>
      <c r="O248" s="416"/>
      <c r="P248" s="416"/>
      <c r="Q248" s="416"/>
      <c r="R248" s="416"/>
      <c r="S248" s="416"/>
      <c r="T248" s="416"/>
      <c r="U248" s="416"/>
      <c r="V248" s="416"/>
      <c r="W248" s="416"/>
      <c r="X248" s="416"/>
      <c r="Y248" s="416"/>
      <c r="Z248" s="416"/>
      <c r="AA248" s="416"/>
      <c r="AB248" s="416"/>
      <c r="AC248" s="416"/>
      <c r="AD248" s="416"/>
      <c r="AE248" s="416"/>
      <c r="AF248" s="416"/>
    </row>
    <row r="249" customFormat="false" ht="11.25" hidden="false" customHeight="false" outlineLevel="0" collapsed="false">
      <c r="A249" s="415"/>
      <c r="C249" s="361" t="s">
        <v>402</v>
      </c>
      <c r="D249" s="283"/>
      <c r="I249" s="427" t="n">
        <f aca="false">'O&amp;M'!D60*stub</f>
        <v>0</v>
      </c>
      <c r="J249" s="428" t="n">
        <f aca="false">'O&amp;M'!E60</f>
        <v>3338.20391034009</v>
      </c>
      <c r="K249" s="428" t="n">
        <f aca="false">'O&amp;M'!F60</f>
        <v>3322.89990165645</v>
      </c>
      <c r="L249" s="428" t="n">
        <f aca="false">'O&amp;M'!G60</f>
        <v>3157.94011489559</v>
      </c>
      <c r="M249" s="428" t="n">
        <f aca="false">'O&amp;M'!H60</f>
        <v>3227.94078132046</v>
      </c>
      <c r="N249" s="428" t="n">
        <f aca="false">'O&amp;M'!I60</f>
        <v>3302.93397675839</v>
      </c>
      <c r="O249" s="428" t="n">
        <f aca="false">'O&amp;M'!J60</f>
        <v>3374.17745375464</v>
      </c>
      <c r="P249" s="428" t="n">
        <f aca="false">'O&amp;M'!K60</f>
        <v>3450.53674248689</v>
      </c>
      <c r="Q249" s="428" t="n">
        <f aca="false">'O&amp;M'!L60</f>
        <v>3529.14190504398</v>
      </c>
      <c r="R249" s="428" t="n">
        <f aca="false">'O&amp;M'!M60</f>
        <v>3613.07659536074</v>
      </c>
      <c r="S249" s="428" t="n">
        <f aca="false">'O&amp;M'!N60</f>
        <v>3693.35700871705</v>
      </c>
      <c r="T249" s="428" t="n">
        <f aca="false">'O&amp;M'!O60</f>
        <v>3779.1054943716</v>
      </c>
      <c r="U249" s="428" t="n">
        <f aca="false">'O&amp;M'!P60</f>
        <v>3352.87706120522</v>
      </c>
      <c r="V249" s="428" t="n">
        <f aca="false">'O&amp;M'!Q60</f>
        <v>2956.14431951645</v>
      </c>
      <c r="W249" s="428" t="n">
        <f aca="false">'O&amp;M'!R60</f>
        <v>3043.6624743139</v>
      </c>
      <c r="X249" s="428" t="n">
        <f aca="false">'O&amp;M'!S60</f>
        <v>3134.16016937167</v>
      </c>
      <c r="Y249" s="428" t="n">
        <f aca="false">'O&amp;M'!T60</f>
        <v>3227.35330298106</v>
      </c>
      <c r="Z249" s="428" t="n">
        <f aca="false">'O&amp;M'!U60</f>
        <v>3323.72047630312</v>
      </c>
      <c r="AA249" s="428" t="n">
        <f aca="false">'O&amp;M'!V60</f>
        <v>3422.14986785273</v>
      </c>
      <c r="AB249" s="428" t="n">
        <f aca="false">'O&amp;M'!W60</f>
        <v>3523.92136344525</v>
      </c>
      <c r="AC249" s="428" t="n">
        <f aca="false">'O&amp;M'!X60</f>
        <v>3628.72457189492</v>
      </c>
      <c r="AD249" s="428" t="n">
        <f aca="false">'O&amp;M'!Y60</f>
        <v>3737.08776214821</v>
      </c>
      <c r="AE249" s="428" t="n">
        <f aca="false">'O&amp;M'!Z60</f>
        <v>3847.79057620119</v>
      </c>
      <c r="AF249" s="428" t="n">
        <f aca="false">'O&amp;M'!AA60</f>
        <v>3962.24242911648</v>
      </c>
    </row>
    <row r="250" customFormat="false" ht="11.25" hidden="false" customHeight="false" outlineLevel="0" collapsed="false">
      <c r="A250" s="415"/>
      <c r="B250" s="361" t="s">
        <v>413</v>
      </c>
      <c r="C250" s="283"/>
      <c r="D250" s="283"/>
      <c r="I250" s="423" t="n">
        <f aca="false">+I249</f>
        <v>0</v>
      </c>
      <c r="J250" s="423" t="n">
        <f aca="false">SUM(J245:J249)</f>
        <v>3338.20391034009</v>
      </c>
      <c r="K250" s="423" t="n">
        <f aca="false">SUM(K245:K249)</f>
        <v>3322.89990165645</v>
      </c>
      <c r="L250" s="423" t="n">
        <f aca="false">SUM(L245:L249)</f>
        <v>3157.94011489559</v>
      </c>
      <c r="M250" s="423" t="n">
        <f aca="false">SUM(M245:M249)</f>
        <v>3227.94078132046</v>
      </c>
      <c r="N250" s="423" t="n">
        <f aca="false">SUM(N245:N249)</f>
        <v>3302.93397675839</v>
      </c>
      <c r="O250" s="423" t="n">
        <f aca="false">SUM(O245:O249)</f>
        <v>3374.17745375464</v>
      </c>
      <c r="P250" s="423" t="n">
        <f aca="false">SUM(P245:P249)</f>
        <v>3450.53674248689</v>
      </c>
      <c r="Q250" s="423" t="n">
        <f aca="false">SUM(Q245:Q249)</f>
        <v>3529.14190504398</v>
      </c>
      <c r="R250" s="423" t="n">
        <f aca="false">SUM(R245:R249)</f>
        <v>3613.07659536074</v>
      </c>
      <c r="S250" s="423" t="n">
        <f aca="false">SUM(S245:S249)</f>
        <v>3693.35700871705</v>
      </c>
      <c r="T250" s="423" t="n">
        <f aca="false">SUM(T245:T249)</f>
        <v>3779.1054943716</v>
      </c>
      <c r="U250" s="423" t="n">
        <f aca="false">SUM(U245:U249)</f>
        <v>3352.87706120522</v>
      </c>
      <c r="V250" s="423" t="n">
        <f aca="false">SUM(V245:V249)</f>
        <v>2956.14431951645</v>
      </c>
      <c r="W250" s="423" t="n">
        <f aca="false">SUM(W245:W249)</f>
        <v>3043.6624743139</v>
      </c>
      <c r="X250" s="423" t="n">
        <f aca="false">SUM(X245:X249)</f>
        <v>3134.16016937167</v>
      </c>
      <c r="Y250" s="423" t="n">
        <f aca="false">SUM(Y245:Y249)</f>
        <v>3227.35330298106</v>
      </c>
      <c r="Z250" s="423" t="n">
        <f aca="false">SUM(Z245:Z249)</f>
        <v>3323.72047630312</v>
      </c>
      <c r="AA250" s="423" t="n">
        <f aca="false">SUM(AA245:AA249)</f>
        <v>3422.14986785273</v>
      </c>
      <c r="AB250" s="423" t="n">
        <f aca="false">SUM(AB245:AB249)</f>
        <v>3523.92136344525</v>
      </c>
      <c r="AC250" s="423" t="n">
        <f aca="false">SUM(AC245:AC249)</f>
        <v>3628.72457189492</v>
      </c>
      <c r="AD250" s="423" t="n">
        <f aca="false">SUM(AD245:AD249)</f>
        <v>3737.08776214821</v>
      </c>
      <c r="AE250" s="423" t="n">
        <f aca="false">SUM(AE245:AE249)</f>
        <v>3847.79057620119</v>
      </c>
      <c r="AF250" s="423" t="n">
        <f aca="false">SUM(AF245:AF249)</f>
        <v>3962.24242911648</v>
      </c>
    </row>
    <row r="251" customFormat="false" ht="11.25" hidden="false" customHeight="false" outlineLevel="0" collapsed="false">
      <c r="A251" s="415"/>
      <c r="B251" s="361"/>
      <c r="C251" s="283"/>
      <c r="D251" s="283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</row>
    <row r="252" customFormat="false" ht="11.25" hidden="false" customHeight="false" outlineLevel="0" collapsed="false">
      <c r="A252" s="415"/>
      <c r="B252" s="297"/>
      <c r="E252" s="411"/>
      <c r="F252" s="411"/>
      <c r="G252" s="411"/>
      <c r="H252" s="411"/>
      <c r="I252" s="416"/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  <c r="AA252" s="416"/>
      <c r="AB252" s="416"/>
      <c r="AC252" s="416"/>
      <c r="AD252" s="416"/>
      <c r="AE252" s="416"/>
      <c r="AF252" s="416"/>
    </row>
    <row r="253" customFormat="false" ht="11.25" hidden="false" customHeight="false" outlineLevel="0" collapsed="false">
      <c r="A253" s="415"/>
      <c r="B253" s="410" t="s">
        <v>414</v>
      </c>
      <c r="I253" s="429" t="n">
        <f aca="false">+I242+I250</f>
        <v>0</v>
      </c>
      <c r="J253" s="429" t="e">
        <f aca="false">+J242+J250</f>
        <v>#VALUE!</v>
      </c>
      <c r="K253" s="429" t="e">
        <f aca="false">+K242+K250</f>
        <v>#VALUE!</v>
      </c>
      <c r="L253" s="429" t="e">
        <f aca="false">+L242+L250</f>
        <v>#VALUE!</v>
      </c>
      <c r="M253" s="429" t="e">
        <f aca="false">+M242+M250</f>
        <v>#VALUE!</v>
      </c>
      <c r="N253" s="429" t="e">
        <f aca="false">+N242+N250</f>
        <v>#VALUE!</v>
      </c>
      <c r="O253" s="429" t="e">
        <f aca="false">+O242+O250</f>
        <v>#VALUE!</v>
      </c>
      <c r="P253" s="429" t="e">
        <f aca="false">+P242+P250</f>
        <v>#VALUE!</v>
      </c>
      <c r="Q253" s="429" t="e">
        <f aca="false">+Q242+Q250</f>
        <v>#VALUE!</v>
      </c>
      <c r="R253" s="429" t="e">
        <f aca="false">+R242+R250</f>
        <v>#VALUE!</v>
      </c>
      <c r="S253" s="429" t="e">
        <f aca="false">+S242+S250</f>
        <v>#VALUE!</v>
      </c>
      <c r="T253" s="429" t="e">
        <f aca="false">+T242+T250</f>
        <v>#VALUE!</v>
      </c>
      <c r="U253" s="429" t="e">
        <f aca="false">+U242+U250</f>
        <v>#VALUE!</v>
      </c>
      <c r="V253" s="429" t="e">
        <f aca="false">+V242+V250</f>
        <v>#VALUE!</v>
      </c>
      <c r="W253" s="429" t="e">
        <f aca="false">+W242+W250</f>
        <v>#VALUE!</v>
      </c>
      <c r="X253" s="429" t="e">
        <f aca="false">+X242+X250</f>
        <v>#VALUE!</v>
      </c>
      <c r="Y253" s="429" t="e">
        <f aca="false">+Y242+Y250</f>
        <v>#VALUE!</v>
      </c>
      <c r="Z253" s="429" t="e">
        <f aca="false">+Z242+Z250</f>
        <v>#VALUE!</v>
      </c>
      <c r="AA253" s="429" t="e">
        <f aca="false">+AA242+AA250</f>
        <v>#VALUE!</v>
      </c>
      <c r="AB253" s="429" t="e">
        <f aca="false">+AB242+AB250</f>
        <v>#VALUE!</v>
      </c>
      <c r="AC253" s="429" t="e">
        <f aca="false">+AC242+AC250</f>
        <v>#VALUE!</v>
      </c>
      <c r="AD253" s="429" t="e">
        <f aca="false">+AD242+AD250</f>
        <v>#VALUE!</v>
      </c>
      <c r="AE253" s="429" t="e">
        <f aca="false">+AE242+AE250</f>
        <v>#VALUE!</v>
      </c>
      <c r="AF253" s="429" t="e">
        <f aca="false">+AF242+AF250</f>
        <v>#VALUE!</v>
      </c>
    </row>
    <row r="254" customFormat="false" ht="12" hidden="false" customHeight="false" outlineLevel="0" collapsed="false">
      <c r="A254" s="238"/>
      <c r="C254" s="238"/>
      <c r="D254" s="238"/>
      <c r="E254" s="238"/>
      <c r="F254" s="238"/>
      <c r="G254" s="238"/>
      <c r="H254" s="238"/>
      <c r="I254" s="238"/>
      <c r="J254" s="238"/>
      <c r="K254" s="238"/>
      <c r="L254" s="238"/>
      <c r="M254" s="238"/>
      <c r="N254" s="238"/>
      <c r="O254" s="238"/>
      <c r="P254" s="238"/>
      <c r="Q254" s="238"/>
      <c r="R254" s="238"/>
      <c r="S254" s="238"/>
      <c r="T254" s="238"/>
      <c r="U254" s="238"/>
      <c r="V254" s="238"/>
      <c r="W254" s="238"/>
      <c r="X254" s="430"/>
      <c r="Y254" s="430"/>
      <c r="Z254" s="430"/>
      <c r="AA254" s="430"/>
      <c r="AB254" s="430"/>
      <c r="AC254" s="430"/>
      <c r="AD254" s="430"/>
      <c r="AE254" s="430"/>
      <c r="AF254" s="430"/>
    </row>
    <row r="255" customFormat="false" ht="12.75" hidden="false" customHeight="false" outlineLevel="0" collapsed="false">
      <c r="A255" s="431"/>
      <c r="B255" s="260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  <c r="AA255" s="431"/>
      <c r="AB255" s="431"/>
      <c r="AC255" s="431"/>
      <c r="AD255" s="431"/>
      <c r="AE255" s="431"/>
      <c r="AF255" s="431"/>
    </row>
    <row r="256" customFormat="false" ht="12.75" hidden="false" customHeight="false" outlineLevel="0" collapsed="false">
      <c r="A256" s="432" t="s">
        <v>415</v>
      </c>
      <c r="C256" s="238"/>
      <c r="D256" s="238"/>
      <c r="E256" s="238"/>
      <c r="F256" s="238"/>
      <c r="G256" s="238"/>
      <c r="H256" s="238"/>
      <c r="I256" s="263" t="n">
        <f aca="false">+I$3</f>
        <v>36525</v>
      </c>
      <c r="J256" s="264" t="n">
        <f aca="false">+J$3</f>
        <v>2000</v>
      </c>
      <c r="K256" s="264" t="n">
        <f aca="false">+K$3</f>
        <v>2001</v>
      </c>
      <c r="L256" s="264" t="n">
        <f aca="false">+L$3</f>
        <v>2002</v>
      </c>
      <c r="M256" s="264" t="n">
        <f aca="false">+M$3</f>
        <v>2003</v>
      </c>
      <c r="N256" s="264" t="n">
        <f aca="false">+N$3</f>
        <v>2004</v>
      </c>
      <c r="O256" s="264" t="n">
        <f aca="false">+O$3</f>
        <v>2005</v>
      </c>
      <c r="P256" s="264" t="n">
        <f aca="false">+P$3</f>
        <v>2006</v>
      </c>
      <c r="Q256" s="264" t="n">
        <f aca="false">+Q$3</f>
        <v>2007</v>
      </c>
      <c r="R256" s="264" t="n">
        <f aca="false">+R$3</f>
        <v>2008</v>
      </c>
      <c r="S256" s="264" t="n">
        <f aca="false">+S$3</f>
        <v>2009</v>
      </c>
      <c r="T256" s="264" t="n">
        <f aca="false">+T$3</f>
        <v>2010</v>
      </c>
      <c r="U256" s="264" t="n">
        <f aca="false">+U$3</f>
        <v>2011</v>
      </c>
      <c r="V256" s="264" t="n">
        <f aca="false">+V$3</f>
        <v>2012</v>
      </c>
      <c r="W256" s="264" t="n">
        <f aca="false">+W$3</f>
        <v>2013</v>
      </c>
      <c r="X256" s="264" t="n">
        <f aca="false">+X$3</f>
        <v>2014</v>
      </c>
      <c r="Y256" s="264" t="n">
        <f aca="false">+Y$3</f>
        <v>2015</v>
      </c>
      <c r="Z256" s="264" t="n">
        <f aca="false">+Z$3</f>
        <v>2016</v>
      </c>
      <c r="AA256" s="264" t="n">
        <f aca="false">+AA$3</f>
        <v>2017</v>
      </c>
      <c r="AB256" s="264" t="n">
        <f aca="false">+AB$3</f>
        <v>2018</v>
      </c>
      <c r="AC256" s="264" t="n">
        <f aca="false">+AC$3</f>
        <v>2019</v>
      </c>
      <c r="AD256" s="264" t="n">
        <f aca="false">+AD$3</f>
        <v>2020</v>
      </c>
      <c r="AE256" s="264" t="n">
        <f aca="false">+AE$3</f>
        <v>2021</v>
      </c>
      <c r="AF256" s="264" t="n">
        <f aca="false">+AF$3</f>
        <v>2022</v>
      </c>
    </row>
    <row r="257" customFormat="false" ht="12" hidden="false" customHeight="false" outlineLevel="0" collapsed="false"/>
    <row r="258" customFormat="false" ht="11.25" hidden="false" customHeight="false" outlineLevel="0" collapsed="false">
      <c r="A258" s="265" t="s">
        <v>416</v>
      </c>
      <c r="B258" s="241"/>
      <c r="C258" s="241"/>
      <c r="E258" s="417" t="s">
        <v>400</v>
      </c>
      <c r="F258" s="411"/>
      <c r="G258" s="411"/>
      <c r="H258" s="418" t="s">
        <v>404</v>
      </c>
      <c r="I258" s="411" t="n">
        <f aca="false">($H259)*CHOOSE($H260,1,I$139)*IF($H260=1,CHOOSE($H261,1,I$130),CHOOSE($H260,1,I$145))*stub</f>
        <v>0</v>
      </c>
      <c r="J258" s="411" t="n">
        <f aca="false">($H259)*CHOOSE($H260,1,J$139)*IF($H260=1,CHOOSE($H261,1,J$130),CHOOSE($H260,1,J$145))</f>
        <v>0</v>
      </c>
      <c r="K258" s="411" t="n">
        <f aca="false">($H259)*CHOOSE($H260,1,K$139)*IF($H260=1,CHOOSE($H261,1,K$130),CHOOSE($H260,1,K$145))</f>
        <v>0</v>
      </c>
      <c r="L258" s="411" t="n">
        <f aca="false">($H259)*CHOOSE($H260,1,L$139)*IF($H260=1,CHOOSE($H261,1,L$130),CHOOSE($H260,1,L$145))</f>
        <v>0</v>
      </c>
      <c r="M258" s="411" t="n">
        <f aca="false">($H259)*CHOOSE($H260,1,M$139)*IF($H260=1,CHOOSE($H261,1,M$130),CHOOSE($H260,1,M$145))</f>
        <v>0</v>
      </c>
      <c r="N258" s="411" t="n">
        <f aca="false">($H259)*CHOOSE($H260,1,N$139)*IF($H260=1,CHOOSE($H261,1,N$130),CHOOSE($H260,1,N$145))</f>
        <v>0</v>
      </c>
      <c r="O258" s="411" t="n">
        <f aca="false">($H259)*CHOOSE($H260,1,O$139)*IF($H260=1,CHOOSE($H261,1,O$130),CHOOSE($H260,1,O$145))</f>
        <v>0</v>
      </c>
      <c r="P258" s="411" t="n">
        <f aca="false">($H259)*CHOOSE($H260,1,P$139)*IF($H260=1,CHOOSE($H261,1,P$130),CHOOSE($H260,1,P$145))</f>
        <v>0</v>
      </c>
      <c r="Q258" s="411" t="n">
        <f aca="false">($H259)*CHOOSE($H260,1,Q$139)*IF($H260=1,CHOOSE($H261,1,Q$130),CHOOSE($H260,1,Q$145))</f>
        <v>0</v>
      </c>
      <c r="R258" s="411" t="n">
        <f aca="false">($H259)*CHOOSE($H260,1,R$139)*IF($H260=1,CHOOSE($H261,1,R$130),CHOOSE($H260,1,R$145))</f>
        <v>0</v>
      </c>
      <c r="S258" s="411" t="n">
        <f aca="false">($H259)*CHOOSE($H260,1,S$139)*IF($H260=1,CHOOSE($H261,1,S$130),CHOOSE($H260,1,S$145))</f>
        <v>0</v>
      </c>
      <c r="T258" s="411" t="n">
        <f aca="false">($H259)*CHOOSE($H260,1,T$139)*IF($H260=1,CHOOSE($H261,1,T$130),CHOOSE($H260,1,T$145))</f>
        <v>0</v>
      </c>
      <c r="U258" s="411" t="n">
        <f aca="false">($H259)*CHOOSE($H260,1,U$139)*IF($H260=1,CHOOSE($H261,1,U$130),CHOOSE($H260,1,U$145))</f>
        <v>0</v>
      </c>
      <c r="V258" s="411" t="n">
        <f aca="false">($H259)*CHOOSE($H260,1,V$139)*IF($H260=1,CHOOSE($H261,1,V$130),CHOOSE($H260,1,V$145))</f>
        <v>0</v>
      </c>
      <c r="W258" s="411" t="n">
        <f aca="false">($H259)*CHOOSE($H260,1,W$139)*IF($H260=1,CHOOSE($H261,1,W$130),CHOOSE($H260,1,W$145))</f>
        <v>0</v>
      </c>
      <c r="X258" s="411" t="n">
        <f aca="false">($H259)*CHOOSE($H260,1,X$139)*IF($H260=1,CHOOSE($H261,1,X$130),CHOOSE($H260,1,X$145))</f>
        <v>0</v>
      </c>
      <c r="Y258" s="411" t="n">
        <f aca="false">($H259)*CHOOSE($H260,1,Y$139)*IF($H260=1,CHOOSE($H261,1,Y$130),CHOOSE($H260,1,Y$145))</f>
        <v>0</v>
      </c>
      <c r="Z258" s="411" t="n">
        <f aca="false">($H259)*CHOOSE($H260,1,Z$139)*IF($H260=1,CHOOSE($H261,1,Z$130),CHOOSE($H260,1,Z$145))</f>
        <v>0</v>
      </c>
      <c r="AA258" s="411" t="n">
        <f aca="false">($H259)*CHOOSE($H260,1,AA$139)*IF($H260=1,CHOOSE($H261,1,AA$130),CHOOSE($H260,1,AA$145))</f>
        <v>0</v>
      </c>
      <c r="AB258" s="411" t="n">
        <f aca="false">($H259)*CHOOSE($H260,1,AB$139)*IF($H260=1,CHOOSE($H261,1,AB$130),CHOOSE($H260,1,AB$145))</f>
        <v>0</v>
      </c>
      <c r="AC258" s="411" t="n">
        <f aca="false">($H259)*CHOOSE($H260,1,AC$139)*IF($H260=1,CHOOSE($H261,1,AC$130),CHOOSE($H260,1,AC$145))</f>
        <v>0</v>
      </c>
      <c r="AD258" s="411" t="n">
        <f aca="false">($H259)*CHOOSE($H260,1,AD$139)*IF($H260=1,CHOOSE($H261,1,AD$130),CHOOSE($H260,1,AD$145))</f>
        <v>0</v>
      </c>
      <c r="AE258" s="411" t="n">
        <f aca="false">($H259)*CHOOSE($H260,1,AE$139)*IF($H260=1,CHOOSE($H261,1,AE$130),CHOOSE($H260,1,AE$145))</f>
        <v>0</v>
      </c>
      <c r="AF258" s="411" t="n">
        <f aca="false">($H259)*CHOOSE($H260,1,AF$139)*IF($H260=1,CHOOSE($H261,1,AF$130),CHOOSE($H260,1,AF$145))</f>
        <v>0</v>
      </c>
    </row>
    <row r="259" customFormat="false" ht="11.25" hidden="false" customHeight="false" outlineLevel="0" collapsed="false">
      <c r="A259" s="361"/>
      <c r="B259" s="241"/>
      <c r="C259" s="241"/>
      <c r="D259" s="283"/>
      <c r="E259" s="366" t="str">
        <f aca="false">+" Amount per "&amp;H258</f>
        <v> Amount per MWH</v>
      </c>
      <c r="F259" s="283"/>
      <c r="G259" s="283"/>
      <c r="H259" s="433" t="n">
        <v>0</v>
      </c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  <c r="AA259" s="422"/>
      <c r="AB259" s="422"/>
      <c r="AC259" s="422"/>
      <c r="AD259" s="422"/>
      <c r="AE259" s="422"/>
      <c r="AF259" s="422"/>
    </row>
    <row r="260" customFormat="false" ht="11.25" hidden="false" customHeight="false" outlineLevel="0" collapsed="false">
      <c r="D260" s="283"/>
      <c r="E260" s="366" t="str">
        <f aca="false">"Currency (USD-1, "&amp;curr2&amp;"-2)"</f>
        <v>Currency (USD-1, Reis-2)</v>
      </c>
      <c r="F260" s="283"/>
      <c r="G260" s="283"/>
      <c r="H260" s="377" t="n">
        <v>1</v>
      </c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  <c r="AA260" s="422"/>
      <c r="AB260" s="422"/>
      <c r="AC260" s="422"/>
      <c r="AD260" s="422"/>
      <c r="AE260" s="422"/>
      <c r="AF260" s="422"/>
    </row>
    <row r="261" customFormat="false" ht="11.25" hidden="false" customHeight="false" outlineLevel="0" collapsed="false">
      <c r="A261" s="361"/>
      <c r="B261" s="283"/>
      <c r="C261" s="283"/>
      <c r="D261" s="283"/>
      <c r="E261" s="366" t="s">
        <v>371</v>
      </c>
      <c r="F261" s="283"/>
      <c r="G261" s="283"/>
      <c r="H261" s="377" t="n">
        <v>1</v>
      </c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  <c r="AA261" s="422"/>
      <c r="AB261" s="422"/>
      <c r="AC261" s="422"/>
      <c r="AD261" s="422"/>
      <c r="AE261" s="422"/>
      <c r="AF261" s="422"/>
    </row>
    <row r="262" customFormat="false" ht="11.25" hidden="false" customHeight="false" outlineLevel="0" collapsed="false">
      <c r="A262" s="361"/>
      <c r="C262" s="361" t="s">
        <v>402</v>
      </c>
      <c r="D262" s="283"/>
      <c r="I262" s="270" t="n">
        <f aca="false">($H259*I258)*CHOOSE($H260,1,I$139)*IF($H260=1,CHOOSE($H261,1,I$130),CHOOSE($H261,1,I$145))</f>
        <v>0</v>
      </c>
      <c r="J262" s="270" t="n">
        <f aca="false">($H259*J258)*CHOOSE($H260,1,J$139)*IF($H260=1,CHOOSE($H261,1,J$130),CHOOSE($H261,1,J$145))</f>
        <v>0</v>
      </c>
      <c r="K262" s="270" t="n">
        <f aca="false">($H259*K258)*CHOOSE($H260,1,K$139)*IF($H260=1,CHOOSE($H261,1,K$130),CHOOSE($H261,1,K$145))</f>
        <v>0</v>
      </c>
      <c r="L262" s="270" t="n">
        <f aca="false">($H259*L258)*CHOOSE($H260,1,L$139)*IF($H260=1,CHOOSE($H261,1,L$130),CHOOSE($H261,1,L$145))</f>
        <v>0</v>
      </c>
      <c r="M262" s="270" t="n">
        <f aca="false">($H259*M258)*CHOOSE($H260,1,M$139)*IF($H260=1,CHOOSE($H261,1,M$130),CHOOSE($H261,1,M$145))</f>
        <v>0</v>
      </c>
      <c r="N262" s="270" t="n">
        <f aca="false">($H259*N258)*CHOOSE($H260,1,N$139)*IF($H260=1,CHOOSE($H261,1,N$130),CHOOSE($H261,1,N$145))</f>
        <v>0</v>
      </c>
      <c r="O262" s="270" t="n">
        <f aca="false">($H259*O258)*CHOOSE($H260,1,O$139)*IF($H260=1,CHOOSE($H261,1,O$130),CHOOSE($H261,1,O$145))</f>
        <v>0</v>
      </c>
      <c r="P262" s="270" t="n">
        <f aca="false">($H259*P258)*CHOOSE($H260,1,P$139)*IF($H260=1,CHOOSE($H261,1,P$130),CHOOSE($H261,1,P$145))</f>
        <v>0</v>
      </c>
      <c r="Q262" s="270" t="n">
        <f aca="false">($H259*Q258)*CHOOSE($H260,1,Q$139)*IF($H260=1,CHOOSE($H261,1,Q$130),CHOOSE($H261,1,Q$145))</f>
        <v>0</v>
      </c>
      <c r="R262" s="270" t="n">
        <f aca="false">($H259*R258)*CHOOSE($H260,1,R$139)*IF($H260=1,CHOOSE($H261,1,R$130),CHOOSE($H261,1,R$145))</f>
        <v>0</v>
      </c>
      <c r="S262" s="270" t="n">
        <f aca="false">($H259*S258)*CHOOSE($H260,1,S$139)*IF($H260=1,CHOOSE($H261,1,S$130),CHOOSE($H261,1,S$145))</f>
        <v>0</v>
      </c>
      <c r="T262" s="270" t="n">
        <f aca="false">($H259*T258)*CHOOSE($H260,1,T$139)*IF($H260=1,CHOOSE($H261,1,T$130),CHOOSE($H261,1,T$145))</f>
        <v>0</v>
      </c>
      <c r="U262" s="270" t="n">
        <f aca="false">($H259*U258)*CHOOSE($H260,1,U$139)*IF($H260=1,CHOOSE($H261,1,U$130),CHOOSE($H261,1,U$145))</f>
        <v>0</v>
      </c>
      <c r="V262" s="270" t="n">
        <f aca="false">($H259*V258)*CHOOSE($H260,1,V$139)*IF($H260=1,CHOOSE($H261,1,V$130),CHOOSE($H261,1,V$145))</f>
        <v>0</v>
      </c>
      <c r="W262" s="270" t="n">
        <f aca="false">($H259*W258)*CHOOSE($H260,1,W$139)*IF($H260=1,CHOOSE($H261,1,W$130),CHOOSE($H261,1,W$145))</f>
        <v>0</v>
      </c>
      <c r="X262" s="270" t="n">
        <f aca="false">($H259*X258)*CHOOSE($H260,1,X$139)*IF($H260=1,CHOOSE($H261,1,X$130),CHOOSE($H261,1,X$145))</f>
        <v>0</v>
      </c>
      <c r="Y262" s="270" t="n">
        <f aca="false">($H259*Y258)*CHOOSE($H260,1,Y$139)*IF($H260=1,CHOOSE($H261,1,Y$130),CHOOSE($H261,1,Y$145))</f>
        <v>0</v>
      </c>
      <c r="Z262" s="270" t="n">
        <f aca="false">($H259*Z258)*CHOOSE($H260,1,Z$139)*IF($H260=1,CHOOSE($H261,1,Z$130),CHOOSE($H261,1,Z$145))</f>
        <v>0</v>
      </c>
      <c r="AA262" s="270" t="n">
        <f aca="false">($H259*AA258)*CHOOSE($H260,1,AA$139)*IF($H260=1,CHOOSE($H261,1,AA$130),CHOOSE($H261,1,AA$145))</f>
        <v>0</v>
      </c>
      <c r="AB262" s="270" t="n">
        <f aca="false">($H259*AB258)*CHOOSE($H260,1,AB$139)*IF($H260=1,CHOOSE($H261,1,AB$130),CHOOSE($H261,1,AB$145))</f>
        <v>0</v>
      </c>
      <c r="AC262" s="270" t="n">
        <f aca="false">($H259*AC258)*CHOOSE($H260,1,AC$139)*IF($H260=1,CHOOSE($H261,1,AC$130),CHOOSE($H261,1,AC$145))</f>
        <v>0</v>
      </c>
      <c r="AD262" s="270" t="n">
        <f aca="false">($H259*AD258)*CHOOSE($H260,1,AD$139)*IF($H260=1,CHOOSE($H261,1,AD$130),CHOOSE($H261,1,AD$145))</f>
        <v>0</v>
      </c>
      <c r="AE262" s="270" t="n">
        <f aca="false">($H259*AE258)*CHOOSE($H260,1,AE$139)*IF($H260=1,CHOOSE($H261,1,AE$130),CHOOSE($H261,1,AE$145))</f>
        <v>0</v>
      </c>
      <c r="AF262" s="270" t="n">
        <f aca="false">($H259*AF258)*CHOOSE($H260,1,AF$139)*IF($H260=1,CHOOSE($H261,1,AF$130),CHOOSE($H261,1,AF$145))</f>
        <v>0</v>
      </c>
    </row>
    <row r="263" customFormat="false" ht="11.25" hidden="false" customHeight="false" outlineLevel="0" collapsed="false">
      <c r="A263" s="361"/>
      <c r="B263" s="361" t="s">
        <v>417</v>
      </c>
      <c r="C263" s="283"/>
      <c r="D263" s="283"/>
      <c r="I263" s="423" t="n">
        <f aca="false">+I262</f>
        <v>0</v>
      </c>
      <c r="J263" s="423" t="n">
        <f aca="false">+J262</f>
        <v>0</v>
      </c>
      <c r="K263" s="423" t="n">
        <f aca="false">+K262</f>
        <v>0</v>
      </c>
      <c r="L263" s="423" t="n">
        <f aca="false">+L262</f>
        <v>0</v>
      </c>
      <c r="M263" s="423" t="n">
        <f aca="false">+M262</f>
        <v>0</v>
      </c>
      <c r="N263" s="423" t="n">
        <f aca="false">+N262</f>
        <v>0</v>
      </c>
      <c r="O263" s="423" t="n">
        <f aca="false">+O262</f>
        <v>0</v>
      </c>
      <c r="P263" s="423" t="n">
        <f aca="false">+P262</f>
        <v>0</v>
      </c>
      <c r="Q263" s="423" t="n">
        <f aca="false">+Q262</f>
        <v>0</v>
      </c>
      <c r="R263" s="423" t="n">
        <f aca="false">+R262</f>
        <v>0</v>
      </c>
      <c r="S263" s="423" t="n">
        <f aca="false">+S262</f>
        <v>0</v>
      </c>
      <c r="T263" s="423" t="n">
        <f aca="false">+T262</f>
        <v>0</v>
      </c>
      <c r="U263" s="423" t="n">
        <f aca="false">+U262</f>
        <v>0</v>
      </c>
      <c r="V263" s="423" t="n">
        <f aca="false">+V262</f>
        <v>0</v>
      </c>
      <c r="W263" s="423" t="n">
        <f aca="false">+W262</f>
        <v>0</v>
      </c>
      <c r="X263" s="423" t="n">
        <f aca="false">+X262</f>
        <v>0</v>
      </c>
      <c r="Y263" s="423" t="n">
        <f aca="false">+Y262</f>
        <v>0</v>
      </c>
      <c r="Z263" s="423" t="n">
        <f aca="false">+Z262</f>
        <v>0</v>
      </c>
      <c r="AA263" s="423" t="n">
        <f aca="false">+AA262</f>
        <v>0</v>
      </c>
      <c r="AB263" s="423" t="n">
        <f aca="false">+AB262</f>
        <v>0</v>
      </c>
      <c r="AC263" s="423" t="n">
        <f aca="false">+AC262</f>
        <v>0</v>
      </c>
      <c r="AD263" s="423" t="n">
        <f aca="false">+AD262</f>
        <v>0</v>
      </c>
      <c r="AE263" s="423" t="n">
        <f aca="false">+AE262</f>
        <v>0</v>
      </c>
      <c r="AF263" s="423" t="n">
        <f aca="false">+AF262</f>
        <v>0</v>
      </c>
    </row>
    <row r="264" customFormat="false" ht="11.25" hidden="false" customHeight="false" outlineLevel="0" collapsed="false">
      <c r="A264" s="341" t="s">
        <v>409</v>
      </c>
      <c r="B264" s="297"/>
      <c r="E264" s="411"/>
      <c r="F264" s="411"/>
      <c r="G264" s="411"/>
      <c r="H264" s="411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</row>
    <row r="265" customFormat="false" ht="11.25" hidden="false" customHeight="false" outlineLevel="0" collapsed="false">
      <c r="A265" s="415"/>
      <c r="B265" s="241"/>
      <c r="C265" s="241"/>
      <c r="E265" s="366" t="s">
        <v>412</v>
      </c>
      <c r="F265" s="283"/>
      <c r="G265" s="283"/>
      <c r="H265" s="433" t="n">
        <f aca="false">Summary!O98</f>
        <v>639.952104228251</v>
      </c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</row>
    <row r="266" customFormat="false" ht="11.25" hidden="false" customHeight="false" outlineLevel="0" collapsed="false">
      <c r="A266" s="415"/>
      <c r="B266" s="241"/>
      <c r="C266" s="241"/>
      <c r="E266" s="366" t="str">
        <f aca="false">"Currency (USD-1, "&amp;curr2&amp;"-2)"</f>
        <v>Currency (USD-1, Reis-2)</v>
      </c>
      <c r="F266" s="283"/>
      <c r="G266" s="283"/>
      <c r="H266" s="377" t="n">
        <v>1</v>
      </c>
      <c r="I266" s="416"/>
      <c r="J266" s="416"/>
      <c r="K266" s="416"/>
      <c r="L266" s="416"/>
      <c r="M266" s="416"/>
      <c r="N266" s="416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</row>
    <row r="267" customFormat="false" ht="11.25" hidden="false" customHeight="false" outlineLevel="0" collapsed="false">
      <c r="A267" s="415"/>
      <c r="B267" s="297"/>
      <c r="E267" s="366" t="s">
        <v>371</v>
      </c>
      <c r="F267" s="283"/>
      <c r="G267" s="283"/>
      <c r="H267" s="377" t="n">
        <v>2</v>
      </c>
      <c r="I267" s="416"/>
      <c r="J267" s="416"/>
      <c r="K267" s="416"/>
      <c r="L267" s="416"/>
      <c r="M267" s="416"/>
      <c r="N267" s="416"/>
      <c r="O267" s="416"/>
      <c r="P267" s="416"/>
      <c r="Q267" s="416"/>
      <c r="R267" s="416"/>
      <c r="S267" s="416"/>
      <c r="T267" s="416"/>
      <c r="U267" s="416"/>
      <c r="V267" s="416"/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</row>
    <row r="268" customFormat="false" ht="11.25" hidden="false" customHeight="false" outlineLevel="0" collapsed="false">
      <c r="A268" s="415"/>
      <c r="C268" s="361" t="s">
        <v>402</v>
      </c>
      <c r="D268" s="283"/>
      <c r="I268" s="434" t="n">
        <f aca="false">'O&amp;M'!D95*stub</f>
        <v>0</v>
      </c>
      <c r="J268" s="435" t="n">
        <f aca="false">'O&amp;M'!E95</f>
        <v>639.952104228251</v>
      </c>
      <c r="K268" s="434" t="n">
        <f aca="false">'O&amp;M'!F95</f>
        <v>622.940626411629</v>
      </c>
      <c r="L268" s="434" t="n">
        <f aca="false">'O&amp;M'!G95</f>
        <v>613.548154662485</v>
      </c>
      <c r="M268" s="434" t="n">
        <f aca="false">'O&amp;M'!H95</f>
        <v>605.404789510104</v>
      </c>
      <c r="N268" s="434" t="n">
        <f aca="false">'O&amp;M'!I95</f>
        <v>591.603938685908</v>
      </c>
      <c r="O268" s="434" t="n">
        <f aca="false">'O&amp;M'!J95</f>
        <v>585.390476604248</v>
      </c>
      <c r="P268" s="434" t="n">
        <f aca="false">'O&amp;M'!K95</f>
        <v>571.710353198629</v>
      </c>
      <c r="Q268" s="434" t="n">
        <f aca="false">'O&amp;M'!L95</f>
        <v>575.347406787516</v>
      </c>
      <c r="R268" s="434" t="n">
        <f aca="false">'O&amp;M'!M95</f>
        <v>563.233416346919</v>
      </c>
      <c r="S268" s="434" t="n">
        <f aca="false">'O&amp;M'!N95</f>
        <v>547.444890104306</v>
      </c>
      <c r="T268" s="434" t="n">
        <f aca="false">'O&amp;M'!O95</f>
        <v>531.741504026416</v>
      </c>
      <c r="U268" s="434" t="n">
        <f aca="false">'O&amp;M'!P95</f>
        <v>527.089040184827</v>
      </c>
      <c r="V268" s="434" t="n">
        <f aca="false">'O&amp;M'!Q95</f>
        <v>511.40212678696</v>
      </c>
      <c r="W268" s="434" t="n">
        <f aca="false">'O&amp;M'!R95</f>
        <v>495.959204269134</v>
      </c>
      <c r="X268" s="434" t="n">
        <f aca="false">'O&amp;M'!S95</f>
        <v>489.527790505318</v>
      </c>
      <c r="Y268" s="434" t="n">
        <f aca="false">'O&amp;M'!T95</f>
        <v>472.532976719847</v>
      </c>
      <c r="Z268" s="434" t="n">
        <f aca="false">'O&amp;M'!U95</f>
        <v>478.239682399571</v>
      </c>
      <c r="AA268" s="434" t="n">
        <f aca="false">'O&amp;M'!V95</f>
        <v>484.409928151003</v>
      </c>
      <c r="AB268" s="434" t="n">
        <f aca="false">'O&amp;M'!W95</f>
        <v>491.007496752707</v>
      </c>
      <c r="AC268" s="434" t="n">
        <f aca="false">'O&amp;M'!X95</f>
        <v>498.525508970237</v>
      </c>
      <c r="AD268" s="434" t="n">
        <f aca="false">'O&amp;M'!Y95</f>
        <v>507.242972375214</v>
      </c>
      <c r="AE268" s="434" t="n">
        <f aca="false">'O&amp;M'!Z95</f>
        <v>516.835802190414</v>
      </c>
      <c r="AF268" s="434" t="n">
        <f aca="false">'O&amp;M'!AA95</f>
        <v>527.285435715301</v>
      </c>
    </row>
    <row r="269" customFormat="false" ht="11.25" hidden="false" customHeight="false" outlineLevel="0" collapsed="false">
      <c r="A269" s="415"/>
      <c r="B269" s="361" t="s">
        <v>418</v>
      </c>
      <c r="C269" s="283"/>
      <c r="I269" s="423" t="n">
        <f aca="false">+I268</f>
        <v>0</v>
      </c>
      <c r="J269" s="423" t="n">
        <f aca="false">+J268</f>
        <v>639.952104228251</v>
      </c>
      <c r="K269" s="423" t="n">
        <f aca="false">+K268</f>
        <v>622.940626411629</v>
      </c>
      <c r="L269" s="423" t="n">
        <f aca="false">+L268</f>
        <v>613.548154662485</v>
      </c>
      <c r="M269" s="423" t="n">
        <f aca="false">+M268</f>
        <v>605.404789510104</v>
      </c>
      <c r="N269" s="423" t="n">
        <f aca="false">+N268</f>
        <v>591.603938685908</v>
      </c>
      <c r="O269" s="423" t="n">
        <f aca="false">+O268</f>
        <v>585.390476604248</v>
      </c>
      <c r="P269" s="423" t="n">
        <f aca="false">+P268</f>
        <v>571.710353198629</v>
      </c>
      <c r="Q269" s="423" t="n">
        <f aca="false">+Q268</f>
        <v>575.347406787516</v>
      </c>
      <c r="R269" s="423" t="n">
        <f aca="false">+R268</f>
        <v>563.233416346919</v>
      </c>
      <c r="S269" s="423" t="n">
        <f aca="false">+S268</f>
        <v>547.444890104306</v>
      </c>
      <c r="T269" s="423" t="n">
        <f aca="false">+T268</f>
        <v>531.741504026416</v>
      </c>
      <c r="U269" s="423" t="n">
        <f aca="false">+U268</f>
        <v>527.089040184827</v>
      </c>
      <c r="V269" s="423" t="n">
        <f aca="false">+V268</f>
        <v>511.40212678696</v>
      </c>
      <c r="W269" s="423" t="n">
        <f aca="false">+W268</f>
        <v>495.959204269134</v>
      </c>
      <c r="X269" s="423" t="n">
        <f aca="false">+X268</f>
        <v>489.527790505318</v>
      </c>
      <c r="Y269" s="423" t="n">
        <f aca="false">+Y268</f>
        <v>472.532976719847</v>
      </c>
      <c r="Z269" s="423" t="n">
        <f aca="false">+Z268</f>
        <v>478.239682399571</v>
      </c>
      <c r="AA269" s="423" t="n">
        <f aca="false">+AA268</f>
        <v>484.409928151003</v>
      </c>
      <c r="AB269" s="423" t="n">
        <f aca="false">+AB268</f>
        <v>491.007496752707</v>
      </c>
      <c r="AC269" s="423" t="n">
        <f aca="false">+AC268</f>
        <v>498.525508970237</v>
      </c>
      <c r="AD269" s="423" t="n">
        <f aca="false">+AD268</f>
        <v>507.242972375214</v>
      </c>
      <c r="AE269" s="423" t="n">
        <f aca="false">+AE268</f>
        <v>516.835802190414</v>
      </c>
      <c r="AF269" s="423" t="n">
        <f aca="false">+AF268</f>
        <v>527.285435715301</v>
      </c>
    </row>
    <row r="270" customFormat="false" ht="11.25" hidden="false" customHeight="false" outlineLevel="0" collapsed="false">
      <c r="A270" s="415"/>
      <c r="B270" s="297"/>
      <c r="E270" s="411"/>
      <c r="F270" s="411"/>
      <c r="G270" s="411"/>
      <c r="H270" s="411"/>
      <c r="I270" s="416"/>
      <c r="J270" s="416"/>
      <c r="K270" s="416"/>
      <c r="L270" s="416"/>
      <c r="M270" s="416"/>
      <c r="N270" s="416"/>
      <c r="O270" s="416"/>
      <c r="P270" s="416"/>
      <c r="Q270" s="416"/>
      <c r="R270" s="416"/>
      <c r="S270" s="416"/>
      <c r="T270" s="416"/>
      <c r="U270" s="416"/>
      <c r="V270" s="416"/>
      <c r="W270" s="416"/>
      <c r="X270" s="416"/>
      <c r="Y270" s="416"/>
      <c r="Z270" s="416"/>
      <c r="AA270" s="416"/>
      <c r="AB270" s="416"/>
      <c r="AC270" s="416"/>
      <c r="AD270" s="416"/>
      <c r="AE270" s="416"/>
      <c r="AF270" s="416"/>
    </row>
    <row r="271" customFormat="false" ht="11.25" hidden="false" customHeight="false" outlineLevel="0" collapsed="false">
      <c r="A271" s="415"/>
      <c r="B271" s="410" t="s">
        <v>419</v>
      </c>
      <c r="E271" s="436" t="n">
        <v>0</v>
      </c>
      <c r="F271" s="436" t="n">
        <v>0</v>
      </c>
      <c r="G271" s="436" t="n">
        <v>0</v>
      </c>
      <c r="H271" s="436" t="n">
        <v>0</v>
      </c>
      <c r="I271" s="429" t="n">
        <f aca="false">+I263+I269</f>
        <v>0</v>
      </c>
      <c r="J271" s="429" t="n">
        <f aca="false">+J263+J269</f>
        <v>639.952104228251</v>
      </c>
      <c r="K271" s="429" t="n">
        <f aca="false">+K263+K269</f>
        <v>622.940626411629</v>
      </c>
      <c r="L271" s="429" t="n">
        <f aca="false">+L263+L269</f>
        <v>613.548154662485</v>
      </c>
      <c r="M271" s="429" t="n">
        <f aca="false">+M263+M269</f>
        <v>605.404789510104</v>
      </c>
      <c r="N271" s="429" t="n">
        <f aca="false">+N263+N269</f>
        <v>591.603938685908</v>
      </c>
      <c r="O271" s="429" t="n">
        <f aca="false">+O263+O269</f>
        <v>585.390476604248</v>
      </c>
      <c r="P271" s="429" t="n">
        <f aca="false">+P263+P269</f>
        <v>571.710353198629</v>
      </c>
      <c r="Q271" s="429" t="n">
        <f aca="false">+Q263+Q269</f>
        <v>575.347406787516</v>
      </c>
      <c r="R271" s="429" t="n">
        <f aca="false">+R263+R269</f>
        <v>563.233416346919</v>
      </c>
      <c r="S271" s="429" t="n">
        <f aca="false">+S263+S269</f>
        <v>547.444890104306</v>
      </c>
      <c r="T271" s="429" t="n">
        <f aca="false">+T263+T269</f>
        <v>531.741504026416</v>
      </c>
      <c r="U271" s="429" t="n">
        <f aca="false">+U263+U269</f>
        <v>527.089040184827</v>
      </c>
      <c r="V271" s="429" t="n">
        <f aca="false">+V263+V269</f>
        <v>511.40212678696</v>
      </c>
      <c r="W271" s="429" t="n">
        <f aca="false">+W263+W269</f>
        <v>495.959204269134</v>
      </c>
      <c r="X271" s="429" t="n">
        <f aca="false">+X263+X269</f>
        <v>489.527790505318</v>
      </c>
      <c r="Y271" s="429" t="n">
        <f aca="false">+Y263+Y269</f>
        <v>472.532976719847</v>
      </c>
      <c r="Z271" s="429" t="n">
        <f aca="false">+Z263+Z269</f>
        <v>478.239682399571</v>
      </c>
      <c r="AA271" s="429" t="n">
        <f aca="false">+AA263+AA269</f>
        <v>484.409928151003</v>
      </c>
      <c r="AB271" s="429" t="n">
        <f aca="false">+AB263+AB269</f>
        <v>491.007496752707</v>
      </c>
      <c r="AC271" s="429" t="n">
        <f aca="false">+AC263+AC269</f>
        <v>498.525508970237</v>
      </c>
      <c r="AD271" s="429" t="n">
        <f aca="false">+AD263+AD269</f>
        <v>507.242972375214</v>
      </c>
      <c r="AE271" s="429" t="n">
        <f aca="false">+AE263+AE269</f>
        <v>516.835802190414</v>
      </c>
      <c r="AF271" s="429" t="n">
        <f aca="false">+AF263+AF269</f>
        <v>527.285435715301</v>
      </c>
    </row>
    <row r="272" customFormat="false" ht="11.25" hidden="false" customHeight="false" outlineLevel="0" collapsed="false">
      <c r="D272" s="238"/>
    </row>
    <row r="273" customFormat="false" ht="12" hidden="false" customHeight="false" outlineLevel="0" collapsed="false">
      <c r="A273" s="238"/>
      <c r="C273" s="238"/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/>
      <c r="R273" s="238"/>
      <c r="S273" s="238"/>
      <c r="T273" s="238"/>
      <c r="U273" s="238"/>
      <c r="V273" s="238"/>
      <c r="W273" s="238"/>
      <c r="X273" s="238"/>
      <c r="Y273" s="238"/>
      <c r="Z273" s="238"/>
      <c r="AA273" s="238"/>
      <c r="AB273" s="238"/>
      <c r="AC273" s="238"/>
      <c r="AD273" s="238"/>
      <c r="AE273" s="238"/>
      <c r="AF273" s="238"/>
    </row>
    <row r="274" customFormat="false" ht="12.75" hidden="false" customHeight="false" outlineLevel="0" collapsed="false">
      <c r="A274" s="260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</row>
    <row r="275" customFormat="false" ht="12.75" hidden="false" customHeight="false" outlineLevel="0" collapsed="false">
      <c r="A275" s="252" t="s">
        <v>420</v>
      </c>
      <c r="I275" s="263" t="n">
        <f aca="false">+I$3</f>
        <v>36525</v>
      </c>
      <c r="J275" s="264" t="n">
        <f aca="false">+J$3</f>
        <v>2000</v>
      </c>
      <c r="K275" s="264" t="n">
        <f aca="false">+K$3</f>
        <v>2001</v>
      </c>
      <c r="L275" s="264" t="n">
        <f aca="false">+L$3</f>
        <v>2002</v>
      </c>
      <c r="M275" s="264" t="n">
        <f aca="false">+M$3</f>
        <v>2003</v>
      </c>
      <c r="N275" s="264" t="n">
        <f aca="false">+N$3</f>
        <v>2004</v>
      </c>
      <c r="O275" s="264" t="n">
        <f aca="false">+O$3</f>
        <v>2005</v>
      </c>
      <c r="P275" s="264" t="n">
        <f aca="false">+P$3</f>
        <v>2006</v>
      </c>
      <c r="Q275" s="264" t="n">
        <f aca="false">+Q$3</f>
        <v>2007</v>
      </c>
      <c r="R275" s="264" t="n">
        <f aca="false">+R$3</f>
        <v>2008</v>
      </c>
      <c r="S275" s="264" t="n">
        <f aca="false">+S$3</f>
        <v>2009</v>
      </c>
      <c r="T275" s="264" t="n">
        <f aca="false">+T$3</f>
        <v>2010</v>
      </c>
      <c r="U275" s="264" t="n">
        <f aca="false">+U$3</f>
        <v>2011</v>
      </c>
      <c r="V275" s="264" t="n">
        <f aca="false">+V$3</f>
        <v>2012</v>
      </c>
      <c r="W275" s="264" t="n">
        <f aca="false">+W$3</f>
        <v>2013</v>
      </c>
      <c r="X275" s="264" t="n">
        <f aca="false">+X$3</f>
        <v>2014</v>
      </c>
      <c r="Y275" s="264" t="n">
        <f aca="false">+Y$3</f>
        <v>2015</v>
      </c>
      <c r="Z275" s="264" t="n">
        <f aca="false">+Z$3</f>
        <v>2016</v>
      </c>
      <c r="AA275" s="264" t="n">
        <f aca="false">+AA$3</f>
        <v>2017</v>
      </c>
      <c r="AB275" s="264" t="n">
        <f aca="false">+AB$3</f>
        <v>2018</v>
      </c>
      <c r="AC275" s="264" t="n">
        <f aca="false">+AC$3</f>
        <v>2019</v>
      </c>
      <c r="AD275" s="264" t="n">
        <f aca="false">+AD$3</f>
        <v>2020</v>
      </c>
      <c r="AE275" s="264" t="n">
        <f aca="false">+AE$3</f>
        <v>2021</v>
      </c>
      <c r="AF275" s="264" t="n">
        <f aca="false">+AF$3</f>
        <v>2022</v>
      </c>
    </row>
    <row r="276" customFormat="false" ht="12" hidden="false" customHeight="false" outlineLevel="0" collapsed="false"/>
    <row r="277" customFormat="false" ht="11.25" hidden="false" customHeight="false" outlineLevel="0" collapsed="false">
      <c r="A277" s="323" t="s">
        <v>421</v>
      </c>
      <c r="C277" s="235" t="str">
        <f aca="false">+A151</f>
        <v> </v>
      </c>
      <c r="D277" s="238"/>
      <c r="H277" s="298"/>
      <c r="I277" s="437"/>
      <c r="J277" s="437" t="e">
        <f aca="false">+J166</f>
        <v>#VALUE!</v>
      </c>
      <c r="K277" s="437" t="e">
        <f aca="false">+K166</f>
        <v>#VALUE!</v>
      </c>
      <c r="L277" s="437" t="e">
        <f aca="false">+L166</f>
        <v>#VALUE!</v>
      </c>
      <c r="M277" s="437" t="e">
        <f aca="false">+M166</f>
        <v>#VALUE!</v>
      </c>
      <c r="N277" s="437" t="e">
        <f aca="false">+N166</f>
        <v>#VALUE!</v>
      </c>
      <c r="O277" s="437" t="e">
        <f aca="false">+O166</f>
        <v>#VALUE!</v>
      </c>
      <c r="P277" s="437" t="e">
        <f aca="false">+P166</f>
        <v>#VALUE!</v>
      </c>
      <c r="Q277" s="437" t="e">
        <f aca="false">+Q166</f>
        <v>#VALUE!</v>
      </c>
      <c r="R277" s="437" t="e">
        <f aca="false">+R166</f>
        <v>#VALUE!</v>
      </c>
      <c r="S277" s="437" t="e">
        <f aca="false">+S166</f>
        <v>#VALUE!</v>
      </c>
      <c r="T277" s="437" t="e">
        <f aca="false">+T166</f>
        <v>#VALUE!</v>
      </c>
      <c r="U277" s="437" t="e">
        <f aca="false">+U166</f>
        <v>#VALUE!</v>
      </c>
      <c r="V277" s="437" t="e">
        <f aca="false">+V166</f>
        <v>#VALUE!</v>
      </c>
      <c r="W277" s="437" t="e">
        <f aca="false">+W166</f>
        <v>#VALUE!</v>
      </c>
      <c r="X277" s="437" t="e">
        <f aca="false">+X166</f>
        <v>#VALUE!</v>
      </c>
      <c r="Y277" s="437" t="e">
        <f aca="false">+Y166</f>
        <v>#VALUE!</v>
      </c>
      <c r="Z277" s="437" t="e">
        <f aca="false">+Z166</f>
        <v>#VALUE!</v>
      </c>
      <c r="AA277" s="437" t="e">
        <f aca="false">+AA166</f>
        <v>#VALUE!</v>
      </c>
      <c r="AB277" s="437" t="e">
        <f aca="false">+AB166</f>
        <v>#VALUE!</v>
      </c>
      <c r="AC277" s="437" t="e">
        <f aca="false">+AC166</f>
        <v>#VALUE!</v>
      </c>
      <c r="AD277" s="437" t="e">
        <f aca="false">+AD166</f>
        <v>#VALUE!</v>
      </c>
      <c r="AE277" s="437" t="e">
        <f aca="false">+AE166</f>
        <v>#VALUE!</v>
      </c>
      <c r="AF277" s="437" t="e">
        <f aca="false">+AF166</f>
        <v>#VALUE!</v>
      </c>
    </row>
    <row r="278" customFormat="false" ht="11.25" hidden="false" customHeight="false" outlineLevel="0" collapsed="false">
      <c r="C278" s="438" t="str">
        <f aca="false">+A170</f>
        <v> </v>
      </c>
      <c r="I278" s="437"/>
      <c r="J278" s="437" t="n">
        <f aca="false">+J185</f>
        <v>4887.54296455569</v>
      </c>
      <c r="K278" s="437" t="n">
        <f aca="false">+K185</f>
        <v>7550.68749261242</v>
      </c>
      <c r="L278" s="437" t="n">
        <f aca="false">+L185</f>
        <v>5708.66919445129</v>
      </c>
      <c r="M278" s="437" t="n">
        <f aca="false">+M185</f>
        <v>4528.20064659595</v>
      </c>
      <c r="N278" s="437" t="n">
        <f aca="false">+N185</f>
        <v>3842.15213102176</v>
      </c>
      <c r="O278" s="437" t="n">
        <f aca="false">+O185</f>
        <v>3555.79242647693</v>
      </c>
      <c r="P278" s="437" t="n">
        <f aca="false">+P185</f>
        <v>3928.38670858324</v>
      </c>
      <c r="Q278" s="437" t="n">
        <f aca="false">+Q185</f>
        <v>4142.26908463487</v>
      </c>
      <c r="R278" s="437" t="n">
        <f aca="false">+R185</f>
        <v>4384.61150432855</v>
      </c>
      <c r="S278" s="437" t="n">
        <f aca="false">+S185</f>
        <v>4343.57723306961</v>
      </c>
      <c r="T278" s="437" t="n">
        <f aca="false">+T185</f>
        <v>4516.43956855844</v>
      </c>
      <c r="U278" s="437" t="n">
        <f aca="false">+U185</f>
        <v>4476.63830304183</v>
      </c>
      <c r="V278" s="437" t="n">
        <f aca="false">+V185</f>
        <v>4583.23849821555</v>
      </c>
      <c r="W278" s="437" t="n">
        <f aca="false">+W185</f>
        <v>4627.41911602988</v>
      </c>
      <c r="X278" s="437" t="n">
        <f aca="false">+X185</f>
        <v>4705.47093412437</v>
      </c>
      <c r="Y278" s="437" t="n">
        <f aca="false">+Y185</f>
        <v>4858.08857348739</v>
      </c>
      <c r="Z278" s="437" t="n">
        <f aca="false">+Z185</f>
        <v>4959.34931202099</v>
      </c>
      <c r="AA278" s="437" t="n">
        <f aca="false">+AA185</f>
        <v>5005.94255812707</v>
      </c>
      <c r="AB278" s="437" t="n">
        <f aca="false">+AB185</f>
        <v>4984.19270501555</v>
      </c>
      <c r="AC278" s="437" t="n">
        <f aca="false">+AC185</f>
        <v>5196.9030279063</v>
      </c>
      <c r="AD278" s="437" t="n">
        <f aca="false">+AD185</f>
        <v>5234.30216088942</v>
      </c>
      <c r="AE278" s="437" t="n">
        <f aca="false">+AE185</f>
        <v>5305.97307842525</v>
      </c>
      <c r="AF278" s="437" t="n">
        <f aca="false">+AF185</f>
        <v>1174.19748959624</v>
      </c>
    </row>
    <row r="279" customFormat="false" ht="11.25" hidden="false" customHeight="false" outlineLevel="0" collapsed="false">
      <c r="C279" s="438" t="str">
        <f aca="false">+A196</f>
        <v>Output Sales</v>
      </c>
      <c r="I279" s="439"/>
      <c r="J279" s="439" t="n">
        <f aca="false">+J203</f>
        <v>0</v>
      </c>
      <c r="K279" s="439" t="n">
        <f aca="false">+K203</f>
        <v>0</v>
      </c>
      <c r="L279" s="439" t="n">
        <f aca="false">+L203</f>
        <v>0</v>
      </c>
      <c r="M279" s="439" t="n">
        <f aca="false">+M203</f>
        <v>0</v>
      </c>
      <c r="N279" s="439" t="n">
        <f aca="false">+N203</f>
        <v>0</v>
      </c>
      <c r="O279" s="439" t="n">
        <f aca="false">+O203</f>
        <v>0</v>
      </c>
      <c r="P279" s="439" t="n">
        <f aca="false">+P203</f>
        <v>0</v>
      </c>
      <c r="Q279" s="439" t="n">
        <f aca="false">+Q203</f>
        <v>0</v>
      </c>
      <c r="R279" s="439" t="n">
        <f aca="false">+R203</f>
        <v>0</v>
      </c>
      <c r="S279" s="439" t="n">
        <f aca="false">+S203</f>
        <v>0</v>
      </c>
      <c r="T279" s="439" t="n">
        <f aca="false">+T203</f>
        <v>0</v>
      </c>
      <c r="U279" s="439" t="n">
        <f aca="false">+U203</f>
        <v>0</v>
      </c>
      <c r="V279" s="439" t="n">
        <f aca="false">+V203</f>
        <v>0</v>
      </c>
      <c r="W279" s="439" t="n">
        <f aca="false">+W203</f>
        <v>0</v>
      </c>
      <c r="X279" s="439" t="n">
        <f aca="false">+X203</f>
        <v>0</v>
      </c>
      <c r="Y279" s="439" t="n">
        <f aca="false">+Y203</f>
        <v>0</v>
      </c>
      <c r="Z279" s="439" t="n">
        <f aca="false">+Z203</f>
        <v>0</v>
      </c>
      <c r="AA279" s="439" t="n">
        <f aca="false">+AA203</f>
        <v>0</v>
      </c>
      <c r="AB279" s="439" t="n">
        <f aca="false">+AB203</f>
        <v>0</v>
      </c>
      <c r="AC279" s="439" t="n">
        <f aca="false">+AC203</f>
        <v>0</v>
      </c>
      <c r="AD279" s="439" t="n">
        <f aca="false">+AD203</f>
        <v>0</v>
      </c>
      <c r="AE279" s="439" t="n">
        <f aca="false">+AE203</f>
        <v>0</v>
      </c>
      <c r="AF279" s="439" t="n">
        <f aca="false">+AF203</f>
        <v>0</v>
      </c>
    </row>
    <row r="280" customFormat="false" ht="11.25" hidden="false" customHeight="false" outlineLevel="0" collapsed="false">
      <c r="C280" s="438"/>
      <c r="I280" s="439"/>
      <c r="J280" s="439" t="n">
        <f aca="false">+J205</f>
        <v>0</v>
      </c>
      <c r="K280" s="439" t="n">
        <f aca="false">+K205</f>
        <v>0</v>
      </c>
      <c r="L280" s="439" t="n">
        <f aca="false">+L205</f>
        <v>0</v>
      </c>
      <c r="M280" s="439" t="n">
        <f aca="false">+M205</f>
        <v>0</v>
      </c>
      <c r="N280" s="439" t="n">
        <f aca="false">+N205</f>
        <v>0</v>
      </c>
      <c r="O280" s="439" t="n">
        <f aca="false">+O205</f>
        <v>0</v>
      </c>
      <c r="P280" s="439" t="n">
        <f aca="false">+P205</f>
        <v>0</v>
      </c>
      <c r="Q280" s="439" t="n">
        <f aca="false">+Q205</f>
        <v>0</v>
      </c>
      <c r="R280" s="439" t="n">
        <f aca="false">+R205</f>
        <v>0</v>
      </c>
      <c r="S280" s="439" t="n">
        <f aca="false">+S205</f>
        <v>0</v>
      </c>
      <c r="T280" s="439" t="n">
        <f aca="false">+T205</f>
        <v>0</v>
      </c>
      <c r="U280" s="439" t="n">
        <f aca="false">+U205</f>
        <v>0</v>
      </c>
      <c r="V280" s="439" t="n">
        <f aca="false">+V205</f>
        <v>0</v>
      </c>
      <c r="W280" s="439" t="n">
        <f aca="false">+W205</f>
        <v>0</v>
      </c>
      <c r="X280" s="439" t="n">
        <f aca="false">+X205</f>
        <v>0</v>
      </c>
      <c r="Y280" s="439" t="n">
        <f aca="false">+Y205</f>
        <v>0</v>
      </c>
      <c r="Z280" s="439" t="n">
        <f aca="false">+Z205</f>
        <v>0</v>
      </c>
      <c r="AA280" s="439" t="n">
        <f aca="false">+AA205</f>
        <v>0</v>
      </c>
      <c r="AB280" s="439" t="n">
        <f aca="false">+AB205</f>
        <v>0</v>
      </c>
      <c r="AC280" s="439" t="n">
        <f aca="false">+AC205</f>
        <v>0</v>
      </c>
      <c r="AD280" s="439" t="n">
        <f aca="false">+AD205</f>
        <v>0</v>
      </c>
      <c r="AE280" s="439" t="n">
        <f aca="false">+AE205</f>
        <v>0</v>
      </c>
      <c r="AF280" s="439" t="n">
        <f aca="false">+AF205</f>
        <v>0</v>
      </c>
    </row>
    <row r="281" customFormat="false" ht="11.25" hidden="false" customHeight="false" outlineLevel="0" collapsed="false">
      <c r="C281" s="438"/>
      <c r="I281" s="439"/>
      <c r="J281" s="439" t="n">
        <f aca="false">+J211</f>
        <v>0</v>
      </c>
      <c r="K281" s="439" t="n">
        <f aca="false">+K211</f>
        <v>0</v>
      </c>
      <c r="L281" s="439" t="n">
        <f aca="false">+L211</f>
        <v>0</v>
      </c>
      <c r="M281" s="439" t="n">
        <f aca="false">+M211</f>
        <v>0</v>
      </c>
      <c r="N281" s="439" t="n">
        <f aca="false">+N211</f>
        <v>0</v>
      </c>
      <c r="O281" s="439" t="n">
        <f aca="false">+O211</f>
        <v>0</v>
      </c>
      <c r="P281" s="439" t="n">
        <f aca="false">+P211</f>
        <v>0</v>
      </c>
      <c r="Q281" s="439" t="n">
        <f aca="false">+Q211</f>
        <v>0</v>
      </c>
      <c r="R281" s="439" t="n">
        <f aca="false">+R211</f>
        <v>0</v>
      </c>
      <c r="S281" s="439" t="n">
        <f aca="false">+S211</f>
        <v>0</v>
      </c>
      <c r="T281" s="439" t="n">
        <f aca="false">+T211</f>
        <v>0</v>
      </c>
      <c r="U281" s="439" t="n">
        <f aca="false">+U211</f>
        <v>0</v>
      </c>
      <c r="V281" s="439" t="n">
        <f aca="false">+V211</f>
        <v>0</v>
      </c>
      <c r="W281" s="439" t="n">
        <f aca="false">+W211</f>
        <v>0</v>
      </c>
      <c r="X281" s="439" t="n">
        <f aca="false">+X211</f>
        <v>0</v>
      </c>
      <c r="Y281" s="439" t="n">
        <f aca="false">+Y211</f>
        <v>0</v>
      </c>
      <c r="Z281" s="439" t="n">
        <f aca="false">+Z211</f>
        <v>0</v>
      </c>
      <c r="AA281" s="439" t="n">
        <f aca="false">+AA211</f>
        <v>0</v>
      </c>
      <c r="AB281" s="439" t="n">
        <f aca="false">+AB211</f>
        <v>0</v>
      </c>
      <c r="AC281" s="439" t="n">
        <f aca="false">+AC211</f>
        <v>0</v>
      </c>
      <c r="AD281" s="439" t="n">
        <f aca="false">+AD211</f>
        <v>0</v>
      </c>
      <c r="AE281" s="439" t="n">
        <f aca="false">+AE211</f>
        <v>0</v>
      </c>
      <c r="AF281" s="439" t="n">
        <f aca="false">+AF211</f>
        <v>0</v>
      </c>
    </row>
    <row r="282" customFormat="false" ht="11.25" hidden="false" customHeight="false" outlineLevel="0" collapsed="false">
      <c r="C282" s="438"/>
      <c r="I282" s="440"/>
      <c r="J282" s="440" t="n">
        <f aca="false">+J214</f>
        <v>0</v>
      </c>
      <c r="K282" s="440" t="n">
        <f aca="false">+K214</f>
        <v>0</v>
      </c>
      <c r="L282" s="440" t="n">
        <f aca="false">+L214</f>
        <v>0</v>
      </c>
      <c r="M282" s="440" t="n">
        <f aca="false">+M214</f>
        <v>0</v>
      </c>
      <c r="N282" s="440" t="n">
        <f aca="false">+N214</f>
        <v>0</v>
      </c>
      <c r="O282" s="440" t="n">
        <f aca="false">+O214</f>
        <v>0</v>
      </c>
      <c r="P282" s="440" t="n">
        <f aca="false">+P214</f>
        <v>0</v>
      </c>
      <c r="Q282" s="440" t="n">
        <f aca="false">+Q214</f>
        <v>0</v>
      </c>
      <c r="R282" s="440" t="n">
        <f aca="false">+R214</f>
        <v>0</v>
      </c>
      <c r="S282" s="440" t="n">
        <f aca="false">+S214</f>
        <v>0</v>
      </c>
      <c r="T282" s="440" t="n">
        <f aca="false">+T214</f>
        <v>0</v>
      </c>
      <c r="U282" s="440" t="n">
        <f aca="false">+U214</f>
        <v>0</v>
      </c>
      <c r="V282" s="440" t="n">
        <f aca="false">+V214</f>
        <v>0</v>
      </c>
      <c r="W282" s="440" t="n">
        <f aca="false">+W214</f>
        <v>0</v>
      </c>
      <c r="X282" s="440" t="n">
        <f aca="false">+X214</f>
        <v>0</v>
      </c>
      <c r="Y282" s="440" t="n">
        <f aca="false">+Y214</f>
        <v>0</v>
      </c>
      <c r="Z282" s="440" t="n">
        <f aca="false">+Z214</f>
        <v>0</v>
      </c>
      <c r="AA282" s="440" t="n">
        <f aca="false">+AA214</f>
        <v>0</v>
      </c>
      <c r="AB282" s="440" t="n">
        <f aca="false">+AB214</f>
        <v>0</v>
      </c>
      <c r="AC282" s="440" t="n">
        <f aca="false">+AC214</f>
        <v>0</v>
      </c>
      <c r="AD282" s="440" t="n">
        <f aca="false">+AD214</f>
        <v>0</v>
      </c>
      <c r="AE282" s="440" t="n">
        <f aca="false">+AE214</f>
        <v>0</v>
      </c>
      <c r="AF282" s="440" t="n">
        <f aca="false">+AF214</f>
        <v>0</v>
      </c>
    </row>
    <row r="283" customFormat="false" ht="11.25" hidden="false" customHeight="false" outlineLevel="0" collapsed="false">
      <c r="C283" s="235" t="s">
        <v>422</v>
      </c>
      <c r="E283" s="429" t="n">
        <f aca="false">+E216</f>
        <v>0</v>
      </c>
      <c r="F283" s="429" t="n">
        <f aca="false">+F216</f>
        <v>0</v>
      </c>
      <c r="G283" s="429" t="n">
        <f aca="false">+G216</f>
        <v>0</v>
      </c>
      <c r="H283" s="429" t="n">
        <f aca="false">+H216</f>
        <v>0</v>
      </c>
      <c r="I283" s="441" t="n">
        <f aca="false">+I373+I339-I333</f>
        <v>1845.53291765375</v>
      </c>
      <c r="J283" s="437" t="e">
        <f aca="false">SUM(J277:J282)</f>
        <v>#VALUE!</v>
      </c>
      <c r="K283" s="437" t="e">
        <f aca="false">SUM(K277:K282)</f>
        <v>#VALUE!</v>
      </c>
      <c r="L283" s="437" t="e">
        <f aca="false">SUM(L277:L282)</f>
        <v>#VALUE!</v>
      </c>
      <c r="M283" s="437" t="e">
        <f aca="false">SUM(M277:M282)</f>
        <v>#VALUE!</v>
      </c>
      <c r="N283" s="437" t="e">
        <f aca="false">SUM(N277:N282)</f>
        <v>#VALUE!</v>
      </c>
      <c r="O283" s="437" t="e">
        <f aca="false">SUM(O277:O282)</f>
        <v>#VALUE!</v>
      </c>
      <c r="P283" s="437" t="e">
        <f aca="false">SUM(P277:P282)</f>
        <v>#VALUE!</v>
      </c>
      <c r="Q283" s="437" t="e">
        <f aca="false">SUM(Q277:Q282)</f>
        <v>#VALUE!</v>
      </c>
      <c r="R283" s="437" t="e">
        <f aca="false">SUM(R277:R282)</f>
        <v>#VALUE!</v>
      </c>
      <c r="S283" s="437" t="e">
        <f aca="false">SUM(S277:S282)</f>
        <v>#VALUE!</v>
      </c>
      <c r="T283" s="437" t="e">
        <f aca="false">SUM(T277:T282)</f>
        <v>#VALUE!</v>
      </c>
      <c r="U283" s="437" t="e">
        <f aca="false">SUM(U277:U282)</f>
        <v>#VALUE!</v>
      </c>
      <c r="V283" s="437" t="e">
        <f aca="false">SUM(V277:V282)</f>
        <v>#VALUE!</v>
      </c>
      <c r="W283" s="437" t="e">
        <f aca="false">SUM(W277:W282)</f>
        <v>#VALUE!</v>
      </c>
      <c r="X283" s="437" t="e">
        <f aca="false">SUM(X277:X282)</f>
        <v>#VALUE!</v>
      </c>
      <c r="Y283" s="437" t="e">
        <f aca="false">SUM(Y277:Y282)</f>
        <v>#VALUE!</v>
      </c>
      <c r="Z283" s="437" t="e">
        <f aca="false">SUM(Z277:Z282)</f>
        <v>#VALUE!</v>
      </c>
      <c r="AA283" s="437" t="e">
        <f aca="false">SUM(AA277:AA282)</f>
        <v>#VALUE!</v>
      </c>
      <c r="AB283" s="437" t="e">
        <f aca="false">SUM(AB277:AB282)</f>
        <v>#VALUE!</v>
      </c>
      <c r="AC283" s="437" t="e">
        <f aca="false">SUM(AC277:AC282)</f>
        <v>#VALUE!</v>
      </c>
      <c r="AD283" s="437" t="e">
        <f aca="false">SUM(AD277:AD282)</f>
        <v>#VALUE!</v>
      </c>
      <c r="AE283" s="437" t="e">
        <f aca="false">SUM(AE277:AE282)</f>
        <v>#VALUE!</v>
      </c>
      <c r="AF283" s="437" t="e">
        <f aca="false">SUM(AF277:AF282)</f>
        <v>#VALUE!</v>
      </c>
    </row>
    <row r="284" customFormat="false" ht="11.25" hidden="false" customHeight="false" outlineLevel="0" collapsed="false">
      <c r="A284" s="252" t="s">
        <v>423</v>
      </c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</row>
    <row r="285" customFormat="false" ht="11.25" hidden="false" customHeight="false" outlineLevel="0" collapsed="false">
      <c r="C285" s="235" t="s">
        <v>424</v>
      </c>
      <c r="I285" s="442"/>
      <c r="J285" s="442" t="e">
        <f aca="false">+J253</f>
        <v>#VALUE!</v>
      </c>
      <c r="K285" s="442" t="e">
        <f aca="false">+K253</f>
        <v>#VALUE!</v>
      </c>
      <c r="L285" s="442" t="e">
        <f aca="false">+L253</f>
        <v>#VALUE!</v>
      </c>
      <c r="M285" s="442" t="e">
        <f aca="false">+M253</f>
        <v>#VALUE!</v>
      </c>
      <c r="N285" s="442" t="e">
        <f aca="false">+N253</f>
        <v>#VALUE!</v>
      </c>
      <c r="O285" s="442" t="e">
        <f aca="false">+O253</f>
        <v>#VALUE!</v>
      </c>
      <c r="P285" s="442" t="e">
        <f aca="false">+P253</f>
        <v>#VALUE!</v>
      </c>
      <c r="Q285" s="442" t="e">
        <f aca="false">+Q253</f>
        <v>#VALUE!</v>
      </c>
      <c r="R285" s="442" t="e">
        <f aca="false">+R253</f>
        <v>#VALUE!</v>
      </c>
      <c r="S285" s="442" t="e">
        <f aca="false">+S253</f>
        <v>#VALUE!</v>
      </c>
      <c r="T285" s="442" t="e">
        <f aca="false">+T253</f>
        <v>#VALUE!</v>
      </c>
      <c r="U285" s="442" t="e">
        <f aca="false">+U253</f>
        <v>#VALUE!</v>
      </c>
      <c r="V285" s="442" t="e">
        <f aca="false">+V253</f>
        <v>#VALUE!</v>
      </c>
      <c r="W285" s="442" t="e">
        <f aca="false">+W253</f>
        <v>#VALUE!</v>
      </c>
      <c r="X285" s="442" t="e">
        <f aca="false">+X253</f>
        <v>#VALUE!</v>
      </c>
      <c r="Y285" s="442" t="e">
        <f aca="false">+Y253</f>
        <v>#VALUE!</v>
      </c>
      <c r="Z285" s="442" t="e">
        <f aca="false">+Z253</f>
        <v>#VALUE!</v>
      </c>
      <c r="AA285" s="442" t="e">
        <f aca="false">+AA253</f>
        <v>#VALUE!</v>
      </c>
      <c r="AB285" s="442" t="e">
        <f aca="false">+AB253</f>
        <v>#VALUE!</v>
      </c>
      <c r="AC285" s="442" t="e">
        <f aca="false">+AC253</f>
        <v>#VALUE!</v>
      </c>
      <c r="AD285" s="442" t="e">
        <f aca="false">+AD253</f>
        <v>#VALUE!</v>
      </c>
      <c r="AE285" s="442" t="e">
        <f aca="false">+AE253</f>
        <v>#VALUE!</v>
      </c>
      <c r="AF285" s="442" t="e">
        <f aca="false">+AF253</f>
        <v>#VALUE!</v>
      </c>
    </row>
    <row r="286" customFormat="false" ht="11.25" hidden="false" customHeight="false" outlineLevel="0" collapsed="false">
      <c r="C286" s="235" t="s">
        <v>425</v>
      </c>
      <c r="E286" s="443" t="n">
        <v>0</v>
      </c>
      <c r="F286" s="443" t="n">
        <v>0</v>
      </c>
      <c r="G286" s="443" t="n">
        <v>0</v>
      </c>
      <c r="H286" s="443" t="n">
        <v>0</v>
      </c>
      <c r="I286" s="444" t="n">
        <f aca="false">SUM(I285)</f>
        <v>0</v>
      </c>
      <c r="J286" s="444" t="e">
        <f aca="false">SUM(J285)</f>
        <v>#VALUE!</v>
      </c>
      <c r="K286" s="444" t="e">
        <f aca="false">SUM(K285)</f>
        <v>#VALUE!</v>
      </c>
      <c r="L286" s="444" t="e">
        <f aca="false">SUM(L285)</f>
        <v>#VALUE!</v>
      </c>
      <c r="M286" s="444" t="e">
        <f aca="false">SUM(M285)</f>
        <v>#VALUE!</v>
      </c>
      <c r="N286" s="444" t="e">
        <f aca="false">SUM(N285)</f>
        <v>#VALUE!</v>
      </c>
      <c r="O286" s="444" t="e">
        <f aca="false">SUM(O285)</f>
        <v>#VALUE!</v>
      </c>
      <c r="P286" s="444" t="e">
        <f aca="false">SUM(P285)</f>
        <v>#VALUE!</v>
      </c>
      <c r="Q286" s="444" t="e">
        <f aca="false">SUM(Q285)</f>
        <v>#VALUE!</v>
      </c>
      <c r="R286" s="444" t="e">
        <f aca="false">SUM(R285)</f>
        <v>#VALUE!</v>
      </c>
      <c r="S286" s="444" t="e">
        <f aca="false">SUM(S285)</f>
        <v>#VALUE!</v>
      </c>
      <c r="T286" s="444" t="e">
        <f aca="false">SUM(T285)</f>
        <v>#VALUE!</v>
      </c>
      <c r="U286" s="444" t="e">
        <f aca="false">SUM(U285)</f>
        <v>#VALUE!</v>
      </c>
      <c r="V286" s="444" t="e">
        <f aca="false">SUM(V285)</f>
        <v>#VALUE!</v>
      </c>
      <c r="W286" s="444" t="e">
        <f aca="false">SUM(W285)</f>
        <v>#VALUE!</v>
      </c>
      <c r="X286" s="444" t="e">
        <f aca="false">SUM(X285)</f>
        <v>#VALUE!</v>
      </c>
      <c r="Y286" s="444" t="e">
        <f aca="false">SUM(Y285)</f>
        <v>#VALUE!</v>
      </c>
      <c r="Z286" s="444" t="e">
        <f aca="false">SUM(Z285)</f>
        <v>#VALUE!</v>
      </c>
      <c r="AA286" s="444" t="e">
        <f aca="false">SUM(AA285)</f>
        <v>#VALUE!</v>
      </c>
      <c r="AB286" s="444" t="e">
        <f aca="false">SUM(AB285)</f>
        <v>#VALUE!</v>
      </c>
      <c r="AC286" s="444" t="e">
        <f aca="false">SUM(AC285)</f>
        <v>#VALUE!</v>
      </c>
      <c r="AD286" s="444" t="e">
        <f aca="false">SUM(AD285)</f>
        <v>#VALUE!</v>
      </c>
      <c r="AE286" s="444" t="e">
        <f aca="false">SUM(AE285)</f>
        <v>#VALUE!</v>
      </c>
      <c r="AF286" s="444" t="e">
        <f aca="false">SUM(AF285)</f>
        <v>#VALUE!</v>
      </c>
    </row>
    <row r="287" customFormat="false" ht="11.25" hidden="false" customHeight="false" outlineLevel="0" collapsed="false"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  <c r="Z287" s="442"/>
      <c r="AA287" s="442"/>
      <c r="AB287" s="442"/>
      <c r="AC287" s="442"/>
      <c r="AD287" s="442"/>
      <c r="AE287" s="442"/>
      <c r="AF287" s="442"/>
    </row>
    <row r="288" customFormat="false" ht="11.25" hidden="false" customHeight="false" outlineLevel="0" collapsed="false">
      <c r="C288" s="235" t="s">
        <v>426</v>
      </c>
      <c r="E288" s="445" t="n">
        <f aca="false">+E283-E286</f>
        <v>0</v>
      </c>
      <c r="F288" s="445" t="n">
        <f aca="false">+F283-F286</f>
        <v>0</v>
      </c>
      <c r="G288" s="445" t="n">
        <f aca="false">+G283-G286</f>
        <v>0</v>
      </c>
      <c r="H288" s="445" t="n">
        <f aca="false">+H283-H286</f>
        <v>0</v>
      </c>
      <c r="I288" s="446" t="n">
        <f aca="false">+I283-I286</f>
        <v>1845.53291765375</v>
      </c>
      <c r="J288" s="442" t="e">
        <f aca="false">+J283-J286</f>
        <v>#VALUE!</v>
      </c>
      <c r="K288" s="442" t="e">
        <f aca="false">+K283-K286</f>
        <v>#VALUE!</v>
      </c>
      <c r="L288" s="442" t="e">
        <f aca="false">+L283-L286</f>
        <v>#VALUE!</v>
      </c>
      <c r="M288" s="442" t="e">
        <f aca="false">+M283-M286</f>
        <v>#VALUE!</v>
      </c>
      <c r="N288" s="442" t="e">
        <f aca="false">+N283-N286</f>
        <v>#VALUE!</v>
      </c>
      <c r="O288" s="442" t="e">
        <f aca="false">+O283-O286</f>
        <v>#VALUE!</v>
      </c>
      <c r="P288" s="442" t="e">
        <f aca="false">+P283-P286</f>
        <v>#VALUE!</v>
      </c>
      <c r="Q288" s="442" t="e">
        <f aca="false">+Q283-Q286</f>
        <v>#VALUE!</v>
      </c>
      <c r="R288" s="442" t="e">
        <f aca="false">+R283-R286</f>
        <v>#VALUE!</v>
      </c>
      <c r="S288" s="442" t="e">
        <f aca="false">+S283-S286</f>
        <v>#VALUE!</v>
      </c>
      <c r="T288" s="442" t="e">
        <f aca="false">+T283-T286</f>
        <v>#VALUE!</v>
      </c>
      <c r="U288" s="442" t="e">
        <f aca="false">+U283-U286</f>
        <v>#VALUE!</v>
      </c>
      <c r="V288" s="442" t="e">
        <f aca="false">+V283-V286</f>
        <v>#VALUE!</v>
      </c>
      <c r="W288" s="442" t="e">
        <f aca="false">+W283-W286</f>
        <v>#VALUE!</v>
      </c>
      <c r="X288" s="442" t="e">
        <f aca="false">+X283-X286</f>
        <v>#VALUE!</v>
      </c>
      <c r="Y288" s="442" t="e">
        <f aca="false">+Y283-Y286</f>
        <v>#VALUE!</v>
      </c>
      <c r="Z288" s="442" t="e">
        <f aca="false">+Z283-Z286</f>
        <v>#VALUE!</v>
      </c>
      <c r="AA288" s="442" t="e">
        <f aca="false">+AA283-AA286</f>
        <v>#VALUE!</v>
      </c>
      <c r="AB288" s="442" t="e">
        <f aca="false">+AB283-AB286</f>
        <v>#VALUE!</v>
      </c>
      <c r="AC288" s="442" t="e">
        <f aca="false">+AC283-AC286</f>
        <v>#VALUE!</v>
      </c>
      <c r="AD288" s="442" t="e">
        <f aca="false">+AD283-AD286</f>
        <v>#VALUE!</v>
      </c>
      <c r="AE288" s="442" t="e">
        <f aca="false">+AE283-AE286</f>
        <v>#VALUE!</v>
      </c>
      <c r="AF288" s="442" t="e">
        <f aca="false">+AF283-AF286</f>
        <v>#VALUE!</v>
      </c>
    </row>
    <row r="289" customFormat="false" ht="11.25" hidden="false" customHeight="false" outlineLevel="0" collapsed="false">
      <c r="I289" s="442"/>
      <c r="J289" s="442"/>
      <c r="K289" s="442"/>
      <c r="L289" s="442"/>
      <c r="M289" s="442"/>
      <c r="N289" s="442"/>
      <c r="O289" s="442"/>
      <c r="P289" s="442"/>
      <c r="Q289" s="442"/>
      <c r="R289" s="442"/>
      <c r="S289" s="442"/>
      <c r="T289" s="442"/>
      <c r="U289" s="442"/>
      <c r="V289" s="442"/>
      <c r="W289" s="442"/>
      <c r="X289" s="442"/>
      <c r="Y289" s="442"/>
      <c r="Z289" s="442"/>
      <c r="AA289" s="442"/>
      <c r="AB289" s="442"/>
      <c r="AC289" s="442"/>
      <c r="AD289" s="442"/>
      <c r="AE289" s="442"/>
      <c r="AF289" s="442"/>
    </row>
    <row r="290" customFormat="false" ht="11.25" hidden="false" customHeight="false" outlineLevel="0" collapsed="false">
      <c r="A290" s="252" t="s">
        <v>415</v>
      </c>
      <c r="E290" s="447" t="n">
        <f aca="false">+E271</f>
        <v>0</v>
      </c>
      <c r="F290" s="447" t="n">
        <f aca="false">+F271</f>
        <v>0</v>
      </c>
      <c r="G290" s="447" t="n">
        <f aca="false">+G271</f>
        <v>0</v>
      </c>
      <c r="H290" s="447" t="n">
        <f aca="false">+H271</f>
        <v>0</v>
      </c>
      <c r="I290" s="442"/>
      <c r="J290" s="442" t="n">
        <f aca="false">+J271</f>
        <v>639.952104228251</v>
      </c>
      <c r="K290" s="442" t="n">
        <f aca="false">+K271</f>
        <v>622.940626411629</v>
      </c>
      <c r="L290" s="442" t="n">
        <f aca="false">+L271</f>
        <v>613.548154662485</v>
      </c>
      <c r="M290" s="442" t="n">
        <f aca="false">+M271</f>
        <v>605.404789510104</v>
      </c>
      <c r="N290" s="442" t="n">
        <f aca="false">+N271</f>
        <v>591.603938685908</v>
      </c>
      <c r="O290" s="442" t="n">
        <f aca="false">+O271</f>
        <v>585.390476604248</v>
      </c>
      <c r="P290" s="442" t="n">
        <f aca="false">+P271</f>
        <v>571.710353198629</v>
      </c>
      <c r="Q290" s="442" t="n">
        <f aca="false">+Q271</f>
        <v>575.347406787516</v>
      </c>
      <c r="R290" s="442" t="n">
        <f aca="false">+R271</f>
        <v>563.233416346919</v>
      </c>
      <c r="S290" s="442" t="n">
        <f aca="false">+S271</f>
        <v>547.444890104306</v>
      </c>
      <c r="T290" s="442" t="n">
        <f aca="false">+T271</f>
        <v>531.741504026416</v>
      </c>
      <c r="U290" s="442" t="n">
        <f aca="false">+U271</f>
        <v>527.089040184827</v>
      </c>
      <c r="V290" s="442" t="n">
        <f aca="false">+V271</f>
        <v>511.40212678696</v>
      </c>
      <c r="W290" s="442" t="n">
        <f aca="false">+W271</f>
        <v>495.959204269134</v>
      </c>
      <c r="X290" s="442" t="n">
        <f aca="false">+X271</f>
        <v>489.527790505318</v>
      </c>
      <c r="Y290" s="442" t="n">
        <f aca="false">+Y271</f>
        <v>472.532976719847</v>
      </c>
      <c r="Z290" s="442" t="n">
        <f aca="false">+Z271</f>
        <v>478.239682399571</v>
      </c>
      <c r="AA290" s="442" t="n">
        <f aca="false">+AA271</f>
        <v>484.409928151003</v>
      </c>
      <c r="AB290" s="442" t="n">
        <f aca="false">+AB271</f>
        <v>491.007496752707</v>
      </c>
      <c r="AC290" s="442" t="n">
        <f aca="false">+AC271</f>
        <v>498.525508970237</v>
      </c>
      <c r="AD290" s="442" t="n">
        <f aca="false">+AD271</f>
        <v>507.242972375214</v>
      </c>
      <c r="AE290" s="442" t="n">
        <f aca="false">+AE271</f>
        <v>516.835802190414</v>
      </c>
      <c r="AF290" s="442" t="n">
        <f aca="false">+AF271</f>
        <v>527.285435715301</v>
      </c>
    </row>
    <row r="291" customFormat="false" ht="11.25" hidden="false" customHeight="false" outlineLevel="0" collapsed="false">
      <c r="C291" s="235" t="s">
        <v>427</v>
      </c>
      <c r="E291" s="443" t="n">
        <f aca="false">+E288-E290</f>
        <v>0</v>
      </c>
      <c r="F291" s="443" t="n">
        <f aca="false">+F288-F290</f>
        <v>0</v>
      </c>
      <c r="G291" s="443" t="n">
        <f aca="false">+G288-G290</f>
        <v>0</v>
      </c>
      <c r="H291" s="443" t="n">
        <f aca="false">+H288-H290</f>
        <v>0</v>
      </c>
      <c r="I291" s="443" t="n">
        <f aca="false">+I288-I290</f>
        <v>1845.53291765375</v>
      </c>
      <c r="J291" s="443" t="e">
        <f aca="false">+J288-J290</f>
        <v>#VALUE!</v>
      </c>
      <c r="K291" s="443" t="e">
        <f aca="false">+K288-K290</f>
        <v>#VALUE!</v>
      </c>
      <c r="L291" s="443" t="e">
        <f aca="false">+L288-L290</f>
        <v>#VALUE!</v>
      </c>
      <c r="M291" s="443" t="e">
        <f aca="false">+M288-M290</f>
        <v>#VALUE!</v>
      </c>
      <c r="N291" s="443" t="e">
        <f aca="false">+N288-N290</f>
        <v>#VALUE!</v>
      </c>
      <c r="O291" s="443" t="e">
        <f aca="false">+O288-O290</f>
        <v>#VALUE!</v>
      </c>
      <c r="P291" s="443" t="e">
        <f aca="false">+P288-P290</f>
        <v>#VALUE!</v>
      </c>
      <c r="Q291" s="443" t="e">
        <f aca="false">+Q288-Q290</f>
        <v>#VALUE!</v>
      </c>
      <c r="R291" s="443" t="e">
        <f aca="false">+R288-R290</f>
        <v>#VALUE!</v>
      </c>
      <c r="S291" s="443" t="e">
        <f aca="false">+S288-S290</f>
        <v>#VALUE!</v>
      </c>
      <c r="T291" s="443" t="e">
        <f aca="false">+T288-T290</f>
        <v>#VALUE!</v>
      </c>
      <c r="U291" s="443" t="e">
        <f aca="false">+U288-U290</f>
        <v>#VALUE!</v>
      </c>
      <c r="V291" s="443" t="e">
        <f aca="false">+V288-V290</f>
        <v>#VALUE!</v>
      </c>
      <c r="W291" s="443" t="e">
        <f aca="false">+W288-W290</f>
        <v>#VALUE!</v>
      </c>
      <c r="X291" s="443" t="e">
        <f aca="false">+X288-X290</f>
        <v>#VALUE!</v>
      </c>
      <c r="Y291" s="443" t="e">
        <f aca="false">+Y288-Y290</f>
        <v>#VALUE!</v>
      </c>
      <c r="Z291" s="443" t="e">
        <f aca="false">+Z288-Z290</f>
        <v>#VALUE!</v>
      </c>
      <c r="AA291" s="443" t="e">
        <f aca="false">+AA288-AA290</f>
        <v>#VALUE!</v>
      </c>
      <c r="AB291" s="443" t="e">
        <f aca="false">+AB288-AB290</f>
        <v>#VALUE!</v>
      </c>
      <c r="AC291" s="443" t="e">
        <f aca="false">+AC288-AC290</f>
        <v>#VALUE!</v>
      </c>
      <c r="AD291" s="443" t="e">
        <f aca="false">+AD288-AD290</f>
        <v>#VALUE!</v>
      </c>
      <c r="AE291" s="443" t="e">
        <f aca="false">+AE288-AE290</f>
        <v>#VALUE!</v>
      </c>
      <c r="AF291" s="443" t="e">
        <f aca="false">+AF288-AF290</f>
        <v>#VALUE!</v>
      </c>
    </row>
    <row r="292" customFormat="false" ht="11.25" hidden="false" customHeight="false" outlineLevel="0" collapsed="false">
      <c r="I292" s="239"/>
    </row>
    <row r="293" customFormat="false" ht="12" hidden="false" customHeight="false" outlineLevel="1" collapsed="false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</row>
    <row r="294" customFormat="false" ht="12" hidden="false" customHeight="false" outlineLevel="1" collapsed="false">
      <c r="F294" s="291"/>
    </row>
    <row r="295" customFormat="false" ht="11.25" hidden="false" customHeight="false" outlineLevel="1" collapsed="false">
      <c r="A295" s="448" t="s">
        <v>428</v>
      </c>
    </row>
    <row r="296" customFormat="false" ht="11.25" hidden="false" customHeight="false" outlineLevel="1" collapsed="false">
      <c r="B296" s="291" t="s">
        <v>429</v>
      </c>
      <c r="E296" s="416" t="n">
        <f aca="false">+E283</f>
        <v>0</v>
      </c>
      <c r="F296" s="416" t="n">
        <f aca="false">+F283</f>
        <v>0</v>
      </c>
      <c r="G296" s="416" t="n">
        <f aca="false">+G283</f>
        <v>0</v>
      </c>
      <c r="H296" s="416" t="n">
        <f aca="false">+H283</f>
        <v>0</v>
      </c>
      <c r="I296" s="416" t="n">
        <f aca="false">+I283</f>
        <v>1845.53291765375</v>
      </c>
      <c r="J296" s="416" t="e">
        <f aca="false">+J283</f>
        <v>#VALUE!</v>
      </c>
      <c r="K296" s="416" t="e">
        <f aca="false">+K283</f>
        <v>#VALUE!</v>
      </c>
      <c r="L296" s="416" t="e">
        <f aca="false">+L283</f>
        <v>#VALUE!</v>
      </c>
      <c r="M296" s="416" t="e">
        <f aca="false">+M283</f>
        <v>#VALUE!</v>
      </c>
      <c r="N296" s="416" t="e">
        <f aca="false">+N283</f>
        <v>#VALUE!</v>
      </c>
      <c r="O296" s="416" t="e">
        <f aca="false">+O283</f>
        <v>#VALUE!</v>
      </c>
      <c r="P296" s="416" t="e">
        <f aca="false">+P283</f>
        <v>#VALUE!</v>
      </c>
      <c r="Q296" s="416" t="e">
        <f aca="false">+Q283</f>
        <v>#VALUE!</v>
      </c>
      <c r="R296" s="416" t="e">
        <f aca="false">+R283</f>
        <v>#VALUE!</v>
      </c>
      <c r="S296" s="416" t="e">
        <f aca="false">+S283</f>
        <v>#VALUE!</v>
      </c>
      <c r="T296" s="416" t="e">
        <f aca="false">+T283</f>
        <v>#VALUE!</v>
      </c>
      <c r="U296" s="416" t="e">
        <f aca="false">+U283</f>
        <v>#VALUE!</v>
      </c>
      <c r="V296" s="416" t="e">
        <f aca="false">+V283</f>
        <v>#VALUE!</v>
      </c>
      <c r="W296" s="416" t="e">
        <f aca="false">+W283</f>
        <v>#VALUE!</v>
      </c>
      <c r="X296" s="416" t="e">
        <f aca="false">+X283</f>
        <v>#VALUE!</v>
      </c>
      <c r="Y296" s="416" t="e">
        <f aca="false">+Y283</f>
        <v>#VALUE!</v>
      </c>
      <c r="Z296" s="416" t="e">
        <f aca="false">+Z283</f>
        <v>#VALUE!</v>
      </c>
      <c r="AA296" s="416" t="e">
        <f aca="false">+AA283</f>
        <v>#VALUE!</v>
      </c>
      <c r="AB296" s="416" t="e">
        <f aca="false">+AB283</f>
        <v>#VALUE!</v>
      </c>
      <c r="AC296" s="416" t="e">
        <f aca="false">+AC283</f>
        <v>#VALUE!</v>
      </c>
      <c r="AD296" s="416" t="e">
        <f aca="false">+AD283</f>
        <v>#VALUE!</v>
      </c>
      <c r="AE296" s="416" t="e">
        <f aca="false">+AE283</f>
        <v>#VALUE!</v>
      </c>
      <c r="AF296" s="416" t="e">
        <f aca="false">+AF283</f>
        <v>#VALUE!</v>
      </c>
    </row>
    <row r="297" customFormat="false" ht="11.25" hidden="false" customHeight="false" outlineLevel="1" collapsed="false">
      <c r="B297" s="235" t="s">
        <v>398</v>
      </c>
      <c r="E297" s="416" t="n">
        <f aca="false">+E286</f>
        <v>0</v>
      </c>
      <c r="F297" s="416" t="n">
        <f aca="false">+F286</f>
        <v>0</v>
      </c>
      <c r="G297" s="416" t="n">
        <f aca="false">+G286</f>
        <v>0</v>
      </c>
      <c r="H297" s="416" t="n">
        <f aca="false">+H286</f>
        <v>0</v>
      </c>
      <c r="I297" s="416" t="n">
        <f aca="false">+I286</f>
        <v>0</v>
      </c>
      <c r="J297" s="416" t="e">
        <f aca="false">+J286</f>
        <v>#VALUE!</v>
      </c>
      <c r="K297" s="416" t="e">
        <f aca="false">+K286</f>
        <v>#VALUE!</v>
      </c>
      <c r="L297" s="416" t="e">
        <f aca="false">+L286</f>
        <v>#VALUE!</v>
      </c>
      <c r="M297" s="416" t="e">
        <f aca="false">+M286</f>
        <v>#VALUE!</v>
      </c>
      <c r="N297" s="416" t="e">
        <f aca="false">+N286</f>
        <v>#VALUE!</v>
      </c>
      <c r="O297" s="416" t="e">
        <f aca="false">+O286</f>
        <v>#VALUE!</v>
      </c>
      <c r="P297" s="416" t="e">
        <f aca="false">+P286</f>
        <v>#VALUE!</v>
      </c>
      <c r="Q297" s="416" t="e">
        <f aca="false">+Q286</f>
        <v>#VALUE!</v>
      </c>
      <c r="R297" s="416" t="e">
        <f aca="false">+R286</f>
        <v>#VALUE!</v>
      </c>
      <c r="S297" s="416" t="e">
        <f aca="false">+S286</f>
        <v>#VALUE!</v>
      </c>
      <c r="T297" s="416" t="e">
        <f aca="false">+T286</f>
        <v>#VALUE!</v>
      </c>
      <c r="U297" s="416" t="e">
        <f aca="false">+U286</f>
        <v>#VALUE!</v>
      </c>
      <c r="V297" s="416" t="e">
        <f aca="false">+V286</f>
        <v>#VALUE!</v>
      </c>
      <c r="W297" s="416" t="e">
        <f aca="false">+W286</f>
        <v>#VALUE!</v>
      </c>
      <c r="X297" s="416" t="e">
        <f aca="false">+X286</f>
        <v>#VALUE!</v>
      </c>
      <c r="Y297" s="416" t="e">
        <f aca="false">+Y286</f>
        <v>#VALUE!</v>
      </c>
      <c r="Z297" s="416" t="e">
        <f aca="false">+Z286</f>
        <v>#VALUE!</v>
      </c>
      <c r="AA297" s="416" t="e">
        <f aca="false">+AA286</f>
        <v>#VALUE!</v>
      </c>
      <c r="AB297" s="416" t="e">
        <f aca="false">+AB286</f>
        <v>#VALUE!</v>
      </c>
      <c r="AC297" s="416" t="e">
        <f aca="false">+AC286</f>
        <v>#VALUE!</v>
      </c>
      <c r="AD297" s="416" t="e">
        <f aca="false">+AD286</f>
        <v>#VALUE!</v>
      </c>
      <c r="AE297" s="416" t="e">
        <f aca="false">+AE286</f>
        <v>#VALUE!</v>
      </c>
      <c r="AF297" s="416" t="e">
        <f aca="false">+AF286</f>
        <v>#VALUE!</v>
      </c>
    </row>
    <row r="298" customFormat="false" ht="11.25" hidden="false" customHeight="false" outlineLevel="1" collapsed="false">
      <c r="B298" s="291" t="s">
        <v>430</v>
      </c>
      <c r="E298" s="416" t="n">
        <f aca="false">+E290</f>
        <v>0</v>
      </c>
      <c r="F298" s="416" t="n">
        <f aca="false">+F290</f>
        <v>0</v>
      </c>
      <c r="G298" s="416" t="n">
        <f aca="false">+G290</f>
        <v>0</v>
      </c>
      <c r="H298" s="416" t="n">
        <f aca="false">+H290</f>
        <v>0</v>
      </c>
      <c r="I298" s="416" t="n">
        <f aca="false">+I290</f>
        <v>0</v>
      </c>
      <c r="J298" s="416" t="n">
        <f aca="false">+J290</f>
        <v>639.952104228251</v>
      </c>
      <c r="K298" s="416" t="n">
        <f aca="false">+K290</f>
        <v>622.940626411629</v>
      </c>
      <c r="L298" s="416" t="n">
        <f aca="false">+L290</f>
        <v>613.548154662485</v>
      </c>
      <c r="M298" s="416" t="n">
        <f aca="false">+M290</f>
        <v>605.404789510104</v>
      </c>
      <c r="N298" s="416" t="n">
        <f aca="false">+N290</f>
        <v>591.603938685908</v>
      </c>
      <c r="O298" s="416" t="n">
        <f aca="false">+O290</f>
        <v>585.390476604248</v>
      </c>
      <c r="P298" s="416" t="n">
        <f aca="false">+P290</f>
        <v>571.710353198629</v>
      </c>
      <c r="Q298" s="416" t="n">
        <f aca="false">+Q290</f>
        <v>575.347406787516</v>
      </c>
      <c r="R298" s="416" t="n">
        <f aca="false">+R290</f>
        <v>563.233416346919</v>
      </c>
      <c r="S298" s="416" t="n">
        <f aca="false">+S290</f>
        <v>547.444890104306</v>
      </c>
      <c r="T298" s="416" t="n">
        <f aca="false">+T290</f>
        <v>531.741504026416</v>
      </c>
      <c r="U298" s="416" t="n">
        <f aca="false">+U290</f>
        <v>527.089040184827</v>
      </c>
      <c r="V298" s="416" t="n">
        <f aca="false">+V290</f>
        <v>511.40212678696</v>
      </c>
      <c r="W298" s="416" t="n">
        <f aca="false">+W290</f>
        <v>495.959204269134</v>
      </c>
      <c r="X298" s="416" t="n">
        <f aca="false">+X290</f>
        <v>489.527790505318</v>
      </c>
      <c r="Y298" s="416" t="n">
        <f aca="false">+Y290</f>
        <v>472.532976719847</v>
      </c>
      <c r="Z298" s="416" t="n">
        <f aca="false">+Z290</f>
        <v>478.239682399571</v>
      </c>
      <c r="AA298" s="416" t="n">
        <f aca="false">+AA290</f>
        <v>484.409928151003</v>
      </c>
      <c r="AB298" s="416" t="n">
        <f aca="false">+AB290</f>
        <v>491.007496752707</v>
      </c>
      <c r="AC298" s="416" t="n">
        <f aca="false">+AC290</f>
        <v>498.525508970237</v>
      </c>
      <c r="AD298" s="416" t="n">
        <f aca="false">+AD290</f>
        <v>507.242972375214</v>
      </c>
      <c r="AE298" s="416" t="n">
        <f aca="false">+AE290</f>
        <v>516.835802190414</v>
      </c>
      <c r="AF298" s="416" t="n">
        <f aca="false">+AF290</f>
        <v>527.285435715301</v>
      </c>
    </row>
    <row r="299" customFormat="false" ht="11.25" hidden="false" customHeight="false" outlineLevel="1" collapsed="false">
      <c r="B299" s="449" t="s">
        <v>431</v>
      </c>
      <c r="C299" s="359"/>
      <c r="E299" s="416"/>
      <c r="F299" s="416"/>
      <c r="G299" s="416"/>
      <c r="H299" s="416" t="n">
        <f aca="false">+H108</f>
        <v>78714.55552</v>
      </c>
      <c r="I299" s="416" t="n">
        <f aca="false">+I108</f>
        <v>0</v>
      </c>
      <c r="J299" s="416" t="n">
        <f aca="false">+J108</f>
        <v>0</v>
      </c>
      <c r="K299" s="416" t="n">
        <f aca="false">+K108</f>
        <v>0</v>
      </c>
      <c r="L299" s="416" t="n">
        <f aca="false">+L108</f>
        <v>0</v>
      </c>
      <c r="M299" s="416" t="n">
        <f aca="false">+M108</f>
        <v>1331.9046155778</v>
      </c>
      <c r="N299" s="416" t="n">
        <f aca="false">+N108</f>
        <v>0</v>
      </c>
      <c r="O299" s="416" t="n">
        <f aca="false">+O108</f>
        <v>0</v>
      </c>
      <c r="P299" s="416" t="n">
        <f aca="false">+P108</f>
        <v>0</v>
      </c>
      <c r="Q299" s="416" t="n">
        <f aca="false">+Q108</f>
        <v>4611.73981979569</v>
      </c>
      <c r="R299" s="416" t="n">
        <f aca="false">+R108</f>
        <v>0</v>
      </c>
      <c r="S299" s="416" t="n">
        <f aca="false">+S108</f>
        <v>0</v>
      </c>
      <c r="T299" s="416" t="n">
        <f aca="false">+T108</f>
        <v>0</v>
      </c>
      <c r="U299" s="416" t="n">
        <f aca="false">+U108</f>
        <v>1870.65531397766</v>
      </c>
      <c r="V299" s="416" t="n">
        <f aca="false">+V108</f>
        <v>0</v>
      </c>
      <c r="W299" s="416" t="n">
        <f aca="false">+W108</f>
        <v>0</v>
      </c>
      <c r="X299" s="416" t="n">
        <f aca="false">+X108</f>
        <v>0</v>
      </c>
      <c r="Y299" s="416" t="n">
        <f aca="false">+Y108</f>
        <v>6463.75753668992</v>
      </c>
      <c r="Z299" s="416" t="n">
        <f aca="false">+Z108</f>
        <v>0</v>
      </c>
      <c r="AA299" s="416" t="n">
        <f aca="false">+AA108</f>
        <v>0</v>
      </c>
      <c r="AB299" s="416" t="n">
        <f aca="false">+AB108</f>
        <v>0</v>
      </c>
      <c r="AC299" s="416" t="n">
        <f aca="false">+AC108</f>
        <v>0</v>
      </c>
      <c r="AD299" s="416" t="n">
        <f aca="false">+AD108</f>
        <v>0</v>
      </c>
      <c r="AE299" s="416" t="n">
        <f aca="false">+AE108</f>
        <v>0</v>
      </c>
      <c r="AF299" s="416" t="n">
        <f aca="false">+AF108</f>
        <v>0</v>
      </c>
    </row>
    <row r="300" customFormat="false" ht="11.25" hidden="false" customHeight="false" outlineLevel="1" collapsed="false">
      <c r="B300" s="291"/>
      <c r="E300" s="416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  <c r="P300" s="416"/>
      <c r="Q300" s="416"/>
      <c r="R300" s="416"/>
      <c r="S300" s="416"/>
      <c r="T300" s="416"/>
      <c r="U300" s="416"/>
      <c r="V300" s="416"/>
      <c r="W300" s="416"/>
      <c r="X300" s="416"/>
      <c r="Y300" s="416"/>
      <c r="Z300" s="416"/>
      <c r="AA300" s="416"/>
      <c r="AB300" s="416"/>
      <c r="AC300" s="416"/>
      <c r="AD300" s="416"/>
      <c r="AE300" s="416"/>
      <c r="AF300" s="416"/>
    </row>
    <row r="301" customFormat="false" ht="11.25" hidden="false" customHeight="false" outlineLevel="1" collapsed="false">
      <c r="B301" s="291" t="s">
        <v>432</v>
      </c>
      <c r="E301" s="416"/>
      <c r="F301" s="416"/>
      <c r="G301" s="416"/>
      <c r="H301" s="416"/>
      <c r="I301" s="416" t="n">
        <f aca="false">+I107</f>
        <v>0</v>
      </c>
      <c r="J301" s="416" t="n">
        <f aca="false">+J107</f>
        <v>0</v>
      </c>
      <c r="K301" s="416" t="n">
        <f aca="false">+K107</f>
        <v>0</v>
      </c>
      <c r="L301" s="416" t="n">
        <f aca="false">+L107</f>
        <v>0</v>
      </c>
      <c r="M301" s="416" t="n">
        <f aca="false">+M107</f>
        <v>0</v>
      </c>
      <c r="N301" s="416" t="n">
        <f aca="false">+N107</f>
        <v>0</v>
      </c>
      <c r="O301" s="416" t="n">
        <f aca="false">+O107</f>
        <v>0</v>
      </c>
      <c r="P301" s="416" t="n">
        <f aca="false">+P107</f>
        <v>0</v>
      </c>
      <c r="Q301" s="416" t="n">
        <f aca="false">+Q107</f>
        <v>0</v>
      </c>
      <c r="R301" s="416" t="n">
        <f aca="false">+R107</f>
        <v>0</v>
      </c>
      <c r="S301" s="416" t="n">
        <f aca="false">+S107</f>
        <v>0</v>
      </c>
      <c r="T301" s="416" t="n">
        <f aca="false">+T107</f>
        <v>0</v>
      </c>
      <c r="U301" s="416" t="n">
        <f aca="false">+U107</f>
        <v>0</v>
      </c>
      <c r="V301" s="416" t="n">
        <f aca="false">+V107</f>
        <v>0</v>
      </c>
      <c r="W301" s="416" t="n">
        <f aca="false">+W107</f>
        <v>0</v>
      </c>
      <c r="X301" s="416" t="n">
        <f aca="false">+X107</f>
        <v>0</v>
      </c>
      <c r="Y301" s="416" t="n">
        <f aca="false">+Y107</f>
        <v>0</v>
      </c>
      <c r="Z301" s="416" t="n">
        <f aca="false">+Z107</f>
        <v>0</v>
      </c>
      <c r="AA301" s="416" t="n">
        <f aca="false">+AA107</f>
        <v>0</v>
      </c>
      <c r="AB301" s="416" t="n">
        <f aca="false">+AB107</f>
        <v>0</v>
      </c>
      <c r="AC301" s="416" t="n">
        <f aca="false">+AC107</f>
        <v>0</v>
      </c>
      <c r="AD301" s="416" t="n">
        <f aca="false">+AD107</f>
        <v>0</v>
      </c>
      <c r="AE301" s="416" t="n">
        <f aca="false">+AE107</f>
        <v>0</v>
      </c>
      <c r="AF301" s="416" t="n">
        <f aca="false">+AF107</f>
        <v>0</v>
      </c>
    </row>
    <row r="302" customFormat="false" ht="11.25" hidden="false" customHeight="false" outlineLevel="1" collapsed="false">
      <c r="B302" s="325" t="s">
        <v>347</v>
      </c>
      <c r="C302" s="325"/>
      <c r="E302" s="416"/>
      <c r="F302" s="416"/>
      <c r="G302" s="416"/>
      <c r="H302" s="416"/>
      <c r="I302" s="416" t="n">
        <f aca="false">+I106</f>
        <v>0</v>
      </c>
      <c r="J302" s="416" t="n">
        <f aca="false">+J106</f>
        <v>0</v>
      </c>
      <c r="K302" s="416" t="n">
        <f aca="false">+K106</f>
        <v>0</v>
      </c>
      <c r="L302" s="416" t="n">
        <f aca="false">+L106</f>
        <v>0</v>
      </c>
      <c r="M302" s="416" t="n">
        <f aca="false">+M106</f>
        <v>0</v>
      </c>
      <c r="N302" s="416" t="n">
        <f aca="false">+N106</f>
        <v>0</v>
      </c>
      <c r="O302" s="416" t="n">
        <f aca="false">+O106</f>
        <v>0</v>
      </c>
      <c r="P302" s="416" t="n">
        <f aca="false">+P106</f>
        <v>0</v>
      </c>
      <c r="Q302" s="416" t="n">
        <f aca="false">+Q106</f>
        <v>0</v>
      </c>
      <c r="R302" s="416" t="n">
        <f aca="false">+R106</f>
        <v>0</v>
      </c>
      <c r="S302" s="416" t="n">
        <f aca="false">+S106</f>
        <v>0</v>
      </c>
      <c r="T302" s="416" t="n">
        <f aca="false">+T106</f>
        <v>0</v>
      </c>
      <c r="U302" s="416" t="n">
        <f aca="false">+U106</f>
        <v>0</v>
      </c>
      <c r="V302" s="416" t="n">
        <f aca="false">+V106</f>
        <v>0</v>
      </c>
      <c r="W302" s="416" t="n">
        <f aca="false">+W106</f>
        <v>0</v>
      </c>
      <c r="X302" s="416" t="n">
        <f aca="false">+X106</f>
        <v>0</v>
      </c>
      <c r="Y302" s="416" t="n">
        <f aca="false">+Y106</f>
        <v>0</v>
      </c>
      <c r="Z302" s="416" t="n">
        <f aca="false">+Z106</f>
        <v>0</v>
      </c>
      <c r="AA302" s="416" t="n">
        <f aca="false">+AA106</f>
        <v>0</v>
      </c>
      <c r="AB302" s="416" t="n">
        <f aca="false">+AB106</f>
        <v>0</v>
      </c>
      <c r="AC302" s="416" t="n">
        <f aca="false">+AC106</f>
        <v>0</v>
      </c>
      <c r="AD302" s="416" t="n">
        <f aca="false">+AD106</f>
        <v>0</v>
      </c>
      <c r="AE302" s="416" t="n">
        <f aca="false">+AE106</f>
        <v>0</v>
      </c>
      <c r="AF302" s="416" t="n">
        <f aca="false">+AF106</f>
        <v>0</v>
      </c>
    </row>
    <row r="303" customFormat="false" ht="11.25" hidden="false" customHeight="false" outlineLevel="1" collapsed="false">
      <c r="B303" s="235" t="s">
        <v>433</v>
      </c>
      <c r="E303" s="416" t="n">
        <f aca="false">+E114</f>
        <v>0</v>
      </c>
      <c r="F303" s="416" t="n">
        <f aca="false">+F114</f>
        <v>0</v>
      </c>
      <c r="G303" s="416" t="n">
        <f aca="false">+G114</f>
        <v>0</v>
      </c>
      <c r="H303" s="416" t="n">
        <f aca="false">+H114</f>
        <v>0</v>
      </c>
      <c r="I303" s="416" t="n">
        <f aca="false">+I114</f>
        <v>2186.51543111111</v>
      </c>
      <c r="J303" s="416" t="n">
        <f aca="false">+J114</f>
        <v>5247.63703466667</v>
      </c>
      <c r="K303" s="416" t="n">
        <f aca="false">+K114</f>
        <v>5247.63703466667</v>
      </c>
      <c r="L303" s="416" t="n">
        <f aca="false">+L114</f>
        <v>5247.63703466667</v>
      </c>
      <c r="M303" s="416" t="n">
        <f aca="false">+M114</f>
        <v>5317.00706672801</v>
      </c>
      <c r="N303" s="416" t="n">
        <f aca="false">+N114</f>
        <v>5414.12511161389</v>
      </c>
      <c r="O303" s="416" t="n">
        <f aca="false">+O114</f>
        <v>5414.12511161389</v>
      </c>
      <c r="P303" s="416" t="n">
        <f aca="false">+P114</f>
        <v>5414.12511161389</v>
      </c>
      <c r="Q303" s="416" t="n">
        <f aca="false">+Q114</f>
        <v>5414.12511161389</v>
      </c>
      <c r="R303" s="416" t="n">
        <f aca="false">+R114</f>
        <v>5414.12511161389</v>
      </c>
      <c r="S303" s="416" t="n">
        <f aca="false">+S114</f>
        <v>5414.12511161389</v>
      </c>
      <c r="T303" s="416" t="n">
        <f aca="false">+T114</f>
        <v>5414.12511161389</v>
      </c>
      <c r="U303" s="416" t="n">
        <f aca="false">+U114</f>
        <v>5442.18504382222</v>
      </c>
      <c r="V303" s="416" t="n">
        <f aca="false">+V114</f>
        <v>5481.46894891387</v>
      </c>
      <c r="W303" s="416" t="n">
        <f aca="false">+W114</f>
        <v>5481.46894891387</v>
      </c>
      <c r="X303" s="416" t="n">
        <f aca="false">+X114</f>
        <v>3294.95351780276</v>
      </c>
      <c r="Y303" s="416" t="n">
        <f aca="false">+Y114</f>
        <v>570.485952616474</v>
      </c>
      <c r="Z303" s="416" t="n">
        <f aca="false">+Z114</f>
        <v>1041.80160633345</v>
      </c>
      <c r="AA303" s="416" t="n">
        <f aca="false">+AA114</f>
        <v>1041.80160633345</v>
      </c>
      <c r="AB303" s="416" t="n">
        <f aca="false">+AB114</f>
        <v>1041.80160633345</v>
      </c>
      <c r="AC303" s="416" t="n">
        <f aca="false">+AC114</f>
        <v>944.371642063778</v>
      </c>
      <c r="AD303" s="416" t="n">
        <f aca="false">+AD114</f>
        <v>807.96969208624</v>
      </c>
      <c r="AE303" s="416" t="n">
        <f aca="false">+AE114</f>
        <v>807.96969208624</v>
      </c>
      <c r="AF303" s="416" t="n">
        <f aca="false">+AF114</f>
        <v>807.96969208624</v>
      </c>
    </row>
    <row r="304" customFormat="false" ht="11.25" hidden="false" customHeight="false" outlineLevel="1" collapsed="false">
      <c r="B304" s="235" t="s">
        <v>434</v>
      </c>
      <c r="E304" s="416" t="n">
        <f aca="false">+E120</f>
        <v>0</v>
      </c>
      <c r="F304" s="416" t="n">
        <f aca="false">+F120</f>
        <v>0</v>
      </c>
      <c r="G304" s="416" t="n">
        <f aca="false">+G120</f>
        <v>0</v>
      </c>
      <c r="H304" s="416" t="n">
        <f aca="false">+H120</f>
        <v>0</v>
      </c>
      <c r="I304" s="416" t="n">
        <f aca="false">+I120</f>
        <v>3277.97601069589</v>
      </c>
      <c r="J304" s="416" t="n">
        <f aca="false">+J120</f>
        <v>7541.50138776548</v>
      </c>
      <c r="K304" s="416" t="n">
        <f aca="false">+K120</f>
        <v>6767.94218050455</v>
      </c>
      <c r="L304" s="416" t="n">
        <f aca="false">+L120</f>
        <v>6091.14796245409</v>
      </c>
      <c r="M304" s="416" t="n">
        <f aca="false">+M120</f>
        <v>5586.03119783599</v>
      </c>
      <c r="N304" s="416" t="n">
        <f aca="false">+N120</f>
        <v>5176.66833686555</v>
      </c>
      <c r="O304" s="416" t="n">
        <f aca="false">+O120</f>
        <v>4821.68524896114</v>
      </c>
      <c r="P304" s="416" t="n">
        <f aca="false">+P120</f>
        <v>4790.4778215326</v>
      </c>
      <c r="Q304" s="416" t="n">
        <f aca="false">+Q120</f>
        <v>5137.86538636625</v>
      </c>
      <c r="R304" s="416" t="n">
        <f aca="false">+R120</f>
        <v>5587.63563099592</v>
      </c>
      <c r="S304" s="416" t="n">
        <f aca="false">+S120</f>
        <v>5423.19642874056</v>
      </c>
      <c r="T304" s="416" t="n">
        <f aca="false">+T120</f>
        <v>5315.14024058541</v>
      </c>
      <c r="U304" s="416" t="n">
        <f aca="false">+U120</f>
        <v>5356.92241221546</v>
      </c>
      <c r="V304" s="416" t="n">
        <f aca="false">+V120</f>
        <v>5465.92250964061</v>
      </c>
      <c r="W304" s="416" t="n">
        <f aca="false">+W120</f>
        <v>5390.45568182014</v>
      </c>
      <c r="X304" s="416" t="n">
        <f aca="false">+X120</f>
        <v>3360.07574667055</v>
      </c>
      <c r="Y304" s="416" t="n">
        <f aca="false">+Y120</f>
        <v>989.466826239399</v>
      </c>
      <c r="Z304" s="416" t="n">
        <f aca="false">+Z120</f>
        <v>1317.37517159917</v>
      </c>
      <c r="AA304" s="416" t="n">
        <f aca="false">+AA120</f>
        <v>1104.74630254402</v>
      </c>
      <c r="AB304" s="416" t="n">
        <f aca="false">+AB120</f>
        <v>953.296084651023</v>
      </c>
      <c r="AC304" s="416" t="n">
        <f aca="false">+AC120</f>
        <v>806.959392974248</v>
      </c>
      <c r="AD304" s="416" t="n">
        <f aca="false">+AD120</f>
        <v>693.402114653699</v>
      </c>
      <c r="AE304" s="416" t="n">
        <f aca="false">+AE120</f>
        <v>691.50238283273</v>
      </c>
      <c r="AF304" s="416" t="n">
        <f aca="false">+AF120</f>
        <v>691.50238283273</v>
      </c>
    </row>
    <row r="305" customFormat="false" ht="11.25" hidden="false" customHeight="false" outlineLevel="1" collapsed="false">
      <c r="B305" s="450" t="s">
        <v>435</v>
      </c>
      <c r="E305" s="416" t="n">
        <f aca="false">+E115</f>
        <v>0</v>
      </c>
      <c r="F305" s="416" t="n">
        <f aca="false">+F115</f>
        <v>0</v>
      </c>
      <c r="G305" s="416" t="n">
        <f aca="false">+G115</f>
        <v>0</v>
      </c>
      <c r="H305" s="416" t="n">
        <f aca="false">+H115</f>
        <v>0</v>
      </c>
      <c r="I305" s="416" t="n">
        <f aca="false">+I115</f>
        <v>0</v>
      </c>
      <c r="J305" s="416" t="n">
        <f aca="false">+J115</f>
        <v>0</v>
      </c>
      <c r="K305" s="416" t="n">
        <f aca="false">+K115</f>
        <v>0</v>
      </c>
      <c r="L305" s="416" t="n">
        <f aca="false">+L115</f>
        <v>0</v>
      </c>
      <c r="M305" s="416" t="n">
        <f aca="false">+M115</f>
        <v>0</v>
      </c>
      <c r="N305" s="416" t="n">
        <f aca="false">+N115</f>
        <v>0</v>
      </c>
      <c r="O305" s="416" t="n">
        <f aca="false">+O115</f>
        <v>0</v>
      </c>
      <c r="P305" s="416" t="n">
        <f aca="false">+P115</f>
        <v>0</v>
      </c>
      <c r="Q305" s="416" t="n">
        <f aca="false">+Q115</f>
        <v>0</v>
      </c>
      <c r="R305" s="416" t="n">
        <f aca="false">+R115</f>
        <v>0</v>
      </c>
      <c r="S305" s="416" t="n">
        <f aca="false">+S115</f>
        <v>0</v>
      </c>
      <c r="T305" s="416" t="n">
        <f aca="false">+T115</f>
        <v>0</v>
      </c>
      <c r="U305" s="416" t="n">
        <f aca="false">+U115</f>
        <v>0</v>
      </c>
      <c r="V305" s="416" t="n">
        <f aca="false">+V115</f>
        <v>0</v>
      </c>
      <c r="W305" s="416" t="n">
        <f aca="false">+W115</f>
        <v>0</v>
      </c>
      <c r="X305" s="416" t="n">
        <f aca="false">+X115</f>
        <v>0</v>
      </c>
      <c r="Y305" s="416" t="n">
        <f aca="false">+Y115</f>
        <v>0</v>
      </c>
      <c r="Z305" s="416" t="n">
        <f aca="false">+Z115</f>
        <v>0</v>
      </c>
      <c r="AA305" s="416" t="n">
        <f aca="false">+AA115</f>
        <v>0</v>
      </c>
      <c r="AB305" s="416" t="n">
        <f aca="false">+AB115</f>
        <v>0</v>
      </c>
      <c r="AC305" s="416" t="n">
        <f aca="false">+AC115</f>
        <v>0</v>
      </c>
      <c r="AD305" s="416" t="n">
        <f aca="false">+AD115</f>
        <v>0</v>
      </c>
      <c r="AE305" s="416" t="n">
        <f aca="false">+AE115</f>
        <v>0</v>
      </c>
      <c r="AF305" s="416" t="n">
        <f aca="false">+AF115</f>
        <v>0</v>
      </c>
    </row>
    <row r="306" customFormat="false" ht="11.25" hidden="false" customHeight="false" outlineLevel="1" collapsed="false">
      <c r="B306" s="291" t="s">
        <v>436</v>
      </c>
      <c r="E306" s="416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  <c r="P306" s="416"/>
      <c r="Q306" s="416"/>
      <c r="R306" s="416"/>
      <c r="S306" s="416"/>
      <c r="T306" s="416"/>
      <c r="U306" s="416"/>
      <c r="V306" s="416"/>
      <c r="W306" s="416"/>
      <c r="X306" s="416"/>
      <c r="Y306" s="416"/>
      <c r="Z306" s="416"/>
      <c r="AA306" s="416"/>
      <c r="AB306" s="416"/>
      <c r="AC306" s="416"/>
      <c r="AD306" s="416"/>
      <c r="AE306" s="416"/>
      <c r="AF306" s="416"/>
    </row>
    <row r="307" customFormat="false" ht="11.25" hidden="false" customHeight="false" outlineLevel="1" collapsed="false"/>
    <row r="308" customFormat="false" ht="11.25" hidden="false" customHeight="false" outlineLevel="1" collapsed="false">
      <c r="A308" s="448" t="s">
        <v>437</v>
      </c>
      <c r="H308" s="451"/>
    </row>
    <row r="309" customFormat="false" ht="11.25" hidden="false" customHeight="false" outlineLevel="1" collapsed="false">
      <c r="E309" s="235" t="s">
        <v>438</v>
      </c>
      <c r="H309" s="451" t="n">
        <f aca="false">+CCFMODEL!H785</f>
        <v>0.333333333333333</v>
      </c>
    </row>
    <row r="310" customFormat="false" ht="11.25" hidden="false" customHeight="false" outlineLevel="1" collapsed="false">
      <c r="E310" s="235" t="s">
        <v>439</v>
      </c>
      <c r="G310" s="452"/>
      <c r="H310" s="416" t="n">
        <f aca="false">+CCFMODEL!H786</f>
        <v>1000</v>
      </c>
    </row>
    <row r="312" customFormat="false" ht="11.25" hidden="false" customHeight="false" outlineLevel="0" collapsed="false">
      <c r="A312" s="453" t="s">
        <v>440</v>
      </c>
      <c r="B312" s="238"/>
      <c r="C312" s="454"/>
      <c r="D312" s="238"/>
      <c r="E312" s="238"/>
      <c r="F312" s="238"/>
      <c r="G312" s="238"/>
      <c r="H312" s="238"/>
      <c r="I312" s="241"/>
      <c r="J312" s="238"/>
      <c r="K312" s="238"/>
      <c r="L312" s="455"/>
      <c r="M312" s="238"/>
      <c r="N312" s="238"/>
      <c r="O312" s="238"/>
      <c r="P312" s="456"/>
      <c r="Q312" s="456"/>
      <c r="R312" s="456"/>
      <c r="S312" s="457" t="n">
        <f aca="true">NOW()</f>
        <v>45926.9666604785</v>
      </c>
      <c r="T312" s="238"/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</row>
    <row r="313" customFormat="false" ht="12" hidden="false" customHeight="false" outlineLevel="0" collapsed="false">
      <c r="A313" s="341" t="s">
        <v>441</v>
      </c>
      <c r="B313" s="241"/>
      <c r="C313" s="458" t="s">
        <v>4</v>
      </c>
      <c r="D313" s="459"/>
      <c r="E313" s="460" t="s">
        <v>442</v>
      </c>
      <c r="F313" s="461" t="s">
        <v>443</v>
      </c>
      <c r="G313" s="450" t="s">
        <v>286</v>
      </c>
      <c r="H313" s="461"/>
      <c r="I313" s="238"/>
      <c r="J313" s="238"/>
      <c r="K313" s="238"/>
      <c r="L313" s="455"/>
      <c r="M313" s="238"/>
      <c r="N313" s="238"/>
      <c r="O313" s="238"/>
      <c r="P313" s="238"/>
      <c r="Q313" s="238"/>
      <c r="R313" s="238"/>
      <c r="S313" s="456" t="n">
        <f aca="true">NOW()</f>
        <v>45926.9666604786</v>
      </c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</row>
    <row r="314" customFormat="false" ht="12.75" hidden="false" customHeight="false" outlineLevel="0" collapsed="false">
      <c r="A314" s="241"/>
      <c r="B314" s="238"/>
      <c r="C314" s="238"/>
      <c r="D314" s="238"/>
      <c r="E314" s="462" t="n">
        <f aca="false">+E$638</f>
        <v>35430</v>
      </c>
      <c r="F314" s="462" t="n">
        <f aca="false">+F$638</f>
        <v>35795</v>
      </c>
      <c r="G314" s="462" t="n">
        <f aca="false">+G$638</f>
        <v>36160</v>
      </c>
      <c r="H314" s="263" t="n">
        <f aca="false">+H$638</f>
        <v>36373</v>
      </c>
      <c r="I314" s="263" t="n">
        <f aca="false">+I$638</f>
        <v>36525</v>
      </c>
      <c r="J314" s="462" t="n">
        <f aca="false">+J$638</f>
        <v>36891</v>
      </c>
      <c r="K314" s="462" t="n">
        <f aca="false">+K$638</f>
        <v>37256</v>
      </c>
      <c r="L314" s="462" t="n">
        <f aca="false">+L$638</f>
        <v>37621</v>
      </c>
      <c r="M314" s="462" t="n">
        <f aca="false">+M$638</f>
        <v>37986</v>
      </c>
      <c r="N314" s="462" t="n">
        <f aca="false">+N$638</f>
        <v>38352</v>
      </c>
      <c r="O314" s="462" t="n">
        <f aca="false">+O$638</f>
        <v>38717</v>
      </c>
      <c r="P314" s="462" t="n">
        <f aca="false">+P$638</f>
        <v>39082</v>
      </c>
      <c r="Q314" s="462" t="n">
        <f aca="false">+Q$638</f>
        <v>39447</v>
      </c>
      <c r="R314" s="462" t="n">
        <f aca="false">+R$638</f>
        <v>39813</v>
      </c>
      <c r="S314" s="462" t="n">
        <f aca="false">+S$638</f>
        <v>40178</v>
      </c>
      <c r="T314" s="462" t="n">
        <f aca="false">+T$638</f>
        <v>40543</v>
      </c>
      <c r="U314" s="462" t="n">
        <f aca="false">+U$638</f>
        <v>40908</v>
      </c>
      <c r="V314" s="462" t="n">
        <f aca="false">+V$638</f>
        <v>41274</v>
      </c>
      <c r="W314" s="462" t="n">
        <f aca="false">+W$638</f>
        <v>41639</v>
      </c>
      <c r="X314" s="462" t="n">
        <f aca="false">+X$638</f>
        <v>42004</v>
      </c>
      <c r="Y314" s="462" t="n">
        <f aca="false">+Y$638</f>
        <v>42369</v>
      </c>
      <c r="Z314" s="462" t="n">
        <f aca="false">+Z$638</f>
        <v>42735</v>
      </c>
      <c r="AA314" s="462" t="n">
        <f aca="false">+AA$638</f>
        <v>43100</v>
      </c>
      <c r="AB314" s="462" t="n">
        <f aca="false">+AB$638</f>
        <v>43465</v>
      </c>
      <c r="AC314" s="462" t="n">
        <f aca="false">+AC$638</f>
        <v>43830</v>
      </c>
      <c r="AD314" s="462" t="n">
        <f aca="false">+AD$638</f>
        <v>44196</v>
      </c>
      <c r="AE314" s="462" t="n">
        <f aca="false">+AE$638</f>
        <v>44561</v>
      </c>
      <c r="AF314" s="462" t="n">
        <f aca="false">+AF$638</f>
        <v>44926</v>
      </c>
    </row>
    <row r="315" customFormat="false" ht="16.5" hidden="false" customHeight="false" outlineLevel="0" collapsed="false">
      <c r="A315" s="463" t="s">
        <v>444</v>
      </c>
      <c r="B315" s="238"/>
      <c r="C315" s="238"/>
      <c r="D315" s="464"/>
      <c r="E315" s="465"/>
      <c r="F315" s="241"/>
      <c r="G315" s="241"/>
      <c r="H315" s="466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</row>
    <row r="316" customFormat="false" ht="11.25" hidden="false" customHeight="false" outlineLevel="0" collapsed="false">
      <c r="A316" s="450" t="s">
        <v>421</v>
      </c>
      <c r="B316" s="238"/>
      <c r="C316" s="467"/>
      <c r="D316" s="468"/>
      <c r="E316" s="468" t="n">
        <f aca="false">E771</f>
        <v>0</v>
      </c>
      <c r="F316" s="468" t="n">
        <f aca="false">F771</f>
        <v>0</v>
      </c>
      <c r="G316" s="468" t="n">
        <f aca="false">G771</f>
        <v>0</v>
      </c>
      <c r="H316" s="469" t="n">
        <f aca="false">H771</f>
        <v>0</v>
      </c>
      <c r="I316" s="465" t="n">
        <f aca="false">I771</f>
        <v>1845.53291765375</v>
      </c>
      <c r="J316" s="468" t="e">
        <f aca="false">J771</f>
        <v>#VALUE!</v>
      </c>
      <c r="K316" s="468" t="e">
        <f aca="false">K771</f>
        <v>#VALUE!</v>
      </c>
      <c r="L316" s="468" t="e">
        <f aca="false">L771</f>
        <v>#VALUE!</v>
      </c>
      <c r="M316" s="468" t="e">
        <f aca="false">M771</f>
        <v>#VALUE!</v>
      </c>
      <c r="N316" s="468" t="e">
        <f aca="false">N771</f>
        <v>#VALUE!</v>
      </c>
      <c r="O316" s="468" t="e">
        <f aca="false">O771</f>
        <v>#VALUE!</v>
      </c>
      <c r="P316" s="468" t="e">
        <f aca="false">P771</f>
        <v>#VALUE!</v>
      </c>
      <c r="Q316" s="468" t="e">
        <f aca="false">Q771</f>
        <v>#VALUE!</v>
      </c>
      <c r="R316" s="468" t="e">
        <f aca="false">R771</f>
        <v>#VALUE!</v>
      </c>
      <c r="S316" s="468" t="e">
        <f aca="false">S771</f>
        <v>#VALUE!</v>
      </c>
      <c r="T316" s="468" t="e">
        <f aca="false">T771</f>
        <v>#VALUE!</v>
      </c>
      <c r="U316" s="468" t="e">
        <f aca="false">U771</f>
        <v>#VALUE!</v>
      </c>
      <c r="V316" s="468" t="e">
        <f aca="false">V771</f>
        <v>#VALUE!</v>
      </c>
      <c r="W316" s="468" t="e">
        <f aca="false">W771</f>
        <v>#VALUE!</v>
      </c>
      <c r="X316" s="468" t="e">
        <f aca="false">X771</f>
        <v>#VALUE!</v>
      </c>
      <c r="Y316" s="468" t="e">
        <f aca="false">Y771</f>
        <v>#VALUE!</v>
      </c>
      <c r="Z316" s="468" t="e">
        <f aca="false">Z771</f>
        <v>#VALUE!</v>
      </c>
      <c r="AA316" s="468" t="e">
        <f aca="false">AA771</f>
        <v>#VALUE!</v>
      </c>
      <c r="AB316" s="468" t="e">
        <f aca="false">AB771</f>
        <v>#VALUE!</v>
      </c>
      <c r="AC316" s="468" t="e">
        <f aca="false">AC771</f>
        <v>#VALUE!</v>
      </c>
      <c r="AD316" s="468" t="e">
        <f aca="false">AD771</f>
        <v>#VALUE!</v>
      </c>
      <c r="AE316" s="468" t="e">
        <f aca="false">AE771</f>
        <v>#VALUE!</v>
      </c>
      <c r="AF316" s="468" t="e">
        <f aca="false">AF771</f>
        <v>#VALUE!</v>
      </c>
    </row>
    <row r="317" customFormat="false" ht="11.25" hidden="false" customHeight="false" outlineLevel="0" collapsed="false">
      <c r="A317" s="450" t="s">
        <v>445</v>
      </c>
      <c r="B317" s="238"/>
      <c r="C317" s="467"/>
      <c r="D317" s="468"/>
      <c r="E317" s="470" t="n">
        <f aca="false">E772</f>
        <v>0</v>
      </c>
      <c r="F317" s="470" t="n">
        <f aca="false">F772</f>
        <v>0</v>
      </c>
      <c r="G317" s="470" t="n">
        <f aca="false">G772</f>
        <v>0</v>
      </c>
      <c r="H317" s="471" t="n">
        <f aca="false">H772</f>
        <v>0</v>
      </c>
      <c r="I317" s="472" t="n">
        <f aca="false">I772</f>
        <v>0</v>
      </c>
      <c r="J317" s="470" t="e">
        <f aca="false">J772</f>
        <v>#VALUE!</v>
      </c>
      <c r="K317" s="470" t="e">
        <f aca="false">K772</f>
        <v>#VALUE!</v>
      </c>
      <c r="L317" s="470" t="e">
        <f aca="false">L772</f>
        <v>#VALUE!</v>
      </c>
      <c r="M317" s="470" t="e">
        <f aca="false">M772</f>
        <v>#VALUE!</v>
      </c>
      <c r="N317" s="470" t="e">
        <f aca="false">N772</f>
        <v>#VALUE!</v>
      </c>
      <c r="O317" s="470" t="e">
        <f aca="false">O772</f>
        <v>#VALUE!</v>
      </c>
      <c r="P317" s="470" t="e">
        <f aca="false">P772</f>
        <v>#VALUE!</v>
      </c>
      <c r="Q317" s="470" t="e">
        <f aca="false">Q772</f>
        <v>#VALUE!</v>
      </c>
      <c r="R317" s="470" t="e">
        <f aca="false">R772</f>
        <v>#VALUE!</v>
      </c>
      <c r="S317" s="470" t="e">
        <f aca="false">S772</f>
        <v>#VALUE!</v>
      </c>
      <c r="T317" s="470" t="e">
        <f aca="false">T772</f>
        <v>#VALUE!</v>
      </c>
      <c r="U317" s="470" t="e">
        <f aca="false">U772</f>
        <v>#VALUE!</v>
      </c>
      <c r="V317" s="470" t="e">
        <f aca="false">V772</f>
        <v>#VALUE!</v>
      </c>
      <c r="W317" s="470" t="e">
        <f aca="false">W772</f>
        <v>#VALUE!</v>
      </c>
      <c r="X317" s="470" t="e">
        <f aca="false">X772</f>
        <v>#VALUE!</v>
      </c>
      <c r="Y317" s="470" t="e">
        <f aca="false">Y772</f>
        <v>#VALUE!</v>
      </c>
      <c r="Z317" s="470" t="e">
        <f aca="false">Z772</f>
        <v>#VALUE!</v>
      </c>
      <c r="AA317" s="470" t="e">
        <f aca="false">AA772</f>
        <v>#VALUE!</v>
      </c>
      <c r="AB317" s="470" t="e">
        <f aca="false">AB772</f>
        <v>#VALUE!</v>
      </c>
      <c r="AC317" s="470" t="e">
        <f aca="false">AC772</f>
        <v>#VALUE!</v>
      </c>
      <c r="AD317" s="470" t="e">
        <f aca="false">AD772</f>
        <v>#VALUE!</v>
      </c>
      <c r="AE317" s="470" t="e">
        <f aca="false">AE772</f>
        <v>#VALUE!</v>
      </c>
      <c r="AF317" s="470" t="e">
        <f aca="false">AF772</f>
        <v>#VALUE!</v>
      </c>
    </row>
    <row r="318" customFormat="false" ht="11.25" hidden="false" customHeight="false" outlineLevel="0" collapsed="false">
      <c r="A318" s="473" t="s">
        <v>446</v>
      </c>
      <c r="B318" s="238"/>
      <c r="C318" s="467"/>
      <c r="D318" s="468"/>
      <c r="E318" s="474" t="n">
        <f aca="false">E316-E317</f>
        <v>0</v>
      </c>
      <c r="F318" s="474" t="n">
        <f aca="false">F316-F317</f>
        <v>0</v>
      </c>
      <c r="G318" s="474" t="n">
        <f aca="false">G316-G317</f>
        <v>0</v>
      </c>
      <c r="H318" s="474" t="n">
        <f aca="false">H316-H317</f>
        <v>0</v>
      </c>
      <c r="I318" s="475" t="n">
        <f aca="false">I316-I317</f>
        <v>1845.53291765375</v>
      </c>
      <c r="J318" s="474" t="e">
        <f aca="false">J316-J317</f>
        <v>#VALUE!</v>
      </c>
      <c r="K318" s="474" t="e">
        <f aca="false">K316-K317</f>
        <v>#VALUE!</v>
      </c>
      <c r="L318" s="474" t="e">
        <f aca="false">L316-L317</f>
        <v>#VALUE!</v>
      </c>
      <c r="M318" s="474" t="e">
        <f aca="false">M316-M317</f>
        <v>#VALUE!</v>
      </c>
      <c r="N318" s="474" t="e">
        <f aca="false">N316-N317</f>
        <v>#VALUE!</v>
      </c>
      <c r="O318" s="474" t="e">
        <f aca="false">O316-O317</f>
        <v>#VALUE!</v>
      </c>
      <c r="P318" s="474" t="e">
        <f aca="false">P316-P317</f>
        <v>#VALUE!</v>
      </c>
      <c r="Q318" s="474" t="e">
        <f aca="false">Q316-Q317</f>
        <v>#VALUE!</v>
      </c>
      <c r="R318" s="474" t="e">
        <f aca="false">R316-R317</f>
        <v>#VALUE!</v>
      </c>
      <c r="S318" s="474" t="e">
        <f aca="false">S316-S317</f>
        <v>#VALUE!</v>
      </c>
      <c r="T318" s="474" t="e">
        <f aca="false">T316-T317</f>
        <v>#VALUE!</v>
      </c>
      <c r="U318" s="474" t="e">
        <f aca="false">U316-U317</f>
        <v>#VALUE!</v>
      </c>
      <c r="V318" s="474" t="e">
        <f aca="false">V316-V317</f>
        <v>#VALUE!</v>
      </c>
      <c r="W318" s="474" t="e">
        <f aca="false">W316-W317</f>
        <v>#VALUE!</v>
      </c>
      <c r="X318" s="474" t="e">
        <f aca="false">X316-X317</f>
        <v>#VALUE!</v>
      </c>
      <c r="Y318" s="474" t="e">
        <f aca="false">Y316-Y317</f>
        <v>#VALUE!</v>
      </c>
      <c r="Z318" s="474" t="e">
        <f aca="false">Z316-Z317</f>
        <v>#VALUE!</v>
      </c>
      <c r="AA318" s="474" t="e">
        <f aca="false">AA316-AA317</f>
        <v>#VALUE!</v>
      </c>
      <c r="AB318" s="474" t="e">
        <f aca="false">AB316-AB317</f>
        <v>#VALUE!</v>
      </c>
      <c r="AC318" s="474" t="e">
        <f aca="false">AC316-AC317</f>
        <v>#VALUE!</v>
      </c>
      <c r="AD318" s="474" t="e">
        <f aca="false">AD316-AD317</f>
        <v>#VALUE!</v>
      </c>
      <c r="AE318" s="474" t="e">
        <f aca="false">AE316-AE317</f>
        <v>#VALUE!</v>
      </c>
      <c r="AF318" s="474" t="e">
        <f aca="false">AF316-AF317</f>
        <v>#VALUE!</v>
      </c>
    </row>
    <row r="319" customFormat="false" ht="11.25" hidden="false" customHeight="false" outlineLevel="0" collapsed="false">
      <c r="A319" s="238"/>
      <c r="B319" s="238"/>
      <c r="C319" s="467"/>
      <c r="D319" s="468"/>
      <c r="E319" s="468"/>
      <c r="F319" s="468"/>
      <c r="G319" s="468"/>
      <c r="H319" s="474"/>
      <c r="I319" s="475"/>
      <c r="J319" s="468"/>
      <c r="K319" s="468"/>
      <c r="L319" s="468"/>
      <c r="M319" s="468"/>
      <c r="N319" s="468"/>
      <c r="O319" s="468"/>
      <c r="P319" s="468"/>
      <c r="Q319" s="468"/>
      <c r="R319" s="468"/>
      <c r="S319" s="468"/>
      <c r="T319" s="468"/>
      <c r="U319" s="468"/>
      <c r="V319" s="468"/>
      <c r="W319" s="468"/>
      <c r="X319" s="468"/>
      <c r="Y319" s="468"/>
      <c r="Z319" s="468"/>
      <c r="AA319" s="468"/>
      <c r="AB319" s="468"/>
      <c r="AC319" s="468"/>
      <c r="AD319" s="468"/>
      <c r="AE319" s="468"/>
      <c r="AF319" s="468"/>
      <c r="AI319" s="347" t="s">
        <v>447</v>
      </c>
      <c r="AM319" s="476" t="n">
        <v>2000</v>
      </c>
      <c r="AN319" s="476" t="n">
        <v>2001</v>
      </c>
      <c r="AO319" s="476" t="n">
        <v>2002</v>
      </c>
      <c r="AP319" s="476" t="n">
        <v>2003</v>
      </c>
      <c r="AQ319" s="476" t="n">
        <v>2004</v>
      </c>
    </row>
    <row r="320" customFormat="false" ht="11.25" hidden="false" customHeight="false" outlineLevel="0" collapsed="false">
      <c r="A320" s="450" t="s">
        <v>448</v>
      </c>
      <c r="B320" s="238"/>
      <c r="C320" s="467"/>
      <c r="D320" s="468"/>
      <c r="E320" s="468" t="n">
        <f aca="false">E773</f>
        <v>0</v>
      </c>
      <c r="F320" s="468" t="n">
        <f aca="false">F773</f>
        <v>0</v>
      </c>
      <c r="G320" s="468" t="n">
        <f aca="false">G773</f>
        <v>0</v>
      </c>
      <c r="H320" s="468" t="n">
        <f aca="false">H773</f>
        <v>0</v>
      </c>
      <c r="I320" s="472" t="n">
        <f aca="false">I773</f>
        <v>0</v>
      </c>
      <c r="J320" s="468" t="n">
        <f aca="false">J773</f>
        <v>639.952104228251</v>
      </c>
      <c r="K320" s="468" t="n">
        <f aca="false">K773</f>
        <v>622.940626411629</v>
      </c>
      <c r="L320" s="468" t="n">
        <f aca="false">L773</f>
        <v>613.548154662485</v>
      </c>
      <c r="M320" s="468" t="n">
        <f aca="false">M773</f>
        <v>605.404789510104</v>
      </c>
      <c r="N320" s="468" t="n">
        <f aca="false">N773</f>
        <v>591.603938685908</v>
      </c>
      <c r="O320" s="468" t="n">
        <f aca="false">O773</f>
        <v>585.390476604248</v>
      </c>
      <c r="P320" s="468" t="n">
        <f aca="false">P773</f>
        <v>571.710353198629</v>
      </c>
      <c r="Q320" s="468" t="n">
        <f aca="false">Q773</f>
        <v>575.347406787516</v>
      </c>
      <c r="R320" s="468" t="n">
        <f aca="false">R773</f>
        <v>563.233416346919</v>
      </c>
      <c r="S320" s="468" t="n">
        <f aca="false">S773</f>
        <v>547.444890104306</v>
      </c>
      <c r="T320" s="468" t="n">
        <f aca="false">T773</f>
        <v>531.741504026416</v>
      </c>
      <c r="U320" s="468" t="n">
        <f aca="false">U773</f>
        <v>527.089040184827</v>
      </c>
      <c r="V320" s="468" t="n">
        <f aca="false">V773</f>
        <v>511.40212678696</v>
      </c>
      <c r="W320" s="468" t="n">
        <f aca="false">W773</f>
        <v>495.959204269134</v>
      </c>
      <c r="X320" s="468" t="n">
        <f aca="false">X773</f>
        <v>489.527790505318</v>
      </c>
      <c r="Y320" s="468" t="n">
        <f aca="false">Y773</f>
        <v>472.532976719847</v>
      </c>
      <c r="Z320" s="468" t="n">
        <f aca="false">Z773</f>
        <v>478.239682399571</v>
      </c>
      <c r="AA320" s="468" t="n">
        <f aca="false">AA773</f>
        <v>484.409928151003</v>
      </c>
      <c r="AB320" s="468" t="n">
        <f aca="false">AB773</f>
        <v>491.007496752707</v>
      </c>
      <c r="AC320" s="468" t="n">
        <f aca="false">AC773</f>
        <v>498.525508970237</v>
      </c>
      <c r="AD320" s="468" t="n">
        <f aca="false">AD773</f>
        <v>507.242972375214</v>
      </c>
      <c r="AE320" s="468" t="n">
        <f aca="false">AE773</f>
        <v>516.835802190414</v>
      </c>
      <c r="AF320" s="468" t="n">
        <f aca="false">AF773</f>
        <v>527.285435715301</v>
      </c>
    </row>
    <row r="321" customFormat="false" ht="11.25" hidden="false" customHeight="false" outlineLevel="0" collapsed="false">
      <c r="A321" s="473" t="s">
        <v>427</v>
      </c>
      <c r="B321" s="238"/>
      <c r="C321" s="467"/>
      <c r="D321" s="468"/>
      <c r="E321" s="477" t="n">
        <f aca="false">E318-E320</f>
        <v>0</v>
      </c>
      <c r="F321" s="477" t="n">
        <f aca="false">F318-F320</f>
        <v>0</v>
      </c>
      <c r="G321" s="477" t="n">
        <f aca="false">G318-G320</f>
        <v>0</v>
      </c>
      <c r="H321" s="478" t="n">
        <f aca="false">H318-H320</f>
        <v>0</v>
      </c>
      <c r="I321" s="477" t="n">
        <f aca="false">I318-I320</f>
        <v>1845.53291765375</v>
      </c>
      <c r="J321" s="477" t="e">
        <f aca="false">J318-J320</f>
        <v>#VALUE!</v>
      </c>
      <c r="K321" s="477" t="e">
        <f aca="false">K318-K320</f>
        <v>#VALUE!</v>
      </c>
      <c r="L321" s="477" t="e">
        <f aca="false">L318-L320</f>
        <v>#VALUE!</v>
      </c>
      <c r="M321" s="477" t="e">
        <f aca="false">M318-M320</f>
        <v>#VALUE!</v>
      </c>
      <c r="N321" s="477" t="e">
        <f aca="false">N318-N320</f>
        <v>#VALUE!</v>
      </c>
      <c r="O321" s="477" t="e">
        <f aca="false">O318-O320</f>
        <v>#VALUE!</v>
      </c>
      <c r="P321" s="477" t="e">
        <f aca="false">P318-P320</f>
        <v>#VALUE!</v>
      </c>
      <c r="Q321" s="477" t="e">
        <f aca="false">Q318-Q320</f>
        <v>#VALUE!</v>
      </c>
      <c r="R321" s="477" t="e">
        <f aca="false">R318-R320</f>
        <v>#VALUE!</v>
      </c>
      <c r="S321" s="477" t="e">
        <f aca="false">S318-S320</f>
        <v>#VALUE!</v>
      </c>
      <c r="T321" s="477" t="e">
        <f aca="false">T318-T320</f>
        <v>#VALUE!</v>
      </c>
      <c r="U321" s="477" t="e">
        <f aca="false">U318-U320</f>
        <v>#VALUE!</v>
      </c>
      <c r="V321" s="477" t="e">
        <f aca="false">V318-V320</f>
        <v>#VALUE!</v>
      </c>
      <c r="W321" s="477" t="e">
        <f aca="false">W318-W320</f>
        <v>#VALUE!</v>
      </c>
      <c r="X321" s="477" t="e">
        <f aca="false">X318-X320</f>
        <v>#VALUE!</v>
      </c>
      <c r="Y321" s="477" t="e">
        <f aca="false">Y318-Y320</f>
        <v>#VALUE!</v>
      </c>
      <c r="Z321" s="477" t="e">
        <f aca="false">Z318-Z320</f>
        <v>#VALUE!</v>
      </c>
      <c r="AA321" s="477" t="e">
        <f aca="false">AA318-AA320</f>
        <v>#VALUE!</v>
      </c>
      <c r="AB321" s="477" t="e">
        <f aca="false">AB318-AB320</f>
        <v>#VALUE!</v>
      </c>
      <c r="AC321" s="477" t="e">
        <f aca="false">AC318-AC320</f>
        <v>#VALUE!</v>
      </c>
      <c r="AD321" s="477" t="e">
        <f aca="false">AD318-AD320</f>
        <v>#VALUE!</v>
      </c>
      <c r="AE321" s="477" t="e">
        <f aca="false">AE318-AE320</f>
        <v>#VALUE!</v>
      </c>
      <c r="AF321" s="477" t="e">
        <f aca="false">AF318-AF320</f>
        <v>#VALUE!</v>
      </c>
      <c r="AI321" s="235" t="s">
        <v>421</v>
      </c>
      <c r="AM321" s="239" t="e">
        <f aca="false">J316</f>
        <v>#VALUE!</v>
      </c>
      <c r="AN321" s="239" t="e">
        <f aca="false">K316</f>
        <v>#VALUE!</v>
      </c>
      <c r="AO321" s="239" t="e">
        <f aca="false">L316</f>
        <v>#VALUE!</v>
      </c>
      <c r="AP321" s="239" t="e">
        <f aca="false">M316</f>
        <v>#VALUE!</v>
      </c>
      <c r="AQ321" s="239" t="e">
        <f aca="false">N316</f>
        <v>#VALUE!</v>
      </c>
    </row>
    <row r="322" customFormat="false" ht="11.25" hidden="false" customHeight="false" outlineLevel="0" collapsed="false">
      <c r="A322" s="238"/>
      <c r="B322" s="238"/>
      <c r="C322" s="467"/>
      <c r="D322" s="468"/>
      <c r="E322" s="468"/>
      <c r="F322" s="468"/>
      <c r="G322" s="468"/>
      <c r="H322" s="479"/>
      <c r="I322" s="468"/>
      <c r="J322" s="468"/>
      <c r="K322" s="468"/>
      <c r="L322" s="468"/>
      <c r="M322" s="468"/>
      <c r="N322" s="468"/>
      <c r="O322" s="468"/>
      <c r="P322" s="468"/>
      <c r="Q322" s="468"/>
      <c r="R322" s="468"/>
      <c r="S322" s="468"/>
      <c r="T322" s="468"/>
      <c r="U322" s="468"/>
      <c r="V322" s="468"/>
      <c r="W322" s="468"/>
      <c r="X322" s="468"/>
      <c r="Y322" s="468"/>
      <c r="Z322" s="468"/>
      <c r="AA322" s="468"/>
      <c r="AB322" s="468"/>
      <c r="AC322" s="468"/>
      <c r="AD322" s="468"/>
      <c r="AE322" s="468"/>
      <c r="AF322" s="468"/>
      <c r="AI322" s="235" t="s">
        <v>398</v>
      </c>
      <c r="AM322" s="480" t="e">
        <f aca="false">J317</f>
        <v>#VALUE!</v>
      </c>
      <c r="AN322" s="480" t="e">
        <f aca="false">K317</f>
        <v>#VALUE!</v>
      </c>
      <c r="AO322" s="480" t="e">
        <f aca="false">L317</f>
        <v>#VALUE!</v>
      </c>
      <c r="AP322" s="480" t="e">
        <f aca="false">M317</f>
        <v>#VALUE!</v>
      </c>
      <c r="AQ322" s="480" t="e">
        <f aca="false">N317</f>
        <v>#VALUE!</v>
      </c>
    </row>
    <row r="323" customFormat="false" ht="11.25" hidden="false" customHeight="false" outlineLevel="0" collapsed="false">
      <c r="A323" s="238" t="s">
        <v>449</v>
      </c>
      <c r="B323" s="238"/>
      <c r="C323" s="467"/>
      <c r="D323" s="468"/>
      <c r="E323" s="468" t="n">
        <f aca="false">E778</f>
        <v>0</v>
      </c>
      <c r="F323" s="468" t="n">
        <f aca="false">F778</f>
        <v>0</v>
      </c>
      <c r="G323" s="468" t="n">
        <f aca="false">G778</f>
        <v>0</v>
      </c>
      <c r="H323" s="468" t="n">
        <f aca="false">H778</f>
        <v>0</v>
      </c>
      <c r="I323" s="475" t="n">
        <f aca="false">I778</f>
        <v>2186.51543111111</v>
      </c>
      <c r="J323" s="468" t="n">
        <f aca="false">J778</f>
        <v>5247.63703466667</v>
      </c>
      <c r="K323" s="468" t="n">
        <f aca="false">K778</f>
        <v>5247.63703466667</v>
      </c>
      <c r="L323" s="468" t="n">
        <f aca="false">L778</f>
        <v>5247.63703466667</v>
      </c>
      <c r="M323" s="468" t="n">
        <f aca="false">M778</f>
        <v>5317.00706672801</v>
      </c>
      <c r="N323" s="468" t="n">
        <f aca="false">N778</f>
        <v>5414.12511161389</v>
      </c>
      <c r="O323" s="468" t="n">
        <f aca="false">O778</f>
        <v>5414.12511161389</v>
      </c>
      <c r="P323" s="468" t="n">
        <f aca="false">P778</f>
        <v>5414.12511161389</v>
      </c>
      <c r="Q323" s="468" t="n">
        <f aca="false">Q778</f>
        <v>5414.12511161389</v>
      </c>
      <c r="R323" s="468" t="n">
        <f aca="false">R778</f>
        <v>5414.12511161389</v>
      </c>
      <c r="S323" s="468" t="n">
        <f aca="false">S778</f>
        <v>5414.12511161389</v>
      </c>
      <c r="T323" s="468" t="n">
        <f aca="false">T778</f>
        <v>5414.12511161389</v>
      </c>
      <c r="U323" s="468" t="n">
        <f aca="false">U778</f>
        <v>5442.18504382222</v>
      </c>
      <c r="V323" s="468" t="n">
        <f aca="false">V778</f>
        <v>5481.46894891387</v>
      </c>
      <c r="W323" s="468" t="n">
        <f aca="false">W778</f>
        <v>5481.46894891387</v>
      </c>
      <c r="X323" s="468" t="n">
        <f aca="false">X778</f>
        <v>3294.95351780276</v>
      </c>
      <c r="Y323" s="468" t="n">
        <f aca="false">Y778</f>
        <v>570.485952616474</v>
      </c>
      <c r="Z323" s="468" t="n">
        <f aca="false">Z778</f>
        <v>1041.80160633345</v>
      </c>
      <c r="AA323" s="468" t="n">
        <f aca="false">AA778</f>
        <v>1041.80160633345</v>
      </c>
      <c r="AB323" s="468" t="n">
        <f aca="false">AB778</f>
        <v>1041.80160633345</v>
      </c>
      <c r="AC323" s="468" t="n">
        <f aca="false">AC778</f>
        <v>944.371642063778</v>
      </c>
      <c r="AD323" s="468" t="n">
        <f aca="false">AD778</f>
        <v>807.96969208624</v>
      </c>
      <c r="AE323" s="468" t="n">
        <f aca="false">AE778</f>
        <v>807.96969208624</v>
      </c>
      <c r="AF323" s="468" t="n">
        <f aca="false">AF778</f>
        <v>807.96969208624</v>
      </c>
      <c r="AI323" s="235" t="s">
        <v>446</v>
      </c>
      <c r="AM323" s="239" t="e">
        <f aca="false">J318</f>
        <v>#VALUE!</v>
      </c>
      <c r="AN323" s="239" t="e">
        <f aca="false">K318</f>
        <v>#VALUE!</v>
      </c>
      <c r="AO323" s="239" t="e">
        <f aca="false">L318</f>
        <v>#VALUE!</v>
      </c>
      <c r="AP323" s="239" t="e">
        <f aca="false">M318</f>
        <v>#VALUE!</v>
      </c>
      <c r="AQ323" s="239" t="e">
        <f aca="false">N318</f>
        <v>#VALUE!</v>
      </c>
    </row>
    <row r="324" customFormat="false" ht="11.25" hidden="false" customHeight="false" outlineLevel="0" collapsed="false">
      <c r="A324" s="238" t="str">
        <f aca="false">A640</f>
        <v>Amortization   -  Transaction Fees</v>
      </c>
      <c r="B324" s="238"/>
      <c r="C324" s="467"/>
      <c r="D324" s="468"/>
      <c r="E324" s="468" t="n">
        <f aca="false">E640</f>
        <v>0</v>
      </c>
      <c r="F324" s="468" t="n">
        <f aca="false">F640</f>
        <v>0</v>
      </c>
      <c r="G324" s="468" t="n">
        <f aca="false">G640</f>
        <v>0</v>
      </c>
      <c r="H324" s="474" t="n">
        <f aca="false">H640</f>
        <v>0</v>
      </c>
      <c r="I324" s="475" t="n">
        <f aca="false">I640</f>
        <v>51.629632</v>
      </c>
      <c r="J324" s="468" t="n">
        <f aca="false">J640</f>
        <v>51.629632</v>
      </c>
      <c r="K324" s="468" t="n">
        <f aca="false">K640</f>
        <v>51.629632</v>
      </c>
      <c r="L324" s="468" t="n">
        <f aca="false">L640</f>
        <v>51.629632</v>
      </c>
      <c r="M324" s="468" t="n">
        <f aca="false">M640</f>
        <v>51.629632</v>
      </c>
      <c r="N324" s="468" t="n">
        <f aca="false">N640</f>
        <v>51.629632</v>
      </c>
      <c r="O324" s="468" t="n">
        <f aca="false">O640</f>
        <v>51.629632</v>
      </c>
      <c r="P324" s="468" t="n">
        <f aca="false">P640</f>
        <v>51.629632</v>
      </c>
      <c r="Q324" s="468" t="n">
        <f aca="false">Q640</f>
        <v>51.629632</v>
      </c>
      <c r="R324" s="468" t="n">
        <f aca="false">R640</f>
        <v>51.629632</v>
      </c>
      <c r="S324" s="468" t="n">
        <f aca="false">S640</f>
        <v>51.629632</v>
      </c>
      <c r="T324" s="468" t="n">
        <f aca="false">T640</f>
        <v>51.629632</v>
      </c>
      <c r="U324" s="468" t="n">
        <f aca="false">U640</f>
        <v>51.629632</v>
      </c>
      <c r="V324" s="468" t="n">
        <f aca="false">V640</f>
        <v>51.629632</v>
      </c>
      <c r="W324" s="468" t="n">
        <f aca="false">W640</f>
        <v>51.629632</v>
      </c>
      <c r="X324" s="468" t="n">
        <f aca="false">X640</f>
        <v>0</v>
      </c>
      <c r="Y324" s="468" t="n">
        <f aca="false">Y640</f>
        <v>0</v>
      </c>
      <c r="Z324" s="468" t="n">
        <f aca="false">Z640</f>
        <v>0</v>
      </c>
      <c r="AA324" s="468" t="n">
        <f aca="false">AA640</f>
        <v>0</v>
      </c>
      <c r="AB324" s="468" t="n">
        <f aca="false">AB640</f>
        <v>0</v>
      </c>
      <c r="AC324" s="468" t="n">
        <f aca="false">AC640</f>
        <v>0</v>
      </c>
      <c r="AD324" s="468" t="n">
        <f aca="false">AD640</f>
        <v>0</v>
      </c>
      <c r="AE324" s="468" t="n">
        <f aca="false">AE640</f>
        <v>0</v>
      </c>
      <c r="AF324" s="468" t="n">
        <f aca="false">AF640</f>
        <v>0</v>
      </c>
    </row>
    <row r="325" customFormat="false" ht="11.25" hidden="false" customHeight="false" outlineLevel="0" collapsed="false">
      <c r="A325" s="238" t="str">
        <f aca="false">A641</f>
        <v>Amortization   -  Intangibles (from operating sheet)</v>
      </c>
      <c r="B325" s="238"/>
      <c r="C325" s="467"/>
      <c r="D325" s="468"/>
      <c r="E325" s="474" t="n">
        <f aca="false">E780</f>
        <v>0</v>
      </c>
      <c r="F325" s="474" t="n">
        <f aca="false">F780</f>
        <v>0</v>
      </c>
      <c r="G325" s="474" t="n">
        <f aca="false">G780</f>
        <v>0</v>
      </c>
      <c r="H325" s="474" t="n">
        <f aca="false">H780</f>
        <v>0</v>
      </c>
      <c r="I325" s="475" t="n">
        <f aca="false">I780</f>
        <v>0</v>
      </c>
      <c r="J325" s="474" t="n">
        <f aca="false">J780</f>
        <v>0</v>
      </c>
      <c r="K325" s="474" t="n">
        <f aca="false">K780</f>
        <v>0</v>
      </c>
      <c r="L325" s="474" t="n">
        <f aca="false">L780</f>
        <v>0</v>
      </c>
      <c r="M325" s="474" t="n">
        <f aca="false">M780</f>
        <v>0</v>
      </c>
      <c r="N325" s="474" t="n">
        <f aca="false">N780</f>
        <v>0</v>
      </c>
      <c r="O325" s="474" t="n">
        <f aca="false">O780</f>
        <v>0</v>
      </c>
      <c r="P325" s="474" t="n">
        <f aca="false">P780</f>
        <v>0</v>
      </c>
      <c r="Q325" s="474" t="n">
        <f aca="false">Q780</f>
        <v>0</v>
      </c>
      <c r="R325" s="474" t="n">
        <f aca="false">R780</f>
        <v>0</v>
      </c>
      <c r="S325" s="474" t="n">
        <f aca="false">S780</f>
        <v>0</v>
      </c>
      <c r="T325" s="474" t="n">
        <f aca="false">T780</f>
        <v>0</v>
      </c>
      <c r="U325" s="474" t="n">
        <f aca="false">U780</f>
        <v>0</v>
      </c>
      <c r="V325" s="474" t="n">
        <f aca="false">V780</f>
        <v>0</v>
      </c>
      <c r="W325" s="474" t="n">
        <f aca="false">W780</f>
        <v>0</v>
      </c>
      <c r="X325" s="474" t="n">
        <f aca="false">X780</f>
        <v>0</v>
      </c>
      <c r="Y325" s="474" t="n">
        <f aca="false">Y780</f>
        <v>0</v>
      </c>
      <c r="Z325" s="474" t="n">
        <f aca="false">Z780</f>
        <v>0</v>
      </c>
      <c r="AA325" s="474" t="n">
        <f aca="false">AA780</f>
        <v>0</v>
      </c>
      <c r="AB325" s="474" t="n">
        <f aca="false">AB780</f>
        <v>0</v>
      </c>
      <c r="AC325" s="474" t="n">
        <f aca="false">AC780</f>
        <v>0</v>
      </c>
      <c r="AD325" s="474" t="n">
        <f aca="false">AD780</f>
        <v>0</v>
      </c>
      <c r="AE325" s="474" t="n">
        <f aca="false">AE780</f>
        <v>0</v>
      </c>
      <c r="AF325" s="474" t="n">
        <f aca="false">AF780</f>
        <v>0</v>
      </c>
      <c r="AI325" s="235" t="s">
        <v>450</v>
      </c>
      <c r="AM325" s="239" t="n">
        <f aca="false">J326</f>
        <v>5299.26666666667</v>
      </c>
      <c r="AN325" s="239" t="n">
        <f aca="false">K326</f>
        <v>5299.26666666667</v>
      </c>
      <c r="AO325" s="239" t="n">
        <f aca="false">L326</f>
        <v>5299.26666666667</v>
      </c>
      <c r="AP325" s="239" t="n">
        <f aca="false">M326</f>
        <v>5368.63669872801</v>
      </c>
      <c r="AQ325" s="239" t="n">
        <f aca="false">N326</f>
        <v>5465.75474361389</v>
      </c>
    </row>
    <row r="326" customFormat="false" ht="11.25" hidden="false" customHeight="false" outlineLevel="0" collapsed="false">
      <c r="A326" s="450" t="s">
        <v>451</v>
      </c>
      <c r="B326" s="450"/>
      <c r="C326" s="467"/>
      <c r="D326" s="238"/>
      <c r="E326" s="481" t="n">
        <f aca="false">SUM(E323:E325)</f>
        <v>0</v>
      </c>
      <c r="F326" s="481" t="n">
        <f aca="false">SUM(F323:F325)</f>
        <v>0</v>
      </c>
      <c r="G326" s="481" t="n">
        <f aca="false">SUM(G323:G325)</f>
        <v>0</v>
      </c>
      <c r="H326" s="482" t="n">
        <f aca="false">SUM(H323:H325)</f>
        <v>0</v>
      </c>
      <c r="I326" s="481" t="n">
        <f aca="false">SUM(I323:I325)</f>
        <v>2238.14506311111</v>
      </c>
      <c r="J326" s="481" t="n">
        <f aca="false">SUM(J323:J325)</f>
        <v>5299.26666666667</v>
      </c>
      <c r="K326" s="481" t="n">
        <f aca="false">SUM(K323:K325)</f>
        <v>5299.26666666667</v>
      </c>
      <c r="L326" s="481" t="n">
        <f aca="false">SUM(L323:L325)</f>
        <v>5299.26666666667</v>
      </c>
      <c r="M326" s="481" t="n">
        <f aca="false">SUM(M323:M325)</f>
        <v>5368.63669872801</v>
      </c>
      <c r="N326" s="481" t="n">
        <f aca="false">SUM(N323:N325)</f>
        <v>5465.75474361389</v>
      </c>
      <c r="O326" s="481" t="n">
        <f aca="false">SUM(O323:O325)</f>
        <v>5465.75474361389</v>
      </c>
      <c r="P326" s="481" t="n">
        <f aca="false">SUM(P323:P325)</f>
        <v>5465.75474361389</v>
      </c>
      <c r="Q326" s="481" t="n">
        <f aca="false">SUM(Q323:Q325)</f>
        <v>5465.75474361389</v>
      </c>
      <c r="R326" s="481" t="n">
        <f aca="false">SUM(R323:R325)</f>
        <v>5465.75474361389</v>
      </c>
      <c r="S326" s="481" t="n">
        <f aca="false">SUM(S323:S325)</f>
        <v>5465.75474361389</v>
      </c>
      <c r="T326" s="481" t="n">
        <f aca="false">SUM(T323:T325)</f>
        <v>5465.75474361389</v>
      </c>
      <c r="U326" s="481" t="n">
        <f aca="false">SUM(U323:U325)</f>
        <v>5493.81467582222</v>
      </c>
      <c r="V326" s="481" t="n">
        <f aca="false">SUM(V323:V325)</f>
        <v>5533.09858091387</v>
      </c>
      <c r="W326" s="481" t="n">
        <f aca="false">SUM(W323:W325)</f>
        <v>5533.09858091387</v>
      </c>
      <c r="X326" s="481" t="n">
        <f aca="false">SUM(X323:X325)</f>
        <v>3294.95351780276</v>
      </c>
      <c r="Y326" s="481" t="n">
        <f aca="false">SUM(Y323:Y325)</f>
        <v>570.485952616474</v>
      </c>
      <c r="Z326" s="481" t="n">
        <f aca="false">SUM(Z323:Z325)</f>
        <v>1041.80160633345</v>
      </c>
      <c r="AA326" s="481" t="n">
        <f aca="false">SUM(AA323:AA325)</f>
        <v>1041.80160633345</v>
      </c>
      <c r="AB326" s="481" t="n">
        <f aca="false">SUM(AB323:AB325)</f>
        <v>1041.80160633345</v>
      </c>
      <c r="AC326" s="481" t="n">
        <f aca="false">SUM(AC323:AC325)</f>
        <v>944.371642063778</v>
      </c>
      <c r="AD326" s="481" t="n">
        <f aca="false">SUM(AD323:AD325)</f>
        <v>807.96969208624</v>
      </c>
      <c r="AE326" s="481" t="n">
        <f aca="false">SUM(AE323:AE325)</f>
        <v>807.96969208624</v>
      </c>
      <c r="AF326" s="481" t="n">
        <f aca="false">SUM(AF323:AF325)</f>
        <v>807.96969208624</v>
      </c>
    </row>
    <row r="327" customFormat="false" ht="11.25" hidden="false" customHeight="false" outlineLevel="0" collapsed="false">
      <c r="A327" s="450"/>
      <c r="B327" s="450"/>
      <c r="C327" s="467"/>
      <c r="D327" s="238"/>
      <c r="E327" s="430"/>
      <c r="F327" s="430"/>
      <c r="G327" s="430"/>
      <c r="H327" s="483"/>
      <c r="I327" s="430"/>
      <c r="J327" s="430"/>
      <c r="K327" s="430"/>
      <c r="L327" s="430"/>
      <c r="M327" s="430"/>
      <c r="N327" s="430"/>
      <c r="O327" s="430"/>
      <c r="P327" s="430"/>
      <c r="Q327" s="430"/>
      <c r="R327" s="430"/>
      <c r="S327" s="430"/>
      <c r="T327" s="430"/>
      <c r="U327" s="430"/>
      <c r="V327" s="430"/>
      <c r="W327" s="430"/>
      <c r="X327" s="430"/>
      <c r="Y327" s="430"/>
      <c r="Z327" s="430"/>
      <c r="AA327" s="430"/>
      <c r="AB327" s="430"/>
      <c r="AC327" s="430"/>
      <c r="AD327" s="430"/>
      <c r="AE327" s="430"/>
      <c r="AF327" s="430"/>
      <c r="AI327" s="235" t="s">
        <v>452</v>
      </c>
      <c r="AM327" s="239" t="e">
        <f aca="false">J328</f>
        <v>#VALUE!</v>
      </c>
      <c r="AN327" s="239" t="e">
        <f aca="false">K328</f>
        <v>#VALUE!</v>
      </c>
      <c r="AO327" s="239" t="e">
        <f aca="false">L328</f>
        <v>#VALUE!</v>
      </c>
      <c r="AP327" s="239" t="e">
        <f aca="false">M328</f>
        <v>#VALUE!</v>
      </c>
      <c r="AQ327" s="239" t="e">
        <f aca="false">N328</f>
        <v>#VALUE!</v>
      </c>
    </row>
    <row r="328" customFormat="false" ht="11.25" hidden="false" customHeight="false" outlineLevel="0" collapsed="false">
      <c r="A328" s="473" t="s">
        <v>452</v>
      </c>
      <c r="B328" s="238"/>
      <c r="C328" s="467"/>
      <c r="D328" s="468"/>
      <c r="E328" s="477" t="n">
        <f aca="false">E321-E326</f>
        <v>0</v>
      </c>
      <c r="F328" s="477" t="n">
        <f aca="false">F321-F326</f>
        <v>0</v>
      </c>
      <c r="G328" s="477" t="n">
        <f aca="false">G321-G326</f>
        <v>0</v>
      </c>
      <c r="H328" s="478" t="n">
        <f aca="false">H321-H326</f>
        <v>0</v>
      </c>
      <c r="I328" s="477" t="n">
        <f aca="false">I321-I326</f>
        <v>-392.612145457361</v>
      </c>
      <c r="J328" s="477" t="e">
        <f aca="false">J321-J326</f>
        <v>#VALUE!</v>
      </c>
      <c r="K328" s="477" t="e">
        <f aca="false">K321-K326</f>
        <v>#VALUE!</v>
      </c>
      <c r="L328" s="477" t="e">
        <f aca="false">L321-L326</f>
        <v>#VALUE!</v>
      </c>
      <c r="M328" s="477" t="e">
        <f aca="false">M321-M326</f>
        <v>#VALUE!</v>
      </c>
      <c r="N328" s="477" t="e">
        <f aca="false">N321-N326</f>
        <v>#VALUE!</v>
      </c>
      <c r="O328" s="477" t="e">
        <f aca="false">O321-O326</f>
        <v>#VALUE!</v>
      </c>
      <c r="P328" s="477" t="e">
        <f aca="false">P321-P326</f>
        <v>#VALUE!</v>
      </c>
      <c r="Q328" s="477" t="e">
        <f aca="false">Q321-Q326</f>
        <v>#VALUE!</v>
      </c>
      <c r="R328" s="477" t="e">
        <f aca="false">R321-R326</f>
        <v>#VALUE!</v>
      </c>
      <c r="S328" s="477" t="e">
        <f aca="false">S321-S326</f>
        <v>#VALUE!</v>
      </c>
      <c r="T328" s="477" t="e">
        <f aca="false">T321-T326</f>
        <v>#VALUE!</v>
      </c>
      <c r="U328" s="477" t="e">
        <f aca="false">U321-U326</f>
        <v>#VALUE!</v>
      </c>
      <c r="V328" s="477" t="e">
        <f aca="false">V321-V326</f>
        <v>#VALUE!</v>
      </c>
      <c r="W328" s="477" t="e">
        <f aca="false">W321-W326</f>
        <v>#VALUE!</v>
      </c>
      <c r="X328" s="477" t="e">
        <f aca="false">X321-X326</f>
        <v>#VALUE!</v>
      </c>
      <c r="Y328" s="477" t="e">
        <f aca="false">Y321-Y326</f>
        <v>#VALUE!</v>
      </c>
      <c r="Z328" s="477" t="e">
        <f aca="false">Z321-Z326</f>
        <v>#VALUE!</v>
      </c>
      <c r="AA328" s="477" t="e">
        <f aca="false">AA321-AA326</f>
        <v>#VALUE!</v>
      </c>
      <c r="AB328" s="477" t="e">
        <f aca="false">AB321-AB326</f>
        <v>#VALUE!</v>
      </c>
      <c r="AC328" s="477" t="e">
        <f aca="false">AC321-AC326</f>
        <v>#VALUE!</v>
      </c>
      <c r="AD328" s="477" t="e">
        <f aca="false">AD321-AD326</f>
        <v>#VALUE!</v>
      </c>
      <c r="AE328" s="477" t="e">
        <f aca="false">AE321-AE326</f>
        <v>#VALUE!</v>
      </c>
      <c r="AF328" s="477" t="e">
        <f aca="false">AF321-AF326</f>
        <v>#VALUE!</v>
      </c>
    </row>
    <row r="329" customFormat="false" ht="11.25" hidden="false" customHeight="false" outlineLevel="0" collapsed="false">
      <c r="A329" s="238"/>
      <c r="B329" s="238"/>
      <c r="C329" s="467"/>
      <c r="D329" s="468"/>
      <c r="E329" s="468"/>
      <c r="F329" s="468"/>
      <c r="G329" s="468"/>
      <c r="H329" s="479"/>
      <c r="I329" s="468"/>
      <c r="J329" s="468"/>
      <c r="K329" s="468"/>
      <c r="L329" s="468"/>
      <c r="M329" s="468"/>
      <c r="N329" s="468"/>
      <c r="O329" s="468"/>
      <c r="P329" s="468"/>
      <c r="Q329" s="468"/>
      <c r="R329" s="468"/>
      <c r="S329" s="468"/>
      <c r="T329" s="468"/>
      <c r="U329" s="468"/>
      <c r="V329" s="468"/>
      <c r="W329" s="468"/>
      <c r="X329" s="468"/>
      <c r="Y329" s="468"/>
      <c r="Z329" s="468"/>
      <c r="AA329" s="468"/>
      <c r="AB329" s="468"/>
      <c r="AC329" s="468"/>
      <c r="AD329" s="468"/>
      <c r="AE329" s="468"/>
      <c r="AF329" s="468"/>
      <c r="AI329" s="235" t="s">
        <v>453</v>
      </c>
      <c r="AM329" s="239" t="e">
        <f aca="false">J348</f>
        <v>#VALUE!</v>
      </c>
      <c r="AN329" s="239" t="e">
        <f aca="false">K348</f>
        <v>#VALUE!</v>
      </c>
      <c r="AO329" s="239" t="e">
        <f aca="false">L348</f>
        <v>#VALUE!</v>
      </c>
      <c r="AP329" s="239" t="e">
        <f aca="false">M348</f>
        <v>#VALUE!</v>
      </c>
      <c r="AQ329" s="239" t="e">
        <f aca="false">N348</f>
        <v>#VALUE!</v>
      </c>
    </row>
    <row r="330" customFormat="false" ht="11.25" hidden="false" customHeight="false" outlineLevel="0" collapsed="false">
      <c r="A330" s="473" t="s">
        <v>454</v>
      </c>
      <c r="B330" s="238"/>
      <c r="C330" s="467"/>
      <c r="D330" s="468"/>
      <c r="E330" s="468"/>
      <c r="F330" s="468"/>
      <c r="G330" s="468"/>
      <c r="H330" s="479"/>
      <c r="I330" s="468"/>
      <c r="J330" s="468"/>
      <c r="K330" s="468"/>
      <c r="L330" s="468"/>
      <c r="M330" s="468"/>
      <c r="N330" s="468"/>
      <c r="O330" s="468"/>
      <c r="P330" s="468"/>
      <c r="Q330" s="468"/>
      <c r="R330" s="468"/>
      <c r="S330" s="468"/>
      <c r="T330" s="468"/>
      <c r="U330" s="468"/>
      <c r="V330" s="468"/>
      <c r="W330" s="468"/>
      <c r="X330" s="468"/>
      <c r="Y330" s="468"/>
      <c r="Z330" s="468"/>
      <c r="AA330" s="468"/>
      <c r="AB330" s="468"/>
      <c r="AC330" s="468"/>
      <c r="AD330" s="468"/>
      <c r="AE330" s="468"/>
      <c r="AF330" s="468"/>
    </row>
    <row r="331" customFormat="false" ht="11.25" hidden="false" customHeight="false" outlineLevel="0" collapsed="false">
      <c r="A331" s="450" t="s">
        <v>455</v>
      </c>
      <c r="B331" s="238"/>
      <c r="C331" s="454"/>
      <c r="D331" s="467"/>
      <c r="E331" s="468" t="n">
        <f aca="false">E633</f>
        <v>0</v>
      </c>
      <c r="F331" s="468" t="n">
        <f aca="false">F633</f>
        <v>0</v>
      </c>
      <c r="G331" s="468" t="n">
        <f aca="false">G633</f>
        <v>0</v>
      </c>
      <c r="H331" s="479" t="n">
        <f aca="false">H633</f>
        <v>0</v>
      </c>
      <c r="I331" s="468" t="n">
        <f aca="false">IF($E$632="YES",(I633*(I593+H593)/2),0)*stub</f>
        <v>0</v>
      </c>
      <c r="J331" s="468" t="n">
        <f aca="false">IF($E$632="YES",(J633*(J593+I593)/2),0)</f>
        <v>0</v>
      </c>
      <c r="K331" s="468" t="n">
        <f aca="false">IF($E$632="YES",(K633*(K593+J593)/2),0)</f>
        <v>0</v>
      </c>
      <c r="L331" s="468" t="n">
        <f aca="false">IF($E$632="YES",(L633*(L593+K593)/2),0)</f>
        <v>8.32440384736125</v>
      </c>
      <c r="M331" s="468" t="n">
        <f aca="false">IF($E$632="YES",(M633*(M593+L593)/2),0)</f>
        <v>8.32440384736125</v>
      </c>
      <c r="N331" s="468" t="n">
        <f aca="false">IF($E$632="YES",(N633*(N593+M593)/2),0)</f>
        <v>0</v>
      </c>
      <c r="O331" s="468" t="n">
        <f aca="false">IF($E$632="YES",(O633*(O593+N593)/2),0)</f>
        <v>14.4116869368615</v>
      </c>
      <c r="P331" s="468" t="n">
        <f aca="false">IF($E$632="YES",(P633*(P593+O593)/2),0)</f>
        <v>86.4701216211691</v>
      </c>
      <c r="Q331" s="468" t="n">
        <f aca="false">IF($E$632="YES",(Q633*(Q593+P593)/2),0)</f>
        <v>72.0584346843076</v>
      </c>
      <c r="R331" s="468" t="n">
        <f aca="false">IF($E$632="YES",(R633*(R593+Q593)/2),0)</f>
        <v>0</v>
      </c>
      <c r="S331" s="468" t="n">
        <f aca="false">IF($E$632="YES",(S633*(S593+R593)/2),0)</f>
        <v>0</v>
      </c>
      <c r="T331" s="468" t="n">
        <f aca="false">IF($E$632="YES",(T633*(T593+S593)/2),0)</f>
        <v>11.6915957123604</v>
      </c>
      <c r="U331" s="468" t="n">
        <f aca="false">IF($E$632="YES",(U633*(U593+T593)/2),0)</f>
        <v>11.6915957123604</v>
      </c>
      <c r="V331" s="468" t="n">
        <f aca="false">IF($E$632="YES",(V633*(V593+U593)/2),0)</f>
        <v>0</v>
      </c>
      <c r="W331" s="468" t="n">
        <f aca="false">IF($E$632="YES",(W633*(W593+V593)/2),0)</f>
        <v>20.199242302156</v>
      </c>
      <c r="X331" s="468" t="n">
        <f aca="false">IF($E$632="YES",(X633*(X593+W593)/2),0)</f>
        <v>121.195453812936</v>
      </c>
      <c r="Y331" s="468" t="n">
        <f aca="false">IF($E$632="YES",(Y633*(Y593+X593)/2),0)</f>
        <v>100.99621151078</v>
      </c>
      <c r="Z331" s="468" t="n">
        <f aca="false">IF($E$632="YES",(Z633*(Z593+Y593)/2),0)</f>
        <v>0</v>
      </c>
      <c r="AA331" s="468" t="n">
        <f aca="false">IF($E$632="YES",(AA633*(AA593+Z593)/2),0)</f>
        <v>0</v>
      </c>
      <c r="AB331" s="468" t="n">
        <f aca="false">IF($E$632="YES",(AB633*(AB593+AA593)/2),0)</f>
        <v>0</v>
      </c>
      <c r="AC331" s="468" t="n">
        <f aca="false">IF($E$632="YES",(AC633*(AC593+AB593)/2),0)</f>
        <v>0</v>
      </c>
      <c r="AD331" s="468" t="n">
        <f aca="false">IF($E$632="YES",(AD633*(AD593+AC593)/2),0)</f>
        <v>0</v>
      </c>
      <c r="AE331" s="468" t="n">
        <f aca="false">IF($E$632="YES",(AE633*(AE593+AD593)/2),0)</f>
        <v>0</v>
      </c>
      <c r="AF331" s="468" t="n">
        <f aca="false">IF($E$632="YES",(AF633*(AF593+AE593)/2),0)</f>
        <v>0</v>
      </c>
      <c r="AI331" s="235" t="s">
        <v>456</v>
      </c>
      <c r="AM331" s="239" t="e">
        <f aca="false">J808</f>
        <v>#VALUE!</v>
      </c>
      <c r="AN331" s="239" t="e">
        <f aca="false">K808</f>
        <v>#VALUE!</v>
      </c>
      <c r="AO331" s="239" t="e">
        <f aca="false">L808</f>
        <v>#VALUE!</v>
      </c>
      <c r="AP331" s="239" t="e">
        <f aca="false">M808</f>
        <v>#VALUE!</v>
      </c>
      <c r="AQ331" s="239" t="e">
        <f aca="false">N808</f>
        <v>#VALUE!</v>
      </c>
    </row>
    <row r="332" customFormat="false" ht="11.25" hidden="false" customHeight="false" outlineLevel="0" collapsed="false">
      <c r="A332" s="238" t="str">
        <f aca="false">A645</f>
        <v>Other Income (excluding interest income)</v>
      </c>
      <c r="B332" s="238"/>
      <c r="C332" s="454"/>
      <c r="D332" s="238"/>
      <c r="E332" s="238" t="n">
        <f aca="false">E645</f>
        <v>0</v>
      </c>
      <c r="F332" s="238" t="n">
        <f aca="false">F645</f>
        <v>0</v>
      </c>
      <c r="G332" s="238" t="n">
        <f aca="false">G645</f>
        <v>0</v>
      </c>
      <c r="H332" s="483" t="n">
        <f aca="false">H645</f>
        <v>0</v>
      </c>
      <c r="I332" s="238" t="n">
        <f aca="false">I645</f>
        <v>0</v>
      </c>
      <c r="J332" s="238" t="n">
        <f aca="false">J645</f>
        <v>0</v>
      </c>
      <c r="K332" s="238" t="n">
        <f aca="false">K645</f>
        <v>0</v>
      </c>
      <c r="L332" s="238" t="n">
        <f aca="false">L645</f>
        <v>0</v>
      </c>
      <c r="M332" s="238" t="n">
        <f aca="false">M645</f>
        <v>0</v>
      </c>
      <c r="N332" s="238" t="n">
        <f aca="false">N645</f>
        <v>0</v>
      </c>
      <c r="O332" s="238" t="n">
        <f aca="false">O645</f>
        <v>0</v>
      </c>
      <c r="P332" s="238" t="n">
        <f aca="false">P645</f>
        <v>0</v>
      </c>
      <c r="Q332" s="238" t="n">
        <f aca="false">Q645</f>
        <v>0</v>
      </c>
      <c r="R332" s="238" t="n">
        <f aca="false">R645</f>
        <v>0</v>
      </c>
      <c r="S332" s="238" t="n">
        <f aca="false">S645</f>
        <v>0</v>
      </c>
      <c r="T332" s="238" t="n">
        <f aca="false">T645</f>
        <v>0</v>
      </c>
      <c r="U332" s="238" t="n">
        <f aca="false">U645</f>
        <v>0</v>
      </c>
      <c r="V332" s="238" t="n">
        <f aca="false">V645</f>
        <v>0</v>
      </c>
      <c r="W332" s="238" t="n">
        <f aca="false">W645</f>
        <v>0</v>
      </c>
      <c r="X332" s="238" t="n">
        <f aca="false">X645</f>
        <v>0</v>
      </c>
      <c r="Y332" s="238" t="n">
        <f aca="false">Y645</f>
        <v>0</v>
      </c>
      <c r="Z332" s="238" t="n">
        <f aca="false">Z645</f>
        <v>0</v>
      </c>
      <c r="AA332" s="238" t="n">
        <f aca="false">AA645</f>
        <v>0</v>
      </c>
      <c r="AB332" s="238" t="n">
        <f aca="false">AB645</f>
        <v>0</v>
      </c>
      <c r="AC332" s="238" t="n">
        <f aca="false">AC645</f>
        <v>0</v>
      </c>
      <c r="AD332" s="238" t="n">
        <f aca="false">AD645</f>
        <v>0</v>
      </c>
      <c r="AE332" s="238" t="n">
        <f aca="false">AE645</f>
        <v>0</v>
      </c>
      <c r="AF332" s="238" t="n">
        <f aca="false">AF645</f>
        <v>0</v>
      </c>
      <c r="AI332" s="235" t="s">
        <v>457</v>
      </c>
      <c r="AM332" s="239" t="e">
        <f aca="false">J736</f>
        <v>#VALUE!</v>
      </c>
      <c r="AN332" s="239" t="e">
        <f aca="false">K736</f>
        <v>#VALUE!</v>
      </c>
      <c r="AO332" s="239" t="e">
        <f aca="false">L736</f>
        <v>#VALUE!</v>
      </c>
      <c r="AP332" s="239" t="e">
        <f aca="false">M736</f>
        <v>#VALUE!</v>
      </c>
      <c r="AQ332" s="239" t="e">
        <f aca="false">N736</f>
        <v>#VALUE!</v>
      </c>
    </row>
    <row r="333" customFormat="false" ht="11.25" hidden="false" customHeight="false" outlineLevel="0" collapsed="false">
      <c r="A333" s="473" t="s">
        <v>458</v>
      </c>
      <c r="B333" s="238"/>
      <c r="C333" s="454"/>
      <c r="D333" s="238"/>
      <c r="E333" s="481" t="n">
        <f aca="false">SUM(E331:E332)</f>
        <v>0</v>
      </c>
      <c r="F333" s="481" t="n">
        <f aca="false">SUM(F331:F332)</f>
        <v>0</v>
      </c>
      <c r="G333" s="481" t="n">
        <f aca="false">SUM(G331:G332)</f>
        <v>0</v>
      </c>
      <c r="H333" s="482" t="n">
        <f aca="false">SUM(H331:H332)</f>
        <v>0</v>
      </c>
      <c r="I333" s="481" t="n">
        <f aca="false">SUM(I331:I332)</f>
        <v>0</v>
      </c>
      <c r="J333" s="481" t="n">
        <f aca="false">SUM(J331:J332)</f>
        <v>0</v>
      </c>
      <c r="K333" s="481" t="n">
        <f aca="false">SUM(K331:K332)</f>
        <v>0</v>
      </c>
      <c r="L333" s="481" t="n">
        <f aca="false">SUM(L331:L332)</f>
        <v>8.32440384736125</v>
      </c>
      <c r="M333" s="481" t="n">
        <f aca="false">SUM(M331:M332)</f>
        <v>8.32440384736125</v>
      </c>
      <c r="N333" s="481" t="n">
        <f aca="false">SUM(N331:N332)</f>
        <v>0</v>
      </c>
      <c r="O333" s="481" t="n">
        <f aca="false">SUM(O331:O332)</f>
        <v>14.4116869368615</v>
      </c>
      <c r="P333" s="481" t="n">
        <f aca="false">SUM(P331:P332)</f>
        <v>86.4701216211691</v>
      </c>
      <c r="Q333" s="481" t="n">
        <f aca="false">SUM(Q331:Q332)</f>
        <v>72.0584346843076</v>
      </c>
      <c r="R333" s="481" t="n">
        <f aca="false">SUM(R331:R332)</f>
        <v>0</v>
      </c>
      <c r="S333" s="481" t="n">
        <f aca="false">SUM(S331:S332)</f>
        <v>0</v>
      </c>
      <c r="T333" s="481" t="n">
        <f aca="false">SUM(T331:T332)</f>
        <v>11.6915957123604</v>
      </c>
      <c r="U333" s="481" t="n">
        <f aca="false">SUM(U331:U332)</f>
        <v>11.6915957123604</v>
      </c>
      <c r="V333" s="481" t="n">
        <f aca="false">SUM(V331:V332)</f>
        <v>0</v>
      </c>
      <c r="W333" s="481" t="n">
        <f aca="false">SUM(W331:W332)</f>
        <v>20.199242302156</v>
      </c>
      <c r="X333" s="481" t="n">
        <f aca="false">SUM(X331:X332)</f>
        <v>121.195453812936</v>
      </c>
      <c r="Y333" s="481" t="n">
        <f aca="false">SUM(Y331:Y332)</f>
        <v>100.99621151078</v>
      </c>
      <c r="Z333" s="481" t="n">
        <f aca="false">SUM(Z331:Z332)</f>
        <v>0</v>
      </c>
      <c r="AA333" s="481" t="n">
        <f aca="false">SUM(AA331:AA332)</f>
        <v>0</v>
      </c>
      <c r="AB333" s="481" t="n">
        <f aca="false">SUM(AB331:AB332)</f>
        <v>0</v>
      </c>
      <c r="AC333" s="481" t="n">
        <f aca="false">SUM(AC331:AC332)</f>
        <v>0</v>
      </c>
      <c r="AD333" s="481" t="n">
        <f aca="false">SUM(AD331:AD332)</f>
        <v>0</v>
      </c>
      <c r="AE333" s="481" t="n">
        <f aca="false">SUM(AE331:AE332)</f>
        <v>0</v>
      </c>
      <c r="AF333" s="481" t="n">
        <f aca="false">SUM(AF331:AF332)</f>
        <v>0</v>
      </c>
    </row>
    <row r="334" customFormat="false" ht="11.25" hidden="false" customHeight="false" outlineLevel="0" collapsed="false">
      <c r="A334" s="238"/>
      <c r="B334" s="238"/>
      <c r="C334" s="238"/>
      <c r="D334" s="238"/>
      <c r="E334" s="238"/>
      <c r="F334" s="238"/>
      <c r="G334" s="238"/>
      <c r="H334" s="483"/>
      <c r="I334" s="238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I334" s="235" t="s">
        <v>459</v>
      </c>
      <c r="AM334" s="239" t="e">
        <f aca="false">J425</f>
        <v>#VALUE!</v>
      </c>
      <c r="AN334" s="239" t="e">
        <f aca="false">K425</f>
        <v>#VALUE!</v>
      </c>
      <c r="AO334" s="239" t="e">
        <f aca="false">L425</f>
        <v>#VALUE!</v>
      </c>
      <c r="AP334" s="239" t="e">
        <f aca="false">M425</f>
        <v>#VALUE!</v>
      </c>
      <c r="AQ334" s="239" t="e">
        <f aca="false">N425</f>
        <v>#VALUE!</v>
      </c>
    </row>
    <row r="335" customFormat="false" ht="11.25" hidden="false" customHeight="false" outlineLevel="0" collapsed="false">
      <c r="A335" s="473" t="s">
        <v>460</v>
      </c>
      <c r="B335" s="238"/>
      <c r="C335" s="484"/>
      <c r="D335" s="468"/>
      <c r="E335" s="468"/>
      <c r="F335" s="468"/>
      <c r="G335" s="468"/>
      <c r="H335" s="485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468"/>
      <c r="W335" s="468"/>
      <c r="X335" s="468"/>
      <c r="Y335" s="468"/>
      <c r="Z335" s="468"/>
      <c r="AA335" s="468"/>
      <c r="AB335" s="468"/>
      <c r="AC335" s="468"/>
      <c r="AD335" s="468"/>
      <c r="AE335" s="468"/>
      <c r="AF335" s="468"/>
      <c r="AI335" s="468" t="s">
        <v>461</v>
      </c>
      <c r="AJ335" s="468"/>
      <c r="AK335" s="468"/>
      <c r="AL335" s="468"/>
      <c r="AM335" s="486" t="str">
        <f aca="false">J751</f>
        <v>NA</v>
      </c>
      <c r="AN335" s="486" t="str">
        <f aca="false">K751</f>
        <v>NA</v>
      </c>
      <c r="AO335" s="486" t="str">
        <f aca="false">L751</f>
        <v>NA</v>
      </c>
      <c r="AP335" s="486" t="str">
        <f aca="false">M751</f>
        <v>NA</v>
      </c>
      <c r="AQ335" s="486" t="str">
        <f aca="false">N751</f>
        <v>NA</v>
      </c>
    </row>
    <row r="336" customFormat="false" ht="11.25" hidden="false" customHeight="false" outlineLevel="0" collapsed="false">
      <c r="A336" s="238" t="str">
        <f aca="false">B481&amp;" (Interest Calc on Avg Balance)"</f>
        <v>Purchase Term Loan (Interest Calc on Avg Balance)</v>
      </c>
      <c r="B336" s="238"/>
      <c r="C336" s="238"/>
      <c r="D336" s="467"/>
      <c r="E336" s="468"/>
      <c r="F336" s="468"/>
      <c r="G336" s="468"/>
      <c r="H336" s="479"/>
      <c r="I336" s="468" t="n">
        <f aca="false">IF(I605="YES",IF($I$606="YES",-I608+((I627-I607)*(I451+I455)/2*C472),0),I627*(I451+I455)/2*C472)</f>
        <v>1454.53291665375</v>
      </c>
      <c r="J336" s="468" t="e">
        <f aca="false">IF(J605="YES",IF($I$606="YES",-J608+((J627-J607)*((J451+J455)/2)),0),J627*((J451+J455)/2))</f>
        <v>#VALUE!</v>
      </c>
      <c r="K336" s="468" t="e">
        <f aca="false">IF(K605="YES",IF($I$606="YES",-K608+((K627-K607)*((K451+K455)/2)),0),K627*((K451+K455)/2))</f>
        <v>#VALUE!</v>
      </c>
      <c r="L336" s="468" t="e">
        <f aca="false">IF(L605="YES",IF($I$606="YES",-L608+((L627-L607)*((L451+L455)/2)),0),L627*((L451+L455)/2))</f>
        <v>#VALUE!</v>
      </c>
      <c r="M336" s="468" t="e">
        <f aca="false">IF(M605="YES",IF($I$606="YES",-M608+((M627-M607)*((M451+M455)/2)),0),M627*((M451+M455)/2))</f>
        <v>#VALUE!</v>
      </c>
      <c r="N336" s="468" t="e">
        <f aca="false">IF(N605="YES",IF($I$606="YES",-N608+((N627-N607)*((N451+N455)/2)),0),N627*((N451+N455)/2))</f>
        <v>#VALUE!</v>
      </c>
      <c r="O336" s="468" t="e">
        <f aca="false">IF(O605="YES",IF($I$606="YES",-O608+((O627-O607)*((O451+O455)/2)),0),O627*((O451+O455)/2))</f>
        <v>#VALUE!</v>
      </c>
      <c r="P336" s="468" t="e">
        <f aca="false">IF(P605="YES",IF($I$606="YES",-P608+((P627-P607)*((P451+P455)/2)),0),P627*((P451+P455)/2))</f>
        <v>#VALUE!</v>
      </c>
      <c r="Q336" s="468" t="e">
        <f aca="false">IF(Q605="YES",IF($I$606="YES",-Q608+((Q627-Q607)*((Q451+Q455)/2)),0),Q627*((Q451+Q455)/2))</f>
        <v>#VALUE!</v>
      </c>
      <c r="R336" s="468" t="e">
        <f aca="false">IF(R605="YES",IF($I$606="YES",-R608+((R627-R607)*((R451+R455)/2)),0),R627*((R451+R455)/2))</f>
        <v>#VALUE!</v>
      </c>
      <c r="S336" s="468" t="e">
        <f aca="false">IF(S605="YES",IF($I$606="YES",-S608+((S627-S607)*((S451+S455)/2)),0),S627*((S451+S455)/2))</f>
        <v>#VALUE!</v>
      </c>
      <c r="T336" s="468" t="e">
        <f aca="false">IF(T605="YES",IF($I$606="YES",-T608+((T627-T607)*((T451+T455)/2)),0),T627*((T451+T455)/2))</f>
        <v>#VALUE!</v>
      </c>
      <c r="U336" s="468" t="e">
        <f aca="false">IF(U605="YES",IF($I$606="YES",-U608+((U627-U607)*((U451+U455)/2)),0),U627*((U451+U455)/2))</f>
        <v>#VALUE!</v>
      </c>
      <c r="V336" s="468" t="e">
        <f aca="false">IF(V605="YES",IF($I$606="YES",-V608+((V627-V607)*((V451+V455)/2)),0),V627*((V451+V455)/2))</f>
        <v>#VALUE!</v>
      </c>
      <c r="W336" s="468" t="e">
        <f aca="false">IF(W605="YES",IF($I$606="YES",-W608+((W627-W607)*((W451+W455)/2)),0),W627*((W451+W455)/2))</f>
        <v>#VALUE!</v>
      </c>
      <c r="X336" s="468" t="e">
        <f aca="false">IF(X605="YES",IF($I$606="YES",-X608+((X627-X607)*((X451+X455)/2)),0),X627*((X451+X455)/2))</f>
        <v>#VALUE!</v>
      </c>
      <c r="Y336" s="468" t="e">
        <f aca="false">IF(Y605="YES",IF($I$606="YES",-Y608+((Y627-Y607)*((Y451+Y455)/2)),0),Y627*((Y451+Y455)/2))</f>
        <v>#VALUE!</v>
      </c>
      <c r="Z336" s="468" t="e">
        <f aca="false">IF(Z605="YES",IF($I$606="YES",-Z608+((Z627-Z607)*((Z451+Z455)/2)),0),Z627*((Z451+Z455)/2))</f>
        <v>#VALUE!</v>
      </c>
      <c r="AA336" s="468" t="e">
        <f aca="false">IF(AA605="YES",IF($I$606="YES",-AA608+((AA627-AA607)*((AA451+AA455)/2)),0),AA627*((AA451+AA455)/2))</f>
        <v>#VALUE!</v>
      </c>
      <c r="AB336" s="468" t="e">
        <f aca="false">IF(AB605="YES",IF($I$606="YES",-AB608+((AB627-AB607)*((AB451+AB455)/2)),0),AB627*((AB451+AB455)/2))</f>
        <v>#VALUE!</v>
      </c>
      <c r="AC336" s="468" t="e">
        <f aca="false">IF(AC605="YES",IF($I$606="YES",-AC608+((AC627-AC607)*((AC451+AC455)/2)),0),AC627*((AC451+AC455)/2))</f>
        <v>#VALUE!</v>
      </c>
      <c r="AD336" s="468" t="e">
        <f aca="false">IF(AD605="YES",IF($I$606="YES",-AD608+((AD627-AD607)*((AD451+AD455)/2)),0),AD627*((AD451+AD455)/2))</f>
        <v>#VALUE!</v>
      </c>
      <c r="AE336" s="468" t="e">
        <f aca="false">IF(AE605="YES",IF($I$606="YES",-AE608+((AE627-AE607)*((AE451+AE455)/2)),0),AE627*((AE451+AE455)/2))</f>
        <v>#VALUE!</v>
      </c>
      <c r="AF336" s="468" t="e">
        <f aca="false">IF(AF605="YES",IF($I$606="YES",-AF608+((AF627-AF607)*((AF451+AF455)/2)),0),AF627*((AF451+AF455)/2))</f>
        <v>#VALUE!</v>
      </c>
      <c r="AG336" s="468"/>
      <c r="AH336" s="468"/>
      <c r="AN336" s="468"/>
      <c r="AO336" s="468"/>
      <c r="AP336" s="468"/>
      <c r="AQ336" s="468"/>
      <c r="AR336" s="468"/>
      <c r="AS336" s="468"/>
      <c r="AT336" s="468"/>
      <c r="AU336" s="468"/>
      <c r="AV336" s="468"/>
      <c r="AW336" s="468"/>
      <c r="AX336" s="468"/>
      <c r="AY336" s="468"/>
      <c r="AZ336" s="468"/>
      <c r="BA336" s="468"/>
      <c r="BB336" s="468"/>
      <c r="BC336" s="468"/>
      <c r="BD336" s="468"/>
    </row>
    <row r="337" customFormat="false" ht="11.25" hidden="false" customHeight="false" outlineLevel="0" collapsed="false">
      <c r="A337" s="238" t="str">
        <f aca="false">B482&amp;" (Interest Calc on Avg. Balance)"</f>
        <v>Other Term Loan (Interest Calc on Avg. Balance)</v>
      </c>
      <c r="B337" s="238"/>
      <c r="C337" s="238"/>
      <c r="D337" s="467"/>
      <c r="E337" s="468"/>
      <c r="F337" s="468"/>
      <c r="G337" s="468"/>
      <c r="H337" s="479"/>
      <c r="I337" s="468" t="n">
        <f aca="false">IF(I613="YES",IF($I$614="YES",-I616+((I628-I615)*(I458+I461)/2)*C472,0),I628*(I458+I461)/2*C472)</f>
        <v>0</v>
      </c>
      <c r="J337" s="468" t="n">
        <f aca="false">IF(J613="YES",IF($I$614="YES",-J616+((J628-J615)*(J458+J461)/2),0),J628*(J458+J461)/2)</f>
        <v>0</v>
      </c>
      <c r="K337" s="468" t="n">
        <f aca="false">IF(K613="YES",IF($I$614="YES",-K616+((K628-K615)*(K458+K461)/2),0),K628*(K458+K461)/2)</f>
        <v>0</v>
      </c>
      <c r="L337" s="468" t="n">
        <f aca="false">IF(L613="YES",IF($I$614="YES",-L616+((L628-L615)*(L458+L461)/2),0),L628*(L458+L461)/2)</f>
        <v>0</v>
      </c>
      <c r="M337" s="468" t="n">
        <f aca="false">IF(M613="YES",IF($I$614="YES",-M616+((M628-M615)*(M458+M461)/2),0),M628*(M458+M461)/2)</f>
        <v>0</v>
      </c>
      <c r="N337" s="468" t="n">
        <f aca="false">IF(N613="YES",IF($I$614="YES",-N616+((N628-N615)*(N458+N461)/2),0),N628*(N458+N461)/2)</f>
        <v>0</v>
      </c>
      <c r="O337" s="468" t="n">
        <f aca="false">IF(O613="YES",IF($I$614="YES",-O616+((O628-O615)*(O458+O461)/2),0),O628*(O458+O461)/2)</f>
        <v>0</v>
      </c>
      <c r="P337" s="468" t="n">
        <f aca="false">IF(P613="YES",IF($I$614="YES",-P616+((P628-P615)*(P458+P461)/2),0),P628*(P458+P461)/2)</f>
        <v>0</v>
      </c>
      <c r="Q337" s="468" t="n">
        <f aca="false">IF(Q613="YES",IF($I$614="YES",-Q616+((Q628-Q615)*(Q458+Q461)/2),0),Q628*(Q458+Q461)/2)</f>
        <v>0</v>
      </c>
      <c r="R337" s="468" t="n">
        <f aca="false">IF(R613="YES",IF($I$614="YES",-R616+((R628-R615)*(R458+R461)/2),0),R628*(R458+R461)/2)</f>
        <v>0</v>
      </c>
      <c r="S337" s="468" t="n">
        <f aca="false">IF(S613="YES",IF($I$614="YES",-S616+((S628-S615)*(S458+S461)/2),0),S628*(S458+S461)/2)</f>
        <v>0</v>
      </c>
      <c r="T337" s="468" t="n">
        <f aca="false">IF(T613="YES",IF($I$614="YES",-T616+((T628-T615)*(T458+T461)/2),0),T628*(T458+T461)/2)</f>
        <v>0</v>
      </c>
      <c r="U337" s="468" t="n">
        <f aca="false">IF(U613="YES",IF($I$614="YES",-U616+((U628-U615)*(U458+U461)/2),0),U628*(U458+U461)/2)</f>
        <v>0</v>
      </c>
      <c r="V337" s="468" t="n">
        <f aca="false">IF(V613="YES",IF($I$614="YES",-V616+((V628-V615)*(V458+V461)/2),0),V628*(V458+V461)/2)</f>
        <v>0</v>
      </c>
      <c r="W337" s="468" t="n">
        <f aca="false">IF(W613="YES",IF($I$614="YES",-W616+((W628-W615)*(W458+W461)/2),0),W628*(W458+W461)/2)</f>
        <v>0</v>
      </c>
      <c r="X337" s="468" t="n">
        <f aca="false">IF(X613="YES",IF($I$614="YES",-X616+((X628-X615)*(X458+X461)/2),0),X628*(X458+X461)/2)</f>
        <v>0</v>
      </c>
      <c r="Y337" s="468" t="n">
        <f aca="false">IF(Y613="YES",IF($I$614="YES",-Y616+((Y628-Y615)*(Y458+Y461)/2),0),Y628*(Y458+Y461)/2)</f>
        <v>0</v>
      </c>
      <c r="Z337" s="468" t="n">
        <f aca="false">IF(Z613="YES",IF($I$614="YES",-Z616+((Z628-Z615)*(Z458+Z461)/2),0),Z628*(Z458+Z461)/2)</f>
        <v>0</v>
      </c>
      <c r="AA337" s="468" t="n">
        <f aca="false">IF(AA613="YES",IF($I$614="YES",-AA616+((AA628-AA615)*(AA458+AA461)/2),0),AA628*(AA458+AA461)/2)</f>
        <v>0</v>
      </c>
      <c r="AB337" s="468" t="n">
        <f aca="false">IF(AB613="YES",IF($I$614="YES",-AB616+((AB628-AB615)*(AB458+AB461)/2),0),AB628*(AB458+AB461)/2)</f>
        <v>0</v>
      </c>
      <c r="AC337" s="468" t="n">
        <f aca="false">IF(AC613="YES",IF($I$614="YES",-AC616+((AC628-AC615)*(AC458+AC461)/2),0),AC628*(AC458+AC461)/2)</f>
        <v>0</v>
      </c>
      <c r="AD337" s="468" t="n">
        <f aca="false">IF(AD613="YES",IF($I$614="YES",-AD616+((AD628-AD615)*(AD458+AD461)/2),0),AD628*(AD458+AD461)/2)</f>
        <v>0</v>
      </c>
      <c r="AE337" s="468" t="n">
        <f aca="false">IF(AE613="YES",IF($I$614="YES",-AE616+((AE628-AE615)*(AE458+AE461)/2),0),AE628*(AE458+AE461)/2)</f>
        <v>0</v>
      </c>
      <c r="AF337" s="468" t="n">
        <f aca="false">IF(AF613="YES",IF($I$614="YES",-AF616+((AF628-AF615)*(AF458+AF461)/2),0),AF628*(AF458+AF461)/2)</f>
        <v>0</v>
      </c>
      <c r="AG337" s="468"/>
      <c r="AH337" s="468"/>
      <c r="AI337" s="468"/>
      <c r="AJ337" s="468"/>
      <c r="AK337" s="468"/>
      <c r="AL337" s="468"/>
      <c r="AM337" s="468"/>
      <c r="AN337" s="468"/>
      <c r="AO337" s="468"/>
      <c r="AP337" s="468"/>
      <c r="AQ337" s="468"/>
      <c r="AR337" s="468"/>
      <c r="AS337" s="468"/>
      <c r="AT337" s="468"/>
      <c r="AU337" s="468"/>
      <c r="AV337" s="468"/>
      <c r="AW337" s="468"/>
      <c r="AX337" s="468"/>
      <c r="AY337" s="468"/>
      <c r="AZ337" s="468"/>
      <c r="BA337" s="468"/>
      <c r="BB337" s="468"/>
      <c r="BC337" s="468"/>
      <c r="BD337" s="468"/>
    </row>
    <row r="338" customFormat="false" ht="11.25" hidden="false" customHeight="false" outlineLevel="0" collapsed="false">
      <c r="A338" s="238" t="s">
        <v>462</v>
      </c>
      <c r="B338" s="238"/>
      <c r="C338" s="238"/>
      <c r="D338" s="467"/>
      <c r="E338" s="468"/>
      <c r="F338" s="468"/>
      <c r="G338" s="468"/>
      <c r="H338" s="479"/>
      <c r="I338" s="468" t="n">
        <f aca="false">+((I444+I447)/2)*I626*C472</f>
        <v>0</v>
      </c>
      <c r="J338" s="468" t="e">
        <f aca="false">+((J444+J447)/2)*J626</f>
        <v>#VALUE!</v>
      </c>
      <c r="K338" s="468" t="e">
        <f aca="false">+((K444+K447)/2)*K626</f>
        <v>#VALUE!</v>
      </c>
      <c r="L338" s="468" t="e">
        <f aca="false">+((L444+L447)/2)*L626</f>
        <v>#VALUE!</v>
      </c>
      <c r="M338" s="468" t="e">
        <f aca="false">+((M444+M447)/2)*M626</f>
        <v>#VALUE!</v>
      </c>
      <c r="N338" s="468" t="e">
        <f aca="false">+((N444+N447)/2)*N626</f>
        <v>#VALUE!</v>
      </c>
      <c r="O338" s="468" t="e">
        <f aca="false">+((O444+O447)/2)*O626</f>
        <v>#VALUE!</v>
      </c>
      <c r="P338" s="468" t="e">
        <f aca="false">+((P444+P447)/2)*P626</f>
        <v>#VALUE!</v>
      </c>
      <c r="Q338" s="468" t="e">
        <f aca="false">+((Q444+Q447)/2)*Q626</f>
        <v>#VALUE!</v>
      </c>
      <c r="R338" s="468" t="e">
        <f aca="false">+((R444+R447)/2)*R626</f>
        <v>#VALUE!</v>
      </c>
      <c r="S338" s="468" t="e">
        <f aca="false">+((S444+S447)/2)*S626</f>
        <v>#VALUE!</v>
      </c>
      <c r="T338" s="468" t="e">
        <f aca="false">+((T444+T447)/2)*T626</f>
        <v>#VALUE!</v>
      </c>
      <c r="U338" s="468" t="e">
        <f aca="false">+((U444+U447)/2)*U626</f>
        <v>#VALUE!</v>
      </c>
      <c r="V338" s="468" t="e">
        <f aca="false">+((V444+V447)/2)*V626</f>
        <v>#VALUE!</v>
      </c>
      <c r="W338" s="468" t="e">
        <f aca="false">+((W444+W447)/2)*W626</f>
        <v>#VALUE!</v>
      </c>
      <c r="X338" s="468" t="e">
        <f aca="false">+((X444+X447)/2)*X626</f>
        <v>#VALUE!</v>
      </c>
      <c r="Y338" s="468" t="e">
        <f aca="false">+((Y444+Y447)/2)*Y626</f>
        <v>#VALUE!</v>
      </c>
      <c r="Z338" s="468" t="e">
        <f aca="false">+((Z444+Z447)/2)*Z626</f>
        <v>#VALUE!</v>
      </c>
      <c r="AA338" s="468" t="e">
        <f aca="false">+((AA444+AA447)/2)*AA626</f>
        <v>#VALUE!</v>
      </c>
      <c r="AB338" s="468" t="e">
        <f aca="false">+((AB444+AB447)/2)*AB626</f>
        <v>#VALUE!</v>
      </c>
      <c r="AC338" s="468" t="e">
        <f aca="false">+((AC444+AC447)/2)*AC626</f>
        <v>#VALUE!</v>
      </c>
      <c r="AD338" s="468" t="e">
        <f aca="false">+((AD444+AD447)/2)*AD626</f>
        <v>#VALUE!</v>
      </c>
      <c r="AE338" s="468" t="e">
        <f aca="false">+((AE444+AE447)/2)*AE626</f>
        <v>#VALUE!</v>
      </c>
      <c r="AF338" s="468" t="e">
        <f aca="false">+((AF444+AF447)/2)*AF626</f>
        <v>#VALUE!</v>
      </c>
    </row>
    <row r="339" customFormat="false" ht="11.25" hidden="false" customHeight="false" outlineLevel="0" collapsed="false">
      <c r="A339" s="473" t="s">
        <v>463</v>
      </c>
      <c r="B339" s="238"/>
      <c r="C339" s="484"/>
      <c r="D339" s="468"/>
      <c r="E339" s="477" t="n">
        <f aca="false">SUM(E336:E337)</f>
        <v>0</v>
      </c>
      <c r="F339" s="477" t="n">
        <f aca="false">SUM(F336:F337)</f>
        <v>0</v>
      </c>
      <c r="G339" s="477" t="n">
        <f aca="false">SUM(G336:G337)</f>
        <v>0</v>
      </c>
      <c r="H339" s="478" t="n">
        <f aca="false">SUM(H336:H337)</f>
        <v>0</v>
      </c>
      <c r="I339" s="477" t="n">
        <f aca="false">SUM(I336:I338)</f>
        <v>1454.53291665375</v>
      </c>
      <c r="J339" s="477" t="e">
        <f aca="false">SUM(J336:J338)</f>
        <v>#VALUE!</v>
      </c>
      <c r="K339" s="477" t="e">
        <f aca="false">SUM(K336:K338)</f>
        <v>#VALUE!</v>
      </c>
      <c r="L339" s="477" t="e">
        <f aca="false">SUM(L336:L338)</f>
        <v>#VALUE!</v>
      </c>
      <c r="M339" s="477" t="e">
        <f aca="false">SUM(M336:M338)</f>
        <v>#VALUE!</v>
      </c>
      <c r="N339" s="477" t="e">
        <f aca="false">SUM(N336:N338)</f>
        <v>#VALUE!</v>
      </c>
      <c r="O339" s="477" t="e">
        <f aca="false">SUM(O336:O338)</f>
        <v>#VALUE!</v>
      </c>
      <c r="P339" s="477" t="e">
        <f aca="false">SUM(P336:P338)</f>
        <v>#VALUE!</v>
      </c>
      <c r="Q339" s="477" t="e">
        <f aca="false">SUM(Q336:Q338)</f>
        <v>#VALUE!</v>
      </c>
      <c r="R339" s="477" t="e">
        <f aca="false">SUM(R336:R338)</f>
        <v>#VALUE!</v>
      </c>
      <c r="S339" s="477" t="e">
        <f aca="false">SUM(S336:S338)</f>
        <v>#VALUE!</v>
      </c>
      <c r="T339" s="477" t="e">
        <f aca="false">SUM(T336:T338)</f>
        <v>#VALUE!</v>
      </c>
      <c r="U339" s="477" t="e">
        <f aca="false">SUM(U336:U338)</f>
        <v>#VALUE!</v>
      </c>
      <c r="V339" s="477" t="e">
        <f aca="false">SUM(V336:V338)</f>
        <v>#VALUE!</v>
      </c>
      <c r="W339" s="477" t="e">
        <f aca="false">SUM(W336:W338)</f>
        <v>#VALUE!</v>
      </c>
      <c r="X339" s="477" t="e">
        <f aca="false">SUM(X336:X338)</f>
        <v>#VALUE!</v>
      </c>
      <c r="Y339" s="477" t="e">
        <f aca="false">SUM(Y336:Y338)</f>
        <v>#VALUE!</v>
      </c>
      <c r="Z339" s="477" t="e">
        <f aca="false">SUM(Z336:Z338)</f>
        <v>#VALUE!</v>
      </c>
      <c r="AA339" s="477" t="e">
        <f aca="false">SUM(AA336:AA338)</f>
        <v>#VALUE!</v>
      </c>
      <c r="AB339" s="477" t="e">
        <f aca="false">SUM(AB336:AB338)</f>
        <v>#VALUE!</v>
      </c>
      <c r="AC339" s="477" t="e">
        <f aca="false">SUM(AC336:AC338)</f>
        <v>#VALUE!</v>
      </c>
      <c r="AD339" s="477" t="e">
        <f aca="false">SUM(AD336:AD338)</f>
        <v>#VALUE!</v>
      </c>
      <c r="AE339" s="477" t="e">
        <f aca="false">SUM(AE336:AE338)</f>
        <v>#VALUE!</v>
      </c>
      <c r="AF339" s="477" t="e">
        <f aca="false">SUM(AF336:AF338)</f>
        <v>#VALUE!</v>
      </c>
    </row>
    <row r="340" customFormat="false" ht="11.25" hidden="false" customHeight="false" outlineLevel="0" collapsed="false">
      <c r="A340" s="238"/>
      <c r="B340" s="238"/>
      <c r="C340" s="238"/>
      <c r="D340" s="238"/>
      <c r="E340" s="238"/>
      <c r="F340" s="238"/>
      <c r="G340" s="238"/>
      <c r="H340" s="483"/>
      <c r="I340" s="238"/>
      <c r="J340" s="238"/>
      <c r="K340" s="238"/>
      <c r="L340" s="238"/>
      <c r="M340" s="238"/>
      <c r="N340" s="238"/>
      <c r="O340" s="238"/>
      <c r="P340" s="238"/>
      <c r="Q340" s="238"/>
      <c r="R340" s="238"/>
      <c r="S340" s="238"/>
      <c r="T340" s="238"/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</row>
    <row r="341" customFormat="false" ht="11.25" hidden="false" customHeight="false" outlineLevel="0" collapsed="false">
      <c r="A341" s="473" t="s">
        <v>464</v>
      </c>
      <c r="B341" s="238"/>
      <c r="C341" s="238"/>
      <c r="D341" s="468"/>
      <c r="E341" s="468" t="n">
        <f aca="false">E328+E333-E339</f>
        <v>0</v>
      </c>
      <c r="F341" s="468" t="n">
        <f aca="false">F328+F333-F339</f>
        <v>0</v>
      </c>
      <c r="G341" s="468" t="n">
        <f aca="false">G328+G333-G339</f>
        <v>0</v>
      </c>
      <c r="H341" s="479" t="n">
        <f aca="false">H328+H333-H339</f>
        <v>0</v>
      </c>
      <c r="I341" s="468" t="n">
        <f aca="false">I328+I333-I339</f>
        <v>-1847.14506211111</v>
      </c>
      <c r="J341" s="468" t="e">
        <f aca="false">J328+J333-J339</f>
        <v>#VALUE!</v>
      </c>
      <c r="K341" s="468" t="e">
        <f aca="false">K328+K333-K339</f>
        <v>#VALUE!</v>
      </c>
      <c r="L341" s="468" t="e">
        <f aca="false">L328+L333-L339</f>
        <v>#VALUE!</v>
      </c>
      <c r="M341" s="468" t="e">
        <f aca="false">M328+M333-M339</f>
        <v>#VALUE!</v>
      </c>
      <c r="N341" s="468" t="e">
        <f aca="false">N328+N333-N339</f>
        <v>#VALUE!</v>
      </c>
      <c r="O341" s="468" t="e">
        <f aca="false">O328+O333-O339</f>
        <v>#VALUE!</v>
      </c>
      <c r="P341" s="468" t="e">
        <f aca="false">P328+P333-P339</f>
        <v>#VALUE!</v>
      </c>
      <c r="Q341" s="468" t="e">
        <f aca="false">Q328+Q333-Q339</f>
        <v>#VALUE!</v>
      </c>
      <c r="R341" s="468" t="e">
        <f aca="false">R328+R333-R339</f>
        <v>#VALUE!</v>
      </c>
      <c r="S341" s="468" t="e">
        <f aca="false">S328+S333-S339</f>
        <v>#VALUE!</v>
      </c>
      <c r="T341" s="468" t="e">
        <f aca="false">T328+T333-T339</f>
        <v>#VALUE!</v>
      </c>
      <c r="U341" s="468" t="e">
        <f aca="false">U328+U333-U339</f>
        <v>#VALUE!</v>
      </c>
      <c r="V341" s="468" t="e">
        <f aca="false">V328+V333-V339</f>
        <v>#VALUE!</v>
      </c>
      <c r="W341" s="468" t="e">
        <f aca="false">W328+W333-W339</f>
        <v>#VALUE!</v>
      </c>
      <c r="X341" s="468" t="e">
        <f aca="false">X328+X333-X339</f>
        <v>#VALUE!</v>
      </c>
      <c r="Y341" s="468" t="e">
        <f aca="false">Y328+Y333-Y339</f>
        <v>#VALUE!</v>
      </c>
      <c r="Z341" s="468" t="e">
        <f aca="false">Z328+Z333-Z339</f>
        <v>#VALUE!</v>
      </c>
      <c r="AA341" s="468" t="e">
        <f aca="false">AA328+AA333-AA339</f>
        <v>#VALUE!</v>
      </c>
      <c r="AB341" s="468" t="e">
        <f aca="false">AB328+AB333-AB339</f>
        <v>#VALUE!</v>
      </c>
      <c r="AC341" s="468" t="e">
        <f aca="false">AC328+AC333-AC339</f>
        <v>#VALUE!</v>
      </c>
      <c r="AD341" s="468" t="e">
        <f aca="false">AD328+AD333-AD339</f>
        <v>#VALUE!</v>
      </c>
      <c r="AE341" s="468" t="e">
        <f aca="false">AE328+AE333-AE339</f>
        <v>#VALUE!</v>
      </c>
      <c r="AF341" s="468" t="e">
        <f aca="false">AF328+AF333-AF339</f>
        <v>#VALUE!</v>
      </c>
    </row>
    <row r="342" customFormat="false" ht="11.25" hidden="false" customHeight="false" outlineLevel="0" collapsed="false">
      <c r="A342" s="238"/>
      <c r="B342" s="238"/>
      <c r="C342" s="238"/>
      <c r="D342" s="238"/>
      <c r="E342" s="238"/>
      <c r="F342" s="238"/>
      <c r="G342" s="238"/>
      <c r="H342" s="483"/>
      <c r="I342" s="46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</row>
    <row r="343" customFormat="false" ht="11.25" hidden="false" customHeight="false" outlineLevel="0" collapsed="false">
      <c r="A343" s="450" t="s">
        <v>465</v>
      </c>
      <c r="B343" s="238"/>
      <c r="C343" s="238"/>
      <c r="D343" s="238"/>
      <c r="E343" s="238" t="n">
        <f aca="false">E654</f>
        <v>0</v>
      </c>
      <c r="F343" s="238" t="n">
        <f aca="false">F654</f>
        <v>0</v>
      </c>
      <c r="G343" s="238" t="n">
        <f aca="false">G654</f>
        <v>0</v>
      </c>
      <c r="H343" s="483" t="n">
        <f aca="false">H654</f>
        <v>0</v>
      </c>
      <c r="I343" s="238" t="n">
        <f aca="false">I654</f>
        <v>0</v>
      </c>
      <c r="J343" s="238" t="n">
        <f aca="false">J654</f>
        <v>0</v>
      </c>
      <c r="K343" s="238" t="n">
        <f aca="false">K654</f>
        <v>0</v>
      </c>
      <c r="L343" s="238" t="n">
        <f aca="false">L654</f>
        <v>0</v>
      </c>
      <c r="M343" s="238" t="n">
        <f aca="false">M654</f>
        <v>0</v>
      </c>
      <c r="N343" s="238" t="n">
        <f aca="false">N654</f>
        <v>0</v>
      </c>
      <c r="O343" s="238" t="n">
        <f aca="false">O654</f>
        <v>0</v>
      </c>
      <c r="P343" s="238" t="n">
        <f aca="false">P654</f>
        <v>0</v>
      </c>
      <c r="Q343" s="238" t="n">
        <f aca="false">Q654</f>
        <v>0</v>
      </c>
      <c r="R343" s="238" t="n">
        <f aca="false">R654</f>
        <v>0</v>
      </c>
      <c r="S343" s="238" t="n">
        <f aca="false">S654</f>
        <v>0</v>
      </c>
      <c r="T343" s="238" t="n">
        <f aca="false">T654</f>
        <v>0</v>
      </c>
      <c r="U343" s="238" t="n">
        <f aca="false">U654</f>
        <v>0</v>
      </c>
      <c r="V343" s="238" t="n">
        <f aca="false">V654</f>
        <v>0</v>
      </c>
      <c r="W343" s="238" t="n">
        <f aca="false">W654</f>
        <v>0</v>
      </c>
      <c r="X343" s="238" t="n">
        <f aca="false">X654</f>
        <v>0</v>
      </c>
      <c r="Y343" s="238" t="n">
        <f aca="false">Y654</f>
        <v>0</v>
      </c>
      <c r="Z343" s="238" t="n">
        <f aca="false">Z654</f>
        <v>0</v>
      </c>
      <c r="AA343" s="238" t="n">
        <f aca="false">AA654</f>
        <v>0</v>
      </c>
      <c r="AB343" s="238" t="n">
        <f aca="false">AB654</f>
        <v>0</v>
      </c>
      <c r="AC343" s="238" t="n">
        <f aca="false">AC654</f>
        <v>0</v>
      </c>
      <c r="AD343" s="238" t="n">
        <f aca="false">AD654</f>
        <v>0</v>
      </c>
      <c r="AE343" s="238" t="n">
        <f aca="false">AE654</f>
        <v>0</v>
      </c>
      <c r="AF343" s="238" t="n">
        <f aca="false">AF654</f>
        <v>0</v>
      </c>
    </row>
    <row r="344" customFormat="false" ht="11.25" hidden="false" customHeight="false" outlineLevel="0" collapsed="false">
      <c r="A344" s="450" t="s">
        <v>466</v>
      </c>
      <c r="B344" s="238"/>
      <c r="C344" s="238"/>
      <c r="D344" s="238"/>
      <c r="E344" s="238"/>
      <c r="F344" s="238"/>
      <c r="G344" s="238"/>
      <c r="H344" s="483"/>
      <c r="I344" s="238" t="n">
        <f aca="false">-I316*I669</f>
        <v>-0</v>
      </c>
      <c r="J344" s="238" t="e">
        <f aca="false">-J316*J669</f>
        <v>#VALUE!</v>
      </c>
      <c r="K344" s="238" t="e">
        <f aca="false">-K316*K669</f>
        <v>#VALUE!</v>
      </c>
      <c r="L344" s="238" t="e">
        <f aca="false">-L316*L669</f>
        <v>#VALUE!</v>
      </c>
      <c r="M344" s="238" t="e">
        <f aca="false">-M316*M669</f>
        <v>#VALUE!</v>
      </c>
      <c r="N344" s="238" t="e">
        <f aca="false">-N316*N669</f>
        <v>#VALUE!</v>
      </c>
      <c r="O344" s="238" t="e">
        <f aca="false">-O316*O669</f>
        <v>#VALUE!</v>
      </c>
      <c r="P344" s="238" t="e">
        <f aca="false">-P316*P669</f>
        <v>#VALUE!</v>
      </c>
      <c r="Q344" s="238" t="e">
        <f aca="false">-Q316*Q669</f>
        <v>#VALUE!</v>
      </c>
      <c r="R344" s="238" t="e">
        <f aca="false">-R316*R669</f>
        <v>#VALUE!</v>
      </c>
      <c r="S344" s="238" t="e">
        <f aca="false">-S316*S669</f>
        <v>#VALUE!</v>
      </c>
      <c r="T344" s="238" t="e">
        <f aca="false">-T316*T669</f>
        <v>#VALUE!</v>
      </c>
      <c r="U344" s="238" t="e">
        <f aca="false">-U316*U669</f>
        <v>#VALUE!</v>
      </c>
      <c r="V344" s="238" t="e">
        <f aca="false">-V316*V669</f>
        <v>#VALUE!</v>
      </c>
      <c r="W344" s="238" t="e">
        <f aca="false">-W316*W669</f>
        <v>#VALUE!</v>
      </c>
      <c r="X344" s="238" t="e">
        <f aca="false">-X316*X669</f>
        <v>#VALUE!</v>
      </c>
      <c r="Y344" s="238" t="e">
        <f aca="false">-Y316*Y669</f>
        <v>#VALUE!</v>
      </c>
      <c r="Z344" s="238" t="e">
        <f aca="false">-Z316*Z669</f>
        <v>#VALUE!</v>
      </c>
      <c r="AA344" s="238" t="e">
        <f aca="false">-AA316*AA669</f>
        <v>#VALUE!</v>
      </c>
      <c r="AB344" s="238" t="e">
        <f aca="false">-AB316*AB669</f>
        <v>#VALUE!</v>
      </c>
      <c r="AC344" s="238" t="e">
        <f aca="false">-AC316*AC669</f>
        <v>#VALUE!</v>
      </c>
      <c r="AD344" s="238" t="e">
        <f aca="false">-AD316*AD669</f>
        <v>#VALUE!</v>
      </c>
      <c r="AE344" s="238" t="e">
        <f aca="false">-AE316*AE669</f>
        <v>#VALUE!</v>
      </c>
      <c r="AF344" s="238" t="e">
        <f aca="false">-AF316*AF669</f>
        <v>#VALUE!</v>
      </c>
    </row>
    <row r="345" customFormat="false" ht="11.25" hidden="false" customHeight="false" outlineLevel="0" collapsed="false">
      <c r="A345" s="473" t="s">
        <v>467</v>
      </c>
      <c r="B345" s="238"/>
      <c r="C345" s="484"/>
      <c r="D345" s="238"/>
      <c r="E345" s="481" t="n">
        <f aca="false">E341+E343</f>
        <v>0</v>
      </c>
      <c r="F345" s="481" t="n">
        <f aca="false">F341+F343</f>
        <v>0</v>
      </c>
      <c r="G345" s="481" t="n">
        <f aca="false">G341+G343</f>
        <v>0</v>
      </c>
      <c r="H345" s="482" t="n">
        <f aca="false">H341+H343</f>
        <v>0</v>
      </c>
      <c r="I345" s="481" t="n">
        <f aca="false">I341+I343+I344</f>
        <v>-1847.14506211111</v>
      </c>
      <c r="J345" s="481" t="e">
        <f aca="false">J341+J343+J344</f>
        <v>#VALUE!</v>
      </c>
      <c r="K345" s="481" t="e">
        <f aca="false">K341+K343+K344</f>
        <v>#VALUE!</v>
      </c>
      <c r="L345" s="481" t="e">
        <f aca="false">L341+L343+L344</f>
        <v>#VALUE!</v>
      </c>
      <c r="M345" s="481" t="e">
        <f aca="false">M341+M343+M344</f>
        <v>#VALUE!</v>
      </c>
      <c r="N345" s="481" t="e">
        <f aca="false">N341+N343+N344</f>
        <v>#VALUE!</v>
      </c>
      <c r="O345" s="481" t="e">
        <f aca="false">O341+O343+O344</f>
        <v>#VALUE!</v>
      </c>
      <c r="P345" s="481" t="e">
        <f aca="false">P341+P343+P344</f>
        <v>#VALUE!</v>
      </c>
      <c r="Q345" s="481" t="e">
        <f aca="false">Q341+Q343+Q344</f>
        <v>#VALUE!</v>
      </c>
      <c r="R345" s="481" t="e">
        <f aca="false">R341+R343+R344</f>
        <v>#VALUE!</v>
      </c>
      <c r="S345" s="481" t="e">
        <f aca="false">S341+S343+S344</f>
        <v>#VALUE!</v>
      </c>
      <c r="T345" s="481" t="e">
        <f aca="false">T341+T343+T344</f>
        <v>#VALUE!</v>
      </c>
      <c r="U345" s="481" t="e">
        <f aca="false">U341+U343+U344</f>
        <v>#VALUE!</v>
      </c>
      <c r="V345" s="481" t="e">
        <f aca="false">V341+V343+V344</f>
        <v>#VALUE!</v>
      </c>
      <c r="W345" s="481" t="e">
        <f aca="false">W341+W343+W344</f>
        <v>#VALUE!</v>
      </c>
      <c r="X345" s="481" t="e">
        <f aca="false">X341+X343+X344</f>
        <v>#VALUE!</v>
      </c>
      <c r="Y345" s="481" t="e">
        <f aca="false">Y341+Y343+Y344</f>
        <v>#VALUE!</v>
      </c>
      <c r="Z345" s="481" t="e">
        <f aca="false">Z341+Z343+Z344</f>
        <v>#VALUE!</v>
      </c>
      <c r="AA345" s="481" t="e">
        <f aca="false">AA341+AA343+AA344</f>
        <v>#VALUE!</v>
      </c>
      <c r="AB345" s="481" t="e">
        <f aca="false">AB341+AB343+AB344</f>
        <v>#VALUE!</v>
      </c>
      <c r="AC345" s="481" t="e">
        <f aca="false">AC341+AC343+AC344</f>
        <v>#VALUE!</v>
      </c>
      <c r="AD345" s="481" t="e">
        <f aca="false">AD341+AD343+AD344</f>
        <v>#VALUE!</v>
      </c>
      <c r="AE345" s="481" t="e">
        <f aca="false">AE341+AE343+AE344</f>
        <v>#VALUE!</v>
      </c>
      <c r="AF345" s="481" t="e">
        <f aca="false">AF341+AF343+AF344</f>
        <v>#VALUE!</v>
      </c>
    </row>
    <row r="346" customFormat="false" ht="11.25" hidden="false" customHeight="false" outlineLevel="0" collapsed="false">
      <c r="A346" s="238"/>
      <c r="B346" s="238"/>
      <c r="C346" s="238"/>
      <c r="D346" s="238"/>
      <c r="E346" s="238"/>
      <c r="F346" s="238"/>
      <c r="G346" s="238"/>
      <c r="H346" s="483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</row>
    <row r="347" customFormat="false" ht="11.25" hidden="false" customHeight="false" outlineLevel="0" collapsed="false">
      <c r="A347" s="450" t="s">
        <v>468</v>
      </c>
      <c r="B347" s="238"/>
      <c r="C347" s="484"/>
      <c r="D347" s="468"/>
      <c r="E347" s="468" t="n">
        <f aca="false">E666</f>
        <v>0</v>
      </c>
      <c r="F347" s="468" t="n">
        <f aca="false">F666</f>
        <v>0</v>
      </c>
      <c r="G347" s="468" t="n">
        <f aca="false">G666</f>
        <v>0</v>
      </c>
      <c r="H347" s="479" t="n">
        <f aca="false">H666</f>
        <v>0</v>
      </c>
      <c r="I347" s="468" t="n">
        <f aca="false">I710</f>
        <v>0</v>
      </c>
      <c r="J347" s="468" t="e">
        <f aca="false">J710</f>
        <v>#VALUE!</v>
      </c>
      <c r="K347" s="468" t="e">
        <f aca="false">K710</f>
        <v>#VALUE!</v>
      </c>
      <c r="L347" s="468" t="e">
        <f aca="false">L710</f>
        <v>#VALUE!</v>
      </c>
      <c r="M347" s="468" t="e">
        <f aca="false">M710</f>
        <v>#VALUE!</v>
      </c>
      <c r="N347" s="468" t="e">
        <f aca="false">N710</f>
        <v>#VALUE!</v>
      </c>
      <c r="O347" s="468" t="e">
        <f aca="false">O710</f>
        <v>#VALUE!</v>
      </c>
      <c r="P347" s="468" t="e">
        <f aca="false">P710</f>
        <v>#VALUE!</v>
      </c>
      <c r="Q347" s="468" t="e">
        <f aca="false">Q710</f>
        <v>#VALUE!</v>
      </c>
      <c r="R347" s="468" t="e">
        <f aca="false">R710</f>
        <v>#VALUE!</v>
      </c>
      <c r="S347" s="468" t="e">
        <f aca="false">S710</f>
        <v>#VALUE!</v>
      </c>
      <c r="T347" s="468" t="e">
        <f aca="false">T710</f>
        <v>#VALUE!</v>
      </c>
      <c r="U347" s="468" t="e">
        <f aca="false">U710</f>
        <v>#VALUE!</v>
      </c>
      <c r="V347" s="468" t="e">
        <f aca="false">V710</f>
        <v>#VALUE!</v>
      </c>
      <c r="W347" s="468" t="e">
        <f aca="false">W710</f>
        <v>#VALUE!</v>
      </c>
      <c r="X347" s="468" t="e">
        <f aca="false">X710</f>
        <v>#VALUE!</v>
      </c>
      <c r="Y347" s="468" t="e">
        <f aca="false">Y710</f>
        <v>#VALUE!</v>
      </c>
      <c r="Z347" s="468" t="e">
        <f aca="false">Z710</f>
        <v>#VALUE!</v>
      </c>
      <c r="AA347" s="468" t="e">
        <f aca="false">AA710</f>
        <v>#VALUE!</v>
      </c>
      <c r="AB347" s="468" t="e">
        <f aca="false">AB710</f>
        <v>#VALUE!</v>
      </c>
      <c r="AC347" s="468" t="e">
        <f aca="false">AC710</f>
        <v>#VALUE!</v>
      </c>
      <c r="AD347" s="468" t="e">
        <f aca="false">AD710</f>
        <v>#VALUE!</v>
      </c>
      <c r="AE347" s="468" t="e">
        <f aca="false">AE710</f>
        <v>#VALUE!</v>
      </c>
      <c r="AF347" s="468" t="e">
        <f aca="false">AF710</f>
        <v>#VALUE!</v>
      </c>
    </row>
    <row r="348" customFormat="false" ht="12" hidden="false" customHeight="false" outlineLevel="0" collapsed="false">
      <c r="A348" s="473" t="s">
        <v>453</v>
      </c>
      <c r="B348" s="238"/>
      <c r="C348" s="484"/>
      <c r="D348" s="468"/>
      <c r="E348" s="487" t="n">
        <f aca="false">E345-E347</f>
        <v>0</v>
      </c>
      <c r="F348" s="487" t="n">
        <f aca="false">F345-F347</f>
        <v>0</v>
      </c>
      <c r="G348" s="487" t="n">
        <f aca="false">G345-G347</f>
        <v>0</v>
      </c>
      <c r="H348" s="488" t="n">
        <f aca="false">H345-H347</f>
        <v>0</v>
      </c>
      <c r="I348" s="487" t="n">
        <f aca="false">I345-I347</f>
        <v>-1847.14506211111</v>
      </c>
      <c r="J348" s="487" t="e">
        <f aca="false">J345-J347</f>
        <v>#VALUE!</v>
      </c>
      <c r="K348" s="487" t="e">
        <f aca="false">K345-K347</f>
        <v>#VALUE!</v>
      </c>
      <c r="L348" s="487" t="e">
        <f aca="false">L345-L347</f>
        <v>#VALUE!</v>
      </c>
      <c r="M348" s="487" t="e">
        <f aca="false">M345-M347</f>
        <v>#VALUE!</v>
      </c>
      <c r="N348" s="487" t="e">
        <f aca="false">N345-N347</f>
        <v>#VALUE!</v>
      </c>
      <c r="O348" s="487" t="e">
        <f aca="false">O345-O347</f>
        <v>#VALUE!</v>
      </c>
      <c r="P348" s="487" t="e">
        <f aca="false">P345-P347</f>
        <v>#VALUE!</v>
      </c>
      <c r="Q348" s="487" t="e">
        <f aca="false">Q345-Q347</f>
        <v>#VALUE!</v>
      </c>
      <c r="R348" s="487" t="e">
        <f aca="false">R345-R347</f>
        <v>#VALUE!</v>
      </c>
      <c r="S348" s="487" t="e">
        <f aca="false">S345-S347</f>
        <v>#VALUE!</v>
      </c>
      <c r="T348" s="487" t="e">
        <f aca="false">T345-T347</f>
        <v>#VALUE!</v>
      </c>
      <c r="U348" s="487" t="e">
        <f aca="false">U345-U347</f>
        <v>#VALUE!</v>
      </c>
      <c r="V348" s="487" t="e">
        <f aca="false">V345-V347</f>
        <v>#VALUE!</v>
      </c>
      <c r="W348" s="487" t="e">
        <f aca="false">W345-W347</f>
        <v>#VALUE!</v>
      </c>
      <c r="X348" s="487" t="e">
        <f aca="false">X345-X347</f>
        <v>#VALUE!</v>
      </c>
      <c r="Y348" s="487" t="e">
        <f aca="false">Y345-Y347</f>
        <v>#VALUE!</v>
      </c>
      <c r="Z348" s="487" t="e">
        <f aca="false">Z345-Z347</f>
        <v>#VALUE!</v>
      </c>
      <c r="AA348" s="487" t="e">
        <f aca="false">AA345-AA347</f>
        <v>#VALUE!</v>
      </c>
      <c r="AB348" s="487" t="e">
        <f aca="false">AB345-AB347</f>
        <v>#VALUE!</v>
      </c>
      <c r="AC348" s="487" t="e">
        <f aca="false">AC345-AC347</f>
        <v>#VALUE!</v>
      </c>
      <c r="AD348" s="487" t="e">
        <f aca="false">AD345-AD347</f>
        <v>#VALUE!</v>
      </c>
      <c r="AE348" s="487" t="e">
        <f aca="false">AE345-AE347</f>
        <v>#VALUE!</v>
      </c>
      <c r="AF348" s="487" t="e">
        <f aca="false">AF345-AF347</f>
        <v>#VALUE!</v>
      </c>
    </row>
    <row r="349" customFormat="false" ht="12" hidden="false" customHeight="false" outlineLevel="0" collapsed="false">
      <c r="A349" s="238"/>
      <c r="B349" s="238"/>
      <c r="C349" s="238"/>
      <c r="D349" s="238"/>
      <c r="E349" s="238"/>
      <c r="F349" s="238"/>
      <c r="G349" s="238"/>
      <c r="H349" s="483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</row>
    <row r="350" customFormat="false" ht="11.25" hidden="false" customHeight="false" outlineLevel="0" collapsed="false">
      <c r="A350" s="450" t="s">
        <v>469</v>
      </c>
      <c r="B350" s="238"/>
      <c r="C350" s="238"/>
      <c r="D350" s="468"/>
      <c r="E350" s="489" t="n">
        <v>0</v>
      </c>
      <c r="F350" s="489" t="n">
        <v>0</v>
      </c>
      <c r="G350" s="489" t="n">
        <v>0</v>
      </c>
      <c r="H350" s="489" t="n">
        <v>0</v>
      </c>
      <c r="I350" s="489" t="n">
        <v>0</v>
      </c>
      <c r="J350" s="489" t="n">
        <v>0</v>
      </c>
      <c r="K350" s="489" t="n">
        <v>0</v>
      </c>
      <c r="L350" s="489" t="n">
        <v>0</v>
      </c>
      <c r="M350" s="489" t="n">
        <v>0</v>
      </c>
      <c r="N350" s="489" t="n">
        <v>0</v>
      </c>
      <c r="O350" s="489" t="n">
        <v>0</v>
      </c>
      <c r="P350" s="489" t="n">
        <v>0</v>
      </c>
      <c r="Q350" s="489" t="n">
        <v>0</v>
      </c>
      <c r="R350" s="489" t="n">
        <v>0</v>
      </c>
      <c r="S350" s="489" t="n">
        <v>0</v>
      </c>
      <c r="T350" s="489" t="n">
        <v>0</v>
      </c>
      <c r="U350" s="489" t="n">
        <v>0</v>
      </c>
      <c r="V350" s="489" t="n">
        <v>0</v>
      </c>
      <c r="W350" s="489" t="n">
        <v>0</v>
      </c>
      <c r="X350" s="489" t="n">
        <v>0</v>
      </c>
      <c r="Y350" s="489" t="n">
        <v>0</v>
      </c>
      <c r="Z350" s="489" t="n">
        <v>0</v>
      </c>
      <c r="AA350" s="489" t="n">
        <v>0</v>
      </c>
      <c r="AB350" s="489" t="n">
        <v>0</v>
      </c>
      <c r="AC350" s="489" t="n">
        <v>0</v>
      </c>
      <c r="AD350" s="489" t="n">
        <v>0</v>
      </c>
      <c r="AE350" s="489" t="n">
        <v>0</v>
      </c>
      <c r="AF350" s="489" t="n">
        <v>0</v>
      </c>
    </row>
    <row r="351" customFormat="false" ht="12" hidden="false" customHeight="false" outlineLevel="0" collapsed="false">
      <c r="A351" s="473" t="s">
        <v>470</v>
      </c>
      <c r="B351" s="238"/>
      <c r="C351" s="238"/>
      <c r="D351" s="238"/>
      <c r="E351" s="490" t="n">
        <f aca="false">E348*(1-E350)</f>
        <v>0</v>
      </c>
      <c r="F351" s="490" t="n">
        <f aca="false">F348*(1-F350)</f>
        <v>0</v>
      </c>
      <c r="G351" s="490" t="n">
        <f aca="false">G348*(1-G350)</f>
        <v>0</v>
      </c>
      <c r="H351" s="490" t="n">
        <f aca="false">H348*(1-H350)</f>
        <v>0</v>
      </c>
      <c r="I351" s="490" t="n">
        <f aca="false">I348*(1-I350)</f>
        <v>-1847.14506211111</v>
      </c>
      <c r="J351" s="490" t="e">
        <f aca="false">J348*(1-J350)</f>
        <v>#VALUE!</v>
      </c>
      <c r="K351" s="490" t="e">
        <f aca="false">K348*(1-K350)</f>
        <v>#VALUE!</v>
      </c>
      <c r="L351" s="490" t="e">
        <f aca="false">L348*(1-L350)</f>
        <v>#VALUE!</v>
      </c>
      <c r="M351" s="490" t="e">
        <f aca="false">M348*(1-M350)</f>
        <v>#VALUE!</v>
      </c>
      <c r="N351" s="490" t="e">
        <f aca="false">N348*(1-N350)</f>
        <v>#VALUE!</v>
      </c>
      <c r="O351" s="490" t="e">
        <f aca="false">O348*(1-O350)</f>
        <v>#VALUE!</v>
      </c>
      <c r="P351" s="490" t="e">
        <f aca="false">P348*(1-P350)</f>
        <v>#VALUE!</v>
      </c>
      <c r="Q351" s="490" t="e">
        <f aca="false">Q348*(1-Q350)</f>
        <v>#VALUE!</v>
      </c>
      <c r="R351" s="490" t="e">
        <f aca="false">R348*(1-R350)</f>
        <v>#VALUE!</v>
      </c>
      <c r="S351" s="490" t="e">
        <f aca="false">S348*(1-S350)</f>
        <v>#VALUE!</v>
      </c>
      <c r="T351" s="490" t="e">
        <f aca="false">T348*(1-T350)</f>
        <v>#VALUE!</v>
      </c>
      <c r="U351" s="490" t="e">
        <f aca="false">U348*(1-U350)</f>
        <v>#VALUE!</v>
      </c>
      <c r="V351" s="490" t="e">
        <f aca="false">V348*(1-V350)</f>
        <v>#VALUE!</v>
      </c>
      <c r="W351" s="490" t="e">
        <f aca="false">W348*(1-W350)</f>
        <v>#VALUE!</v>
      </c>
      <c r="X351" s="490" t="e">
        <f aca="false">X348*(1-X350)</f>
        <v>#VALUE!</v>
      </c>
      <c r="Y351" s="490" t="e">
        <f aca="false">Y348*(1-Y350)</f>
        <v>#VALUE!</v>
      </c>
      <c r="Z351" s="490" t="e">
        <f aca="false">Z348*(1-Z350)</f>
        <v>#VALUE!</v>
      </c>
      <c r="AA351" s="490" t="e">
        <f aca="false">AA348*(1-AA350)</f>
        <v>#VALUE!</v>
      </c>
      <c r="AB351" s="490" t="e">
        <f aca="false">AB348*(1-AB350)</f>
        <v>#VALUE!</v>
      </c>
      <c r="AC351" s="490" t="e">
        <f aca="false">AC348*(1-AC350)</f>
        <v>#VALUE!</v>
      </c>
      <c r="AD351" s="490" t="e">
        <f aca="false">AD348*(1-AD350)</f>
        <v>#VALUE!</v>
      </c>
      <c r="AE351" s="490" t="e">
        <f aca="false">AE348*(1-AE350)</f>
        <v>#VALUE!</v>
      </c>
      <c r="AF351" s="490" t="e">
        <f aca="false">AF348*(1-AF350)</f>
        <v>#VALUE!</v>
      </c>
    </row>
    <row r="352" customFormat="false" ht="12" hidden="false" customHeight="false" outlineLevel="0" collapsed="false">
      <c r="A352" s="238"/>
      <c r="B352" s="238"/>
      <c r="C352" s="238"/>
      <c r="D352" s="238"/>
      <c r="E352" s="238"/>
      <c r="F352" s="238"/>
      <c r="G352" s="238"/>
      <c r="H352" s="483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</row>
    <row r="353" customFormat="false" ht="11.25" hidden="false" customHeight="false" outlineLevel="0" collapsed="false">
      <c r="A353" s="450" t="s">
        <v>471</v>
      </c>
      <c r="B353" s="238"/>
      <c r="C353" s="238"/>
      <c r="D353" s="238"/>
      <c r="E353" s="238" t="n">
        <f aca="false">E624</f>
        <v>0</v>
      </c>
      <c r="F353" s="238" t="n">
        <f aca="false">F624</f>
        <v>0</v>
      </c>
      <c r="G353" s="238" t="n">
        <f aca="false">G624</f>
        <v>0</v>
      </c>
      <c r="H353" s="483" t="n">
        <f aca="false">H624</f>
        <v>0</v>
      </c>
      <c r="I353" s="491" t="n">
        <f aca="false">I736</f>
        <v>799</v>
      </c>
      <c r="J353" s="491" t="e">
        <f aca="false">J736</f>
        <v>#VALUE!</v>
      </c>
      <c r="K353" s="491" t="e">
        <f aca="false">K736</f>
        <v>#VALUE!</v>
      </c>
      <c r="L353" s="491" t="e">
        <f aca="false">L736</f>
        <v>#VALUE!</v>
      </c>
      <c r="M353" s="491" t="e">
        <f aca="false">M736</f>
        <v>#VALUE!</v>
      </c>
      <c r="N353" s="491" t="e">
        <f aca="false">N736</f>
        <v>#VALUE!</v>
      </c>
      <c r="O353" s="491" t="e">
        <f aca="false">O736</f>
        <v>#VALUE!</v>
      </c>
      <c r="P353" s="491" t="e">
        <f aca="false">P736</f>
        <v>#VALUE!</v>
      </c>
      <c r="Q353" s="491" t="e">
        <f aca="false">Q736</f>
        <v>#VALUE!</v>
      </c>
      <c r="R353" s="491" t="e">
        <f aca="false">R736</f>
        <v>#VALUE!</v>
      </c>
      <c r="S353" s="491" t="e">
        <f aca="false">S736</f>
        <v>#VALUE!</v>
      </c>
      <c r="T353" s="491" t="e">
        <f aca="false">T736</f>
        <v>#VALUE!</v>
      </c>
      <c r="U353" s="491" t="e">
        <f aca="false">U736</f>
        <v>#VALUE!</v>
      </c>
      <c r="V353" s="491" t="e">
        <f aca="false">V736</f>
        <v>#VALUE!</v>
      </c>
      <c r="W353" s="491" t="e">
        <f aca="false">W736</f>
        <v>#VALUE!</v>
      </c>
      <c r="X353" s="491" t="e">
        <f aca="false">X736</f>
        <v>#VALUE!</v>
      </c>
      <c r="Y353" s="491" t="e">
        <f aca="false">Y736</f>
        <v>#VALUE!</v>
      </c>
      <c r="Z353" s="491" t="e">
        <f aca="false">Z736</f>
        <v>#VALUE!</v>
      </c>
      <c r="AA353" s="491" t="e">
        <f aca="false">AA736</f>
        <v>#VALUE!</v>
      </c>
      <c r="AB353" s="491" t="e">
        <f aca="false">AB736</f>
        <v>#VALUE!</v>
      </c>
      <c r="AC353" s="491" t="e">
        <f aca="false">AC736</f>
        <v>#VALUE!</v>
      </c>
      <c r="AD353" s="491" t="e">
        <f aca="false">AD736</f>
        <v>#VALUE!</v>
      </c>
      <c r="AE353" s="491" t="e">
        <f aca="false">AE736</f>
        <v>#VALUE!</v>
      </c>
      <c r="AF353" s="491" t="e">
        <f aca="false">AF736</f>
        <v>#VALUE!</v>
      </c>
    </row>
    <row r="354" customFormat="false" ht="11.25" hidden="false" customHeight="false" outlineLevel="0" collapsed="false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</row>
    <row r="355" customFormat="false" ht="11.25" hidden="false" customHeight="false" outlineLevel="0" collapsed="false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</row>
    <row r="356" customFormat="false" ht="11.25" hidden="false" customHeight="false" outlineLevel="0" collapsed="false"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  <c r="Z356" s="275"/>
      <c r="AA356" s="275"/>
      <c r="AB356" s="275"/>
      <c r="AC356" s="275"/>
      <c r="AD356" s="275"/>
      <c r="AE356" s="275"/>
      <c r="AF356" s="275"/>
    </row>
    <row r="357" customFormat="false" ht="12" hidden="false" customHeight="false" outlineLevel="0" collapsed="false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</row>
    <row r="358" customFormat="false" ht="12.75" hidden="false" customHeight="false" outlineLevel="0" collapsed="false">
      <c r="A358" s="238"/>
      <c r="B358" s="238"/>
      <c r="C358" s="238"/>
      <c r="D358" s="238"/>
      <c r="E358" s="492"/>
      <c r="F358" s="492"/>
      <c r="G358" s="492"/>
      <c r="H358" s="263" t="n">
        <f aca="false">H$638</f>
        <v>36373</v>
      </c>
      <c r="I358" s="263" t="n">
        <f aca="false">I$638</f>
        <v>36525</v>
      </c>
      <c r="J358" s="462" t="n">
        <f aca="false">J$638</f>
        <v>36891</v>
      </c>
      <c r="K358" s="462" t="n">
        <f aca="false">K$638</f>
        <v>37256</v>
      </c>
      <c r="L358" s="462" t="n">
        <f aca="false">L$638</f>
        <v>37621</v>
      </c>
      <c r="M358" s="462" t="n">
        <f aca="false">M$638</f>
        <v>37986</v>
      </c>
      <c r="N358" s="462" t="n">
        <f aca="false">N$638</f>
        <v>38352</v>
      </c>
      <c r="O358" s="462" t="n">
        <f aca="false">O$638</f>
        <v>38717</v>
      </c>
      <c r="P358" s="462" t="n">
        <f aca="false">P$638</f>
        <v>39082</v>
      </c>
      <c r="Q358" s="462" t="n">
        <f aca="false">Q$638</f>
        <v>39447</v>
      </c>
      <c r="R358" s="462" t="n">
        <f aca="false">R$638</f>
        <v>39813</v>
      </c>
      <c r="S358" s="462" t="n">
        <f aca="false">S$638</f>
        <v>40178</v>
      </c>
      <c r="T358" s="462" t="n">
        <f aca="false">T$638</f>
        <v>40543</v>
      </c>
      <c r="U358" s="462" t="n">
        <f aca="false">U$638</f>
        <v>40908</v>
      </c>
      <c r="V358" s="462" t="n">
        <f aca="false">V$638</f>
        <v>41274</v>
      </c>
      <c r="W358" s="462" t="n">
        <f aca="false">W$638</f>
        <v>41639</v>
      </c>
      <c r="X358" s="462" t="n">
        <f aca="false">X$638</f>
        <v>42004</v>
      </c>
      <c r="Y358" s="462" t="n">
        <f aca="false">Y$638</f>
        <v>42369</v>
      </c>
      <c r="Z358" s="462" t="n">
        <f aca="false">Z$638</f>
        <v>42735</v>
      </c>
      <c r="AA358" s="462" t="n">
        <f aca="false">AA$638</f>
        <v>43100</v>
      </c>
      <c r="AB358" s="462" t="n">
        <f aca="false">AB$638</f>
        <v>43465</v>
      </c>
      <c r="AC358" s="462" t="n">
        <f aca="false">AC$638</f>
        <v>43830</v>
      </c>
      <c r="AD358" s="462" t="n">
        <f aca="false">AD$638</f>
        <v>44196</v>
      </c>
      <c r="AE358" s="462" t="n">
        <f aca="false">AE$638</f>
        <v>44561</v>
      </c>
      <c r="AF358" s="462" t="n">
        <f aca="false">AF$638</f>
        <v>44926</v>
      </c>
    </row>
    <row r="359" customFormat="false" ht="16.5" hidden="false" customHeight="false" outlineLevel="0" collapsed="false">
      <c r="A359" s="463" t="s">
        <v>472</v>
      </c>
      <c r="B359" s="238"/>
      <c r="C359" s="238"/>
      <c r="D359" s="464"/>
      <c r="E359" s="464"/>
      <c r="F359" s="464"/>
      <c r="G359" s="464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</row>
    <row r="360" customFormat="false" ht="11.25" hidden="false" customHeight="false" outlineLevel="0" collapsed="false">
      <c r="A360" s="473" t="s">
        <v>473</v>
      </c>
      <c r="B360" s="238"/>
      <c r="C360" s="238"/>
      <c r="D360" s="238"/>
      <c r="E360" s="238"/>
      <c r="F360" s="23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468"/>
      <c r="S360" s="468"/>
      <c r="T360" s="468"/>
      <c r="U360" s="468"/>
      <c r="V360" s="468"/>
      <c r="W360" s="468"/>
      <c r="X360" s="468"/>
      <c r="Y360" s="468"/>
      <c r="Z360" s="468"/>
      <c r="AA360" s="468"/>
      <c r="AB360" s="468"/>
      <c r="AC360" s="468"/>
      <c r="AD360" s="468"/>
      <c r="AE360" s="468"/>
      <c r="AF360" s="468"/>
    </row>
    <row r="361" customFormat="false" ht="11.25" hidden="false" customHeight="false" outlineLevel="0" collapsed="false">
      <c r="A361" s="238" t="str">
        <f aca="false">A348</f>
        <v>Net Income</v>
      </c>
      <c r="B361" s="238"/>
      <c r="C361" s="238"/>
      <c r="D361" s="238"/>
      <c r="E361" s="238"/>
      <c r="F361" s="238"/>
      <c r="G361" s="468"/>
      <c r="H361" s="468"/>
      <c r="I361" s="468" t="n">
        <f aca="false">I348</f>
        <v>-1847.14506211111</v>
      </c>
      <c r="J361" s="468" t="e">
        <f aca="false">J348</f>
        <v>#VALUE!</v>
      </c>
      <c r="K361" s="468" t="e">
        <f aca="false">K348</f>
        <v>#VALUE!</v>
      </c>
      <c r="L361" s="468" t="e">
        <f aca="false">L348</f>
        <v>#VALUE!</v>
      </c>
      <c r="M361" s="468" t="e">
        <f aca="false">M348</f>
        <v>#VALUE!</v>
      </c>
      <c r="N361" s="468" t="e">
        <f aca="false">N348</f>
        <v>#VALUE!</v>
      </c>
      <c r="O361" s="468" t="e">
        <f aca="false">O348</f>
        <v>#VALUE!</v>
      </c>
      <c r="P361" s="468" t="e">
        <f aca="false">P348</f>
        <v>#VALUE!</v>
      </c>
      <c r="Q361" s="468" t="e">
        <f aca="false">Q348</f>
        <v>#VALUE!</v>
      </c>
      <c r="R361" s="468" t="e">
        <f aca="false">R348</f>
        <v>#VALUE!</v>
      </c>
      <c r="S361" s="468" t="e">
        <f aca="false">S348</f>
        <v>#VALUE!</v>
      </c>
      <c r="T361" s="468" t="e">
        <f aca="false">T348</f>
        <v>#VALUE!</v>
      </c>
      <c r="U361" s="468" t="e">
        <f aca="false">U348</f>
        <v>#VALUE!</v>
      </c>
      <c r="V361" s="468" t="e">
        <f aca="false">V348</f>
        <v>#VALUE!</v>
      </c>
      <c r="W361" s="468" t="e">
        <f aca="false">W348</f>
        <v>#VALUE!</v>
      </c>
      <c r="X361" s="468" t="e">
        <f aca="false">X348</f>
        <v>#VALUE!</v>
      </c>
      <c r="Y361" s="468" t="e">
        <f aca="false">Y348</f>
        <v>#VALUE!</v>
      </c>
      <c r="Z361" s="468" t="e">
        <f aca="false">Z348</f>
        <v>#VALUE!</v>
      </c>
      <c r="AA361" s="468" t="e">
        <f aca="false">AA348</f>
        <v>#VALUE!</v>
      </c>
      <c r="AB361" s="468" t="e">
        <f aca="false">AB348</f>
        <v>#VALUE!</v>
      </c>
      <c r="AC361" s="468" t="e">
        <f aca="false">AC348</f>
        <v>#VALUE!</v>
      </c>
      <c r="AD361" s="468" t="e">
        <f aca="false">AD348</f>
        <v>#VALUE!</v>
      </c>
      <c r="AE361" s="468" t="e">
        <f aca="false">AE348</f>
        <v>#VALUE!</v>
      </c>
      <c r="AF361" s="468" t="e">
        <f aca="false">AF348</f>
        <v>#VALUE!</v>
      </c>
    </row>
    <row r="362" customFormat="false" ht="11.25" hidden="false" customHeight="false" outlineLevel="0" collapsed="false">
      <c r="A362" s="450" t="s">
        <v>474</v>
      </c>
      <c r="B362" s="238"/>
      <c r="C362" s="238"/>
      <c r="D362" s="238"/>
      <c r="E362" s="238"/>
      <c r="F362" s="238"/>
      <c r="G362" s="468"/>
      <c r="H362" s="468"/>
      <c r="I362" s="468" t="n">
        <f aca="false">I323+I324+I325</f>
        <v>2238.14506311111</v>
      </c>
      <c r="J362" s="468" t="n">
        <f aca="false">J323+J324+J325</f>
        <v>5299.26666666667</v>
      </c>
      <c r="K362" s="468" t="n">
        <f aca="false">K323+K324+K325</f>
        <v>5299.26666666667</v>
      </c>
      <c r="L362" s="468" t="n">
        <f aca="false">L323+L324+L325</f>
        <v>5299.26666666667</v>
      </c>
      <c r="M362" s="468" t="n">
        <f aca="false">M323+M324+M325</f>
        <v>5368.63669872801</v>
      </c>
      <c r="N362" s="468" t="n">
        <f aca="false">N323+N324+N325</f>
        <v>5465.75474361389</v>
      </c>
      <c r="O362" s="468" t="n">
        <f aca="false">O323+O324+O325</f>
        <v>5465.75474361389</v>
      </c>
      <c r="P362" s="468" t="n">
        <f aca="false">P323+P324+P325</f>
        <v>5465.75474361389</v>
      </c>
      <c r="Q362" s="468" t="n">
        <f aca="false">Q323+Q324+Q325</f>
        <v>5465.75474361389</v>
      </c>
      <c r="R362" s="468" t="n">
        <f aca="false">R323+R324+R325</f>
        <v>5465.75474361389</v>
      </c>
      <c r="S362" s="468" t="n">
        <f aca="false">S323+S324+S325</f>
        <v>5465.75474361389</v>
      </c>
      <c r="T362" s="468" t="n">
        <f aca="false">T323+T324+T325</f>
        <v>5465.75474361389</v>
      </c>
      <c r="U362" s="468" t="n">
        <f aca="false">U323+U324+U325</f>
        <v>5493.81467582222</v>
      </c>
      <c r="V362" s="468" t="n">
        <f aca="false">V323+V324+V325</f>
        <v>5533.09858091387</v>
      </c>
      <c r="W362" s="468" t="n">
        <f aca="false">W323+W324+W325</f>
        <v>5533.09858091387</v>
      </c>
      <c r="X362" s="468" t="n">
        <f aca="false">X323+X324+X325</f>
        <v>3294.95351780276</v>
      </c>
      <c r="Y362" s="468" t="n">
        <f aca="false">Y323+Y324+Y325</f>
        <v>570.485952616474</v>
      </c>
      <c r="Z362" s="468" t="n">
        <f aca="false">Z323+Z324+Z325</f>
        <v>1041.80160633345</v>
      </c>
      <c r="AA362" s="468" t="n">
        <f aca="false">AA323+AA324+AA325</f>
        <v>1041.80160633345</v>
      </c>
      <c r="AB362" s="468" t="n">
        <f aca="false">AB323+AB324+AB325</f>
        <v>1041.80160633345</v>
      </c>
      <c r="AC362" s="468" t="n">
        <f aca="false">AC323+AC324+AC325</f>
        <v>944.371642063778</v>
      </c>
      <c r="AD362" s="468" t="n">
        <f aca="false">AD323+AD324+AD325</f>
        <v>807.96969208624</v>
      </c>
      <c r="AE362" s="468" t="n">
        <f aca="false">AE323+AE324+AE325</f>
        <v>807.96969208624</v>
      </c>
      <c r="AF362" s="468" t="n">
        <f aca="false">AF323+AF324+AF325</f>
        <v>807.96969208624</v>
      </c>
    </row>
    <row r="363" customFormat="false" ht="11.25" hidden="false" customHeight="false" outlineLevel="0" collapsed="false">
      <c r="A363" s="450" t="s">
        <v>475</v>
      </c>
      <c r="B363" s="238"/>
      <c r="C363" s="238"/>
      <c r="D363" s="238"/>
      <c r="E363" s="238"/>
      <c r="F363" s="238"/>
      <c r="G363" s="468"/>
      <c r="H363" s="468"/>
      <c r="I363" s="468" t="n">
        <f aca="false">I715</f>
        <v>0</v>
      </c>
      <c r="J363" s="468" t="e">
        <f aca="false">J715</f>
        <v>#VALUE!</v>
      </c>
      <c r="K363" s="468" t="e">
        <f aca="false">K715</f>
        <v>#VALUE!</v>
      </c>
      <c r="L363" s="468" t="e">
        <f aca="false">L715</f>
        <v>#VALUE!</v>
      </c>
      <c r="M363" s="468" t="e">
        <f aca="false">M715</f>
        <v>#VALUE!</v>
      </c>
      <c r="N363" s="468" t="e">
        <f aca="false">N715</f>
        <v>#VALUE!</v>
      </c>
      <c r="O363" s="468" t="e">
        <f aca="false">O715</f>
        <v>#VALUE!</v>
      </c>
      <c r="P363" s="468" t="e">
        <f aca="false">P715</f>
        <v>#VALUE!</v>
      </c>
      <c r="Q363" s="468" t="e">
        <f aca="false">Q715</f>
        <v>#VALUE!</v>
      </c>
      <c r="R363" s="468" t="e">
        <f aca="false">R715</f>
        <v>#VALUE!</v>
      </c>
      <c r="S363" s="468" t="e">
        <f aca="false">S715</f>
        <v>#VALUE!</v>
      </c>
      <c r="T363" s="468" t="e">
        <f aca="false">T715</f>
        <v>#VALUE!</v>
      </c>
      <c r="U363" s="468" t="e">
        <f aca="false">U715</f>
        <v>#VALUE!</v>
      </c>
      <c r="V363" s="468" t="e">
        <f aca="false">V715</f>
        <v>#VALUE!</v>
      </c>
      <c r="W363" s="468" t="e">
        <f aca="false">W715</f>
        <v>#VALUE!</v>
      </c>
      <c r="X363" s="468" t="e">
        <f aca="false">X715</f>
        <v>#VALUE!</v>
      </c>
      <c r="Y363" s="468" t="e">
        <f aca="false">Y715</f>
        <v>#VALUE!</v>
      </c>
      <c r="Z363" s="468" t="e">
        <f aca="false">Z715</f>
        <v>#VALUE!</v>
      </c>
      <c r="AA363" s="468" t="e">
        <f aca="false">AA715</f>
        <v>#VALUE!</v>
      </c>
      <c r="AB363" s="468" t="e">
        <f aca="false">AB715</f>
        <v>#VALUE!</v>
      </c>
      <c r="AC363" s="468" t="e">
        <f aca="false">AC715</f>
        <v>#VALUE!</v>
      </c>
      <c r="AD363" s="468" t="e">
        <f aca="false">AD715</f>
        <v>#VALUE!</v>
      </c>
      <c r="AE363" s="468" t="e">
        <f aca="false">AE715</f>
        <v>#VALUE!</v>
      </c>
      <c r="AF363" s="468" t="e">
        <f aca="false">AF715</f>
        <v>#VALUE!</v>
      </c>
    </row>
    <row r="364" customFormat="false" ht="11.25" hidden="false" customHeight="false" outlineLevel="0" collapsed="false">
      <c r="A364" s="450" t="s">
        <v>476</v>
      </c>
      <c r="B364" s="238"/>
      <c r="C364" s="238"/>
      <c r="D364" s="238"/>
      <c r="E364" s="238"/>
      <c r="F364" s="238"/>
      <c r="G364" s="468"/>
      <c r="H364" s="468"/>
      <c r="I364" s="468" t="n">
        <f aca="false">(+I608*-1)+(I616*-1)</f>
        <v>-0</v>
      </c>
      <c r="J364" s="468" t="n">
        <f aca="false">(+J608*-1)+(J616*-1)</f>
        <v>-0</v>
      </c>
      <c r="K364" s="468" t="n">
        <f aca="false">(+K608*-1)+(K616*-1)</f>
        <v>-0</v>
      </c>
      <c r="L364" s="468" t="n">
        <f aca="false">(+L608*-1)+(L616*-1)</f>
        <v>-0</v>
      </c>
      <c r="M364" s="468" t="n">
        <f aca="false">(+M608*-1)+(M616*-1)</f>
        <v>-0</v>
      </c>
      <c r="N364" s="468" t="n">
        <f aca="false">(+N608*-1)+(N616*-1)</f>
        <v>-0</v>
      </c>
      <c r="O364" s="468" t="n">
        <f aca="false">(+O608*-1)+(O616*-1)</f>
        <v>-0</v>
      </c>
      <c r="P364" s="468" t="n">
        <f aca="false">(+P608*-1)+(P616*-1)</f>
        <v>-0</v>
      </c>
      <c r="Q364" s="468" t="n">
        <f aca="false">(+Q608*-1)+(Q616*-1)</f>
        <v>-0</v>
      </c>
      <c r="R364" s="468" t="n">
        <f aca="false">(+R608*-1)+(R616*-1)</f>
        <v>-0</v>
      </c>
      <c r="S364" s="468" t="n">
        <f aca="false">(+S608*-1)+(S616*-1)</f>
        <v>-0</v>
      </c>
      <c r="T364" s="468" t="n">
        <f aca="false">(+T608*-1)+(T616*-1)</f>
        <v>-0</v>
      </c>
      <c r="U364" s="468" t="n">
        <f aca="false">(+U608*-1)+(U616*-1)</f>
        <v>-0</v>
      </c>
      <c r="V364" s="468" t="n">
        <f aca="false">(+V608*-1)+(V616*-1)</f>
        <v>-0</v>
      </c>
      <c r="W364" s="468" t="n">
        <f aca="false">(+W608*-1)+(W616*-1)</f>
        <v>-0</v>
      </c>
      <c r="X364" s="468" t="n">
        <f aca="false">(+X608*-1)+(X616*-1)</f>
        <v>-0</v>
      </c>
      <c r="Y364" s="468" t="n">
        <f aca="false">(+Y608*-1)+(Y616*-1)</f>
        <v>-0</v>
      </c>
      <c r="Z364" s="468" t="n">
        <f aca="false">(+Z608*-1)+(Z616*-1)</f>
        <v>-0</v>
      </c>
      <c r="AA364" s="468" t="n">
        <f aca="false">(+AA608*-1)+(AA616*-1)</f>
        <v>-0</v>
      </c>
      <c r="AB364" s="468" t="n">
        <f aca="false">(+AB608*-1)+(AB616*-1)</f>
        <v>-0</v>
      </c>
      <c r="AC364" s="468" t="n">
        <f aca="false">(+AC608*-1)+(AC616*-1)</f>
        <v>-0</v>
      </c>
      <c r="AD364" s="468" t="n">
        <f aca="false">(+AD608*-1)+(AD616*-1)</f>
        <v>-0</v>
      </c>
      <c r="AE364" s="468" t="n">
        <f aca="false">(+AE608*-1)+(AE616*-1)</f>
        <v>-0</v>
      </c>
      <c r="AF364" s="468" t="n">
        <f aca="false">(+AF608*-1)+(AF616*-1)</f>
        <v>-0</v>
      </c>
    </row>
    <row r="365" customFormat="false" ht="11.25" hidden="false" customHeight="false" outlineLevel="0" collapsed="false">
      <c r="A365" s="450" t="s">
        <v>477</v>
      </c>
      <c r="B365" s="238"/>
      <c r="C365" s="238"/>
      <c r="D365" s="238"/>
      <c r="E365" s="238"/>
      <c r="F365" s="238"/>
      <c r="G365" s="468"/>
      <c r="H365" s="468"/>
      <c r="I365" s="468" t="n">
        <f aca="false">I653</f>
        <v>0</v>
      </c>
      <c r="J365" s="468" t="n">
        <f aca="false">J653</f>
        <v>0</v>
      </c>
      <c r="K365" s="468" t="n">
        <f aca="false">K653</f>
        <v>0</v>
      </c>
      <c r="L365" s="468" t="n">
        <f aca="false">L653</f>
        <v>0</v>
      </c>
      <c r="M365" s="468" t="n">
        <f aca="false">M653</f>
        <v>0</v>
      </c>
      <c r="N365" s="468" t="n">
        <f aca="false">N653</f>
        <v>0</v>
      </c>
      <c r="O365" s="468" t="n">
        <f aca="false">O653</f>
        <v>0</v>
      </c>
      <c r="P365" s="468" t="n">
        <f aca="false">P653</f>
        <v>0</v>
      </c>
      <c r="Q365" s="468" t="n">
        <f aca="false">Q653</f>
        <v>0</v>
      </c>
      <c r="R365" s="468" t="n">
        <f aca="false">R653</f>
        <v>0</v>
      </c>
      <c r="S365" s="468" t="n">
        <f aca="false">S653</f>
        <v>0</v>
      </c>
      <c r="T365" s="468" t="n">
        <f aca="false">T653</f>
        <v>0</v>
      </c>
      <c r="U365" s="468" t="n">
        <f aca="false">U653</f>
        <v>0</v>
      </c>
      <c r="V365" s="468" t="n">
        <f aca="false">V653</f>
        <v>0</v>
      </c>
      <c r="W365" s="468" t="n">
        <f aca="false">W653</f>
        <v>0</v>
      </c>
      <c r="X365" s="468" t="n">
        <f aca="false">X653</f>
        <v>0</v>
      </c>
      <c r="Y365" s="468" t="n">
        <f aca="false">Y653</f>
        <v>0</v>
      </c>
      <c r="Z365" s="468" t="n">
        <f aca="false">Z653</f>
        <v>0</v>
      </c>
      <c r="AA365" s="468" t="n">
        <f aca="false">AA653</f>
        <v>0</v>
      </c>
      <c r="AB365" s="468" t="n">
        <f aca="false">AB653</f>
        <v>0</v>
      </c>
      <c r="AC365" s="468" t="n">
        <f aca="false">AC653</f>
        <v>0</v>
      </c>
      <c r="AD365" s="468" t="n">
        <f aca="false">AD653</f>
        <v>0</v>
      </c>
      <c r="AE365" s="468" t="n">
        <f aca="false">AE653</f>
        <v>0</v>
      </c>
      <c r="AF365" s="468" t="n">
        <f aca="false">AF653</f>
        <v>0</v>
      </c>
    </row>
    <row r="366" customFormat="false" ht="11.25" hidden="false" customHeight="false" outlineLevel="0" collapsed="false">
      <c r="A366" s="473" t="s">
        <v>478</v>
      </c>
      <c r="B366" s="238"/>
      <c r="C366" s="238"/>
      <c r="D366" s="238"/>
      <c r="E366" s="238"/>
      <c r="F366" s="238"/>
      <c r="G366" s="468"/>
      <c r="H366" s="477"/>
      <c r="I366" s="477" t="n">
        <f aca="false">SUM(I361:I365)</f>
        <v>391.000001</v>
      </c>
      <c r="J366" s="477" t="e">
        <f aca="false">SUM(J361:J365)</f>
        <v>#VALUE!</v>
      </c>
      <c r="K366" s="477" t="e">
        <f aca="false">SUM(K361:K365)</f>
        <v>#VALUE!</v>
      </c>
      <c r="L366" s="477" t="e">
        <f aca="false">SUM(L361:L365)</f>
        <v>#VALUE!</v>
      </c>
      <c r="M366" s="477" t="e">
        <f aca="false">SUM(M361:M365)</f>
        <v>#VALUE!</v>
      </c>
      <c r="N366" s="477" t="e">
        <f aca="false">SUM(N361:N365)</f>
        <v>#VALUE!</v>
      </c>
      <c r="O366" s="477" t="e">
        <f aca="false">SUM(O361:O365)</f>
        <v>#VALUE!</v>
      </c>
      <c r="P366" s="477" t="e">
        <f aca="false">SUM(P361:P365)</f>
        <v>#VALUE!</v>
      </c>
      <c r="Q366" s="477" t="e">
        <f aca="false">SUM(Q361:Q365)</f>
        <v>#VALUE!</v>
      </c>
      <c r="R366" s="477" t="e">
        <f aca="false">SUM(R361:R365)</f>
        <v>#VALUE!</v>
      </c>
      <c r="S366" s="477" t="e">
        <f aca="false">SUM(S361:S365)</f>
        <v>#VALUE!</v>
      </c>
      <c r="T366" s="477" t="e">
        <f aca="false">SUM(T361:T365)</f>
        <v>#VALUE!</v>
      </c>
      <c r="U366" s="477" t="e">
        <f aca="false">SUM(U361:U365)</f>
        <v>#VALUE!</v>
      </c>
      <c r="V366" s="477" t="e">
        <f aca="false">SUM(V361:V365)</f>
        <v>#VALUE!</v>
      </c>
      <c r="W366" s="477" t="e">
        <f aca="false">SUM(W361:W365)</f>
        <v>#VALUE!</v>
      </c>
      <c r="X366" s="477" t="e">
        <f aca="false">SUM(X361:X365)</f>
        <v>#VALUE!</v>
      </c>
      <c r="Y366" s="477" t="e">
        <f aca="false">SUM(Y361:Y365)</f>
        <v>#VALUE!</v>
      </c>
      <c r="Z366" s="477" t="e">
        <f aca="false">SUM(Z361:Z365)</f>
        <v>#VALUE!</v>
      </c>
      <c r="AA366" s="477" t="e">
        <f aca="false">SUM(AA361:AA365)</f>
        <v>#VALUE!</v>
      </c>
      <c r="AB366" s="477" t="e">
        <f aca="false">SUM(AB361:AB365)</f>
        <v>#VALUE!</v>
      </c>
      <c r="AC366" s="477" t="e">
        <f aca="false">SUM(AC361:AC365)</f>
        <v>#VALUE!</v>
      </c>
      <c r="AD366" s="477" t="e">
        <f aca="false">SUM(AD361:AD365)</f>
        <v>#VALUE!</v>
      </c>
      <c r="AE366" s="477" t="e">
        <f aca="false">SUM(AE361:AE365)</f>
        <v>#VALUE!</v>
      </c>
      <c r="AF366" s="477" t="e">
        <f aca="false">SUM(AF361:AF365)</f>
        <v>#VALUE!</v>
      </c>
    </row>
    <row r="367" customFormat="false" ht="11.25" hidden="false" customHeight="false" outlineLevel="0" collapsed="false">
      <c r="A367" s="238"/>
      <c r="B367" s="238"/>
      <c r="C367" s="238"/>
      <c r="D367" s="238"/>
      <c r="E367" s="238"/>
      <c r="F367" s="238"/>
      <c r="G367" s="468"/>
      <c r="H367" s="468"/>
      <c r="I367" s="468"/>
      <c r="J367" s="468"/>
      <c r="K367" s="468"/>
      <c r="L367" s="468"/>
      <c r="M367" s="468"/>
      <c r="N367" s="468"/>
      <c r="O367" s="468"/>
      <c r="P367" s="468"/>
      <c r="Q367" s="468"/>
      <c r="R367" s="468"/>
      <c r="S367" s="468"/>
      <c r="T367" s="468"/>
      <c r="U367" s="468"/>
      <c r="V367" s="468"/>
      <c r="W367" s="468"/>
      <c r="X367" s="468"/>
      <c r="Y367" s="468"/>
      <c r="Z367" s="468"/>
      <c r="AA367" s="468"/>
      <c r="AB367" s="468"/>
      <c r="AC367" s="468"/>
      <c r="AD367" s="468"/>
      <c r="AE367" s="468"/>
      <c r="AF367" s="468"/>
    </row>
    <row r="368" customFormat="false" ht="11.25" hidden="false" customHeight="false" outlineLevel="0" collapsed="false">
      <c r="A368" s="473" t="s">
        <v>479</v>
      </c>
      <c r="B368" s="238"/>
      <c r="C368" s="238"/>
      <c r="D368" s="238"/>
      <c r="E368" s="238"/>
      <c r="F368" s="238"/>
      <c r="G368" s="468"/>
      <c r="H368" s="468"/>
      <c r="I368" s="468"/>
      <c r="J368" s="468"/>
      <c r="K368" s="468"/>
      <c r="L368" s="468"/>
      <c r="M368" s="468"/>
      <c r="N368" s="468"/>
      <c r="O368" s="468"/>
      <c r="P368" s="468"/>
      <c r="Q368" s="468"/>
      <c r="R368" s="468"/>
      <c r="S368" s="468"/>
      <c r="T368" s="468"/>
      <c r="U368" s="468"/>
      <c r="V368" s="468"/>
      <c r="W368" s="468"/>
      <c r="X368" s="468"/>
      <c r="Y368" s="468"/>
      <c r="Z368" s="468"/>
      <c r="AA368" s="468"/>
      <c r="AB368" s="468"/>
      <c r="AC368" s="468"/>
      <c r="AD368" s="468"/>
      <c r="AE368" s="468"/>
      <c r="AF368" s="468"/>
    </row>
    <row r="369" customFormat="false" ht="11.25" hidden="false" customHeight="false" outlineLevel="0" collapsed="false">
      <c r="A369" s="238" t="s">
        <v>480</v>
      </c>
      <c r="B369" s="238"/>
      <c r="C369" s="238"/>
      <c r="D369" s="238"/>
      <c r="E369" s="238"/>
      <c r="F369" s="238"/>
      <c r="G369" s="468"/>
      <c r="H369" s="468" t="n">
        <f aca="false">H774-G369</f>
        <v>78714.55552</v>
      </c>
      <c r="I369" s="468" t="n">
        <f aca="false">I774</f>
        <v>0</v>
      </c>
      <c r="J369" s="468" t="n">
        <f aca="false">J774</f>
        <v>0</v>
      </c>
      <c r="K369" s="468" t="n">
        <f aca="false">K774</f>
        <v>0</v>
      </c>
      <c r="L369" s="468" t="n">
        <f aca="false">L774</f>
        <v>0</v>
      </c>
      <c r="M369" s="468" t="n">
        <f aca="false">M774</f>
        <v>1331.9046155778</v>
      </c>
      <c r="N369" s="468" t="n">
        <f aca="false">N774</f>
        <v>0</v>
      </c>
      <c r="O369" s="468" t="n">
        <f aca="false">O774</f>
        <v>0</v>
      </c>
      <c r="P369" s="468" t="n">
        <f aca="false">P774</f>
        <v>0</v>
      </c>
      <c r="Q369" s="468" t="n">
        <f aca="false">Q774</f>
        <v>4611.73981979569</v>
      </c>
      <c r="R369" s="468" t="n">
        <f aca="false">R774</f>
        <v>0</v>
      </c>
      <c r="S369" s="468" t="n">
        <f aca="false">S774</f>
        <v>0</v>
      </c>
      <c r="T369" s="468" t="n">
        <f aca="false">T774</f>
        <v>0</v>
      </c>
      <c r="U369" s="468" t="n">
        <f aca="false">U774</f>
        <v>1870.65531397766</v>
      </c>
      <c r="V369" s="468" t="n">
        <f aca="false">V774</f>
        <v>0</v>
      </c>
      <c r="W369" s="468" t="n">
        <f aca="false">W774</f>
        <v>0</v>
      </c>
      <c r="X369" s="468" t="n">
        <f aca="false">X774</f>
        <v>0</v>
      </c>
      <c r="Y369" s="468" t="n">
        <f aca="false">Y774</f>
        <v>6463.75753668992</v>
      </c>
      <c r="Z369" s="468" t="n">
        <f aca="false">Z774</f>
        <v>0</v>
      </c>
      <c r="AA369" s="468" t="n">
        <f aca="false">AA774</f>
        <v>0</v>
      </c>
      <c r="AB369" s="468" t="n">
        <f aca="false">AB774</f>
        <v>0</v>
      </c>
      <c r="AC369" s="468" t="n">
        <f aca="false">AC774</f>
        <v>0</v>
      </c>
      <c r="AD369" s="468" t="n">
        <f aca="false">AD774</f>
        <v>0</v>
      </c>
      <c r="AE369" s="468" t="n">
        <f aca="false">AE774</f>
        <v>0</v>
      </c>
      <c r="AF369" s="468" t="n">
        <f aca="false">AF774</f>
        <v>0</v>
      </c>
    </row>
    <row r="370" customFormat="false" ht="11.25" hidden="false" customHeight="false" outlineLevel="0" collapsed="false">
      <c r="A370" s="238" t="str">
        <f aca="false">B493</f>
        <v>Transaction Fees</v>
      </c>
      <c r="B370" s="238"/>
      <c r="C370" s="238"/>
      <c r="D370" s="238"/>
      <c r="E370" s="238"/>
      <c r="F370" s="238"/>
      <c r="G370" s="468"/>
      <c r="H370" s="468" t="n">
        <f aca="false">H493</f>
        <v>774.44448</v>
      </c>
      <c r="I370" s="468" t="n">
        <f aca="false">I493</f>
        <v>0</v>
      </c>
      <c r="J370" s="468" t="n">
        <f aca="false">J493</f>
        <v>0</v>
      </c>
      <c r="K370" s="468" t="n">
        <f aca="false">K493</f>
        <v>0</v>
      </c>
      <c r="L370" s="468" t="n">
        <f aca="false">L493</f>
        <v>0</v>
      </c>
      <c r="M370" s="468" t="n">
        <f aca="false">M493</f>
        <v>0</v>
      </c>
      <c r="N370" s="468" t="n">
        <f aca="false">N493</f>
        <v>0</v>
      </c>
      <c r="O370" s="468" t="n">
        <f aca="false">O493</f>
        <v>0</v>
      </c>
      <c r="P370" s="468" t="n">
        <f aca="false">P493</f>
        <v>0</v>
      </c>
      <c r="Q370" s="468" t="n">
        <f aca="false">Q493</f>
        <v>0</v>
      </c>
      <c r="R370" s="468" t="n">
        <f aca="false">R493</f>
        <v>0</v>
      </c>
      <c r="S370" s="468" t="n">
        <f aca="false">S493</f>
        <v>0</v>
      </c>
      <c r="T370" s="468" t="n">
        <f aca="false">T493</f>
        <v>0</v>
      </c>
      <c r="U370" s="468" t="n">
        <f aca="false">U493</f>
        <v>0</v>
      </c>
      <c r="V370" s="468" t="n">
        <f aca="false">V493</f>
        <v>0</v>
      </c>
      <c r="W370" s="468" t="n">
        <f aca="false">W493</f>
        <v>0</v>
      </c>
      <c r="X370" s="468" t="n">
        <f aca="false">X493</f>
        <v>0</v>
      </c>
      <c r="Y370" s="468" t="n">
        <f aca="false">Y493</f>
        <v>0</v>
      </c>
      <c r="Z370" s="468" t="n">
        <f aca="false">Z493</f>
        <v>0</v>
      </c>
      <c r="AA370" s="468" t="n">
        <f aca="false">AA493</f>
        <v>0</v>
      </c>
      <c r="AB370" s="468" t="n">
        <f aca="false">AB493</f>
        <v>0</v>
      </c>
      <c r="AC370" s="468" t="n">
        <f aca="false">AC493</f>
        <v>0</v>
      </c>
      <c r="AD370" s="468" t="n">
        <f aca="false">AD493</f>
        <v>0</v>
      </c>
      <c r="AE370" s="468" t="n">
        <f aca="false">AE493</f>
        <v>0</v>
      </c>
      <c r="AF370" s="468" t="n">
        <f aca="false">AF493</f>
        <v>0</v>
      </c>
    </row>
    <row r="371" customFormat="false" ht="11.25" hidden="false" customHeight="false" outlineLevel="0" collapsed="false">
      <c r="A371" s="450" t="s">
        <v>481</v>
      </c>
      <c r="B371" s="238"/>
      <c r="C371" s="238"/>
      <c r="D371" s="486"/>
      <c r="E371" s="486"/>
      <c r="F371" s="486"/>
      <c r="G371" s="468"/>
      <c r="H371" s="493" t="n">
        <f aca="false">H577</f>
        <v>1011</v>
      </c>
      <c r="I371" s="468" t="n">
        <f aca="false">I577-H577</f>
        <v>-799</v>
      </c>
      <c r="J371" s="468" t="e">
        <f aca="false">J577-I577</f>
        <v>#VALUE!</v>
      </c>
      <c r="K371" s="468" t="e">
        <f aca="false">K577-J577</f>
        <v>#VALUE!</v>
      </c>
      <c r="L371" s="468" t="e">
        <f aca="false">L577-K577</f>
        <v>#VALUE!</v>
      </c>
      <c r="M371" s="468" t="e">
        <f aca="false">M577-L577</f>
        <v>#VALUE!</v>
      </c>
      <c r="N371" s="468" t="e">
        <f aca="false">N577-M577</f>
        <v>#VALUE!</v>
      </c>
      <c r="O371" s="468" t="e">
        <f aca="false">O577-N577</f>
        <v>#VALUE!</v>
      </c>
      <c r="P371" s="468" t="e">
        <f aca="false">P577-O577</f>
        <v>#VALUE!</v>
      </c>
      <c r="Q371" s="468" t="e">
        <f aca="false">Q577-P577</f>
        <v>#VALUE!</v>
      </c>
      <c r="R371" s="468" t="e">
        <f aca="false">R577-Q577</f>
        <v>#VALUE!</v>
      </c>
      <c r="S371" s="468" t="e">
        <f aca="false">S577-R577</f>
        <v>#VALUE!</v>
      </c>
      <c r="T371" s="468" t="e">
        <f aca="false">T577-S577</f>
        <v>#VALUE!</v>
      </c>
      <c r="U371" s="468" t="e">
        <f aca="false">U577-T577</f>
        <v>#VALUE!</v>
      </c>
      <c r="V371" s="468" t="e">
        <f aca="false">V577-U577</f>
        <v>#VALUE!</v>
      </c>
      <c r="W371" s="468" t="e">
        <f aca="false">W577-V577</f>
        <v>#VALUE!</v>
      </c>
      <c r="X371" s="468" t="e">
        <f aca="false">X577-W577</f>
        <v>#VALUE!</v>
      </c>
      <c r="Y371" s="468" t="e">
        <f aca="false">Y577-X577</f>
        <v>#VALUE!</v>
      </c>
      <c r="Z371" s="468" t="e">
        <f aca="false">Z577-Y577</f>
        <v>#VALUE!</v>
      </c>
      <c r="AA371" s="468" t="e">
        <f aca="false">AA577-Z577</f>
        <v>#VALUE!</v>
      </c>
      <c r="AB371" s="468" t="e">
        <f aca="false">AB577-AA577</f>
        <v>#VALUE!</v>
      </c>
      <c r="AC371" s="468" t="e">
        <f aca="false">AC577-AB577</f>
        <v>#VALUE!</v>
      </c>
      <c r="AD371" s="468" t="e">
        <f aca="false">AD577-AC577</f>
        <v>#VALUE!</v>
      </c>
      <c r="AE371" s="468" t="e">
        <f aca="false">AE577-AD577</f>
        <v>#VALUE!</v>
      </c>
      <c r="AF371" s="468" t="e">
        <f aca="false">AF577-AE577</f>
        <v>#VALUE!</v>
      </c>
    </row>
    <row r="372" customFormat="false" ht="11.25" hidden="false" customHeight="false" outlineLevel="0" collapsed="false">
      <c r="A372" s="238" t="str">
        <f aca="false">A595</f>
        <v>Increase/(Decrease) in Reserve Accounts</v>
      </c>
      <c r="B372" s="238"/>
      <c r="C372" s="238"/>
      <c r="D372" s="238"/>
      <c r="E372" s="238"/>
      <c r="F372" s="238"/>
      <c r="G372" s="238"/>
      <c r="H372" s="494" t="n">
        <f aca="false">+H595-G595</f>
        <v>0</v>
      </c>
      <c r="I372" s="238" t="n">
        <f aca="false">I595</f>
        <v>0</v>
      </c>
      <c r="J372" s="238" t="n">
        <f aca="false">J595</f>
        <v>0</v>
      </c>
      <c r="K372" s="238" t="n">
        <f aca="false">K595</f>
        <v>0</v>
      </c>
      <c r="L372" s="238" t="n">
        <f aca="false">L595</f>
        <v>332.97615389445</v>
      </c>
      <c r="M372" s="238" t="n">
        <f aca="false">M595</f>
        <v>-332.97615389445</v>
      </c>
      <c r="N372" s="238" t="n">
        <f aca="false">N595</f>
        <v>0</v>
      </c>
      <c r="O372" s="238" t="n">
        <f aca="false">O595</f>
        <v>576.467477474461</v>
      </c>
      <c r="P372" s="238" t="n">
        <f aca="false">P595</f>
        <v>2305.86990989784</v>
      </c>
      <c r="Q372" s="238" t="n">
        <f aca="false">Q595</f>
        <v>-2882.3373873723</v>
      </c>
      <c r="R372" s="238" t="n">
        <f aca="false">R595</f>
        <v>0</v>
      </c>
      <c r="S372" s="238" t="n">
        <f aca="false">S595</f>
        <v>0</v>
      </c>
      <c r="T372" s="238" t="n">
        <f aca="false">T595</f>
        <v>467.663828494415</v>
      </c>
      <c r="U372" s="238" t="n">
        <f aca="false">U595</f>
        <v>-467.663828494415</v>
      </c>
      <c r="V372" s="238" t="n">
        <f aca="false">V595</f>
        <v>0</v>
      </c>
      <c r="W372" s="238" t="n">
        <f aca="false">W595</f>
        <v>807.96969208624</v>
      </c>
      <c r="X372" s="238" t="n">
        <f aca="false">X595</f>
        <v>3231.87876834496</v>
      </c>
      <c r="Y372" s="238" t="n">
        <f aca="false">Y595</f>
        <v>-4039.8484604312</v>
      </c>
      <c r="Z372" s="238" t="n">
        <f aca="false">Z595</f>
        <v>0</v>
      </c>
      <c r="AA372" s="238" t="n">
        <f aca="false">AA595</f>
        <v>0</v>
      </c>
      <c r="AB372" s="238" t="n">
        <f aca="false">AB595</f>
        <v>0</v>
      </c>
      <c r="AC372" s="238" t="n">
        <f aca="false">AC595</f>
        <v>0</v>
      </c>
      <c r="AD372" s="238" t="n">
        <f aca="false">AD595</f>
        <v>0</v>
      </c>
      <c r="AE372" s="238" t="n">
        <f aca="false">AE595</f>
        <v>0</v>
      </c>
      <c r="AF372" s="238" t="n">
        <f aca="false">AF595</f>
        <v>0</v>
      </c>
    </row>
    <row r="373" customFormat="false" ht="11.25" hidden="false" customHeight="false" outlineLevel="0" collapsed="false">
      <c r="A373" s="450" t="s">
        <v>482</v>
      </c>
      <c r="B373" s="450" t="str">
        <f aca="false">B481</f>
        <v>Purchase Term Loan</v>
      </c>
      <c r="C373" s="238"/>
      <c r="D373" s="238"/>
      <c r="E373" s="238"/>
      <c r="F373" s="238"/>
      <c r="G373" s="468"/>
      <c r="H373" s="468"/>
      <c r="I373" s="468" t="n">
        <f aca="false">I603</f>
        <v>391.000001</v>
      </c>
      <c r="J373" s="468" t="n">
        <f aca="false">J603</f>
        <v>1601.999983</v>
      </c>
      <c r="K373" s="468" t="n">
        <f aca="false">K603</f>
        <v>2148.00005</v>
      </c>
      <c r="L373" s="468" t="n">
        <f aca="false">L603</f>
        <v>2500.9999025</v>
      </c>
      <c r="M373" s="468" t="n">
        <f aca="false">M603</f>
        <v>2102.00001</v>
      </c>
      <c r="N373" s="468" t="n">
        <f aca="false">N603</f>
        <v>3172.999998</v>
      </c>
      <c r="O373" s="468" t="n">
        <f aca="false">O603</f>
        <v>3259.000004</v>
      </c>
      <c r="P373" s="468" t="n">
        <f aca="false">P603</f>
        <v>2143.000026</v>
      </c>
      <c r="Q373" s="468" t="n">
        <f aca="false">Q603</f>
        <v>2834.9999915</v>
      </c>
      <c r="R373" s="468" t="n">
        <f aca="false">R603</f>
        <v>4242.9999925</v>
      </c>
      <c r="S373" s="468" t="n">
        <f aca="false">S603</f>
        <v>4340.999977</v>
      </c>
      <c r="T373" s="468" t="n">
        <f aca="false">T603</f>
        <v>3399.999935</v>
      </c>
      <c r="U373" s="468" t="n">
        <f aca="false">U603</f>
        <v>3140.000043</v>
      </c>
      <c r="V373" s="468" t="n">
        <f aca="false">V603</f>
        <v>4238.999962</v>
      </c>
      <c r="W373" s="468" t="n">
        <f aca="false">W603</f>
        <v>4286.000052</v>
      </c>
      <c r="X373" s="468" t="n">
        <f aca="false">X603</f>
        <v>3758.9999745</v>
      </c>
      <c r="Y373" s="468" t="n">
        <f aca="false">Y603</f>
        <v>4520.9999935</v>
      </c>
      <c r="Z373" s="468" t="n">
        <f aca="false">Z603</f>
        <v>4417.0001045</v>
      </c>
      <c r="AA373" s="468" t="n">
        <f aca="false">AA603</f>
        <v>0</v>
      </c>
      <c r="AB373" s="468" t="n">
        <f aca="false">AB603</f>
        <v>0</v>
      </c>
      <c r="AC373" s="468" t="n">
        <f aca="false">AC603</f>
        <v>0</v>
      </c>
      <c r="AD373" s="468" t="n">
        <f aca="false">AD603</f>
        <v>0</v>
      </c>
      <c r="AE373" s="468" t="n">
        <f aca="false">AE603</f>
        <v>0</v>
      </c>
      <c r="AF373" s="468" t="n">
        <f aca="false">AF603</f>
        <v>0</v>
      </c>
    </row>
    <row r="374" customFormat="false" ht="11.25" hidden="false" customHeight="false" outlineLevel="0" collapsed="false">
      <c r="A374" s="450" t="s">
        <v>482</v>
      </c>
      <c r="B374" s="450" t="str">
        <f aca="false">B482</f>
        <v>Other Term Loan</v>
      </c>
      <c r="C374" s="238"/>
      <c r="D374" s="238"/>
      <c r="E374" s="238"/>
      <c r="F374" s="238"/>
      <c r="G374" s="468"/>
      <c r="H374" s="468"/>
      <c r="I374" s="468" t="n">
        <f aca="false">I611</f>
        <v>0</v>
      </c>
      <c r="J374" s="468" t="n">
        <f aca="false">J611</f>
        <v>0</v>
      </c>
      <c r="K374" s="468" t="n">
        <f aca="false">K611</f>
        <v>0</v>
      </c>
      <c r="L374" s="468" t="n">
        <f aca="false">L611</f>
        <v>0</v>
      </c>
      <c r="M374" s="468" t="n">
        <f aca="false">M611</f>
        <v>0</v>
      </c>
      <c r="N374" s="468" t="n">
        <f aca="false">N611</f>
        <v>0</v>
      </c>
      <c r="O374" s="468" t="n">
        <f aca="false">O611</f>
        <v>0</v>
      </c>
      <c r="P374" s="468" t="n">
        <f aca="false">P611</f>
        <v>0</v>
      </c>
      <c r="Q374" s="468" t="n">
        <f aca="false">Q611</f>
        <v>0</v>
      </c>
      <c r="R374" s="468" t="n">
        <f aca="false">R611</f>
        <v>0</v>
      </c>
      <c r="S374" s="468" t="n">
        <f aca="false">S611</f>
        <v>0</v>
      </c>
      <c r="T374" s="468" t="n">
        <f aca="false">T611</f>
        <v>0</v>
      </c>
      <c r="U374" s="468" t="n">
        <f aca="false">U611</f>
        <v>0</v>
      </c>
      <c r="V374" s="468" t="n">
        <f aca="false">V611</f>
        <v>0</v>
      </c>
      <c r="W374" s="468" t="n">
        <f aca="false">W611</f>
        <v>0</v>
      </c>
      <c r="X374" s="468" t="n">
        <f aca="false">X611</f>
        <v>0</v>
      </c>
      <c r="Y374" s="468" t="n">
        <f aca="false">Y611</f>
        <v>0</v>
      </c>
      <c r="Z374" s="468" t="n">
        <f aca="false">Z611</f>
        <v>0</v>
      </c>
      <c r="AA374" s="468" t="n">
        <f aca="false">AA611</f>
        <v>0</v>
      </c>
      <c r="AB374" s="468" t="n">
        <f aca="false">AB611</f>
        <v>0</v>
      </c>
      <c r="AC374" s="468" t="n">
        <f aca="false">AC611</f>
        <v>0</v>
      </c>
      <c r="AD374" s="468" t="n">
        <f aca="false">AD611</f>
        <v>0</v>
      </c>
      <c r="AE374" s="468" t="n">
        <f aca="false">AE611</f>
        <v>0</v>
      </c>
      <c r="AF374" s="468" t="n">
        <f aca="false">AF611</f>
        <v>0</v>
      </c>
    </row>
    <row r="375" customFormat="false" ht="11.25" hidden="false" customHeight="false" outlineLevel="0" collapsed="false">
      <c r="A375" s="450" t="s">
        <v>483</v>
      </c>
      <c r="B375" s="238"/>
      <c r="C375" s="238"/>
      <c r="D375" s="238"/>
      <c r="E375" s="238"/>
      <c r="F375" s="238"/>
      <c r="G375" s="468"/>
      <c r="H375" s="468" t="n">
        <f aca="false">H492+H491</f>
        <v>0</v>
      </c>
      <c r="I375" s="468" t="n">
        <f aca="false">+I353+I618</f>
        <v>799</v>
      </c>
      <c r="J375" s="468" t="e">
        <f aca="false">+J353+J618</f>
        <v>#VALUE!</v>
      </c>
      <c r="K375" s="468" t="e">
        <f aca="false">+K353+K618</f>
        <v>#VALUE!</v>
      </c>
      <c r="L375" s="468" t="e">
        <f aca="false">+L353+L618</f>
        <v>#VALUE!</v>
      </c>
      <c r="M375" s="468" t="e">
        <f aca="false">+M353+M618</f>
        <v>#VALUE!</v>
      </c>
      <c r="N375" s="468" t="e">
        <f aca="false">+N353+N618</f>
        <v>#VALUE!</v>
      </c>
      <c r="O375" s="468" t="e">
        <f aca="false">+O353+O618</f>
        <v>#VALUE!</v>
      </c>
      <c r="P375" s="468" t="e">
        <f aca="false">+P353+P618</f>
        <v>#VALUE!</v>
      </c>
      <c r="Q375" s="468" t="e">
        <f aca="false">+Q353+Q618</f>
        <v>#VALUE!</v>
      </c>
      <c r="R375" s="468" t="e">
        <f aca="false">+R353+R618</f>
        <v>#VALUE!</v>
      </c>
      <c r="S375" s="468" t="e">
        <f aca="false">+S353+S618</f>
        <v>#VALUE!</v>
      </c>
      <c r="T375" s="468" t="e">
        <f aca="false">+T353+T618</f>
        <v>#VALUE!</v>
      </c>
      <c r="U375" s="468" t="e">
        <f aca="false">+U353+U618</f>
        <v>#VALUE!</v>
      </c>
      <c r="V375" s="468" t="e">
        <f aca="false">+V353+V618</f>
        <v>#VALUE!</v>
      </c>
      <c r="W375" s="468" t="e">
        <f aca="false">+W353+W618</f>
        <v>#VALUE!</v>
      </c>
      <c r="X375" s="468" t="e">
        <f aca="false">+X353+X618</f>
        <v>#VALUE!</v>
      </c>
      <c r="Y375" s="468" t="e">
        <f aca="false">+Y353+Y618</f>
        <v>#VALUE!</v>
      </c>
      <c r="Z375" s="468" t="e">
        <f aca="false">+Z353+Z618</f>
        <v>#VALUE!</v>
      </c>
      <c r="AA375" s="468" t="e">
        <f aca="false">+AA353+AA618</f>
        <v>#VALUE!</v>
      </c>
      <c r="AB375" s="468" t="e">
        <f aca="false">+AB353+AB618</f>
        <v>#VALUE!</v>
      </c>
      <c r="AC375" s="468" t="e">
        <f aca="false">+AC353+AC618</f>
        <v>#VALUE!</v>
      </c>
      <c r="AD375" s="468" t="e">
        <f aca="false">+AD353+AD618</f>
        <v>#VALUE!</v>
      </c>
      <c r="AE375" s="468" t="e">
        <f aca="false">+AE353+AE618</f>
        <v>#VALUE!</v>
      </c>
      <c r="AF375" s="468" t="e">
        <f aca="false">+AF353+AF618</f>
        <v>#VALUE!</v>
      </c>
    </row>
    <row r="376" customFormat="false" ht="11.25" hidden="false" customHeight="false" outlineLevel="0" collapsed="false">
      <c r="A376" s="473" t="s">
        <v>484</v>
      </c>
      <c r="B376" s="238"/>
      <c r="C376" s="238"/>
      <c r="D376" s="238"/>
      <c r="E376" s="238"/>
      <c r="F376" s="238"/>
      <c r="G376" s="468"/>
      <c r="H376" s="477" t="n">
        <f aca="false">SUM(H369:H375)</f>
        <v>80500</v>
      </c>
      <c r="I376" s="477" t="n">
        <f aca="false">SUM(I369:I375)</f>
        <v>391.000001</v>
      </c>
      <c r="J376" s="477" t="e">
        <f aca="false">SUM(J369:J375)</f>
        <v>#VALUE!</v>
      </c>
      <c r="K376" s="477" t="e">
        <f aca="false">SUM(K369:K375)</f>
        <v>#VALUE!</v>
      </c>
      <c r="L376" s="477" t="e">
        <f aca="false">SUM(L369:L375)</f>
        <v>#VALUE!</v>
      </c>
      <c r="M376" s="477" t="e">
        <f aca="false">SUM(M369:M375)</f>
        <v>#VALUE!</v>
      </c>
      <c r="N376" s="477" t="e">
        <f aca="false">SUM(N369:N375)</f>
        <v>#VALUE!</v>
      </c>
      <c r="O376" s="477" t="e">
        <f aca="false">SUM(O369:O375)</f>
        <v>#VALUE!</v>
      </c>
      <c r="P376" s="477" t="e">
        <f aca="false">SUM(P369:P375)</f>
        <v>#VALUE!</v>
      </c>
      <c r="Q376" s="477" t="e">
        <f aca="false">SUM(Q369:Q375)</f>
        <v>#VALUE!</v>
      </c>
      <c r="R376" s="477" t="e">
        <f aca="false">SUM(R369:R375)</f>
        <v>#VALUE!</v>
      </c>
      <c r="S376" s="477" t="e">
        <f aca="false">SUM(S369:S375)</f>
        <v>#VALUE!</v>
      </c>
      <c r="T376" s="477" t="e">
        <f aca="false">SUM(T369:T375)</f>
        <v>#VALUE!</v>
      </c>
      <c r="U376" s="477" t="e">
        <f aca="false">SUM(U369:U375)</f>
        <v>#VALUE!</v>
      </c>
      <c r="V376" s="477" t="e">
        <f aca="false">SUM(V369:V375)</f>
        <v>#VALUE!</v>
      </c>
      <c r="W376" s="477" t="e">
        <f aca="false">SUM(W369:W375)</f>
        <v>#VALUE!</v>
      </c>
      <c r="X376" s="477" t="e">
        <f aca="false">SUM(X369:X375)</f>
        <v>#VALUE!</v>
      </c>
      <c r="Y376" s="477" t="e">
        <f aca="false">SUM(Y369:Y375)</f>
        <v>#VALUE!</v>
      </c>
      <c r="Z376" s="477" t="e">
        <f aca="false">SUM(Z369:Z375)</f>
        <v>#VALUE!</v>
      </c>
      <c r="AA376" s="477" t="e">
        <f aca="false">SUM(AA369:AA375)</f>
        <v>#VALUE!</v>
      </c>
      <c r="AB376" s="477" t="e">
        <f aca="false">SUM(AB369:AB375)</f>
        <v>#VALUE!</v>
      </c>
      <c r="AC376" s="477" t="e">
        <f aca="false">SUM(AC369:AC375)</f>
        <v>#VALUE!</v>
      </c>
      <c r="AD376" s="477" t="e">
        <f aca="false">SUM(AD369:AD375)</f>
        <v>#VALUE!</v>
      </c>
      <c r="AE376" s="477" t="e">
        <f aca="false">SUM(AE369:AE375)</f>
        <v>#VALUE!</v>
      </c>
      <c r="AF376" s="477" t="e">
        <f aca="false">SUM(AF369:AF375)</f>
        <v>#VALUE!</v>
      </c>
    </row>
    <row r="377" customFormat="false" ht="11.25" hidden="false" customHeight="false" outlineLevel="0" collapsed="false">
      <c r="A377" s="238"/>
      <c r="B377" s="238"/>
      <c r="C377" s="238"/>
      <c r="D377" s="238"/>
      <c r="E377" s="238"/>
      <c r="F377" s="238"/>
      <c r="G377" s="238"/>
      <c r="H377" s="238"/>
      <c r="I377" s="238"/>
      <c r="J377" s="238"/>
      <c r="K377" s="238"/>
      <c r="L377" s="238"/>
      <c r="M377" s="238"/>
      <c r="N377" s="238"/>
      <c r="O377" s="238"/>
      <c r="P377" s="238"/>
      <c r="Q377" s="238"/>
      <c r="R377" s="238"/>
      <c r="S377" s="238"/>
      <c r="T377" s="238"/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</row>
    <row r="378" customFormat="false" ht="11.25" hidden="false" customHeight="false" outlineLevel="0" collapsed="false">
      <c r="A378" s="473" t="s">
        <v>485</v>
      </c>
      <c r="B378" s="238"/>
      <c r="C378" s="238"/>
      <c r="D378" s="238"/>
      <c r="E378" s="238"/>
      <c r="F378" s="238"/>
      <c r="G378" s="468"/>
      <c r="H378" s="468" t="n">
        <f aca="false">H366-H376</f>
        <v>-80500</v>
      </c>
      <c r="I378" s="468" t="n">
        <f aca="false">I366-I376</f>
        <v>0</v>
      </c>
      <c r="J378" s="468" t="e">
        <f aca="false">J366-J376</f>
        <v>#VALUE!</v>
      </c>
      <c r="K378" s="468" t="e">
        <f aca="false">K366-K376</f>
        <v>#VALUE!</v>
      </c>
      <c r="L378" s="468" t="e">
        <f aca="false">L366-L376</f>
        <v>#VALUE!</v>
      </c>
      <c r="M378" s="468" t="e">
        <f aca="false">M366-M376</f>
        <v>#VALUE!</v>
      </c>
      <c r="N378" s="468" t="e">
        <f aca="false">N366-N376</f>
        <v>#VALUE!</v>
      </c>
      <c r="O378" s="468" t="e">
        <f aca="false">O366-O376</f>
        <v>#VALUE!</v>
      </c>
      <c r="P378" s="468" t="e">
        <f aca="false">P366-P376</f>
        <v>#VALUE!</v>
      </c>
      <c r="Q378" s="468" t="e">
        <f aca="false">Q366-Q376</f>
        <v>#VALUE!</v>
      </c>
      <c r="R378" s="468" t="e">
        <f aca="false">R366-R376</f>
        <v>#VALUE!</v>
      </c>
      <c r="S378" s="468" t="e">
        <f aca="false">S366-S376</f>
        <v>#VALUE!</v>
      </c>
      <c r="T378" s="468" t="e">
        <f aca="false">T366-T376</f>
        <v>#VALUE!</v>
      </c>
      <c r="U378" s="468" t="e">
        <f aca="false">U366-U376</f>
        <v>#VALUE!</v>
      </c>
      <c r="V378" s="468" t="e">
        <f aca="false">V366-V376</f>
        <v>#VALUE!</v>
      </c>
      <c r="W378" s="468" t="e">
        <f aca="false">W366-W376</f>
        <v>#VALUE!</v>
      </c>
      <c r="X378" s="468" t="e">
        <f aca="false">X366-X376</f>
        <v>#VALUE!</v>
      </c>
      <c r="Y378" s="468" t="e">
        <f aca="false">Y366-Y376</f>
        <v>#VALUE!</v>
      </c>
      <c r="Z378" s="468" t="e">
        <f aca="false">Z366-Z376</f>
        <v>#VALUE!</v>
      </c>
      <c r="AA378" s="468" t="e">
        <f aca="false">AA366-AA376</f>
        <v>#VALUE!</v>
      </c>
      <c r="AB378" s="468" t="e">
        <f aca="false">AB366-AB376</f>
        <v>#VALUE!</v>
      </c>
      <c r="AC378" s="468" t="e">
        <f aca="false">AC366-AC376</f>
        <v>#VALUE!</v>
      </c>
      <c r="AD378" s="468" t="e">
        <f aca="false">AD366-AD376</f>
        <v>#VALUE!</v>
      </c>
      <c r="AE378" s="468" t="e">
        <f aca="false">AE366-AE376</f>
        <v>#VALUE!</v>
      </c>
      <c r="AF378" s="468" t="e">
        <f aca="false">AF366-AF376</f>
        <v>#VALUE!</v>
      </c>
    </row>
    <row r="379" customFormat="false" ht="11.25" hidden="false" customHeight="false" outlineLevel="0" collapsed="false">
      <c r="A379" s="238"/>
      <c r="B379" s="238"/>
      <c r="C379" s="238"/>
      <c r="D379" s="238"/>
      <c r="E379" s="238"/>
      <c r="F379" s="238"/>
      <c r="G379" s="468"/>
      <c r="H379" s="468"/>
      <c r="I379" s="468"/>
      <c r="J379" s="468"/>
      <c r="K379" s="468"/>
      <c r="L379" s="468"/>
      <c r="M379" s="468"/>
      <c r="N379" s="468"/>
      <c r="O379" s="468"/>
      <c r="P379" s="468"/>
      <c r="Q379" s="468"/>
      <c r="R379" s="468"/>
      <c r="S379" s="468"/>
      <c r="T379" s="468"/>
      <c r="U379" s="468"/>
      <c r="V379" s="468"/>
      <c r="W379" s="468"/>
      <c r="X379" s="468"/>
      <c r="Y379" s="468"/>
      <c r="Z379" s="468"/>
      <c r="AA379" s="468"/>
      <c r="AB379" s="468"/>
      <c r="AC379" s="468"/>
      <c r="AD379" s="468"/>
      <c r="AE379" s="468"/>
      <c r="AF379" s="468"/>
    </row>
    <row r="380" customFormat="false" ht="11.25" hidden="false" customHeight="false" outlineLevel="0" collapsed="false">
      <c r="A380" s="473" t="s">
        <v>486</v>
      </c>
      <c r="B380" s="238"/>
      <c r="C380" s="238"/>
      <c r="D380" s="238"/>
      <c r="E380" s="238"/>
      <c r="F380" s="238"/>
      <c r="G380" s="468"/>
      <c r="H380" s="468"/>
      <c r="I380" s="468"/>
      <c r="J380" s="468"/>
      <c r="K380" s="468"/>
      <c r="L380" s="468"/>
      <c r="M380" s="468"/>
      <c r="N380" s="468"/>
      <c r="O380" s="468"/>
      <c r="P380" s="468"/>
      <c r="Q380" s="468"/>
      <c r="R380" s="468"/>
      <c r="S380" s="468"/>
      <c r="T380" s="468"/>
      <c r="U380" s="468"/>
      <c r="V380" s="468"/>
      <c r="W380" s="468"/>
      <c r="X380" s="468"/>
      <c r="Y380" s="468"/>
      <c r="Z380" s="468"/>
      <c r="AA380" s="468"/>
      <c r="AB380" s="468"/>
      <c r="AC380" s="468"/>
      <c r="AD380" s="468"/>
      <c r="AE380" s="468"/>
      <c r="AF380" s="468"/>
    </row>
    <row r="381" customFormat="false" ht="11.25" hidden="false" customHeight="false" outlineLevel="0" collapsed="false">
      <c r="A381" s="238" t="str">
        <f aca="false">B481</f>
        <v>Purchase Term Loan</v>
      </c>
      <c r="B381" s="238"/>
      <c r="C381" s="238"/>
      <c r="D381" s="238"/>
      <c r="E381" s="238"/>
      <c r="F381" s="238"/>
      <c r="G381" s="468"/>
      <c r="H381" s="468" t="n">
        <f aca="false">H481</f>
        <v>56500</v>
      </c>
      <c r="I381" s="468" t="n">
        <f aca="false">-I604</f>
        <v>-0</v>
      </c>
      <c r="J381" s="468" t="n">
        <f aca="false">-J604</f>
        <v>-0</v>
      </c>
      <c r="K381" s="468" t="n">
        <f aca="false">-K604</f>
        <v>-0</v>
      </c>
      <c r="L381" s="468" t="n">
        <f aca="false">-L604</f>
        <v>-0</v>
      </c>
      <c r="M381" s="468" t="n">
        <f aca="false">-M604</f>
        <v>-0</v>
      </c>
      <c r="N381" s="468" t="n">
        <f aca="false">-N604</f>
        <v>-0</v>
      </c>
      <c r="O381" s="468" t="n">
        <f aca="false">-O604</f>
        <v>-0</v>
      </c>
      <c r="P381" s="468" t="n">
        <f aca="false">-P604</f>
        <v>-0</v>
      </c>
      <c r="Q381" s="468" t="n">
        <f aca="false">-Q604</f>
        <v>-0</v>
      </c>
      <c r="R381" s="468" t="n">
        <f aca="false">-R604</f>
        <v>-0</v>
      </c>
      <c r="S381" s="468" t="n">
        <f aca="false">-S604</f>
        <v>-0</v>
      </c>
      <c r="T381" s="468" t="n">
        <f aca="false">-T604</f>
        <v>-0</v>
      </c>
      <c r="U381" s="468" t="n">
        <f aca="false">-U604</f>
        <v>-0</v>
      </c>
      <c r="V381" s="468" t="n">
        <f aca="false">-V604</f>
        <v>-0</v>
      </c>
      <c r="W381" s="468" t="n">
        <f aca="false">-W604</f>
        <v>-0</v>
      </c>
      <c r="X381" s="468" t="n">
        <f aca="false">-X604</f>
        <v>-0</v>
      </c>
      <c r="Y381" s="468" t="n">
        <f aca="false">-Y604</f>
        <v>-0</v>
      </c>
      <c r="Z381" s="468" t="n">
        <f aca="false">-Z604</f>
        <v>-0</v>
      </c>
      <c r="AA381" s="468" t="n">
        <f aca="false">-AA604</f>
        <v>-0</v>
      </c>
      <c r="AB381" s="468" t="n">
        <f aca="false">-AB604</f>
        <v>-0</v>
      </c>
      <c r="AC381" s="468" t="n">
        <f aca="false">-AC604</f>
        <v>-0</v>
      </c>
      <c r="AD381" s="468" t="n">
        <f aca="false">-AD604</f>
        <v>-0</v>
      </c>
      <c r="AE381" s="468" t="n">
        <f aca="false">-AE604</f>
        <v>-0</v>
      </c>
      <c r="AF381" s="468" t="n">
        <f aca="false">-AF604</f>
        <v>-0</v>
      </c>
    </row>
    <row r="382" customFormat="false" ht="11.25" hidden="false" customHeight="false" outlineLevel="0" collapsed="false">
      <c r="A382" s="238" t="str">
        <f aca="false">B482</f>
        <v>Other Term Loan</v>
      </c>
      <c r="B382" s="238"/>
      <c r="C382" s="238"/>
      <c r="D382" s="238"/>
      <c r="E382" s="238"/>
      <c r="F382" s="238"/>
      <c r="G382" s="468"/>
      <c r="H382" s="468" t="n">
        <f aca="false">H482</f>
        <v>0</v>
      </c>
      <c r="I382" s="468" t="n">
        <f aca="false">-I612</f>
        <v>-0</v>
      </c>
      <c r="J382" s="468" t="n">
        <f aca="false">-J612</f>
        <v>-0</v>
      </c>
      <c r="K382" s="468" t="n">
        <f aca="false">-K612</f>
        <v>-0</v>
      </c>
      <c r="L382" s="468" t="n">
        <f aca="false">-L612</f>
        <v>-0</v>
      </c>
      <c r="M382" s="468" t="n">
        <f aca="false">-M612</f>
        <v>-0</v>
      </c>
      <c r="N382" s="468" t="n">
        <f aca="false">-N612</f>
        <v>-0</v>
      </c>
      <c r="O382" s="468" t="n">
        <f aca="false">-O612</f>
        <v>-0</v>
      </c>
      <c r="P382" s="468" t="n">
        <f aca="false">-P612</f>
        <v>-0</v>
      </c>
      <c r="Q382" s="468" t="n">
        <f aca="false">-Q612</f>
        <v>-0</v>
      </c>
      <c r="R382" s="468" t="n">
        <f aca="false">-R612</f>
        <v>-0</v>
      </c>
      <c r="S382" s="468" t="n">
        <f aca="false">-S612</f>
        <v>-0</v>
      </c>
      <c r="T382" s="468" t="n">
        <f aca="false">-T612</f>
        <v>-0</v>
      </c>
      <c r="U382" s="468" t="n">
        <f aca="false">-U612</f>
        <v>-0</v>
      </c>
      <c r="V382" s="468" t="n">
        <f aca="false">-V612</f>
        <v>-0</v>
      </c>
      <c r="W382" s="468" t="n">
        <f aca="false">-W612</f>
        <v>-0</v>
      </c>
      <c r="X382" s="468" t="n">
        <f aca="false">-X612</f>
        <v>-0</v>
      </c>
      <c r="Y382" s="468" t="n">
        <f aca="false">-Y612</f>
        <v>-0</v>
      </c>
      <c r="Z382" s="468" t="n">
        <f aca="false">-Z612</f>
        <v>-0</v>
      </c>
      <c r="AA382" s="468" t="n">
        <f aca="false">-AA612</f>
        <v>-0</v>
      </c>
      <c r="AB382" s="468" t="n">
        <f aca="false">-AB612</f>
        <v>-0</v>
      </c>
      <c r="AC382" s="468" t="n">
        <f aca="false">-AC612</f>
        <v>-0</v>
      </c>
      <c r="AD382" s="468" t="n">
        <f aca="false">-AD612</f>
        <v>-0</v>
      </c>
      <c r="AE382" s="468" t="n">
        <f aca="false">-AE612</f>
        <v>-0</v>
      </c>
      <c r="AF382" s="468" t="n">
        <f aca="false">-AF612</f>
        <v>-0</v>
      </c>
    </row>
    <row r="383" customFormat="false" ht="11.25" hidden="false" customHeight="false" outlineLevel="0" collapsed="false">
      <c r="A383" s="238" t="str">
        <f aca="false">B483</f>
        <v>Common Stock</v>
      </c>
      <c r="B383" s="238"/>
      <c r="C383" s="238"/>
      <c r="D383" s="238"/>
      <c r="E383" s="238"/>
      <c r="F383" s="238"/>
      <c r="G383" s="468"/>
      <c r="H383" s="468" t="n">
        <f aca="false">H483</f>
        <v>24000</v>
      </c>
      <c r="I383" s="468" t="n">
        <f aca="false">I483</f>
        <v>-0</v>
      </c>
      <c r="J383" s="468" t="n">
        <f aca="false">J483</f>
        <v>-0</v>
      </c>
      <c r="K383" s="468" t="n">
        <f aca="false">K483</f>
        <v>-0</v>
      </c>
      <c r="L383" s="468" t="n">
        <f aca="false">L483</f>
        <v>-0</v>
      </c>
      <c r="M383" s="468" t="n">
        <f aca="false">M483</f>
        <v>-0</v>
      </c>
      <c r="N383" s="468" t="n">
        <f aca="false">N483</f>
        <v>-0</v>
      </c>
      <c r="O383" s="468" t="n">
        <f aca="false">O483</f>
        <v>-0</v>
      </c>
      <c r="P383" s="468" t="n">
        <f aca="false">P483</f>
        <v>-0</v>
      </c>
      <c r="Q383" s="468" t="n">
        <f aca="false">Q483</f>
        <v>-0</v>
      </c>
      <c r="R383" s="468" t="n">
        <f aca="false">R483</f>
        <v>-0</v>
      </c>
      <c r="S383" s="468" t="n">
        <f aca="false">S483</f>
        <v>-0</v>
      </c>
      <c r="T383" s="468" t="n">
        <f aca="false">T483</f>
        <v>-0</v>
      </c>
      <c r="U383" s="468" t="n">
        <f aca="false">U483</f>
        <v>-0</v>
      </c>
      <c r="V383" s="468" t="n">
        <f aca="false">V483</f>
        <v>-0</v>
      </c>
      <c r="W383" s="468" t="n">
        <f aca="false">W483</f>
        <v>-0</v>
      </c>
      <c r="X383" s="468" t="n">
        <f aca="false">X483</f>
        <v>-0</v>
      </c>
      <c r="Y383" s="468" t="n">
        <f aca="false">Y483</f>
        <v>-0</v>
      </c>
      <c r="Z383" s="468" t="n">
        <f aca="false">Z483</f>
        <v>-0</v>
      </c>
      <c r="AA383" s="468" t="n">
        <f aca="false">AA483</f>
        <v>-0</v>
      </c>
      <c r="AB383" s="468" t="n">
        <f aca="false">AB483</f>
        <v>-0</v>
      </c>
      <c r="AC383" s="468" t="n">
        <f aca="false">AC483</f>
        <v>-0</v>
      </c>
      <c r="AD383" s="468" t="n">
        <f aca="false">AD483</f>
        <v>-0</v>
      </c>
      <c r="AE383" s="468" t="n">
        <f aca="false">AE483</f>
        <v>-0</v>
      </c>
      <c r="AF383" s="468" t="n">
        <f aca="false">AF483</f>
        <v>-0</v>
      </c>
    </row>
    <row r="384" customFormat="false" ht="11.25" hidden="false" customHeight="false" outlineLevel="0" collapsed="false">
      <c r="A384" s="473" t="s">
        <v>487</v>
      </c>
      <c r="B384" s="238"/>
      <c r="C384" s="238"/>
      <c r="D384" s="238"/>
      <c r="E384" s="238"/>
      <c r="F384" s="238"/>
      <c r="G384" s="238"/>
      <c r="H384" s="481" t="n">
        <f aca="false">SUM(H381:H383)</f>
        <v>80500</v>
      </c>
      <c r="I384" s="481" t="n">
        <f aca="false">SUM(I381:I383)</f>
        <v>0</v>
      </c>
      <c r="J384" s="481" t="n">
        <f aca="false">SUM(J381:J383)</f>
        <v>0</v>
      </c>
      <c r="K384" s="481" t="n">
        <f aca="false">SUM(K381:K383)</f>
        <v>0</v>
      </c>
      <c r="L384" s="481" t="n">
        <f aca="false">SUM(L381:L383)</f>
        <v>0</v>
      </c>
      <c r="M384" s="481" t="n">
        <f aca="false">SUM(M381:M383)</f>
        <v>0</v>
      </c>
      <c r="N384" s="481" t="n">
        <f aca="false">SUM(N381:N383)</f>
        <v>0</v>
      </c>
      <c r="O384" s="481" t="n">
        <f aca="false">SUM(O381:O383)</f>
        <v>0</v>
      </c>
      <c r="P384" s="481" t="n">
        <f aca="false">SUM(P381:P383)</f>
        <v>0</v>
      </c>
      <c r="Q384" s="481" t="n">
        <f aca="false">SUM(Q381:Q383)</f>
        <v>0</v>
      </c>
      <c r="R384" s="481" t="n">
        <f aca="false">SUM(R381:R383)</f>
        <v>0</v>
      </c>
      <c r="S384" s="481" t="n">
        <f aca="false">SUM(S381:S383)</f>
        <v>0</v>
      </c>
      <c r="T384" s="481" t="n">
        <f aca="false">SUM(T381:T383)</f>
        <v>0</v>
      </c>
      <c r="U384" s="481" t="n">
        <f aca="false">SUM(U381:U383)</f>
        <v>0</v>
      </c>
      <c r="V384" s="481" t="n">
        <f aca="false">SUM(V381:V383)</f>
        <v>0</v>
      </c>
      <c r="W384" s="481" t="n">
        <f aca="false">SUM(W381:W383)</f>
        <v>0</v>
      </c>
      <c r="X384" s="481" t="n">
        <f aca="false">SUM(X381:X383)</f>
        <v>0</v>
      </c>
      <c r="Y384" s="481" t="n">
        <f aca="false">SUM(Y381:Y383)</f>
        <v>0</v>
      </c>
      <c r="Z384" s="481" t="n">
        <f aca="false">SUM(Z381:Z383)</f>
        <v>0</v>
      </c>
      <c r="AA384" s="481" t="n">
        <f aca="false">SUM(AA381:AA383)</f>
        <v>0</v>
      </c>
      <c r="AB384" s="481" t="n">
        <f aca="false">SUM(AB381:AB383)</f>
        <v>0</v>
      </c>
      <c r="AC384" s="481" t="n">
        <f aca="false">SUM(AC381:AC383)</f>
        <v>0</v>
      </c>
      <c r="AD384" s="481" t="n">
        <f aca="false">SUM(AD381:AD383)</f>
        <v>0</v>
      </c>
      <c r="AE384" s="481" t="n">
        <f aca="false">SUM(AE381:AE383)</f>
        <v>0</v>
      </c>
      <c r="AF384" s="481" t="n">
        <f aca="false">SUM(AF381:AF383)</f>
        <v>0</v>
      </c>
    </row>
    <row r="385" customFormat="false" ht="11.25" hidden="false" customHeight="false" outlineLevel="0" collapsed="false">
      <c r="A385" s="238"/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</row>
    <row r="386" customFormat="false" ht="11.25" hidden="false" customHeight="false" outlineLevel="0" collapsed="false">
      <c r="A386" s="450" t="s">
        <v>488</v>
      </c>
      <c r="B386" s="238"/>
      <c r="C386" s="238"/>
      <c r="D386" s="238"/>
      <c r="E386" s="238"/>
      <c r="F386" s="238"/>
      <c r="G386" s="468"/>
      <c r="H386" s="468" t="n">
        <v>0</v>
      </c>
      <c r="I386" s="468" t="n">
        <f aca="false">-I445-I446</f>
        <v>-0</v>
      </c>
      <c r="J386" s="468" t="e">
        <f aca="false">-J445-J446</f>
        <v>#VALUE!</v>
      </c>
      <c r="K386" s="468" t="e">
        <f aca="false">-K445-K446</f>
        <v>#VALUE!</v>
      </c>
      <c r="L386" s="468" t="e">
        <f aca="false">-L445-L446</f>
        <v>#VALUE!</v>
      </c>
      <c r="M386" s="468" t="e">
        <f aca="false">-M445-M446</f>
        <v>#VALUE!</v>
      </c>
      <c r="N386" s="468" t="e">
        <f aca="false">-N445-N446</f>
        <v>#VALUE!</v>
      </c>
      <c r="O386" s="468" t="e">
        <f aca="false">-O445-O446</f>
        <v>#VALUE!</v>
      </c>
      <c r="P386" s="468" t="e">
        <f aca="false">-P445-P446</f>
        <v>#VALUE!</v>
      </c>
      <c r="Q386" s="468" t="e">
        <f aca="false">-Q445-Q446</f>
        <v>#VALUE!</v>
      </c>
      <c r="R386" s="468" t="e">
        <f aca="false">-R445-R446</f>
        <v>#VALUE!</v>
      </c>
      <c r="S386" s="468" t="e">
        <f aca="false">-S445-S446</f>
        <v>#VALUE!</v>
      </c>
      <c r="T386" s="468" t="e">
        <f aca="false">-T445-T446</f>
        <v>#VALUE!</v>
      </c>
      <c r="U386" s="468" t="e">
        <f aca="false">-U445-U446</f>
        <v>#VALUE!</v>
      </c>
      <c r="V386" s="468" t="e">
        <f aca="false">-V445-V446</f>
        <v>#VALUE!</v>
      </c>
      <c r="W386" s="468" t="e">
        <f aca="false">-W445-W446</f>
        <v>#VALUE!</v>
      </c>
      <c r="X386" s="468" t="e">
        <f aca="false">-X445-X446</f>
        <v>#VALUE!</v>
      </c>
      <c r="Y386" s="468" t="e">
        <f aca="false">-Y445-Y446</f>
        <v>#VALUE!</v>
      </c>
      <c r="Z386" s="468" t="e">
        <f aca="false">-Z445-Z446</f>
        <v>#VALUE!</v>
      </c>
      <c r="AA386" s="468" t="e">
        <f aca="false">-AA445-AA446</f>
        <v>#VALUE!</v>
      </c>
      <c r="AB386" s="468" t="e">
        <f aca="false">-AB445-AB446</f>
        <v>#VALUE!</v>
      </c>
      <c r="AC386" s="468" t="e">
        <f aca="false">-AC445-AC446</f>
        <v>#VALUE!</v>
      </c>
      <c r="AD386" s="468" t="e">
        <f aca="false">-AD445-AD446</f>
        <v>#VALUE!</v>
      </c>
      <c r="AE386" s="468" t="e">
        <f aca="false">-AE445-AE446</f>
        <v>#VALUE!</v>
      </c>
      <c r="AF386" s="468" t="e">
        <f aca="false">-AF445-AF446</f>
        <v>#VALUE!</v>
      </c>
    </row>
    <row r="387" customFormat="false" ht="11.25" hidden="false" customHeight="false" outlineLevel="0" collapsed="false">
      <c r="A387" s="450" t="s">
        <v>489</v>
      </c>
      <c r="B387" s="238"/>
      <c r="C387" s="238"/>
      <c r="D387" s="238"/>
      <c r="E387" s="238"/>
      <c r="F387" s="238"/>
      <c r="G387" s="238"/>
      <c r="H387" s="238" t="n">
        <f aca="false">-H378-H384-H386</f>
        <v>0</v>
      </c>
      <c r="I387" s="238" t="n">
        <f aca="false">-I378-I384-I386</f>
        <v>0</v>
      </c>
      <c r="J387" s="238" t="e">
        <f aca="false">-J378-J384-J386</f>
        <v>#VALUE!</v>
      </c>
      <c r="K387" s="238" t="e">
        <f aca="false">-K378-K384-K386</f>
        <v>#VALUE!</v>
      </c>
      <c r="L387" s="238" t="e">
        <f aca="false">-L378-L384-L386</f>
        <v>#VALUE!</v>
      </c>
      <c r="M387" s="238" t="e">
        <f aca="false">-M378-M384-M386</f>
        <v>#VALUE!</v>
      </c>
      <c r="N387" s="238" t="e">
        <f aca="false">-N378-N384-N386</f>
        <v>#VALUE!</v>
      </c>
      <c r="O387" s="238" t="e">
        <f aca="false">-O378-O384-O386</f>
        <v>#VALUE!</v>
      </c>
      <c r="P387" s="238" t="e">
        <f aca="false">-P378-P384-P386</f>
        <v>#VALUE!</v>
      </c>
      <c r="Q387" s="238" t="e">
        <f aca="false">-Q378-Q384-Q386</f>
        <v>#VALUE!</v>
      </c>
      <c r="R387" s="238" t="e">
        <f aca="false">-R378-R384-R386</f>
        <v>#VALUE!</v>
      </c>
      <c r="S387" s="238" t="e">
        <f aca="false">-S378-S384-S386</f>
        <v>#VALUE!</v>
      </c>
      <c r="T387" s="238" t="e">
        <f aca="false">-T378-T384-T386</f>
        <v>#VALUE!</v>
      </c>
      <c r="U387" s="238" t="e">
        <f aca="false">-U378-U384-U386</f>
        <v>#VALUE!</v>
      </c>
      <c r="V387" s="238" t="e">
        <f aca="false">-V378-V384-V386</f>
        <v>#VALUE!</v>
      </c>
      <c r="W387" s="238" t="e">
        <f aca="false">-W378-W384-W386</f>
        <v>#VALUE!</v>
      </c>
      <c r="X387" s="238" t="e">
        <f aca="false">-X378-X384-X386</f>
        <v>#VALUE!</v>
      </c>
      <c r="Y387" s="238" t="e">
        <f aca="false">-Y378-Y384-Y386</f>
        <v>#VALUE!</v>
      </c>
      <c r="Z387" s="238" t="e">
        <f aca="false">-Z378-Z384-Z386</f>
        <v>#VALUE!</v>
      </c>
      <c r="AA387" s="238" t="e">
        <f aca="false">-AA378-AA384-AA386</f>
        <v>#VALUE!</v>
      </c>
      <c r="AB387" s="238" t="e">
        <f aca="false">-AB378-AB384-AB386</f>
        <v>#VALUE!</v>
      </c>
      <c r="AC387" s="238" t="e">
        <f aca="false">-AC378-AC384-AC386</f>
        <v>#VALUE!</v>
      </c>
      <c r="AD387" s="238" t="e">
        <f aca="false">-AD378-AD384-AD386</f>
        <v>#VALUE!</v>
      </c>
      <c r="AE387" s="238" t="e">
        <f aca="false">-AE378-AE384-AE386</f>
        <v>#VALUE!</v>
      </c>
      <c r="AF387" s="238" t="e">
        <f aca="false">-AF378-AF384-AF386</f>
        <v>#VALUE!</v>
      </c>
    </row>
    <row r="388" customFormat="false" ht="11.25" hidden="false" customHeight="false" outlineLevel="0" collapsed="false">
      <c r="A388" s="473" t="s">
        <v>490</v>
      </c>
      <c r="B388" s="238"/>
      <c r="C388" s="238"/>
      <c r="D388" s="238"/>
      <c r="E388" s="238"/>
      <c r="F388" s="238"/>
      <c r="G388" s="454"/>
      <c r="H388" s="477" t="n">
        <f aca="false">H384+H386+H387</f>
        <v>80500</v>
      </c>
      <c r="I388" s="477" t="n">
        <f aca="false">I384+I386+I387</f>
        <v>0</v>
      </c>
      <c r="J388" s="477" t="e">
        <f aca="false">J384+J386+J387</f>
        <v>#VALUE!</v>
      </c>
      <c r="K388" s="477" t="e">
        <f aca="false">K384+K386+K387</f>
        <v>#VALUE!</v>
      </c>
      <c r="L388" s="477" t="e">
        <f aca="false">L384+L386+L387</f>
        <v>#VALUE!</v>
      </c>
      <c r="M388" s="477" t="e">
        <f aca="false">M384+M386+M387</f>
        <v>#VALUE!</v>
      </c>
      <c r="N388" s="477" t="e">
        <f aca="false">N384+N386+N387</f>
        <v>#VALUE!</v>
      </c>
      <c r="O388" s="477" t="e">
        <f aca="false">O384+O386+O387</f>
        <v>#VALUE!</v>
      </c>
      <c r="P388" s="477" t="e">
        <f aca="false">P384+P386+P387</f>
        <v>#VALUE!</v>
      </c>
      <c r="Q388" s="477" t="e">
        <f aca="false">Q384+Q386+Q387</f>
        <v>#VALUE!</v>
      </c>
      <c r="R388" s="477" t="e">
        <f aca="false">R384+R386+R387</f>
        <v>#VALUE!</v>
      </c>
      <c r="S388" s="477" t="e">
        <f aca="false">S384+S386+S387</f>
        <v>#VALUE!</v>
      </c>
      <c r="T388" s="477" t="e">
        <f aca="false">T384+T386+T387</f>
        <v>#VALUE!</v>
      </c>
      <c r="U388" s="477" t="e">
        <f aca="false">U384+U386+U387</f>
        <v>#VALUE!</v>
      </c>
      <c r="V388" s="477" t="e">
        <f aca="false">V384+V386+V387</f>
        <v>#VALUE!</v>
      </c>
      <c r="W388" s="477" t="e">
        <f aca="false">W384+W386+W387</f>
        <v>#VALUE!</v>
      </c>
      <c r="X388" s="477" t="e">
        <f aca="false">X384+X386+X387</f>
        <v>#VALUE!</v>
      </c>
      <c r="Y388" s="477" t="e">
        <f aca="false">Y384+Y386+Y387</f>
        <v>#VALUE!</v>
      </c>
      <c r="Z388" s="477" t="e">
        <f aca="false">Z384+Z386+Z387</f>
        <v>#VALUE!</v>
      </c>
      <c r="AA388" s="477" t="e">
        <f aca="false">AA384+AA386+AA387</f>
        <v>#VALUE!</v>
      </c>
      <c r="AB388" s="477" t="e">
        <f aca="false">AB384+AB386+AB387</f>
        <v>#VALUE!</v>
      </c>
      <c r="AC388" s="477" t="e">
        <f aca="false">AC384+AC386+AC387</f>
        <v>#VALUE!</v>
      </c>
      <c r="AD388" s="477" t="e">
        <f aca="false">AD384+AD386+AD387</f>
        <v>#VALUE!</v>
      </c>
      <c r="AE388" s="477" t="e">
        <f aca="false">AE384+AE386+AE387</f>
        <v>#VALUE!</v>
      </c>
      <c r="AF388" s="477" t="e">
        <f aca="false">AF384+AF386+AF387</f>
        <v>#VALUE!</v>
      </c>
    </row>
    <row r="389" customFormat="false" ht="11.25" hidden="false" customHeight="false" outlineLevel="0" collapsed="false">
      <c r="A389" s="238"/>
      <c r="B389" s="238"/>
      <c r="C389" s="238"/>
      <c r="D389" s="238"/>
      <c r="E389" s="238"/>
      <c r="F389" s="238"/>
      <c r="G389" s="454"/>
      <c r="H389" s="468"/>
      <c r="I389" s="468"/>
      <c r="J389" s="468"/>
      <c r="K389" s="468"/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  <c r="AD389" s="468"/>
      <c r="AE389" s="468"/>
      <c r="AF389" s="468"/>
    </row>
    <row r="390" customFormat="false" ht="11.25" hidden="false" customHeight="false" outlineLevel="0" collapsed="false">
      <c r="A390" s="473" t="s">
        <v>491</v>
      </c>
      <c r="B390" s="238"/>
      <c r="C390" s="238"/>
      <c r="D390" s="238"/>
      <c r="E390" s="238"/>
      <c r="F390" s="238"/>
      <c r="G390" s="454"/>
      <c r="H390" s="468"/>
      <c r="I390" s="468"/>
      <c r="J390" s="468"/>
      <c r="K390" s="468"/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  <c r="AD390" s="468"/>
      <c r="AE390" s="468"/>
      <c r="AF390" s="468"/>
    </row>
    <row r="391" customFormat="false" ht="11.25" hidden="false" customHeight="false" outlineLevel="0" collapsed="false">
      <c r="A391" s="450" t="s">
        <v>492</v>
      </c>
      <c r="B391" s="238"/>
      <c r="C391" s="238"/>
      <c r="D391" s="238"/>
      <c r="E391" s="238"/>
      <c r="F391" s="238"/>
      <c r="G391" s="454"/>
      <c r="H391" s="493" t="n">
        <v>0</v>
      </c>
      <c r="I391" s="468" t="n">
        <f aca="false">H395</f>
        <v>0</v>
      </c>
      <c r="J391" s="468" t="n">
        <f aca="false">I395</f>
        <v>0</v>
      </c>
      <c r="K391" s="468" t="e">
        <f aca="false">J395</f>
        <v>#VALUE!</v>
      </c>
      <c r="L391" s="468" t="e">
        <f aca="false">K395</f>
        <v>#VALUE!</v>
      </c>
      <c r="M391" s="468" t="e">
        <f aca="false">L395</f>
        <v>#VALUE!</v>
      </c>
      <c r="N391" s="468" t="e">
        <f aca="false">M395</f>
        <v>#VALUE!</v>
      </c>
      <c r="O391" s="468" t="e">
        <f aca="false">N395</f>
        <v>#VALUE!</v>
      </c>
      <c r="P391" s="468" t="e">
        <f aca="false">O395</f>
        <v>#VALUE!</v>
      </c>
      <c r="Q391" s="468" t="e">
        <f aca="false">P395</f>
        <v>#VALUE!</v>
      </c>
      <c r="R391" s="468" t="e">
        <f aca="false">Q395</f>
        <v>#VALUE!</v>
      </c>
      <c r="S391" s="468" t="e">
        <f aca="false">R395</f>
        <v>#VALUE!</v>
      </c>
      <c r="T391" s="468" t="e">
        <f aca="false">S395</f>
        <v>#VALUE!</v>
      </c>
      <c r="U391" s="468" t="e">
        <f aca="false">T395</f>
        <v>#VALUE!</v>
      </c>
      <c r="V391" s="468" t="e">
        <f aca="false">U395</f>
        <v>#VALUE!</v>
      </c>
      <c r="W391" s="468" t="e">
        <f aca="false">V395</f>
        <v>#VALUE!</v>
      </c>
      <c r="X391" s="468" t="e">
        <f aca="false">W395</f>
        <v>#VALUE!</v>
      </c>
      <c r="Y391" s="468" t="e">
        <f aca="false">X395</f>
        <v>#VALUE!</v>
      </c>
      <c r="Z391" s="468" t="e">
        <f aca="false">Y395</f>
        <v>#VALUE!</v>
      </c>
      <c r="AA391" s="468" t="e">
        <f aca="false">Z395</f>
        <v>#VALUE!</v>
      </c>
      <c r="AB391" s="468" t="e">
        <f aca="false">AA395</f>
        <v>#VALUE!</v>
      </c>
      <c r="AC391" s="468" t="e">
        <f aca="false">AB395</f>
        <v>#VALUE!</v>
      </c>
      <c r="AD391" s="468" t="e">
        <f aca="false">AC395</f>
        <v>#VALUE!</v>
      </c>
      <c r="AE391" s="468" t="e">
        <f aca="false">AD395</f>
        <v>#VALUE!</v>
      </c>
      <c r="AF391" s="468" t="e">
        <f aca="false">AE395</f>
        <v>#VALUE!</v>
      </c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</row>
    <row r="392" customFormat="false" ht="11.25" hidden="false" customHeight="false" outlineLevel="0" collapsed="false">
      <c r="A392" s="450" t="s">
        <v>493</v>
      </c>
      <c r="B392" s="238"/>
      <c r="C392" s="238"/>
      <c r="D392" s="238"/>
      <c r="E392" s="238"/>
      <c r="F392" s="238"/>
      <c r="G392" s="238"/>
      <c r="H392" s="494" t="n">
        <v>0</v>
      </c>
      <c r="I392" s="238" t="n">
        <f aca="false">I569-H569</f>
        <v>0</v>
      </c>
      <c r="J392" s="238" t="e">
        <f aca="false">J569-I569</f>
        <v>#VALUE!</v>
      </c>
      <c r="K392" s="238" t="e">
        <f aca="false">K569-J569</f>
        <v>#VALUE!</v>
      </c>
      <c r="L392" s="238" t="e">
        <f aca="false">L569-K569</f>
        <v>#VALUE!</v>
      </c>
      <c r="M392" s="238" t="e">
        <f aca="false">M569-L569</f>
        <v>#VALUE!</v>
      </c>
      <c r="N392" s="238" t="e">
        <f aca="false">N569-M569</f>
        <v>#VALUE!</v>
      </c>
      <c r="O392" s="238" t="e">
        <f aca="false">O569-N569</f>
        <v>#VALUE!</v>
      </c>
      <c r="P392" s="238" t="e">
        <f aca="false">P569-O569</f>
        <v>#VALUE!</v>
      </c>
      <c r="Q392" s="238" t="e">
        <f aca="false">Q569-P569</f>
        <v>#VALUE!</v>
      </c>
      <c r="R392" s="238" t="e">
        <f aca="false">R569-Q569</f>
        <v>#VALUE!</v>
      </c>
      <c r="S392" s="238" t="e">
        <f aca="false">S569-R569</f>
        <v>#VALUE!</v>
      </c>
      <c r="T392" s="238" t="e">
        <f aca="false">T569-S569</f>
        <v>#VALUE!</v>
      </c>
      <c r="U392" s="238" t="e">
        <f aca="false">U569-T569</f>
        <v>#VALUE!</v>
      </c>
      <c r="V392" s="238" t="e">
        <f aca="false">V569-U569</f>
        <v>#VALUE!</v>
      </c>
      <c r="W392" s="238" t="e">
        <f aca="false">W569-V569</f>
        <v>#VALUE!</v>
      </c>
      <c r="X392" s="238" t="e">
        <f aca="false">X569-W569</f>
        <v>#VALUE!</v>
      </c>
      <c r="Y392" s="238" t="e">
        <f aca="false">Y569-X569</f>
        <v>#VALUE!</v>
      </c>
      <c r="Z392" s="238" t="e">
        <f aca="false">Z569-Y569</f>
        <v>#VALUE!</v>
      </c>
      <c r="AA392" s="238" t="e">
        <f aca="false">AA569-Z569</f>
        <v>#VALUE!</v>
      </c>
      <c r="AB392" s="238" t="e">
        <f aca="false">AB569-AA569</f>
        <v>#VALUE!</v>
      </c>
      <c r="AC392" s="238" t="e">
        <f aca="false">AC569-AB569</f>
        <v>#VALUE!</v>
      </c>
      <c r="AD392" s="238" t="e">
        <f aca="false">AD569-AC569</f>
        <v>#VALUE!</v>
      </c>
      <c r="AE392" s="238" t="e">
        <f aca="false">AE569-AD569</f>
        <v>#VALUE!</v>
      </c>
      <c r="AF392" s="238" t="e">
        <f aca="false">AF569-AE569</f>
        <v>#VALUE!</v>
      </c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</row>
    <row r="393" customFormat="false" ht="11.25" hidden="false" customHeight="false" outlineLevel="0" collapsed="false">
      <c r="A393" s="450" t="s">
        <v>494</v>
      </c>
      <c r="B393" s="238"/>
      <c r="C393" s="238"/>
      <c r="D393" s="238"/>
      <c r="E393" s="238"/>
      <c r="F393" s="238"/>
      <c r="G393" s="468"/>
      <c r="H393" s="493" t="n">
        <v>0</v>
      </c>
      <c r="I393" s="468" t="n">
        <f aca="false">-I387</f>
        <v>-0</v>
      </c>
      <c r="J393" s="468" t="e">
        <f aca="false">-J387</f>
        <v>#VALUE!</v>
      </c>
      <c r="K393" s="468" t="e">
        <f aca="false">-K387</f>
        <v>#VALUE!</v>
      </c>
      <c r="L393" s="468" t="e">
        <f aca="false">-L387</f>
        <v>#VALUE!</v>
      </c>
      <c r="M393" s="468" t="e">
        <f aca="false">-M387</f>
        <v>#VALUE!</v>
      </c>
      <c r="N393" s="468" t="e">
        <f aca="false">-N387</f>
        <v>#VALUE!</v>
      </c>
      <c r="O393" s="468" t="e">
        <f aca="false">-O387</f>
        <v>#VALUE!</v>
      </c>
      <c r="P393" s="468" t="e">
        <f aca="false">-P387</f>
        <v>#VALUE!</v>
      </c>
      <c r="Q393" s="468" t="e">
        <f aca="false">-Q387</f>
        <v>#VALUE!</v>
      </c>
      <c r="R393" s="468" t="e">
        <f aca="false">-R387</f>
        <v>#VALUE!</v>
      </c>
      <c r="S393" s="468" t="e">
        <f aca="false">-S387</f>
        <v>#VALUE!</v>
      </c>
      <c r="T393" s="468" t="e">
        <f aca="false">-T387</f>
        <v>#VALUE!</v>
      </c>
      <c r="U393" s="468" t="e">
        <f aca="false">-U387</f>
        <v>#VALUE!</v>
      </c>
      <c r="V393" s="468" t="e">
        <f aca="false">-V387</f>
        <v>#VALUE!</v>
      </c>
      <c r="W393" s="468" t="e">
        <f aca="false">-W387</f>
        <v>#VALUE!</v>
      </c>
      <c r="X393" s="468" t="e">
        <f aca="false">-X387</f>
        <v>#VALUE!</v>
      </c>
      <c r="Y393" s="468" t="e">
        <f aca="false">-Y387</f>
        <v>#VALUE!</v>
      </c>
      <c r="Z393" s="468" t="e">
        <f aca="false">-Z387</f>
        <v>#VALUE!</v>
      </c>
      <c r="AA393" s="468" t="e">
        <f aca="false">-AA387</f>
        <v>#VALUE!</v>
      </c>
      <c r="AB393" s="468" t="e">
        <f aca="false">-AB387</f>
        <v>#VALUE!</v>
      </c>
      <c r="AC393" s="468" t="e">
        <f aca="false">-AC387</f>
        <v>#VALUE!</v>
      </c>
      <c r="AD393" s="468" t="e">
        <f aca="false">-AD387</f>
        <v>#VALUE!</v>
      </c>
      <c r="AE393" s="468" t="e">
        <f aca="false">-AE387</f>
        <v>#VALUE!</v>
      </c>
      <c r="AF393" s="468" t="e">
        <f aca="false">-AF387</f>
        <v>#VALUE!</v>
      </c>
      <c r="AG393" s="241"/>
      <c r="AH393" s="241"/>
      <c r="AI393" s="241"/>
      <c r="AJ393" s="241"/>
      <c r="AK393" s="241"/>
      <c r="AL393" s="241"/>
      <c r="AM393" s="241"/>
      <c r="AN393" s="241"/>
      <c r="AO393" s="241"/>
      <c r="AP393" s="241"/>
      <c r="AQ393" s="241"/>
      <c r="AR393" s="241"/>
      <c r="AS393" s="241"/>
      <c r="AT393" s="241"/>
      <c r="AU393" s="241"/>
      <c r="AV393" s="241"/>
      <c r="AW393" s="241"/>
      <c r="AX393" s="241"/>
      <c r="AY393" s="241"/>
      <c r="AZ393" s="241"/>
      <c r="BA393" s="241"/>
      <c r="BB393" s="241"/>
      <c r="BC393" s="241"/>
      <c r="BD393" s="241"/>
      <c r="BE393" s="241"/>
    </row>
    <row r="394" customFormat="false" ht="11.25" hidden="false" customHeight="false" outlineLevel="0" collapsed="false">
      <c r="A394" s="238" t="str">
        <f aca="false">"Excess Cash Flow Recaptured on "&amp;B481</f>
        <v>Excess Cash Flow Recaptured on Purchase Term Loan</v>
      </c>
      <c r="B394" s="238"/>
      <c r="C394" s="238"/>
      <c r="D394" s="238"/>
      <c r="E394" s="238"/>
      <c r="F394" s="238"/>
      <c r="G394" s="238"/>
      <c r="H394" s="494" t="n">
        <v>0</v>
      </c>
      <c r="I394" s="238" t="n">
        <f aca="false">IF(I393&gt;0,-MIN((+I393)*I609,I451-I452-I453),0)</f>
        <v>0</v>
      </c>
      <c r="J394" s="238" t="e">
        <f aca="false">IF(J393&gt;0,-MIN((+J393)*J609,J451-J452-J453),0)</f>
        <v>#VALUE!</v>
      </c>
      <c r="K394" s="238" t="e">
        <f aca="false">IF(K393&gt;0,-MIN((+K393)*K609,K451-K452-K453),0)</f>
        <v>#VALUE!</v>
      </c>
      <c r="L394" s="238" t="e">
        <f aca="false">IF(L393&gt;0,-MIN((+L393)*L609,L451-L452-L453),0)</f>
        <v>#VALUE!</v>
      </c>
      <c r="M394" s="238" t="e">
        <f aca="false">IF(M393&gt;0,-MIN((+M393)*M609,M451-M452-M453),0)</f>
        <v>#VALUE!</v>
      </c>
      <c r="N394" s="238" t="e">
        <f aca="false">IF(N393&gt;0,-MIN((+N393)*N609,N451-N452-N453),0)</f>
        <v>#VALUE!</v>
      </c>
      <c r="O394" s="238" t="e">
        <f aca="false">IF(O393&gt;0,-MIN((+O393)*O609,O451-O452-O453),0)</f>
        <v>#VALUE!</v>
      </c>
      <c r="P394" s="238" t="e">
        <f aca="false">IF(P393&gt;0,-MIN((+P393)*P609,P451-P452-P453),0)</f>
        <v>#VALUE!</v>
      </c>
      <c r="Q394" s="238" t="e">
        <f aca="false">IF(Q393&gt;0,-MIN((+Q393)*Q609,Q451-Q452-Q453),0)</f>
        <v>#VALUE!</v>
      </c>
      <c r="R394" s="238" t="e">
        <f aca="false">IF(R393&gt;0,-MIN((+R393)*R609,R451-R452-R453),0)</f>
        <v>#VALUE!</v>
      </c>
      <c r="S394" s="238" t="e">
        <f aca="false">IF(S393&gt;0,-MIN((+S393)*S609,S451-S452-S453),0)</f>
        <v>#VALUE!</v>
      </c>
      <c r="T394" s="238" t="e">
        <f aca="false">IF(T393&gt;0,-MIN((+T393)*T609,T451-T452-T453),0)</f>
        <v>#VALUE!</v>
      </c>
      <c r="U394" s="238" t="e">
        <f aca="false">IF(U393&gt;0,-MIN((+U393)*U609,U451-U452-U453),0)</f>
        <v>#VALUE!</v>
      </c>
      <c r="V394" s="238" t="e">
        <f aca="false">IF(V393&gt;0,-MIN((+V393)*V609,V451-V452-V453),0)</f>
        <v>#VALUE!</v>
      </c>
      <c r="W394" s="238" t="e">
        <f aca="false">IF(W393&gt;0,-MIN((+W393)*W609,W451-W452-W453),0)</f>
        <v>#VALUE!</v>
      </c>
      <c r="X394" s="238" t="e">
        <f aca="false">IF(X393&gt;0,-MIN((+X393)*X609,X451-X452-X453),0)</f>
        <v>#VALUE!</v>
      </c>
      <c r="Y394" s="238" t="e">
        <f aca="false">IF(Y393&gt;0,-MIN((+Y393)*Y609,Y451-Y452-Y453),0)</f>
        <v>#VALUE!</v>
      </c>
      <c r="Z394" s="238" t="e">
        <f aca="false">IF(Z393&gt;0,-MIN((+Z393)*Z609,Z451-Z452-Z453),0)</f>
        <v>#VALUE!</v>
      </c>
      <c r="AA394" s="238" t="e">
        <f aca="false">IF(AA393&gt;0,-MIN((+AA393)*AA609,AA451-AA452-AA453),0)</f>
        <v>#VALUE!</v>
      </c>
      <c r="AB394" s="238" t="e">
        <f aca="false">IF(AB393&gt;0,-MIN((+AB393)*AB609,AB451-AB452-AB453),0)</f>
        <v>#VALUE!</v>
      </c>
      <c r="AC394" s="238" t="e">
        <f aca="false">IF(AC393&gt;0,-MIN((+AC393)*AC609,AC451-AC452-AC453),0)</f>
        <v>#VALUE!</v>
      </c>
      <c r="AD394" s="238" t="e">
        <f aca="false">IF(AD393&gt;0,-MIN((+AD393)*AD609,AD451-AD452-AD453),0)</f>
        <v>#VALUE!</v>
      </c>
      <c r="AE394" s="238" t="e">
        <f aca="false">IF(AE393&gt;0,-MIN((+AE393)*AE609,AE451-AE452-AE453),0)</f>
        <v>#VALUE!</v>
      </c>
      <c r="AF394" s="238" t="e">
        <f aca="false">IF(AF393&gt;0,-MIN((+AF393)*AF609,AF451-AF452-AF453),0)</f>
        <v>#VALUE!</v>
      </c>
      <c r="AG394" s="238" t="n">
        <f aca="false">IF(AG393&gt;0,-MIN((+AG393)*AG609,AG451-AG452-AG453),0)</f>
        <v>0</v>
      </c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</row>
    <row r="395" customFormat="false" ht="11.25" hidden="false" customHeight="false" outlineLevel="0" collapsed="false">
      <c r="A395" s="450" t="s">
        <v>495</v>
      </c>
      <c r="B395" s="238"/>
      <c r="C395" s="238"/>
      <c r="D395" s="238"/>
      <c r="E395" s="238"/>
      <c r="F395" s="238"/>
      <c r="G395" s="454"/>
      <c r="H395" s="495" t="n">
        <f aca="false">H569</f>
        <v>0</v>
      </c>
      <c r="I395" s="477" t="n">
        <f aca="false">I391+I392+I393+I394</f>
        <v>0</v>
      </c>
      <c r="J395" s="477" t="e">
        <f aca="false">J391+J392+J393+J394</f>
        <v>#VALUE!</v>
      </c>
      <c r="K395" s="477" t="e">
        <f aca="false">K391+K392+K393+K394</f>
        <v>#VALUE!</v>
      </c>
      <c r="L395" s="477" t="e">
        <f aca="false">L391+L392+L393+L394</f>
        <v>#VALUE!</v>
      </c>
      <c r="M395" s="477" t="e">
        <f aca="false">M391+M392+M393+M394</f>
        <v>#VALUE!</v>
      </c>
      <c r="N395" s="477" t="e">
        <f aca="false">N391+N392+N393+N394</f>
        <v>#VALUE!</v>
      </c>
      <c r="O395" s="477" t="e">
        <f aca="false">O391+O392+O393+O394</f>
        <v>#VALUE!</v>
      </c>
      <c r="P395" s="477" t="e">
        <f aca="false">P391+P392+P393+P394</f>
        <v>#VALUE!</v>
      </c>
      <c r="Q395" s="477" t="e">
        <f aca="false">Q391+Q392+Q393+Q394</f>
        <v>#VALUE!</v>
      </c>
      <c r="R395" s="477" t="e">
        <f aca="false">R391+R392+R393+R394</f>
        <v>#VALUE!</v>
      </c>
      <c r="S395" s="477" t="e">
        <f aca="false">S391+S392+S393+S394</f>
        <v>#VALUE!</v>
      </c>
      <c r="T395" s="477" t="e">
        <f aca="false">T391+T392+T393+T394</f>
        <v>#VALUE!</v>
      </c>
      <c r="U395" s="477" t="e">
        <f aca="false">U391+U392+U393+U394</f>
        <v>#VALUE!</v>
      </c>
      <c r="V395" s="477" t="e">
        <f aca="false">V391+V392+V393+V394</f>
        <v>#VALUE!</v>
      </c>
      <c r="W395" s="477" t="e">
        <f aca="false">W391+W392+W393+W394</f>
        <v>#VALUE!</v>
      </c>
      <c r="X395" s="477" t="e">
        <f aca="false">X391+X392+X393+X394</f>
        <v>#VALUE!</v>
      </c>
      <c r="Y395" s="477" t="e">
        <f aca="false">Y391+Y392+Y393+Y394</f>
        <v>#VALUE!</v>
      </c>
      <c r="Z395" s="477" t="e">
        <f aca="false">Z391+Z392+Z393+Z394</f>
        <v>#VALUE!</v>
      </c>
      <c r="AA395" s="477" t="e">
        <f aca="false">AA391+AA392+AA393+AA394</f>
        <v>#VALUE!</v>
      </c>
      <c r="AB395" s="477" t="e">
        <f aca="false">AB391+AB392+AB393+AB394</f>
        <v>#VALUE!</v>
      </c>
      <c r="AC395" s="477" t="e">
        <f aca="false">AC391+AC392+AC393+AC394</f>
        <v>#VALUE!</v>
      </c>
      <c r="AD395" s="477" t="e">
        <f aca="false">AD391+AD392+AD393+AD394</f>
        <v>#VALUE!</v>
      </c>
      <c r="AE395" s="477" t="e">
        <f aca="false">AE391+AE392+AE393+AE394</f>
        <v>#VALUE!</v>
      </c>
      <c r="AF395" s="477" t="e">
        <f aca="false">AF391+AF392+AF393+AF394</f>
        <v>#VALUE!</v>
      </c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</row>
    <row r="396" customFormat="false" ht="12" hidden="false" customHeight="false" outlineLevel="0" collapsed="false">
      <c r="A396" s="450"/>
      <c r="B396" s="238"/>
      <c r="C396" s="238"/>
      <c r="D396" s="238"/>
      <c r="E396" s="238"/>
      <c r="F396" s="238"/>
      <c r="G396" s="496"/>
      <c r="H396" s="474"/>
      <c r="I396" s="474"/>
      <c r="J396" s="474"/>
      <c r="K396" s="474"/>
      <c r="L396" s="474"/>
      <c r="M396" s="474"/>
      <c r="N396" s="474"/>
      <c r="O396" s="474"/>
      <c r="P396" s="474"/>
      <c r="Q396" s="474"/>
      <c r="R396" s="474"/>
      <c r="S396" s="474"/>
      <c r="T396" s="238"/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</row>
    <row r="397" customFormat="false" ht="12.75" hidden="false" customHeight="false" outlineLevel="0" collapsed="false">
      <c r="A397" s="238"/>
      <c r="B397" s="238"/>
      <c r="C397" s="238"/>
      <c r="D397" s="238"/>
      <c r="E397" s="497" t="n">
        <f aca="false">E$638</f>
        <v>35430</v>
      </c>
      <c r="F397" s="497" t="n">
        <f aca="false">F$638</f>
        <v>35795</v>
      </c>
      <c r="G397" s="497" t="n">
        <f aca="false">G$638</f>
        <v>36160</v>
      </c>
      <c r="H397" s="497" t="n">
        <f aca="false">H$638</f>
        <v>36373</v>
      </c>
      <c r="I397" s="498" t="n">
        <f aca="false">I$638</f>
        <v>36525</v>
      </c>
      <c r="J397" s="498" t="n">
        <f aca="false">J$638</f>
        <v>36891</v>
      </c>
      <c r="K397" s="498" t="n">
        <f aca="false">K$638</f>
        <v>37256</v>
      </c>
      <c r="L397" s="498" t="n">
        <f aca="false">L$638</f>
        <v>37621</v>
      </c>
      <c r="M397" s="498" t="n">
        <f aca="false">M$638</f>
        <v>37986</v>
      </c>
      <c r="N397" s="498" t="n">
        <f aca="false">N$638</f>
        <v>38352</v>
      </c>
      <c r="O397" s="498" t="n">
        <f aca="false">O$638</f>
        <v>38717</v>
      </c>
      <c r="P397" s="498" t="n">
        <f aca="false">P$638</f>
        <v>39082</v>
      </c>
      <c r="Q397" s="498" t="n">
        <f aca="false">Q$638</f>
        <v>39447</v>
      </c>
      <c r="R397" s="498" t="n">
        <f aca="false">R$638</f>
        <v>39813</v>
      </c>
      <c r="S397" s="498" t="n">
        <f aca="false">S$638</f>
        <v>40178</v>
      </c>
      <c r="T397" s="498" t="n">
        <f aca="false">T$638</f>
        <v>40543</v>
      </c>
      <c r="U397" s="498" t="n">
        <f aca="false">U$638</f>
        <v>40908</v>
      </c>
      <c r="V397" s="498" t="n">
        <f aca="false">V$638</f>
        <v>41274</v>
      </c>
      <c r="W397" s="498" t="n">
        <f aca="false">W$638</f>
        <v>41639</v>
      </c>
      <c r="X397" s="498" t="n">
        <f aca="false">X$638</f>
        <v>42004</v>
      </c>
      <c r="Y397" s="498" t="n">
        <f aca="false">Y$638</f>
        <v>42369</v>
      </c>
      <c r="Z397" s="498" t="n">
        <f aca="false">Z$638</f>
        <v>42735</v>
      </c>
      <c r="AA397" s="498" t="n">
        <f aca="false">AA$638</f>
        <v>43100</v>
      </c>
      <c r="AB397" s="498" t="n">
        <f aca="false">AB$638</f>
        <v>43465</v>
      </c>
      <c r="AC397" s="498" t="n">
        <f aca="false">AC$638</f>
        <v>43830</v>
      </c>
      <c r="AD397" s="498" t="n">
        <f aca="false">AD$638</f>
        <v>44196</v>
      </c>
      <c r="AE397" s="498" t="n">
        <f aca="false">AE$638</f>
        <v>44561</v>
      </c>
      <c r="AF397" s="498" t="n">
        <f aca="false">AF$638</f>
        <v>44926</v>
      </c>
    </row>
    <row r="398" customFormat="false" ht="16.5" hidden="false" customHeight="false" outlineLevel="0" collapsed="false">
      <c r="A398" s="463" t="s">
        <v>496</v>
      </c>
      <c r="B398" s="238"/>
      <c r="C398" s="238"/>
      <c r="D398" s="238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38"/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</row>
    <row r="399" customFormat="false" ht="11.25" hidden="false" customHeight="false" outlineLevel="0" collapsed="false">
      <c r="A399" s="238" t="str">
        <f aca="false">A515</f>
        <v>Cash and Marketable Securities</v>
      </c>
      <c r="B399" s="238"/>
      <c r="C399" s="467"/>
      <c r="D399" s="467"/>
      <c r="E399" s="468" t="n">
        <f aca="false">E515</f>
        <v>0</v>
      </c>
      <c r="F399" s="468" t="n">
        <f aca="false">F515</f>
        <v>960</v>
      </c>
      <c r="G399" s="468" t="n">
        <f aca="false">G515</f>
        <v>1493</v>
      </c>
      <c r="H399" s="479" t="n">
        <f aca="false">N515</f>
        <v>0</v>
      </c>
      <c r="I399" s="468" t="n">
        <f aca="false">I395</f>
        <v>0</v>
      </c>
      <c r="J399" s="468" t="e">
        <f aca="false">J395</f>
        <v>#VALUE!</v>
      </c>
      <c r="K399" s="468" t="e">
        <f aca="false">K395</f>
        <v>#VALUE!</v>
      </c>
      <c r="L399" s="468" t="e">
        <f aca="false">L395</f>
        <v>#VALUE!</v>
      </c>
      <c r="M399" s="468" t="e">
        <f aca="false">M395</f>
        <v>#VALUE!</v>
      </c>
      <c r="N399" s="468" t="e">
        <f aca="false">N395</f>
        <v>#VALUE!</v>
      </c>
      <c r="O399" s="468" t="e">
        <f aca="false">O395</f>
        <v>#VALUE!</v>
      </c>
      <c r="P399" s="468" t="e">
        <f aca="false">P395</f>
        <v>#VALUE!</v>
      </c>
      <c r="Q399" s="468" t="e">
        <f aca="false">Q395</f>
        <v>#VALUE!</v>
      </c>
      <c r="R399" s="468" t="e">
        <f aca="false">R395</f>
        <v>#VALUE!</v>
      </c>
      <c r="S399" s="468" t="e">
        <f aca="false">S395</f>
        <v>#VALUE!</v>
      </c>
      <c r="T399" s="468" t="e">
        <f aca="false">T395</f>
        <v>#VALUE!</v>
      </c>
      <c r="U399" s="468" t="e">
        <f aca="false">U395</f>
        <v>#VALUE!</v>
      </c>
      <c r="V399" s="468" t="e">
        <f aca="false">V395</f>
        <v>#VALUE!</v>
      </c>
      <c r="W399" s="468" t="e">
        <f aca="false">W395</f>
        <v>#VALUE!</v>
      </c>
      <c r="X399" s="468" t="e">
        <f aca="false">X395</f>
        <v>#VALUE!</v>
      </c>
      <c r="Y399" s="468" t="e">
        <f aca="false">Y395</f>
        <v>#VALUE!</v>
      </c>
      <c r="Z399" s="468" t="e">
        <f aca="false">Z395</f>
        <v>#VALUE!</v>
      </c>
      <c r="AA399" s="468" t="e">
        <f aca="false">AA395</f>
        <v>#VALUE!</v>
      </c>
      <c r="AB399" s="468" t="e">
        <f aca="false">AB395</f>
        <v>#VALUE!</v>
      </c>
      <c r="AC399" s="468" t="e">
        <f aca="false">AC395</f>
        <v>#VALUE!</v>
      </c>
      <c r="AD399" s="468" t="e">
        <f aca="false">AD395</f>
        <v>#VALUE!</v>
      </c>
      <c r="AE399" s="468" t="e">
        <f aca="false">AE395</f>
        <v>#VALUE!</v>
      </c>
      <c r="AF399" s="468" t="e">
        <f aca="false">AF395</f>
        <v>#VALUE!</v>
      </c>
    </row>
    <row r="400" customFormat="false" ht="11.25" hidden="false" customHeight="false" outlineLevel="0" collapsed="false">
      <c r="A400" s="238" t="str">
        <f aca="false">A516</f>
        <v>Accounts Receivable</v>
      </c>
      <c r="B400" s="238"/>
      <c r="C400" s="468"/>
      <c r="D400" s="468"/>
      <c r="E400" s="468" t="n">
        <f aca="false">E516</f>
        <v>0</v>
      </c>
      <c r="F400" s="468" t="n">
        <f aca="false">F516</f>
        <v>1187</v>
      </c>
      <c r="G400" s="468" t="n">
        <f aca="false">G516</f>
        <v>591</v>
      </c>
      <c r="H400" s="479" t="n">
        <f aca="false">N516</f>
        <v>303.375274134863</v>
      </c>
      <c r="I400" s="468" t="n">
        <f aca="false">I571</f>
        <v>883</v>
      </c>
      <c r="J400" s="468" t="e">
        <f aca="false">J571</f>
        <v>#VALUE!</v>
      </c>
      <c r="K400" s="468" t="e">
        <f aca="false">K571</f>
        <v>#VALUE!</v>
      </c>
      <c r="L400" s="468" t="e">
        <f aca="false">L571</f>
        <v>#VALUE!</v>
      </c>
      <c r="M400" s="468" t="e">
        <f aca="false">M571</f>
        <v>#VALUE!</v>
      </c>
      <c r="N400" s="468" t="e">
        <f aca="false">N571</f>
        <v>#VALUE!</v>
      </c>
      <c r="O400" s="468" t="e">
        <f aca="false">O571</f>
        <v>#VALUE!</v>
      </c>
      <c r="P400" s="468" t="e">
        <f aca="false">P571</f>
        <v>#VALUE!</v>
      </c>
      <c r="Q400" s="468" t="e">
        <f aca="false">Q571</f>
        <v>#VALUE!</v>
      </c>
      <c r="R400" s="468" t="e">
        <f aca="false">R571</f>
        <v>#VALUE!</v>
      </c>
      <c r="S400" s="468" t="e">
        <f aca="false">S571</f>
        <v>#VALUE!</v>
      </c>
      <c r="T400" s="468" t="e">
        <f aca="false">T571</f>
        <v>#VALUE!</v>
      </c>
      <c r="U400" s="468" t="e">
        <f aca="false">U571</f>
        <v>#VALUE!</v>
      </c>
      <c r="V400" s="468" t="e">
        <f aca="false">V571</f>
        <v>#VALUE!</v>
      </c>
      <c r="W400" s="468" t="e">
        <f aca="false">W571</f>
        <v>#VALUE!</v>
      </c>
      <c r="X400" s="468" t="e">
        <f aca="false">X571</f>
        <v>#VALUE!</v>
      </c>
      <c r="Y400" s="468" t="e">
        <f aca="false">Y571</f>
        <v>#VALUE!</v>
      </c>
      <c r="Z400" s="468" t="e">
        <f aca="false">Z571</f>
        <v>#VALUE!</v>
      </c>
      <c r="AA400" s="468" t="e">
        <f aca="false">AA571</f>
        <v>#VALUE!</v>
      </c>
      <c r="AB400" s="468" t="e">
        <f aca="false">AB571</f>
        <v>#VALUE!</v>
      </c>
      <c r="AC400" s="468" t="e">
        <f aca="false">AC571</f>
        <v>#VALUE!</v>
      </c>
      <c r="AD400" s="468" t="e">
        <f aca="false">AD571</f>
        <v>#VALUE!</v>
      </c>
      <c r="AE400" s="468" t="e">
        <f aca="false">AE571</f>
        <v>#VALUE!</v>
      </c>
      <c r="AF400" s="468" t="e">
        <f aca="false">AF571</f>
        <v>#VALUE!</v>
      </c>
    </row>
    <row r="401" customFormat="false" ht="11.25" hidden="false" customHeight="false" outlineLevel="0" collapsed="false">
      <c r="A401" s="238" t="str">
        <f aca="false">A517</f>
        <v>Inventories</v>
      </c>
      <c r="B401" s="238"/>
      <c r="C401" s="468"/>
      <c r="D401" s="468"/>
      <c r="E401" s="468" t="n">
        <f aca="false">E517</f>
        <v>0</v>
      </c>
      <c r="F401" s="468" t="n">
        <f aca="false">F517</f>
        <v>0</v>
      </c>
      <c r="G401" s="468" t="n">
        <f aca="false">G517</f>
        <v>0</v>
      </c>
      <c r="H401" s="479" t="n">
        <f aca="false">N517</f>
        <v>0</v>
      </c>
      <c r="I401" s="468" t="n">
        <f aca="false">I572</f>
        <v>163</v>
      </c>
      <c r="J401" s="468" t="n">
        <f aca="false">J572</f>
        <v>0</v>
      </c>
      <c r="K401" s="468" t="n">
        <f aca="false">K572</f>
        <v>0</v>
      </c>
      <c r="L401" s="468" t="n">
        <f aca="false">L572</f>
        <v>0</v>
      </c>
      <c r="M401" s="468" t="n">
        <f aca="false">M572</f>
        <v>0</v>
      </c>
      <c r="N401" s="468" t="n">
        <f aca="false">N572</f>
        <v>0</v>
      </c>
      <c r="O401" s="468" t="n">
        <f aca="false">O572</f>
        <v>0</v>
      </c>
      <c r="P401" s="468" t="n">
        <f aca="false">P572</f>
        <v>0</v>
      </c>
      <c r="Q401" s="468" t="n">
        <f aca="false">Q572</f>
        <v>0</v>
      </c>
      <c r="R401" s="468" t="n">
        <f aca="false">R572</f>
        <v>0</v>
      </c>
      <c r="S401" s="468" t="n">
        <f aca="false">S572</f>
        <v>0</v>
      </c>
      <c r="T401" s="468" t="n">
        <f aca="false">T572</f>
        <v>0</v>
      </c>
      <c r="U401" s="468" t="n">
        <f aca="false">U572</f>
        <v>0</v>
      </c>
      <c r="V401" s="468" t="n">
        <f aca="false">V572</f>
        <v>0</v>
      </c>
      <c r="W401" s="468" t="n">
        <f aca="false">W572</f>
        <v>0</v>
      </c>
      <c r="X401" s="468" t="n">
        <f aca="false">X572</f>
        <v>0</v>
      </c>
      <c r="Y401" s="468" t="n">
        <f aca="false">Y572</f>
        <v>0</v>
      </c>
      <c r="Z401" s="468" t="n">
        <f aca="false">Z572</f>
        <v>0</v>
      </c>
      <c r="AA401" s="468" t="n">
        <f aca="false">AA572</f>
        <v>0</v>
      </c>
      <c r="AB401" s="468" t="n">
        <f aca="false">AB572</f>
        <v>0</v>
      </c>
      <c r="AC401" s="468" t="n">
        <f aca="false">AC572</f>
        <v>0</v>
      </c>
      <c r="AD401" s="468" t="n">
        <f aca="false">AD572</f>
        <v>0</v>
      </c>
      <c r="AE401" s="468" t="n">
        <f aca="false">AE572</f>
        <v>0</v>
      </c>
      <c r="AF401" s="468" t="n">
        <f aca="false">AF572</f>
        <v>0</v>
      </c>
    </row>
    <row r="402" customFormat="false" ht="11.25" hidden="false" customHeight="false" outlineLevel="0" collapsed="false">
      <c r="A402" s="238" t="str">
        <f aca="false">A518</f>
        <v>Other Current Assets</v>
      </c>
      <c r="B402" s="238"/>
      <c r="C402" s="468"/>
      <c r="D402" s="468"/>
      <c r="E402" s="468" t="n">
        <f aca="false">E518</f>
        <v>0</v>
      </c>
      <c r="F402" s="468" t="n">
        <f aca="false">F518</f>
        <v>427</v>
      </c>
      <c r="G402" s="468" t="n">
        <f aca="false">G518</f>
        <v>381</v>
      </c>
      <c r="H402" s="479" t="n">
        <f aca="false">N518</f>
        <v>0</v>
      </c>
      <c r="I402" s="468" t="n">
        <f aca="false">I573</f>
        <v>0</v>
      </c>
      <c r="J402" s="468" t="n">
        <f aca="false">J573</f>
        <v>0</v>
      </c>
      <c r="K402" s="468" t="n">
        <f aca="false">K573</f>
        <v>0</v>
      </c>
      <c r="L402" s="468" t="n">
        <f aca="false">L573</f>
        <v>0</v>
      </c>
      <c r="M402" s="468" t="n">
        <f aca="false">M573</f>
        <v>0</v>
      </c>
      <c r="N402" s="468" t="n">
        <f aca="false">N573</f>
        <v>0</v>
      </c>
      <c r="O402" s="468" t="n">
        <f aca="false">O573</f>
        <v>0</v>
      </c>
      <c r="P402" s="468" t="n">
        <f aca="false">P573</f>
        <v>0</v>
      </c>
      <c r="Q402" s="468" t="n">
        <f aca="false">Q573</f>
        <v>0</v>
      </c>
      <c r="R402" s="468" t="n">
        <f aca="false">R573</f>
        <v>0</v>
      </c>
      <c r="S402" s="468" t="n">
        <f aca="false">S573</f>
        <v>0</v>
      </c>
      <c r="T402" s="468" t="n">
        <f aca="false">T573</f>
        <v>0</v>
      </c>
      <c r="U402" s="468" t="n">
        <f aca="false">U573</f>
        <v>0</v>
      </c>
      <c r="V402" s="468" t="n">
        <f aca="false">V573</f>
        <v>0</v>
      </c>
      <c r="W402" s="468" t="n">
        <f aca="false">W573</f>
        <v>0</v>
      </c>
      <c r="X402" s="468" t="n">
        <f aca="false">X573</f>
        <v>0</v>
      </c>
      <c r="Y402" s="468" t="n">
        <f aca="false">Y573</f>
        <v>0</v>
      </c>
      <c r="Z402" s="468" t="n">
        <f aca="false">Z573</f>
        <v>0</v>
      </c>
      <c r="AA402" s="468" t="n">
        <f aca="false">AA573</f>
        <v>0</v>
      </c>
      <c r="AB402" s="468" t="n">
        <f aca="false">AB573</f>
        <v>0</v>
      </c>
      <c r="AC402" s="468" t="n">
        <f aca="false">AC573</f>
        <v>0</v>
      </c>
      <c r="AD402" s="468" t="n">
        <f aca="false">AD573</f>
        <v>0</v>
      </c>
      <c r="AE402" s="468" t="n">
        <f aca="false">AE573</f>
        <v>0</v>
      </c>
      <c r="AF402" s="468" t="n">
        <f aca="false">AF573</f>
        <v>0</v>
      </c>
    </row>
    <row r="403" customFormat="false" ht="11.25" hidden="false" customHeight="false" outlineLevel="0" collapsed="false">
      <c r="A403" s="499" t="str">
        <f aca="false">A519</f>
        <v>Total Current Assets</v>
      </c>
      <c r="B403" s="238"/>
      <c r="C403" s="468"/>
      <c r="D403" s="468"/>
      <c r="E403" s="477" t="n">
        <f aca="false">SUM(E399:E402)</f>
        <v>0</v>
      </c>
      <c r="F403" s="477" t="n">
        <f aca="false">SUM(F399:F402)</f>
        <v>2574</v>
      </c>
      <c r="G403" s="477" t="n">
        <f aca="false">SUM(G399:G402)</f>
        <v>2465</v>
      </c>
      <c r="H403" s="478" t="n">
        <f aca="false">SUM(H399:H402)</f>
        <v>303.375274134863</v>
      </c>
      <c r="I403" s="477" t="n">
        <f aca="false">SUM(I399:I402)</f>
        <v>1046</v>
      </c>
      <c r="J403" s="477" t="e">
        <f aca="false">SUM(J399:J402)</f>
        <v>#VALUE!</v>
      </c>
      <c r="K403" s="477" t="e">
        <f aca="false">SUM(K399:K402)</f>
        <v>#VALUE!</v>
      </c>
      <c r="L403" s="477" t="e">
        <f aca="false">SUM(L399:L402)</f>
        <v>#VALUE!</v>
      </c>
      <c r="M403" s="477" t="e">
        <f aca="false">SUM(M399:M402)</f>
        <v>#VALUE!</v>
      </c>
      <c r="N403" s="477" t="e">
        <f aca="false">SUM(N399:N402)</f>
        <v>#VALUE!</v>
      </c>
      <c r="O403" s="477" t="e">
        <f aca="false">SUM(O399:O402)</f>
        <v>#VALUE!</v>
      </c>
      <c r="P403" s="477" t="e">
        <f aca="false">SUM(P399:P402)</f>
        <v>#VALUE!</v>
      </c>
      <c r="Q403" s="477" t="e">
        <f aca="false">SUM(Q399:Q402)</f>
        <v>#VALUE!</v>
      </c>
      <c r="R403" s="477" t="e">
        <f aca="false">SUM(R399:R402)</f>
        <v>#VALUE!</v>
      </c>
      <c r="S403" s="477" t="e">
        <f aca="false">SUM(S399:S402)</f>
        <v>#VALUE!</v>
      </c>
      <c r="T403" s="477" t="e">
        <f aca="false">SUM(T399:T402)</f>
        <v>#VALUE!</v>
      </c>
      <c r="U403" s="477" t="e">
        <f aca="false">SUM(U399:U402)</f>
        <v>#VALUE!</v>
      </c>
      <c r="V403" s="477" t="e">
        <f aca="false">SUM(V399:V402)</f>
        <v>#VALUE!</v>
      </c>
      <c r="W403" s="477" t="e">
        <f aca="false">SUM(W399:W402)</f>
        <v>#VALUE!</v>
      </c>
      <c r="X403" s="477" t="e">
        <f aca="false">SUM(X399:X402)</f>
        <v>#VALUE!</v>
      </c>
      <c r="Y403" s="477" t="e">
        <f aca="false">SUM(Y399:Y402)</f>
        <v>#VALUE!</v>
      </c>
      <c r="Z403" s="477" t="e">
        <f aca="false">SUM(Z399:Z402)</f>
        <v>#VALUE!</v>
      </c>
      <c r="AA403" s="477" t="e">
        <f aca="false">SUM(AA399:AA402)</f>
        <v>#VALUE!</v>
      </c>
      <c r="AB403" s="477" t="e">
        <f aca="false">SUM(AB399:AB402)</f>
        <v>#VALUE!</v>
      </c>
      <c r="AC403" s="477" t="e">
        <f aca="false">SUM(AC399:AC402)</f>
        <v>#VALUE!</v>
      </c>
      <c r="AD403" s="477" t="e">
        <f aca="false">SUM(AD399:AD402)</f>
        <v>#VALUE!</v>
      </c>
      <c r="AE403" s="477" t="e">
        <f aca="false">SUM(AE399:AE402)</f>
        <v>#VALUE!</v>
      </c>
      <c r="AF403" s="477" t="e">
        <f aca="false">SUM(AF399:AF402)</f>
        <v>#VALUE!</v>
      </c>
    </row>
    <row r="404" customFormat="false" ht="11.25" hidden="false" customHeight="false" outlineLevel="0" collapsed="false">
      <c r="A404" s="238"/>
      <c r="B404" s="238"/>
      <c r="C404" s="467"/>
      <c r="D404" s="467"/>
      <c r="E404" s="467"/>
      <c r="F404" s="467"/>
      <c r="G404" s="468"/>
      <c r="H404" s="479"/>
      <c r="I404" s="468"/>
      <c r="J404" s="468"/>
      <c r="K404" s="468"/>
      <c r="L404" s="468"/>
      <c r="M404" s="468"/>
      <c r="N404" s="468"/>
      <c r="O404" s="468"/>
      <c r="P404" s="468"/>
      <c r="Q404" s="468"/>
      <c r="R404" s="468"/>
      <c r="S404" s="468"/>
      <c r="T404" s="468"/>
      <c r="U404" s="468"/>
      <c r="V404" s="468"/>
      <c r="W404" s="468"/>
      <c r="X404" s="468"/>
      <c r="Y404" s="468"/>
      <c r="Z404" s="468"/>
      <c r="AA404" s="468"/>
      <c r="AB404" s="468"/>
      <c r="AC404" s="468"/>
      <c r="AD404" s="468"/>
      <c r="AE404" s="468"/>
      <c r="AF404" s="468"/>
    </row>
    <row r="405" customFormat="false" ht="11.25" hidden="false" customHeight="false" outlineLevel="0" collapsed="false">
      <c r="A405" s="238" t="str">
        <f aca="false">A521</f>
        <v>Intangibles</v>
      </c>
      <c r="B405" s="238"/>
      <c r="C405" s="467"/>
      <c r="D405" s="467"/>
      <c r="E405" s="468" t="n">
        <f aca="false">E521</f>
        <v>0</v>
      </c>
      <c r="F405" s="468" t="n">
        <f aca="false">F521</f>
        <v>0</v>
      </c>
      <c r="G405" s="468" t="n">
        <f aca="false">G521</f>
        <v>0</v>
      </c>
      <c r="H405" s="479" t="n">
        <f aca="false">N521</f>
        <v>0</v>
      </c>
      <c r="I405" s="468" t="n">
        <f aca="false">H405+I777-I641</f>
        <v>0</v>
      </c>
      <c r="J405" s="468" t="n">
        <f aca="false">I405+J777-J641</f>
        <v>0</v>
      </c>
      <c r="K405" s="468" t="n">
        <f aca="false">J405+K777-K641</f>
        <v>0</v>
      </c>
      <c r="L405" s="468" t="n">
        <f aca="false">K405+L777-L641</f>
        <v>0</v>
      </c>
      <c r="M405" s="468" t="n">
        <f aca="false">L405+M777-M641</f>
        <v>0</v>
      </c>
      <c r="N405" s="468" t="n">
        <f aca="false">M405+N777-N641</f>
        <v>0</v>
      </c>
      <c r="O405" s="468" t="n">
        <f aca="false">N405+O777-O641</f>
        <v>0</v>
      </c>
      <c r="P405" s="468" t="n">
        <f aca="false">O405+P777-P641</f>
        <v>0</v>
      </c>
      <c r="Q405" s="468" t="n">
        <f aca="false">P405+Q777-Q641</f>
        <v>0</v>
      </c>
      <c r="R405" s="468" t="n">
        <f aca="false">Q405+R777-R641</f>
        <v>0</v>
      </c>
      <c r="S405" s="468" t="n">
        <f aca="false">R405+S777-S641</f>
        <v>0</v>
      </c>
      <c r="T405" s="468" t="n">
        <f aca="false">S405+T777-T641</f>
        <v>0</v>
      </c>
      <c r="U405" s="468" t="n">
        <f aca="false">T405+U777-U641</f>
        <v>0</v>
      </c>
      <c r="V405" s="468" t="n">
        <f aca="false">U405+V777-V641</f>
        <v>0</v>
      </c>
      <c r="W405" s="468" t="n">
        <f aca="false">V405+W777-W641</f>
        <v>0</v>
      </c>
      <c r="X405" s="468" t="n">
        <f aca="false">W405+X777-X641</f>
        <v>0</v>
      </c>
      <c r="Y405" s="468" t="n">
        <f aca="false">X405+Y777-Y641</f>
        <v>0</v>
      </c>
      <c r="Z405" s="468" t="n">
        <f aca="false">Y405+Z777-Z641</f>
        <v>0</v>
      </c>
      <c r="AA405" s="468" t="n">
        <f aca="false">Z405+AA777-AA641</f>
        <v>0</v>
      </c>
      <c r="AB405" s="468" t="n">
        <f aca="false">AA405+AB777-AB641</f>
        <v>0</v>
      </c>
      <c r="AC405" s="468" t="n">
        <f aca="false">AB405+AC777-AC641</f>
        <v>0</v>
      </c>
      <c r="AD405" s="468" t="n">
        <f aca="false">AC405+AD777-AD641</f>
        <v>0</v>
      </c>
      <c r="AE405" s="468" t="n">
        <f aca="false">AD405+AE777-AE641</f>
        <v>0</v>
      </c>
      <c r="AF405" s="468" t="n">
        <f aca="false">AE405+AF777-AF641</f>
        <v>0</v>
      </c>
    </row>
    <row r="406" customFormat="false" ht="11.25" hidden="false" customHeight="false" outlineLevel="0" collapsed="false">
      <c r="A406" s="238" t="str">
        <f aca="false">A522</f>
        <v>Transaction Fees</v>
      </c>
      <c r="B406" s="238"/>
      <c r="C406" s="467"/>
      <c r="D406" s="467"/>
      <c r="E406" s="468" t="n">
        <f aca="false">E522</f>
        <v>0</v>
      </c>
      <c r="F406" s="468" t="n">
        <f aca="false">F522</f>
        <v>0</v>
      </c>
      <c r="G406" s="468" t="n">
        <f aca="false">G522</f>
        <v>0</v>
      </c>
      <c r="H406" s="479" t="n">
        <f aca="false">N522</f>
        <v>774.44448</v>
      </c>
      <c r="I406" s="468" t="n">
        <f aca="false">H406-I640</f>
        <v>722.814848</v>
      </c>
      <c r="J406" s="468" t="n">
        <f aca="false">I406-J640</f>
        <v>671.185216</v>
      </c>
      <c r="K406" s="500" t="n">
        <f aca="false">J406-K640</f>
        <v>619.555584</v>
      </c>
      <c r="L406" s="468" t="n">
        <f aca="false">K406-L640</f>
        <v>567.925952</v>
      </c>
      <c r="M406" s="468" t="n">
        <f aca="false">L406-M640</f>
        <v>516.29632</v>
      </c>
      <c r="N406" s="468" t="n">
        <f aca="false">M406-N640</f>
        <v>464.666688</v>
      </c>
      <c r="O406" s="468" t="n">
        <f aca="false">N406-O640</f>
        <v>413.037056</v>
      </c>
      <c r="P406" s="468" t="n">
        <f aca="false">O406-P640</f>
        <v>361.407424</v>
      </c>
      <c r="Q406" s="468" t="n">
        <f aca="false">P406-Q640</f>
        <v>309.777792</v>
      </c>
      <c r="R406" s="468" t="n">
        <f aca="false">Q406-R640</f>
        <v>258.14816</v>
      </c>
      <c r="S406" s="468" t="n">
        <f aca="false">R406-S640</f>
        <v>206.518528</v>
      </c>
      <c r="T406" s="468" t="n">
        <f aca="false">S406-T640</f>
        <v>154.888896</v>
      </c>
      <c r="U406" s="468" t="n">
        <f aca="false">T406-U640</f>
        <v>103.259264</v>
      </c>
      <c r="V406" s="468" t="n">
        <f aca="false">U406-V640</f>
        <v>51.6296319999998</v>
      </c>
      <c r="W406" s="468" t="n">
        <f aca="false">V406-W640</f>
        <v>-1.84741111297626E-013</v>
      </c>
      <c r="X406" s="468" t="n">
        <f aca="false">W406-X640</f>
        <v>-1.84741111297626E-013</v>
      </c>
      <c r="Y406" s="468" t="n">
        <f aca="false">X406-Y640</f>
        <v>-1.84741111297626E-013</v>
      </c>
      <c r="Z406" s="468" t="n">
        <f aca="false">Y406-Z640</f>
        <v>-1.84741111297626E-013</v>
      </c>
      <c r="AA406" s="468" t="n">
        <f aca="false">Z406-AA640</f>
        <v>-1.84741111297626E-013</v>
      </c>
      <c r="AB406" s="468" t="n">
        <f aca="false">AA406-AB640</f>
        <v>-1.84741111297626E-013</v>
      </c>
      <c r="AC406" s="468" t="n">
        <f aca="false">AB406-AC640</f>
        <v>-1.84741111297626E-013</v>
      </c>
      <c r="AD406" s="468" t="n">
        <f aca="false">AC406-AD640</f>
        <v>-1.84741111297626E-013</v>
      </c>
      <c r="AE406" s="468" t="n">
        <f aca="false">AD406-AE640</f>
        <v>-1.84741111297626E-013</v>
      </c>
      <c r="AF406" s="468" t="n">
        <f aca="false">AE406-AF640</f>
        <v>-1.84741111297626E-013</v>
      </c>
    </row>
    <row r="407" customFormat="false" ht="11.25" hidden="false" customHeight="false" outlineLevel="0" collapsed="false">
      <c r="A407" s="499" t="s">
        <v>497</v>
      </c>
      <c r="B407" s="238"/>
      <c r="C407" s="467"/>
      <c r="D407" s="467"/>
      <c r="E407" s="477" t="n">
        <f aca="false">SUM(E405:E406)</f>
        <v>0</v>
      </c>
      <c r="F407" s="477" t="n">
        <f aca="false">SUM(F405:F406)</f>
        <v>0</v>
      </c>
      <c r="G407" s="477" t="n">
        <f aca="false">SUM(G405:G406)</f>
        <v>0</v>
      </c>
      <c r="H407" s="478" t="n">
        <f aca="false">SUM(H405:H406)</f>
        <v>774.44448</v>
      </c>
      <c r="I407" s="477" t="n">
        <f aca="false">SUM(I405:I406)</f>
        <v>722.814848</v>
      </c>
      <c r="J407" s="477" t="n">
        <f aca="false">SUM(J405:J406)</f>
        <v>671.185216</v>
      </c>
      <c r="K407" s="477" t="n">
        <f aca="false">SUM(K405:K406)</f>
        <v>619.555584</v>
      </c>
      <c r="L407" s="477" t="n">
        <f aca="false">SUM(L405:L406)</f>
        <v>567.925952</v>
      </c>
      <c r="M407" s="477" t="n">
        <f aca="false">SUM(M405:M406)</f>
        <v>516.29632</v>
      </c>
      <c r="N407" s="477" t="n">
        <f aca="false">SUM(N405:N406)</f>
        <v>464.666688</v>
      </c>
      <c r="O407" s="477" t="n">
        <f aca="false">SUM(O405:O406)</f>
        <v>413.037056</v>
      </c>
      <c r="P407" s="477" t="n">
        <f aca="false">SUM(P405:P406)</f>
        <v>361.407424</v>
      </c>
      <c r="Q407" s="477" t="n">
        <f aca="false">SUM(Q405:Q406)</f>
        <v>309.777792</v>
      </c>
      <c r="R407" s="477" t="n">
        <f aca="false">SUM(R405:R406)</f>
        <v>258.14816</v>
      </c>
      <c r="S407" s="477" t="n">
        <f aca="false">SUM(S405:S406)</f>
        <v>206.518528</v>
      </c>
      <c r="T407" s="477" t="n">
        <f aca="false">SUM(T405:T406)</f>
        <v>154.888896</v>
      </c>
      <c r="U407" s="477" t="n">
        <f aca="false">SUM(U405:U406)</f>
        <v>103.259264</v>
      </c>
      <c r="V407" s="477" t="n">
        <f aca="false">SUM(V405:V406)</f>
        <v>51.6296319999998</v>
      </c>
      <c r="W407" s="477" t="n">
        <f aca="false">SUM(W405:W406)</f>
        <v>-1.84741111297626E-013</v>
      </c>
      <c r="X407" s="477" t="n">
        <f aca="false">SUM(X405:X406)</f>
        <v>-1.84741111297626E-013</v>
      </c>
      <c r="Y407" s="477" t="n">
        <f aca="false">SUM(Y405:Y406)</f>
        <v>-1.84741111297626E-013</v>
      </c>
      <c r="Z407" s="477" t="n">
        <f aca="false">SUM(Z405:Z406)</f>
        <v>-1.84741111297626E-013</v>
      </c>
      <c r="AA407" s="477" t="n">
        <f aca="false">SUM(AA405:AA406)</f>
        <v>-1.84741111297626E-013</v>
      </c>
      <c r="AB407" s="477" t="n">
        <f aca="false">SUM(AB405:AB406)</f>
        <v>-1.84741111297626E-013</v>
      </c>
      <c r="AC407" s="477" t="n">
        <f aca="false">SUM(AC405:AC406)</f>
        <v>-1.84741111297626E-013</v>
      </c>
      <c r="AD407" s="477" t="n">
        <f aca="false">SUM(AD405:AD406)</f>
        <v>-1.84741111297626E-013</v>
      </c>
      <c r="AE407" s="477" t="n">
        <f aca="false">SUM(AE405:AE406)</f>
        <v>-1.84741111297626E-013</v>
      </c>
      <c r="AF407" s="477" t="n">
        <f aca="false">SUM(AF405:AF406)</f>
        <v>-1.84741111297626E-013</v>
      </c>
    </row>
    <row r="408" customFormat="false" ht="11.25" hidden="false" customHeight="false" outlineLevel="0" collapsed="false">
      <c r="A408" s="238"/>
      <c r="B408" s="238"/>
      <c r="C408" s="467"/>
      <c r="D408" s="467"/>
      <c r="E408" s="468"/>
      <c r="F408" s="468"/>
      <c r="G408" s="468"/>
      <c r="H408" s="479"/>
      <c r="I408" s="468" t="s">
        <v>0</v>
      </c>
      <c r="J408" s="468"/>
      <c r="K408" s="468"/>
      <c r="L408" s="468"/>
      <c r="M408" s="468"/>
      <c r="N408" s="468"/>
      <c r="O408" s="468"/>
      <c r="P408" s="468"/>
      <c r="Q408" s="468"/>
      <c r="R408" s="468"/>
      <c r="S408" s="468"/>
      <c r="T408" s="468"/>
      <c r="U408" s="468"/>
      <c r="V408" s="468"/>
      <c r="W408" s="468"/>
      <c r="X408" s="468"/>
      <c r="Y408" s="468"/>
      <c r="Z408" s="468"/>
      <c r="AA408" s="468"/>
      <c r="AB408" s="468"/>
      <c r="AC408" s="468"/>
      <c r="AD408" s="468"/>
      <c r="AE408" s="468"/>
      <c r="AF408" s="468"/>
    </row>
    <row r="409" customFormat="false" ht="11.25" hidden="false" customHeight="false" outlineLevel="0" collapsed="false">
      <c r="A409" s="238" t="str">
        <f aca="false">A524</f>
        <v>Gross PP&amp;E</v>
      </c>
      <c r="B409" s="238"/>
      <c r="C409" s="467"/>
      <c r="D409" s="467"/>
      <c r="E409" s="468" t="n">
        <f aca="false">E524</f>
        <v>0</v>
      </c>
      <c r="F409" s="468" t="n">
        <f aca="false">F524</f>
        <v>68707</v>
      </c>
      <c r="G409" s="468" t="n">
        <f aca="false">G524</f>
        <v>68740</v>
      </c>
      <c r="H409" s="479" t="n">
        <f aca="false">N524</f>
        <v>78714.55552</v>
      </c>
      <c r="I409" s="468" t="n">
        <f aca="false">H409-I651+I489</f>
        <v>78714.55552</v>
      </c>
      <c r="J409" s="468" t="n">
        <f aca="false">I409-J651+J489</f>
        <v>78714.55552</v>
      </c>
      <c r="K409" s="468" t="n">
        <f aca="false">J409-K651+K489</f>
        <v>78714.55552</v>
      </c>
      <c r="L409" s="468" t="n">
        <f aca="false">K409-L651+L489</f>
        <v>78714.55552</v>
      </c>
      <c r="M409" s="468" t="n">
        <f aca="false">L409-M651+M489</f>
        <v>80046.4601355778</v>
      </c>
      <c r="N409" s="468" t="n">
        <f aca="false">M409-N651+N489</f>
        <v>80046.4601355778</v>
      </c>
      <c r="O409" s="468" t="n">
        <f aca="false">N409-O651+O489</f>
        <v>80046.4601355778</v>
      </c>
      <c r="P409" s="468" t="n">
        <f aca="false">O409-P651+P489</f>
        <v>80046.4601355778</v>
      </c>
      <c r="Q409" s="468" t="n">
        <f aca="false">P409-Q651+Q489</f>
        <v>84658.1999553735</v>
      </c>
      <c r="R409" s="468" t="n">
        <f aca="false">Q409-R651+R489</f>
        <v>84658.1999553735</v>
      </c>
      <c r="S409" s="468" t="n">
        <f aca="false">R409-S651+S489</f>
        <v>84658.1999553735</v>
      </c>
      <c r="T409" s="468" t="n">
        <f aca="false">S409-T651+T489</f>
        <v>84658.1999553735</v>
      </c>
      <c r="U409" s="468" t="n">
        <f aca="false">T409-U651+U489</f>
        <v>86528.8552693512</v>
      </c>
      <c r="V409" s="468" t="n">
        <f aca="false">U409-V651+V489</f>
        <v>86528.8552693512</v>
      </c>
      <c r="W409" s="468" t="n">
        <f aca="false">V409-W651+W489</f>
        <v>86528.8552693512</v>
      </c>
      <c r="X409" s="468" t="n">
        <f aca="false">W409-X651+X489</f>
        <v>86528.8552693512</v>
      </c>
      <c r="Y409" s="468" t="n">
        <f aca="false">X409-Y651+Y489</f>
        <v>92992.6128060411</v>
      </c>
      <c r="Z409" s="468" t="n">
        <f aca="false">Y409-Z651+Z489</f>
        <v>92992.6128060411</v>
      </c>
      <c r="AA409" s="468" t="n">
        <f aca="false">Z409-AA651+AA489</f>
        <v>92992.6128060411</v>
      </c>
      <c r="AB409" s="468" t="n">
        <f aca="false">AA409-AB651+AB489</f>
        <v>92992.6128060411</v>
      </c>
      <c r="AC409" s="468" t="n">
        <f aca="false">AB409-AC651+AC489</f>
        <v>92992.6128060411</v>
      </c>
      <c r="AD409" s="468" t="n">
        <f aca="false">AC409-AD651+AD489</f>
        <v>92992.6128060411</v>
      </c>
      <c r="AE409" s="468" t="n">
        <f aca="false">AD409-AE651+AE489</f>
        <v>92992.6128060411</v>
      </c>
      <c r="AF409" s="468" t="n">
        <f aca="false">AE409-AF651+AF489</f>
        <v>92992.6128060411</v>
      </c>
    </row>
    <row r="410" customFormat="false" ht="11.25" hidden="false" customHeight="false" outlineLevel="0" collapsed="false">
      <c r="A410" s="238" t="str">
        <f aca="false">A525</f>
        <v>Accumulated Depreciation</v>
      </c>
      <c r="B410" s="238"/>
      <c r="C410" s="467"/>
      <c r="D410" s="467"/>
      <c r="E410" s="468" t="n">
        <f aca="false">E525</f>
        <v>0</v>
      </c>
      <c r="F410" s="468" t="n">
        <f aca="false">F525</f>
        <v>-8596</v>
      </c>
      <c r="G410" s="468" t="n">
        <f aca="false">G525</f>
        <v>-11789</v>
      </c>
      <c r="H410" s="479" t="n">
        <f aca="false">N525</f>
        <v>0</v>
      </c>
      <c r="I410" s="468" t="n">
        <f aca="false">I652-I323</f>
        <v>-2186.51543111111</v>
      </c>
      <c r="J410" s="468" t="n">
        <f aca="false">I410+J652-J323</f>
        <v>-7434.15246577778</v>
      </c>
      <c r="K410" s="468" t="n">
        <f aca="false">J410+K652-K323</f>
        <v>-12681.7895004444</v>
      </c>
      <c r="L410" s="468" t="n">
        <f aca="false">K410+L652-L323</f>
        <v>-17929.4265351111</v>
      </c>
      <c r="M410" s="468" t="n">
        <f aca="false">L410+M652-M323</f>
        <v>-23246.4336018391</v>
      </c>
      <c r="N410" s="468" t="n">
        <f aca="false">M410+N652-N323</f>
        <v>-28660.558713453</v>
      </c>
      <c r="O410" s="468" t="n">
        <f aca="false">N410+O652-O323</f>
        <v>-34074.6838250669</v>
      </c>
      <c r="P410" s="468" t="n">
        <f aca="false">O410+P652-P323</f>
        <v>-39488.8089366808</v>
      </c>
      <c r="Q410" s="468" t="n">
        <f aca="false">P410+Q652-Q323</f>
        <v>-44902.9340482947</v>
      </c>
      <c r="R410" s="468" t="n">
        <f aca="false">Q410+R652-R323</f>
        <v>-50317.0591599086</v>
      </c>
      <c r="S410" s="468" t="n">
        <f aca="false">R410+S652-S323</f>
        <v>-55731.1842715225</v>
      </c>
      <c r="T410" s="468" t="n">
        <f aca="false">S410+T652-T323</f>
        <v>-61145.3093831363</v>
      </c>
      <c r="U410" s="468" t="n">
        <f aca="false">T410+U652-U323</f>
        <v>-66587.4944269586</v>
      </c>
      <c r="V410" s="468" t="n">
        <f aca="false">U410+V652-V323</f>
        <v>-72068.9633758724</v>
      </c>
      <c r="W410" s="468" t="n">
        <f aca="false">V410+W652-W323</f>
        <v>-77550.4323247863</v>
      </c>
      <c r="X410" s="468" t="n">
        <f aca="false">W410+X652-X323</f>
        <v>-80845.3858425891</v>
      </c>
      <c r="Y410" s="468" t="n">
        <f aca="false">X410+Y652-Y323</f>
        <v>-81415.8717952055</v>
      </c>
      <c r="Z410" s="468" t="n">
        <f aca="false">Y410+Z652-Z323</f>
        <v>-82457.673401539</v>
      </c>
      <c r="AA410" s="468" t="n">
        <f aca="false">Z410+AA652-AA323</f>
        <v>-83499.4750078724</v>
      </c>
      <c r="AB410" s="468" t="n">
        <f aca="false">AA410+AB652-AB323</f>
        <v>-84541.2766142059</v>
      </c>
      <c r="AC410" s="468" t="n">
        <f aca="false">AB410+AC652-AC323</f>
        <v>-85485.6482562697</v>
      </c>
      <c r="AD410" s="468" t="n">
        <f aca="false">AC410+AD652-AD323</f>
        <v>-86293.6179483559</v>
      </c>
      <c r="AE410" s="468" t="n">
        <f aca="false">AD410+AE652-AE323</f>
        <v>-87101.5876404421</v>
      </c>
      <c r="AF410" s="468" t="n">
        <f aca="false">AE410+AF652-AF323</f>
        <v>-87909.5573325284</v>
      </c>
    </row>
    <row r="411" customFormat="false" ht="11.25" hidden="false" customHeight="false" outlineLevel="0" collapsed="false">
      <c r="A411" s="499" t="str">
        <f aca="false">A526</f>
        <v>Net PP&amp;E</v>
      </c>
      <c r="B411" s="238"/>
      <c r="C411" s="468"/>
      <c r="D411" s="468"/>
      <c r="E411" s="477" t="n">
        <f aca="false">E409+E410</f>
        <v>0</v>
      </c>
      <c r="F411" s="477" t="n">
        <f aca="false">F409+F410</f>
        <v>60111</v>
      </c>
      <c r="G411" s="477" t="n">
        <f aca="false">G409+G410</f>
        <v>56951</v>
      </c>
      <c r="H411" s="478" t="n">
        <f aca="false">H409+H410</f>
        <v>78714.55552</v>
      </c>
      <c r="I411" s="477" t="n">
        <f aca="false">I409+I410</f>
        <v>76528.0400888889</v>
      </c>
      <c r="J411" s="477" t="n">
        <f aca="false">J409+J410</f>
        <v>71280.4030542222</v>
      </c>
      <c r="K411" s="477" t="n">
        <f aca="false">K409+K410</f>
        <v>66032.7660195556</v>
      </c>
      <c r="L411" s="477" t="n">
        <f aca="false">L409+L410</f>
        <v>60785.1289848889</v>
      </c>
      <c r="M411" s="477" t="n">
        <f aca="false">M409+M410</f>
        <v>56800.0265337387</v>
      </c>
      <c r="N411" s="477" t="n">
        <f aca="false">N409+N410</f>
        <v>51385.9014221248</v>
      </c>
      <c r="O411" s="477" t="n">
        <f aca="false">O409+O410</f>
        <v>45971.7763105109</v>
      </c>
      <c r="P411" s="477" t="n">
        <f aca="false">P409+P410</f>
        <v>40557.651198897</v>
      </c>
      <c r="Q411" s="477" t="n">
        <f aca="false">Q409+Q410</f>
        <v>39755.2659070788</v>
      </c>
      <c r="R411" s="477" t="n">
        <f aca="false">R409+R410</f>
        <v>34341.1407954649</v>
      </c>
      <c r="S411" s="477" t="n">
        <f aca="false">S409+S410</f>
        <v>28927.015683851</v>
      </c>
      <c r="T411" s="477" t="n">
        <f aca="false">T409+T410</f>
        <v>23512.8905722372</v>
      </c>
      <c r="U411" s="477" t="n">
        <f aca="false">U409+U410</f>
        <v>19941.3608423926</v>
      </c>
      <c r="V411" s="477" t="n">
        <f aca="false">V409+V410</f>
        <v>14459.8918934787</v>
      </c>
      <c r="W411" s="477" t="n">
        <f aca="false">W409+W410</f>
        <v>8978.42294456487</v>
      </c>
      <c r="X411" s="477" t="n">
        <f aca="false">X409+X410</f>
        <v>5683.46942676211</v>
      </c>
      <c r="Y411" s="477" t="n">
        <f aca="false">Y409+Y410</f>
        <v>11576.7410108356</v>
      </c>
      <c r="Z411" s="477" t="n">
        <f aca="false">Z409+Z410</f>
        <v>10534.9394045021</v>
      </c>
      <c r="AA411" s="477" t="n">
        <f aca="false">AA409+AA410</f>
        <v>9493.13779816865</v>
      </c>
      <c r="AB411" s="477" t="n">
        <f aca="false">AB409+AB410</f>
        <v>8451.3361918352</v>
      </c>
      <c r="AC411" s="477" t="n">
        <f aca="false">AC409+AC410</f>
        <v>7506.96454977142</v>
      </c>
      <c r="AD411" s="477" t="n">
        <f aca="false">AD409+AD410</f>
        <v>6698.99485768519</v>
      </c>
      <c r="AE411" s="477" t="n">
        <f aca="false">AE409+AE410</f>
        <v>5891.02516559896</v>
      </c>
      <c r="AF411" s="477" t="n">
        <f aca="false">AF409+AF410</f>
        <v>5083.05547351272</v>
      </c>
    </row>
    <row r="412" customFormat="false" ht="11.25" hidden="false" customHeight="false" outlineLevel="0" collapsed="false">
      <c r="A412" s="238"/>
      <c r="B412" s="238"/>
      <c r="C412" s="468"/>
      <c r="D412" s="468"/>
      <c r="E412" s="468"/>
      <c r="F412" s="468"/>
      <c r="G412" s="468"/>
      <c r="H412" s="479"/>
      <c r="I412" s="468"/>
      <c r="J412" s="468"/>
      <c r="K412" s="468"/>
      <c r="L412" s="468"/>
      <c r="M412" s="468"/>
      <c r="N412" s="468"/>
      <c r="O412" s="468"/>
      <c r="P412" s="468"/>
      <c r="Q412" s="468"/>
      <c r="R412" s="468"/>
      <c r="S412" s="468"/>
      <c r="T412" s="468"/>
      <c r="U412" s="468"/>
      <c r="V412" s="468"/>
      <c r="W412" s="468"/>
      <c r="X412" s="468"/>
      <c r="Y412" s="468"/>
      <c r="Z412" s="468"/>
      <c r="AA412" s="468"/>
      <c r="AB412" s="468"/>
      <c r="AC412" s="468"/>
      <c r="AD412" s="468"/>
      <c r="AE412" s="468"/>
      <c r="AF412" s="468"/>
    </row>
    <row r="413" customFormat="false" ht="11.25" hidden="false" customHeight="false" outlineLevel="0" collapsed="false">
      <c r="A413" s="238" t="str">
        <f aca="false">A528</f>
        <v>Loan - Intercompany (Sunco)</v>
      </c>
      <c r="B413" s="238"/>
      <c r="C413" s="467"/>
      <c r="D413" s="467"/>
      <c r="E413" s="468" t="n">
        <f aca="false">E528</f>
        <v>0</v>
      </c>
      <c r="F413" s="468" t="n">
        <f aca="false">F528</f>
        <v>0</v>
      </c>
      <c r="G413" s="468" t="n">
        <f aca="false">G528</f>
        <v>590</v>
      </c>
      <c r="H413" s="479" t="n">
        <f aca="false">N528</f>
        <v>0</v>
      </c>
      <c r="I413" s="468" t="n">
        <f aca="false">H413+I776-H490</f>
        <v>0</v>
      </c>
      <c r="J413" s="468" t="n">
        <f aca="false">I413+J776</f>
        <v>0</v>
      </c>
      <c r="K413" s="468" t="n">
        <f aca="false">J413+K776</f>
        <v>0</v>
      </c>
      <c r="L413" s="468" t="n">
        <f aca="false">K413+L776</f>
        <v>0</v>
      </c>
      <c r="M413" s="468" t="n">
        <f aca="false">L413+M776</f>
        <v>0</v>
      </c>
      <c r="N413" s="468" t="n">
        <f aca="false">M413+N776</f>
        <v>0</v>
      </c>
      <c r="O413" s="468" t="n">
        <f aca="false">N413+O776</f>
        <v>0</v>
      </c>
      <c r="P413" s="468" t="n">
        <f aca="false">O413+P776</f>
        <v>0</v>
      </c>
      <c r="Q413" s="468" t="n">
        <f aca="false">P413+Q776</f>
        <v>0</v>
      </c>
      <c r="R413" s="468" t="n">
        <f aca="false">Q413+R776</f>
        <v>0</v>
      </c>
      <c r="S413" s="468" t="n">
        <f aca="false">R413+S776</f>
        <v>0</v>
      </c>
      <c r="T413" s="468" t="n">
        <f aca="false">S413+T776</f>
        <v>0</v>
      </c>
      <c r="U413" s="468" t="n">
        <f aca="false">T413+U776</f>
        <v>0</v>
      </c>
      <c r="V413" s="468" t="n">
        <f aca="false">U413+V776</f>
        <v>0</v>
      </c>
      <c r="W413" s="468" t="n">
        <f aca="false">V413+W776</f>
        <v>0</v>
      </c>
      <c r="X413" s="468" t="n">
        <f aca="false">W413+X776</f>
        <v>0</v>
      </c>
      <c r="Y413" s="468" t="n">
        <f aca="false">X413+Y776</f>
        <v>0</v>
      </c>
      <c r="Z413" s="468" t="n">
        <f aca="false">Y413+Z776</f>
        <v>0</v>
      </c>
      <c r="AA413" s="468" t="n">
        <f aca="false">Z413+AA776</f>
        <v>0</v>
      </c>
      <c r="AB413" s="468" t="n">
        <f aca="false">AA413+AB776</f>
        <v>0</v>
      </c>
      <c r="AC413" s="468" t="n">
        <f aca="false">AB413+AC776</f>
        <v>0</v>
      </c>
      <c r="AD413" s="468" t="n">
        <f aca="false">AC413+AD776</f>
        <v>0</v>
      </c>
      <c r="AE413" s="468" t="n">
        <f aca="false">AD413+AE776</f>
        <v>0</v>
      </c>
      <c r="AF413" s="468" t="n">
        <f aca="false">AE413+AF776</f>
        <v>0</v>
      </c>
    </row>
    <row r="414" customFormat="false" ht="11.25" hidden="false" customHeight="false" outlineLevel="0" collapsed="false">
      <c r="A414" s="238" t="str">
        <f aca="false">A529</f>
        <v>Debt Service/O&amp;M Reserve</v>
      </c>
      <c r="B414" s="238"/>
      <c r="C414" s="467"/>
      <c r="D414" s="467"/>
      <c r="E414" s="468" t="n">
        <f aca="false">E529</f>
        <v>0</v>
      </c>
      <c r="F414" s="468" t="n">
        <f aca="false">F529</f>
        <v>5250</v>
      </c>
      <c r="G414" s="468" t="n">
        <f aca="false">G529</f>
        <v>5851</v>
      </c>
      <c r="H414" s="479" t="n">
        <f aca="false">N529</f>
        <v>0</v>
      </c>
      <c r="I414" s="468" t="n">
        <f aca="false">H414+I372</f>
        <v>0</v>
      </c>
      <c r="J414" s="468" t="n">
        <f aca="false">I414+J372</f>
        <v>0</v>
      </c>
      <c r="K414" s="468" t="n">
        <f aca="false">J414+K372</f>
        <v>0</v>
      </c>
      <c r="L414" s="468" t="n">
        <f aca="false">K414+L372</f>
        <v>332.97615389445</v>
      </c>
      <c r="M414" s="468" t="n">
        <f aca="false">L414+M372</f>
        <v>0</v>
      </c>
      <c r="N414" s="468" t="n">
        <f aca="false">M414+N372</f>
        <v>0</v>
      </c>
      <c r="O414" s="468" t="n">
        <f aca="false">N414+O372</f>
        <v>576.467477474461</v>
      </c>
      <c r="P414" s="468" t="n">
        <f aca="false">O414+P372</f>
        <v>2882.3373873723</v>
      </c>
      <c r="Q414" s="468" t="n">
        <f aca="false">P414+Q372</f>
        <v>0</v>
      </c>
      <c r="R414" s="468" t="n">
        <f aca="false">Q414+R372</f>
        <v>0</v>
      </c>
      <c r="S414" s="468" t="n">
        <f aca="false">R414+S372</f>
        <v>0</v>
      </c>
      <c r="T414" s="468" t="n">
        <f aca="false">S414+T372</f>
        <v>467.663828494415</v>
      </c>
      <c r="U414" s="468" t="n">
        <f aca="false">T414+U372</f>
        <v>0</v>
      </c>
      <c r="V414" s="468" t="n">
        <f aca="false">U414+V372</f>
        <v>0</v>
      </c>
      <c r="W414" s="468" t="n">
        <f aca="false">V414+W372</f>
        <v>807.96969208624</v>
      </c>
      <c r="X414" s="468" t="n">
        <f aca="false">W414+X372</f>
        <v>4039.8484604312</v>
      </c>
      <c r="Y414" s="468" t="n">
        <f aca="false">X414+Y372</f>
        <v>0</v>
      </c>
      <c r="Z414" s="468" t="n">
        <f aca="false">Y414+Z372</f>
        <v>0</v>
      </c>
      <c r="AA414" s="468" t="n">
        <f aca="false">Z414+AA372</f>
        <v>0</v>
      </c>
      <c r="AB414" s="468" t="n">
        <f aca="false">AA414+AB372</f>
        <v>0</v>
      </c>
      <c r="AC414" s="468" t="n">
        <f aca="false">AB414+AC372</f>
        <v>0</v>
      </c>
      <c r="AD414" s="468" t="n">
        <f aca="false">AC414+AD372</f>
        <v>0</v>
      </c>
      <c r="AE414" s="468" t="n">
        <f aca="false">AD414+AE372</f>
        <v>0</v>
      </c>
      <c r="AF414" s="468" t="n">
        <f aca="false">AE414+AF372</f>
        <v>0</v>
      </c>
    </row>
    <row r="415" customFormat="false" ht="12" hidden="false" customHeight="false" outlineLevel="0" collapsed="false">
      <c r="A415" s="499" t="str">
        <f aca="false">A530</f>
        <v>Total Assets</v>
      </c>
      <c r="B415" s="238"/>
      <c r="C415" s="468"/>
      <c r="D415" s="468"/>
      <c r="E415" s="487" t="n">
        <f aca="false">E403+E407+E411+E413+E414</f>
        <v>0</v>
      </c>
      <c r="F415" s="487" t="n">
        <f aca="false">F403+F407+F411+F413+F414</f>
        <v>67935</v>
      </c>
      <c r="G415" s="487" t="n">
        <f aca="false">G403+G407+G411+G413+G414</f>
        <v>65857</v>
      </c>
      <c r="H415" s="488" t="n">
        <f aca="false">H403+H407+H411+H413+H414</f>
        <v>79792.3752741349</v>
      </c>
      <c r="I415" s="487" t="n">
        <f aca="false">I403+I407+I411+I413+I414</f>
        <v>78296.8549368889</v>
      </c>
      <c r="J415" s="487" t="e">
        <f aca="false">J403+J407+J411+J413+J414</f>
        <v>#VALUE!</v>
      </c>
      <c r="K415" s="487" t="e">
        <f aca="false">K403+K407+K411+K413+K414</f>
        <v>#VALUE!</v>
      </c>
      <c r="L415" s="487" t="e">
        <f aca="false">L403+L407+L411+L413+L414</f>
        <v>#VALUE!</v>
      </c>
      <c r="M415" s="487" t="e">
        <f aca="false">M403+M407+M411+M413+M414</f>
        <v>#VALUE!</v>
      </c>
      <c r="N415" s="487" t="e">
        <f aca="false">N403+N407+N411+N413+N414</f>
        <v>#VALUE!</v>
      </c>
      <c r="O415" s="487" t="e">
        <f aca="false">O403+O407+O411+O413+O414</f>
        <v>#VALUE!</v>
      </c>
      <c r="P415" s="487" t="e">
        <f aca="false">P403+P407+P411+P413+P414</f>
        <v>#VALUE!</v>
      </c>
      <c r="Q415" s="487" t="e">
        <f aca="false">Q403+Q407+Q411+Q413+Q414</f>
        <v>#VALUE!</v>
      </c>
      <c r="R415" s="487" t="e">
        <f aca="false">R403+R407+R411+R413+R414</f>
        <v>#VALUE!</v>
      </c>
      <c r="S415" s="487" t="e">
        <f aca="false">S403+S407+S411+S413+S414</f>
        <v>#VALUE!</v>
      </c>
      <c r="T415" s="487" t="e">
        <f aca="false">T403+T407+T411+T413+T414</f>
        <v>#VALUE!</v>
      </c>
      <c r="U415" s="487" t="e">
        <f aca="false">U403+U407+U411+U413+U414</f>
        <v>#VALUE!</v>
      </c>
      <c r="V415" s="487" t="e">
        <f aca="false">V403+V407+V411+V413+V414</f>
        <v>#VALUE!</v>
      </c>
      <c r="W415" s="487" t="e">
        <f aca="false">W403+W407+W411+W413+W414</f>
        <v>#VALUE!</v>
      </c>
      <c r="X415" s="487" t="e">
        <f aca="false">X403+X407+X411+X413+X414</f>
        <v>#VALUE!</v>
      </c>
      <c r="Y415" s="487" t="e">
        <f aca="false">Y403+Y407+Y411+Y413+Y414</f>
        <v>#VALUE!</v>
      </c>
      <c r="Z415" s="487" t="e">
        <f aca="false">Z403+Z407+Z411+Z413+Z414</f>
        <v>#VALUE!</v>
      </c>
      <c r="AA415" s="487" t="e">
        <f aca="false">AA403+AA407+AA411+AA413+AA414</f>
        <v>#VALUE!</v>
      </c>
      <c r="AB415" s="487" t="e">
        <f aca="false">AB403+AB407+AB411+AB413+AB414</f>
        <v>#VALUE!</v>
      </c>
      <c r="AC415" s="487" t="e">
        <f aca="false">AC403+AC407+AC411+AC413+AC414</f>
        <v>#VALUE!</v>
      </c>
      <c r="AD415" s="487" t="e">
        <f aca="false">AD403+AD407+AD411+AD413+AD414</f>
        <v>#VALUE!</v>
      </c>
      <c r="AE415" s="487" t="e">
        <f aca="false">AE403+AE407+AE411+AE413+AE414</f>
        <v>#VALUE!</v>
      </c>
      <c r="AF415" s="487" t="e">
        <f aca="false">AF403+AF407+AF411+AF413+AF414</f>
        <v>#VALUE!</v>
      </c>
    </row>
    <row r="416" customFormat="false" ht="12" hidden="false" customHeight="false" outlineLevel="0" collapsed="false">
      <c r="A416" s="238"/>
      <c r="B416" s="238"/>
      <c r="C416" s="468"/>
      <c r="D416" s="468"/>
      <c r="E416" s="468"/>
      <c r="F416" s="468"/>
      <c r="G416" s="468"/>
      <c r="H416" s="468"/>
      <c r="I416" s="468"/>
      <c r="J416" s="468"/>
      <c r="K416" s="468"/>
      <c r="L416" s="468"/>
      <c r="M416" s="468"/>
      <c r="N416" s="468"/>
      <c r="O416" s="468"/>
      <c r="P416" s="468"/>
      <c r="Q416" s="468"/>
      <c r="R416" s="468"/>
      <c r="S416" s="468"/>
      <c r="T416" s="468"/>
      <c r="U416" s="468"/>
      <c r="V416" s="468"/>
      <c r="W416" s="468"/>
      <c r="X416" s="468"/>
      <c r="Y416" s="468"/>
      <c r="Z416" s="468"/>
      <c r="AA416" s="468"/>
      <c r="AB416" s="468"/>
      <c r="AC416" s="468"/>
      <c r="AD416" s="468"/>
      <c r="AE416" s="468"/>
      <c r="AF416" s="468"/>
    </row>
    <row r="417" customFormat="false" ht="11.25" hidden="false" customHeight="false" outlineLevel="0" collapsed="false">
      <c r="A417" s="499" t="str">
        <f aca="false">A532</f>
        <v>LIABILITIES &amp; EQUITY:</v>
      </c>
      <c r="B417" s="238"/>
      <c r="C417" s="467"/>
      <c r="D417" s="467"/>
      <c r="E417" s="467"/>
      <c r="F417" s="467"/>
      <c r="G417" s="468"/>
      <c r="H417" s="468"/>
      <c r="I417" s="468"/>
      <c r="J417" s="468"/>
      <c r="K417" s="468"/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468"/>
      <c r="W417" s="468"/>
      <c r="X417" s="468"/>
      <c r="Y417" s="468"/>
      <c r="Z417" s="468"/>
      <c r="AA417" s="468"/>
      <c r="AB417" s="468"/>
      <c r="AC417" s="468"/>
      <c r="AD417" s="468"/>
      <c r="AE417" s="468"/>
      <c r="AF417" s="468"/>
    </row>
    <row r="418" customFormat="false" ht="11.25" hidden="false" customHeight="false" outlineLevel="0" collapsed="false">
      <c r="A418" s="238" t="str">
        <f aca="false">A533</f>
        <v>Accounts Payable</v>
      </c>
      <c r="B418" s="238"/>
      <c r="C418" s="468"/>
      <c r="D418" s="468"/>
      <c r="E418" s="468" t="n">
        <f aca="false">E533</f>
        <v>0</v>
      </c>
      <c r="F418" s="468" t="n">
        <f aca="false">F533</f>
        <v>920</v>
      </c>
      <c r="G418" s="468" t="n">
        <f aca="false">G533</f>
        <v>951</v>
      </c>
      <c r="H418" s="479" t="n">
        <f aca="false">N533</f>
        <v>-707.624725865137</v>
      </c>
      <c r="I418" s="468" t="n">
        <f aca="false">I574</f>
        <v>834</v>
      </c>
      <c r="J418" s="468" t="e">
        <f aca="false">J574</f>
        <v>#VALUE!</v>
      </c>
      <c r="K418" s="468" t="e">
        <f aca="false">K574</f>
        <v>#VALUE!</v>
      </c>
      <c r="L418" s="468" t="e">
        <f aca="false">L574</f>
        <v>#VALUE!</v>
      </c>
      <c r="M418" s="468" t="e">
        <f aca="false">M574</f>
        <v>#VALUE!</v>
      </c>
      <c r="N418" s="468" t="e">
        <f aca="false">N574</f>
        <v>#VALUE!</v>
      </c>
      <c r="O418" s="468" t="e">
        <f aca="false">O574</f>
        <v>#VALUE!</v>
      </c>
      <c r="P418" s="468" t="e">
        <f aca="false">P574</f>
        <v>#VALUE!</v>
      </c>
      <c r="Q418" s="468" t="e">
        <f aca="false">Q574</f>
        <v>#VALUE!</v>
      </c>
      <c r="R418" s="468" t="e">
        <f aca="false">R574</f>
        <v>#VALUE!</v>
      </c>
      <c r="S418" s="468" t="e">
        <f aca="false">S574</f>
        <v>#VALUE!</v>
      </c>
      <c r="T418" s="468" t="e">
        <f aca="false">T574</f>
        <v>#VALUE!</v>
      </c>
      <c r="U418" s="468" t="e">
        <f aca="false">U574</f>
        <v>#VALUE!</v>
      </c>
      <c r="V418" s="468" t="e">
        <f aca="false">V574</f>
        <v>#VALUE!</v>
      </c>
      <c r="W418" s="468" t="e">
        <f aca="false">W574</f>
        <v>#VALUE!</v>
      </c>
      <c r="X418" s="468" t="e">
        <f aca="false">X574</f>
        <v>#VALUE!</v>
      </c>
      <c r="Y418" s="468" t="e">
        <f aca="false">Y574</f>
        <v>#VALUE!</v>
      </c>
      <c r="Z418" s="468" t="e">
        <f aca="false">Z574</f>
        <v>#VALUE!</v>
      </c>
      <c r="AA418" s="468" t="e">
        <f aca="false">AA574</f>
        <v>#VALUE!</v>
      </c>
      <c r="AB418" s="468" t="e">
        <f aca="false">AB574</f>
        <v>#VALUE!</v>
      </c>
      <c r="AC418" s="468" t="e">
        <f aca="false">AC574</f>
        <v>#VALUE!</v>
      </c>
      <c r="AD418" s="468" t="e">
        <f aca="false">AD574</f>
        <v>#VALUE!</v>
      </c>
      <c r="AE418" s="468" t="e">
        <f aca="false">AE574</f>
        <v>#VALUE!</v>
      </c>
      <c r="AF418" s="468" t="e">
        <f aca="false">AF574</f>
        <v>#VALUE!</v>
      </c>
    </row>
    <row r="419" customFormat="false" ht="11.25" hidden="false" customHeight="false" outlineLevel="0" collapsed="false">
      <c r="A419" s="238" t="str">
        <f aca="false">A534</f>
        <v>Accrued Expenses</v>
      </c>
      <c r="B419" s="238"/>
      <c r="C419" s="468"/>
      <c r="D419" s="468"/>
      <c r="E419" s="468" t="n">
        <f aca="false">E534</f>
        <v>0</v>
      </c>
      <c r="F419" s="468" t="n">
        <f aca="false">F534</f>
        <v>0</v>
      </c>
      <c r="G419" s="468" t="n">
        <f aca="false">G534</f>
        <v>0</v>
      </c>
      <c r="H419" s="479" t="n">
        <f aca="false">N534</f>
        <v>0</v>
      </c>
      <c r="I419" s="468" t="n">
        <f aca="false">I575</f>
        <v>0</v>
      </c>
      <c r="J419" s="468" t="n">
        <f aca="false">J575</f>
        <v>0</v>
      </c>
      <c r="K419" s="468" t="n">
        <f aca="false">K575</f>
        <v>0</v>
      </c>
      <c r="L419" s="468" t="n">
        <f aca="false">L575</f>
        <v>0</v>
      </c>
      <c r="M419" s="468" t="n">
        <f aca="false">M575</f>
        <v>0</v>
      </c>
      <c r="N419" s="468" t="n">
        <f aca="false">N575</f>
        <v>0</v>
      </c>
      <c r="O419" s="468" t="n">
        <f aca="false">O575</f>
        <v>0</v>
      </c>
      <c r="P419" s="468" t="n">
        <f aca="false">P575</f>
        <v>0</v>
      </c>
      <c r="Q419" s="468" t="n">
        <f aca="false">Q575</f>
        <v>0</v>
      </c>
      <c r="R419" s="468" t="n">
        <f aca="false">R575</f>
        <v>0</v>
      </c>
      <c r="S419" s="468" t="n">
        <f aca="false">S575</f>
        <v>0</v>
      </c>
      <c r="T419" s="468" t="n">
        <f aca="false">T575</f>
        <v>0</v>
      </c>
      <c r="U419" s="468" t="n">
        <f aca="false">U575</f>
        <v>0</v>
      </c>
      <c r="V419" s="468" t="n">
        <f aca="false">V575</f>
        <v>0</v>
      </c>
      <c r="W419" s="468" t="n">
        <f aca="false">W575</f>
        <v>0</v>
      </c>
      <c r="X419" s="468" t="n">
        <f aca="false">X575</f>
        <v>0</v>
      </c>
      <c r="Y419" s="468" t="n">
        <f aca="false">Y575</f>
        <v>0</v>
      </c>
      <c r="Z419" s="468" t="n">
        <f aca="false">Z575</f>
        <v>0</v>
      </c>
      <c r="AA419" s="468" t="n">
        <f aca="false">AA575</f>
        <v>0</v>
      </c>
      <c r="AB419" s="468" t="n">
        <f aca="false">AB575</f>
        <v>0</v>
      </c>
      <c r="AC419" s="468" t="n">
        <f aca="false">AC575</f>
        <v>0</v>
      </c>
      <c r="AD419" s="468" t="n">
        <f aca="false">AD575</f>
        <v>0</v>
      </c>
      <c r="AE419" s="468" t="n">
        <f aca="false">AE575</f>
        <v>0</v>
      </c>
      <c r="AF419" s="468" t="n">
        <f aca="false">AF575</f>
        <v>0</v>
      </c>
    </row>
    <row r="420" customFormat="false" ht="11.25" hidden="false" customHeight="false" outlineLevel="0" collapsed="false">
      <c r="A420" s="238" t="str">
        <f aca="false">A535</f>
        <v>Other Payables</v>
      </c>
      <c r="B420" s="238"/>
      <c r="C420" s="468"/>
      <c r="D420" s="468"/>
      <c r="E420" s="468" t="n">
        <f aca="false">E535</f>
        <v>0</v>
      </c>
      <c r="F420" s="468" t="n">
        <f aca="false">F535</f>
        <v>516</v>
      </c>
      <c r="G420" s="468" t="n">
        <f aca="false">G535</f>
        <v>387</v>
      </c>
      <c r="H420" s="479" t="n">
        <f aca="false">N535</f>
        <v>0</v>
      </c>
      <c r="I420" s="468" t="n">
        <f aca="false">I576</f>
        <v>0</v>
      </c>
      <c r="J420" s="468" t="n">
        <f aca="false">J576</f>
        <v>0</v>
      </c>
      <c r="K420" s="468" t="n">
        <f aca="false">K576</f>
        <v>0</v>
      </c>
      <c r="L420" s="468" t="n">
        <f aca="false">L576</f>
        <v>0</v>
      </c>
      <c r="M420" s="468" t="n">
        <f aca="false">M576</f>
        <v>0</v>
      </c>
      <c r="N420" s="468" t="n">
        <f aca="false">N576</f>
        <v>0</v>
      </c>
      <c r="O420" s="468" t="n">
        <f aca="false">O576</f>
        <v>0</v>
      </c>
      <c r="P420" s="468" t="n">
        <f aca="false">P576</f>
        <v>0</v>
      </c>
      <c r="Q420" s="468" t="n">
        <f aca="false">Q576</f>
        <v>0</v>
      </c>
      <c r="R420" s="468" t="n">
        <f aca="false">R576</f>
        <v>0</v>
      </c>
      <c r="S420" s="468" t="n">
        <f aca="false">S576</f>
        <v>0</v>
      </c>
      <c r="T420" s="468" t="n">
        <f aca="false">T576</f>
        <v>0</v>
      </c>
      <c r="U420" s="468" t="n">
        <f aca="false">U576</f>
        <v>0</v>
      </c>
      <c r="V420" s="468" t="n">
        <f aca="false">V576</f>
        <v>0</v>
      </c>
      <c r="W420" s="468" t="n">
        <f aca="false">W576</f>
        <v>0</v>
      </c>
      <c r="X420" s="468" t="n">
        <f aca="false">X576</f>
        <v>0</v>
      </c>
      <c r="Y420" s="468" t="n">
        <f aca="false">Y576</f>
        <v>0</v>
      </c>
      <c r="Z420" s="468" t="n">
        <f aca="false">Z576</f>
        <v>0</v>
      </c>
      <c r="AA420" s="468" t="n">
        <f aca="false">AA576</f>
        <v>0</v>
      </c>
      <c r="AB420" s="468" t="n">
        <f aca="false">AB576</f>
        <v>0</v>
      </c>
      <c r="AC420" s="468" t="n">
        <f aca="false">AC576</f>
        <v>0</v>
      </c>
      <c r="AD420" s="468" t="n">
        <f aca="false">AD576</f>
        <v>0</v>
      </c>
      <c r="AE420" s="468" t="n">
        <f aca="false">AE576</f>
        <v>0</v>
      </c>
      <c r="AF420" s="468" t="n">
        <f aca="false">AF576</f>
        <v>0</v>
      </c>
    </row>
    <row r="421" customFormat="false" ht="11.25" hidden="false" customHeight="false" outlineLevel="0" collapsed="false">
      <c r="A421" s="238" t="str">
        <f aca="false">A536</f>
        <v>Current Maturities</v>
      </c>
      <c r="B421" s="238"/>
      <c r="C421" s="467"/>
      <c r="D421" s="467"/>
      <c r="E421" s="468" t="n">
        <f aca="false">E536</f>
        <v>0</v>
      </c>
      <c r="F421" s="468" t="n">
        <f aca="false">F536</f>
        <v>2067</v>
      </c>
      <c r="G421" s="468" t="n">
        <f aca="false">G536</f>
        <v>2584</v>
      </c>
      <c r="H421" s="479" t="n">
        <f aca="false">N536</f>
        <v>0</v>
      </c>
      <c r="I421" s="468" t="e">
        <f aca="false">+J453+J460+J446</f>
        <v>#VALUE!</v>
      </c>
      <c r="J421" s="468" t="e">
        <f aca="false">+K453+K460+K446</f>
        <v>#VALUE!</v>
      </c>
      <c r="K421" s="468" t="e">
        <f aca="false">+L453+L460+L446</f>
        <v>#VALUE!</v>
      </c>
      <c r="L421" s="468" t="e">
        <f aca="false">+M453+M460+M446</f>
        <v>#VALUE!</v>
      </c>
      <c r="M421" s="468" t="e">
        <f aca="false">+N453+N460+N446</f>
        <v>#VALUE!</v>
      </c>
      <c r="N421" s="468" t="e">
        <f aca="false">+O453+O460+O446</f>
        <v>#VALUE!</v>
      </c>
      <c r="O421" s="468" t="e">
        <f aca="false">+P453+P460+P446</f>
        <v>#VALUE!</v>
      </c>
      <c r="P421" s="468" t="e">
        <f aca="false">+Q453+Q460+Q446</f>
        <v>#VALUE!</v>
      </c>
      <c r="Q421" s="468" t="e">
        <f aca="false">+R453+R460+R446</f>
        <v>#VALUE!</v>
      </c>
      <c r="R421" s="468" t="e">
        <f aca="false">+S453+S460+S446</f>
        <v>#VALUE!</v>
      </c>
      <c r="S421" s="468" t="e">
        <f aca="false">+T453+T460+T446</f>
        <v>#VALUE!</v>
      </c>
      <c r="T421" s="468" t="e">
        <f aca="false">+U453+U460+U446</f>
        <v>#VALUE!</v>
      </c>
      <c r="U421" s="468" t="e">
        <f aca="false">+V453+V460+V446</f>
        <v>#VALUE!</v>
      </c>
      <c r="V421" s="468" t="e">
        <f aca="false">+W453+W460+W446</f>
        <v>#VALUE!</v>
      </c>
      <c r="W421" s="468" t="e">
        <f aca="false">+X453+X460+X446</f>
        <v>#VALUE!</v>
      </c>
      <c r="X421" s="468" t="e">
        <f aca="false">+Y453+Y460+Y446</f>
        <v>#VALUE!</v>
      </c>
      <c r="Y421" s="468" t="e">
        <f aca="false">+Z453+Z460+Z446</f>
        <v>#VALUE!</v>
      </c>
      <c r="Z421" s="468" t="e">
        <f aca="false">+AA453+AA460+AA446</f>
        <v>#VALUE!</v>
      </c>
      <c r="AA421" s="468" t="e">
        <f aca="false">+AB453+AB460+AB446</f>
        <v>#VALUE!</v>
      </c>
      <c r="AB421" s="468" t="e">
        <f aca="false">+AC453+AC460+AC446</f>
        <v>#VALUE!</v>
      </c>
      <c r="AC421" s="468" t="e">
        <f aca="false">+AD453+AD460+AD446</f>
        <v>#VALUE!</v>
      </c>
      <c r="AD421" s="468" t="e">
        <f aca="false">+AE453+AE460+AE446</f>
        <v>#VALUE!</v>
      </c>
      <c r="AE421" s="468" t="e">
        <f aca="false">+AF453+AF460+AF446</f>
        <v>#VALUE!</v>
      </c>
      <c r="AF421" s="468" t="n">
        <f aca="false">+AG453+AG460+AG446</f>
        <v>0</v>
      </c>
    </row>
    <row r="422" customFormat="false" ht="11.25" hidden="false" customHeight="false" outlineLevel="0" collapsed="false">
      <c r="A422" s="238" t="s">
        <v>498</v>
      </c>
      <c r="B422" s="238"/>
      <c r="C422" s="467"/>
      <c r="D422" s="467"/>
      <c r="E422" s="468" t="n">
        <v>0</v>
      </c>
      <c r="F422" s="468" t="n">
        <v>0</v>
      </c>
      <c r="G422" s="468" t="n">
        <v>0</v>
      </c>
      <c r="H422" s="501" t="n">
        <v>0</v>
      </c>
      <c r="I422" s="472" t="e">
        <f aca="false">+I447-J446</f>
        <v>#VALUE!</v>
      </c>
      <c r="J422" s="470" t="e">
        <f aca="false">+J447-K446</f>
        <v>#VALUE!</v>
      </c>
      <c r="K422" s="470" t="e">
        <f aca="false">+K447-L446</f>
        <v>#VALUE!</v>
      </c>
      <c r="L422" s="470" t="e">
        <f aca="false">+L447-M446</f>
        <v>#VALUE!</v>
      </c>
      <c r="M422" s="470" t="e">
        <f aca="false">+M447-N446</f>
        <v>#VALUE!</v>
      </c>
      <c r="N422" s="470" t="e">
        <f aca="false">+N447-O446</f>
        <v>#VALUE!</v>
      </c>
      <c r="O422" s="470" t="e">
        <f aca="false">+O447-P446</f>
        <v>#VALUE!</v>
      </c>
      <c r="P422" s="470" t="e">
        <f aca="false">+P447-Q446</f>
        <v>#VALUE!</v>
      </c>
      <c r="Q422" s="470" t="e">
        <f aca="false">+Q447-R446</f>
        <v>#VALUE!</v>
      </c>
      <c r="R422" s="470" t="e">
        <f aca="false">+R447-S446</f>
        <v>#VALUE!</v>
      </c>
      <c r="S422" s="470" t="e">
        <f aca="false">+S447-T446</f>
        <v>#VALUE!</v>
      </c>
      <c r="T422" s="470" t="e">
        <f aca="false">+T447-U446</f>
        <v>#VALUE!</v>
      </c>
      <c r="U422" s="470" t="e">
        <f aca="false">+U447-V446</f>
        <v>#VALUE!</v>
      </c>
      <c r="V422" s="470" t="e">
        <f aca="false">+V447-W446</f>
        <v>#VALUE!</v>
      </c>
      <c r="W422" s="470" t="e">
        <f aca="false">+W447-X446</f>
        <v>#VALUE!</v>
      </c>
      <c r="X422" s="470" t="e">
        <f aca="false">+X447-Y446</f>
        <v>#VALUE!</v>
      </c>
      <c r="Y422" s="470" t="e">
        <f aca="false">+Y447-Z446</f>
        <v>#VALUE!</v>
      </c>
      <c r="Z422" s="470" t="e">
        <f aca="false">+Z447-AA446</f>
        <v>#VALUE!</v>
      </c>
      <c r="AA422" s="470" t="e">
        <f aca="false">+AA447-AB446</f>
        <v>#VALUE!</v>
      </c>
      <c r="AB422" s="470" t="e">
        <f aca="false">+AB447-AC446</f>
        <v>#VALUE!</v>
      </c>
      <c r="AC422" s="470" t="e">
        <f aca="false">+AC447-AD446</f>
        <v>#VALUE!</v>
      </c>
      <c r="AD422" s="470" t="e">
        <f aca="false">+AD447-AE446</f>
        <v>#VALUE!</v>
      </c>
      <c r="AE422" s="470" t="e">
        <f aca="false">+AE447-AF446</f>
        <v>#VALUE!</v>
      </c>
      <c r="AF422" s="470" t="e">
        <f aca="false">+AF447-AG446</f>
        <v>#VALUE!</v>
      </c>
    </row>
    <row r="423" customFormat="false" ht="11.25" hidden="false" customHeight="false" outlineLevel="0" collapsed="false">
      <c r="A423" s="499" t="str">
        <f aca="false">A537</f>
        <v>Total Current Liabilities</v>
      </c>
      <c r="B423" s="238"/>
      <c r="C423" s="468"/>
      <c r="D423" s="468"/>
      <c r="E423" s="477" t="n">
        <f aca="false">E418+E419+E421+E420+E422</f>
        <v>0</v>
      </c>
      <c r="F423" s="477" t="n">
        <f aca="false">F418+F419+F421+F420+F422</f>
        <v>3503</v>
      </c>
      <c r="G423" s="477" t="n">
        <f aca="false">G418+G419+G421+G420+G422</f>
        <v>3922</v>
      </c>
      <c r="H423" s="474" t="n">
        <f aca="false">H418+H419+H421+H420+H422</f>
        <v>-707.624725865137</v>
      </c>
      <c r="I423" s="475" t="e">
        <f aca="false">I418+I419+I421+I420+I422</f>
        <v>#VALUE!</v>
      </c>
      <c r="J423" s="474" t="e">
        <f aca="false">J418+J419+J421+J420+J422</f>
        <v>#VALUE!</v>
      </c>
      <c r="K423" s="474" t="e">
        <f aca="false">K418+K419+K421+K420+K422</f>
        <v>#VALUE!</v>
      </c>
      <c r="L423" s="474" t="e">
        <f aca="false">L418+L419+L421+L420+L422</f>
        <v>#VALUE!</v>
      </c>
      <c r="M423" s="474" t="e">
        <f aca="false">M418+M419+M421+M420+M422</f>
        <v>#VALUE!</v>
      </c>
      <c r="N423" s="474" t="e">
        <f aca="false">N418+N419+N421+N420+N422</f>
        <v>#VALUE!</v>
      </c>
      <c r="O423" s="474" t="e">
        <f aca="false">O418+O419+O421+O420+O422</f>
        <v>#VALUE!</v>
      </c>
      <c r="P423" s="474" t="e">
        <f aca="false">P418+P419+P421+P420+P422</f>
        <v>#VALUE!</v>
      </c>
      <c r="Q423" s="474" t="e">
        <f aca="false">Q418+Q419+Q421+Q420+Q422</f>
        <v>#VALUE!</v>
      </c>
      <c r="R423" s="474" t="e">
        <f aca="false">R418+R419+R421+R420+R422</f>
        <v>#VALUE!</v>
      </c>
      <c r="S423" s="474" t="e">
        <f aca="false">S418+S419+S421+S420+S422</f>
        <v>#VALUE!</v>
      </c>
      <c r="T423" s="474" t="e">
        <f aca="false">T418+T419+T421+T420+T422</f>
        <v>#VALUE!</v>
      </c>
      <c r="U423" s="474" t="e">
        <f aca="false">U418+U419+U421+U420+U422</f>
        <v>#VALUE!</v>
      </c>
      <c r="V423" s="474" t="e">
        <f aca="false">V418+V419+V421+V420+V422</f>
        <v>#VALUE!</v>
      </c>
      <c r="W423" s="474" t="e">
        <f aca="false">W418+W419+W421+W420+W422</f>
        <v>#VALUE!</v>
      </c>
      <c r="X423" s="474" t="e">
        <f aca="false">X418+X419+X421+X420+X422</f>
        <v>#VALUE!</v>
      </c>
      <c r="Y423" s="474" t="e">
        <f aca="false">Y418+Y419+Y421+Y420+Y422</f>
        <v>#VALUE!</v>
      </c>
      <c r="Z423" s="474" t="e">
        <f aca="false">Z418+Z419+Z421+Z420+Z422</f>
        <v>#VALUE!</v>
      </c>
      <c r="AA423" s="474" t="e">
        <f aca="false">AA418+AA419+AA421+AA420+AA422</f>
        <v>#VALUE!</v>
      </c>
      <c r="AB423" s="474" t="e">
        <f aca="false">AB418+AB419+AB421+AB420+AB422</f>
        <v>#VALUE!</v>
      </c>
      <c r="AC423" s="474" t="e">
        <f aca="false">AC418+AC419+AC421+AC420+AC422</f>
        <v>#VALUE!</v>
      </c>
      <c r="AD423" s="474" t="e">
        <f aca="false">AD418+AD419+AD421+AD420+AD422</f>
        <v>#VALUE!</v>
      </c>
      <c r="AE423" s="474" t="e">
        <f aca="false">AE418+AE419+AE421+AE420+AE422</f>
        <v>#VALUE!</v>
      </c>
      <c r="AF423" s="474" t="e">
        <f aca="false">AF418+AF419+AF421+AF420+AF422</f>
        <v>#VALUE!</v>
      </c>
    </row>
    <row r="424" customFormat="false" ht="11.25" hidden="false" customHeight="false" outlineLevel="0" collapsed="false">
      <c r="A424" s="238"/>
      <c r="B424" s="238"/>
      <c r="C424" s="467"/>
      <c r="D424" s="467"/>
      <c r="E424" s="467"/>
      <c r="F424" s="467"/>
      <c r="G424" s="468"/>
      <c r="H424" s="474"/>
      <c r="I424" s="475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468"/>
      <c r="W424" s="468"/>
      <c r="X424" s="468"/>
      <c r="Y424" s="468"/>
      <c r="Z424" s="468"/>
      <c r="AA424" s="468"/>
      <c r="AB424" s="468"/>
      <c r="AC424" s="468"/>
      <c r="AD424" s="468"/>
      <c r="AE424" s="468"/>
      <c r="AF424" s="468"/>
    </row>
    <row r="425" customFormat="false" ht="11.25" hidden="false" customHeight="false" outlineLevel="0" collapsed="false">
      <c r="A425" s="238" t="str">
        <f aca="false">A539</f>
        <v>Purchase Term Loan Debt</v>
      </c>
      <c r="B425" s="238"/>
      <c r="C425" s="467"/>
      <c r="D425" s="467"/>
      <c r="E425" s="468" t="n">
        <f aca="false">E539</f>
        <v>0</v>
      </c>
      <c r="F425" s="468" t="n">
        <f aca="false">F539</f>
        <v>52041</v>
      </c>
      <c r="G425" s="468" t="n">
        <f aca="false">G539</f>
        <v>48866</v>
      </c>
      <c r="H425" s="500" t="n">
        <f aca="false">+K539</f>
        <v>56500</v>
      </c>
      <c r="I425" s="475" t="n">
        <f aca="false">I461+I455-J453-J460</f>
        <v>54507.000016</v>
      </c>
      <c r="J425" s="468" t="e">
        <f aca="false">J461+J455-K453-K460</f>
        <v>#VALUE!</v>
      </c>
      <c r="K425" s="468" t="e">
        <f aca="false">K461+K455-L453-L460</f>
        <v>#VALUE!</v>
      </c>
      <c r="L425" s="468" t="e">
        <f aca="false">L461+L455-M453-M460</f>
        <v>#VALUE!</v>
      </c>
      <c r="M425" s="468" t="e">
        <f aca="false">M461+M455-N453-N460</f>
        <v>#VALUE!</v>
      </c>
      <c r="N425" s="468" t="e">
        <f aca="false">N461+N455-O453-O460</f>
        <v>#VALUE!</v>
      </c>
      <c r="O425" s="468" t="e">
        <f aca="false">O461+O455-P453-P460</f>
        <v>#VALUE!</v>
      </c>
      <c r="P425" s="468" t="e">
        <f aca="false">P461+P455-Q453-Q460</f>
        <v>#VALUE!</v>
      </c>
      <c r="Q425" s="468" t="e">
        <f aca="false">Q461+Q455-R453-R460</f>
        <v>#VALUE!</v>
      </c>
      <c r="R425" s="468" t="e">
        <f aca="false">R461+R455-S453-S460</f>
        <v>#VALUE!</v>
      </c>
      <c r="S425" s="468" t="e">
        <f aca="false">S461+S455-T453-T460</f>
        <v>#VALUE!</v>
      </c>
      <c r="T425" s="468" t="e">
        <f aca="false">T461+T455-U453-U460</f>
        <v>#VALUE!</v>
      </c>
      <c r="U425" s="468" t="e">
        <f aca="false">U461+U455-V453-V460</f>
        <v>#VALUE!</v>
      </c>
      <c r="V425" s="468" t="e">
        <f aca="false">V461+V455-W453-W460</f>
        <v>#VALUE!</v>
      </c>
      <c r="W425" s="468" t="e">
        <f aca="false">W461+W455-X453-X460</f>
        <v>#VALUE!</v>
      </c>
      <c r="X425" s="468" t="e">
        <f aca="false">X461+X455-Y453-Y460</f>
        <v>#VALUE!</v>
      </c>
      <c r="Y425" s="468" t="e">
        <f aca="false">Y461+Y455-Z453-Z460</f>
        <v>#VALUE!</v>
      </c>
      <c r="Z425" s="468" t="e">
        <f aca="false">Z461+Z455-AA453-AA460</f>
        <v>#VALUE!</v>
      </c>
      <c r="AA425" s="468" t="e">
        <f aca="false">AA461+AA455-AB453-AB460</f>
        <v>#VALUE!</v>
      </c>
      <c r="AB425" s="468" t="e">
        <f aca="false">AB461+AB455-AC453-AC460</f>
        <v>#VALUE!</v>
      </c>
      <c r="AC425" s="468" t="e">
        <f aca="false">AC461+AC455-AD453-AD460</f>
        <v>#VALUE!</v>
      </c>
      <c r="AD425" s="468" t="e">
        <f aca="false">AD461+AD455-AE453-AE460</f>
        <v>#VALUE!</v>
      </c>
      <c r="AE425" s="468" t="e">
        <f aca="false">AE461+AE455-AF453-AF460</f>
        <v>#VALUE!</v>
      </c>
      <c r="AF425" s="468" t="e">
        <f aca="false">AF461+AF455-AG453-AG460</f>
        <v>#VALUE!</v>
      </c>
    </row>
    <row r="426" customFormat="false" ht="11.25" hidden="false" customHeight="false" outlineLevel="0" collapsed="false">
      <c r="A426" s="238" t="s">
        <v>475</v>
      </c>
      <c r="B426" s="238"/>
      <c r="C426" s="467"/>
      <c r="D426" s="467"/>
      <c r="E426" s="468" t="n">
        <f aca="false">E540</f>
        <v>0</v>
      </c>
      <c r="F426" s="468" t="n">
        <f aca="false">F540</f>
        <v>4947</v>
      </c>
      <c r="G426" s="468" t="n">
        <f aca="false">G540</f>
        <v>7387</v>
      </c>
      <c r="H426" s="474" t="n">
        <f aca="false">N540</f>
        <v>0</v>
      </c>
      <c r="I426" s="475" t="n">
        <f aca="false">I363+H426</f>
        <v>0</v>
      </c>
      <c r="J426" s="468" t="e">
        <f aca="false">J363+I426</f>
        <v>#VALUE!</v>
      </c>
      <c r="K426" s="468" t="e">
        <f aca="false">K363+J426</f>
        <v>#VALUE!</v>
      </c>
      <c r="L426" s="468" t="e">
        <f aca="false">L363+K426</f>
        <v>#VALUE!</v>
      </c>
      <c r="M426" s="468" t="e">
        <f aca="false">M363+L426</f>
        <v>#VALUE!</v>
      </c>
      <c r="N426" s="468" t="e">
        <f aca="false">N363+M426</f>
        <v>#VALUE!</v>
      </c>
      <c r="O426" s="468" t="e">
        <f aca="false">O363+N426</f>
        <v>#VALUE!</v>
      </c>
      <c r="P426" s="468" t="e">
        <f aca="false">P363+O426</f>
        <v>#VALUE!</v>
      </c>
      <c r="Q426" s="468" t="e">
        <f aca="false">Q363+P426</f>
        <v>#VALUE!</v>
      </c>
      <c r="R426" s="468" t="e">
        <f aca="false">R363+Q426</f>
        <v>#VALUE!</v>
      </c>
      <c r="S426" s="468" t="e">
        <f aca="false">S363+R426</f>
        <v>#VALUE!</v>
      </c>
      <c r="T426" s="468" t="e">
        <f aca="false">T363+S426</f>
        <v>#VALUE!</v>
      </c>
      <c r="U426" s="468" t="e">
        <f aca="false">U363+T426</f>
        <v>#VALUE!</v>
      </c>
      <c r="V426" s="468" t="e">
        <f aca="false">V363+U426</f>
        <v>#VALUE!</v>
      </c>
      <c r="W426" s="468" t="e">
        <f aca="false">W363+V426</f>
        <v>#VALUE!</v>
      </c>
      <c r="X426" s="468" t="e">
        <f aca="false">X363+W426</f>
        <v>#VALUE!</v>
      </c>
      <c r="Y426" s="468" t="e">
        <f aca="false">Y363+X426</f>
        <v>#VALUE!</v>
      </c>
      <c r="Z426" s="468" t="e">
        <f aca="false">Z363+Y426</f>
        <v>#VALUE!</v>
      </c>
      <c r="AA426" s="468" t="e">
        <f aca="false">AA363+Z426</f>
        <v>#VALUE!</v>
      </c>
      <c r="AB426" s="468" t="e">
        <f aca="false">AB363+AA426</f>
        <v>#VALUE!</v>
      </c>
      <c r="AC426" s="468" t="e">
        <f aca="false">AC363+AB426</f>
        <v>#VALUE!</v>
      </c>
      <c r="AD426" s="468" t="e">
        <f aca="false">AD363+AC426</f>
        <v>#VALUE!</v>
      </c>
      <c r="AE426" s="468" t="e">
        <f aca="false">AE363+AD426</f>
        <v>#VALUE!</v>
      </c>
      <c r="AF426" s="468" t="e">
        <f aca="false">AF363+AE426</f>
        <v>#VALUE!</v>
      </c>
    </row>
    <row r="427" customFormat="false" ht="11.25" hidden="false" customHeight="false" outlineLevel="0" collapsed="false">
      <c r="A427" s="238" t="str">
        <f aca="false">A541</f>
        <v>Other Liabilities</v>
      </c>
      <c r="B427" s="238"/>
      <c r="C427" s="238"/>
      <c r="D427" s="238"/>
      <c r="E427" s="468" t="n">
        <f aca="false">E541</f>
        <v>0</v>
      </c>
      <c r="F427" s="468" t="n">
        <f aca="false">F541</f>
        <v>675</v>
      </c>
      <c r="G427" s="468" t="n">
        <f aca="false">G541</f>
        <v>1026</v>
      </c>
      <c r="H427" s="474" t="n">
        <f aca="false">N541</f>
        <v>0</v>
      </c>
      <c r="I427" s="502" t="n">
        <f aca="false">H427</f>
        <v>0</v>
      </c>
      <c r="J427" s="502" t="n">
        <f aca="false">I427</f>
        <v>0</v>
      </c>
      <c r="K427" s="502" t="n">
        <f aca="false">J427</f>
        <v>0</v>
      </c>
      <c r="L427" s="502" t="n">
        <f aca="false">K427</f>
        <v>0</v>
      </c>
      <c r="M427" s="502" t="n">
        <f aca="false">L427</f>
        <v>0</v>
      </c>
      <c r="N427" s="502" t="n">
        <f aca="false">M427</f>
        <v>0</v>
      </c>
      <c r="O427" s="502" t="n">
        <f aca="false">N427</f>
        <v>0</v>
      </c>
      <c r="P427" s="502" t="n">
        <f aca="false">O427</f>
        <v>0</v>
      </c>
      <c r="Q427" s="502" t="n">
        <f aca="false">P427</f>
        <v>0</v>
      </c>
      <c r="R427" s="502" t="n">
        <f aca="false">Q427</f>
        <v>0</v>
      </c>
      <c r="S427" s="502" t="n">
        <f aca="false">R427</f>
        <v>0</v>
      </c>
      <c r="T427" s="502" t="n">
        <f aca="false">S427</f>
        <v>0</v>
      </c>
      <c r="U427" s="502" t="n">
        <f aca="false">T427</f>
        <v>0</v>
      </c>
      <c r="V427" s="502" t="n">
        <f aca="false">U427</f>
        <v>0</v>
      </c>
      <c r="W427" s="502" t="n">
        <f aca="false">V427</f>
        <v>0</v>
      </c>
      <c r="X427" s="502" t="n">
        <f aca="false">W427</f>
        <v>0</v>
      </c>
      <c r="Y427" s="502" t="n">
        <f aca="false">X427</f>
        <v>0</v>
      </c>
      <c r="Z427" s="502" t="n">
        <f aca="false">Y427</f>
        <v>0</v>
      </c>
      <c r="AA427" s="502" t="n">
        <f aca="false">Z427</f>
        <v>0</v>
      </c>
      <c r="AB427" s="502" t="n">
        <f aca="false">AA427</f>
        <v>0</v>
      </c>
      <c r="AC427" s="502" t="n">
        <f aca="false">AB427</f>
        <v>0</v>
      </c>
      <c r="AD427" s="502" t="n">
        <f aca="false">AC427</f>
        <v>0</v>
      </c>
      <c r="AE427" s="502" t="n">
        <f aca="false">AD427</f>
        <v>0</v>
      </c>
      <c r="AF427" s="502" t="n">
        <f aca="false">AE427</f>
        <v>0</v>
      </c>
    </row>
    <row r="428" customFormat="false" ht="11.25" hidden="false" customHeight="false" outlineLevel="0" collapsed="false">
      <c r="A428" s="499" t="str">
        <f aca="false">A542</f>
        <v>Total Long-term Liabilities</v>
      </c>
      <c r="B428" s="238"/>
      <c r="C428" s="468"/>
      <c r="D428" s="468"/>
      <c r="E428" s="477" t="n">
        <f aca="false">E425+E426+E427</f>
        <v>0</v>
      </c>
      <c r="F428" s="477" t="n">
        <f aca="false">F425+F426+F427</f>
        <v>57663</v>
      </c>
      <c r="G428" s="477" t="n">
        <f aca="false">G425+G426+G427</f>
        <v>57279</v>
      </c>
      <c r="H428" s="477" t="n">
        <f aca="false">H425+H426+H427</f>
        <v>56500</v>
      </c>
      <c r="I428" s="503" t="n">
        <f aca="false">I425+I426+I427</f>
        <v>54507.000016</v>
      </c>
      <c r="J428" s="477" t="e">
        <f aca="false">J425+J426+J427</f>
        <v>#VALUE!</v>
      </c>
      <c r="K428" s="477" t="e">
        <f aca="false">K425+K426+K427</f>
        <v>#VALUE!</v>
      </c>
      <c r="L428" s="477" t="e">
        <f aca="false">L425+L426+L427</f>
        <v>#VALUE!</v>
      </c>
      <c r="M428" s="477" t="e">
        <f aca="false">M425+M426+M427</f>
        <v>#VALUE!</v>
      </c>
      <c r="N428" s="477" t="e">
        <f aca="false">N425+N426+N427</f>
        <v>#VALUE!</v>
      </c>
      <c r="O428" s="477" t="e">
        <f aca="false">O425+O426+O427</f>
        <v>#VALUE!</v>
      </c>
      <c r="P428" s="477" t="e">
        <f aca="false">P425+P426+P427</f>
        <v>#VALUE!</v>
      </c>
      <c r="Q428" s="477" t="e">
        <f aca="false">Q425+Q426+Q427</f>
        <v>#VALUE!</v>
      </c>
      <c r="R428" s="477" t="e">
        <f aca="false">R425+R426+R427</f>
        <v>#VALUE!</v>
      </c>
      <c r="S428" s="477" t="e">
        <f aca="false">S425+S426+S427</f>
        <v>#VALUE!</v>
      </c>
      <c r="T428" s="477" t="e">
        <f aca="false">T425+T426+T427</f>
        <v>#VALUE!</v>
      </c>
      <c r="U428" s="477" t="e">
        <f aca="false">U425+U426+U427</f>
        <v>#VALUE!</v>
      </c>
      <c r="V428" s="477" t="e">
        <f aca="false">V425+V426+V427</f>
        <v>#VALUE!</v>
      </c>
      <c r="W428" s="477" t="e">
        <f aca="false">W425+W426+W427</f>
        <v>#VALUE!</v>
      </c>
      <c r="X428" s="477" t="e">
        <f aca="false">X425+X426+X427</f>
        <v>#VALUE!</v>
      </c>
      <c r="Y428" s="477" t="e">
        <f aca="false">Y425+Y426+Y427</f>
        <v>#VALUE!</v>
      </c>
      <c r="Z428" s="477" t="e">
        <f aca="false">Z425+Z426+Z427</f>
        <v>#VALUE!</v>
      </c>
      <c r="AA428" s="477" t="e">
        <f aca="false">AA425+AA426+AA427</f>
        <v>#VALUE!</v>
      </c>
      <c r="AB428" s="477" t="e">
        <f aca="false">AB425+AB426+AB427</f>
        <v>#VALUE!</v>
      </c>
      <c r="AC428" s="477" t="e">
        <f aca="false">AC425+AC426+AC427</f>
        <v>#VALUE!</v>
      </c>
      <c r="AD428" s="477" t="e">
        <f aca="false">AD425+AD426+AD427</f>
        <v>#VALUE!</v>
      </c>
      <c r="AE428" s="477" t="e">
        <f aca="false">AE425+AE426+AE427</f>
        <v>#VALUE!</v>
      </c>
      <c r="AF428" s="477" t="e">
        <f aca="false">AF425+AF426+AF427</f>
        <v>#VALUE!</v>
      </c>
    </row>
    <row r="429" customFormat="false" ht="11.25" hidden="false" customHeight="false" outlineLevel="0" collapsed="false">
      <c r="A429" s="238"/>
      <c r="B429" s="238"/>
      <c r="C429" s="468"/>
      <c r="D429" s="468"/>
      <c r="E429" s="468"/>
      <c r="F429" s="468"/>
      <c r="G429" s="468"/>
      <c r="H429" s="479"/>
      <c r="I429" s="468"/>
      <c r="J429" s="468"/>
      <c r="K429" s="468"/>
      <c r="L429" s="468"/>
      <c r="M429" s="468"/>
      <c r="N429" s="468"/>
      <c r="O429" s="468"/>
      <c r="P429" s="468"/>
      <c r="Q429" s="468"/>
      <c r="R429" s="468"/>
      <c r="S429" s="468"/>
      <c r="T429" s="468"/>
      <c r="U429" s="468"/>
      <c r="V429" s="468"/>
      <c r="W429" s="468"/>
      <c r="X429" s="468"/>
      <c r="Y429" s="468"/>
      <c r="Z429" s="468"/>
      <c r="AA429" s="468"/>
      <c r="AB429" s="468"/>
      <c r="AC429" s="468"/>
      <c r="AD429" s="468"/>
      <c r="AE429" s="468"/>
      <c r="AF429" s="468"/>
    </row>
    <row r="430" customFormat="false" ht="11.25" hidden="false" customHeight="false" outlineLevel="0" collapsed="false">
      <c r="A430" s="499" t="str">
        <f aca="false">A544</f>
        <v>Total Liabilities</v>
      </c>
      <c r="B430" s="238"/>
      <c r="C430" s="468"/>
      <c r="D430" s="468"/>
      <c r="E430" s="468" t="n">
        <f aca="false">E428+E423</f>
        <v>0</v>
      </c>
      <c r="F430" s="468" t="n">
        <f aca="false">F428+F423</f>
        <v>61166</v>
      </c>
      <c r="G430" s="468" t="n">
        <f aca="false">G428+G423</f>
        <v>61201</v>
      </c>
      <c r="H430" s="479" t="n">
        <f aca="false">H428+H423</f>
        <v>55792.3752741349</v>
      </c>
      <c r="I430" s="468" t="e">
        <f aca="false">I428+I423</f>
        <v>#VALUE!</v>
      </c>
      <c r="J430" s="468" t="e">
        <f aca="false">J428+J423</f>
        <v>#VALUE!</v>
      </c>
      <c r="K430" s="468" t="e">
        <f aca="false">K428+K423</f>
        <v>#VALUE!</v>
      </c>
      <c r="L430" s="468" t="e">
        <f aca="false">L428+L423</f>
        <v>#VALUE!</v>
      </c>
      <c r="M430" s="468" t="e">
        <f aca="false">M428+M423</f>
        <v>#VALUE!</v>
      </c>
      <c r="N430" s="468" t="e">
        <f aca="false">N428+N423</f>
        <v>#VALUE!</v>
      </c>
      <c r="O430" s="468" t="e">
        <f aca="false">O428+O423</f>
        <v>#VALUE!</v>
      </c>
      <c r="P430" s="468" t="e">
        <f aca="false">P428+P423</f>
        <v>#VALUE!</v>
      </c>
      <c r="Q430" s="468" t="e">
        <f aca="false">Q428+Q423</f>
        <v>#VALUE!</v>
      </c>
      <c r="R430" s="468" t="e">
        <f aca="false">R428+R423</f>
        <v>#VALUE!</v>
      </c>
      <c r="S430" s="468" t="e">
        <f aca="false">S428+S423</f>
        <v>#VALUE!</v>
      </c>
      <c r="T430" s="468" t="e">
        <f aca="false">T428+T423</f>
        <v>#VALUE!</v>
      </c>
      <c r="U430" s="468" t="e">
        <f aca="false">U428+U423</f>
        <v>#VALUE!</v>
      </c>
      <c r="V430" s="468" t="e">
        <f aca="false">V428+V423</f>
        <v>#VALUE!</v>
      </c>
      <c r="W430" s="468" t="e">
        <f aca="false">W428+W423</f>
        <v>#VALUE!</v>
      </c>
      <c r="X430" s="468" t="e">
        <f aca="false">X428+X423</f>
        <v>#VALUE!</v>
      </c>
      <c r="Y430" s="468" t="e">
        <f aca="false">Y428+Y423</f>
        <v>#VALUE!</v>
      </c>
      <c r="Z430" s="468" t="e">
        <f aca="false">Z428+Z423</f>
        <v>#VALUE!</v>
      </c>
      <c r="AA430" s="468" t="e">
        <f aca="false">AA428+AA423</f>
        <v>#VALUE!</v>
      </c>
      <c r="AB430" s="468" t="e">
        <f aca="false">AB428+AB423</f>
        <v>#VALUE!</v>
      </c>
      <c r="AC430" s="468" t="e">
        <f aca="false">AC428+AC423</f>
        <v>#VALUE!</v>
      </c>
      <c r="AD430" s="468" t="e">
        <f aca="false">AD428+AD423</f>
        <v>#VALUE!</v>
      </c>
      <c r="AE430" s="468" t="e">
        <f aca="false">AE428+AE423</f>
        <v>#VALUE!</v>
      </c>
      <c r="AF430" s="468" t="e">
        <f aca="false">AF428+AF423</f>
        <v>#VALUE!</v>
      </c>
    </row>
    <row r="431" customFormat="false" ht="11.25" hidden="false" customHeight="false" outlineLevel="0" collapsed="false">
      <c r="A431" s="238"/>
      <c r="B431" s="238"/>
      <c r="C431" s="467"/>
      <c r="D431" s="467"/>
      <c r="E431" s="467"/>
      <c r="F431" s="467"/>
      <c r="G431" s="468"/>
      <c r="H431" s="474"/>
      <c r="I431" s="475"/>
      <c r="J431" s="468"/>
      <c r="K431" s="468"/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68"/>
    </row>
    <row r="432" customFormat="false" ht="11.25" hidden="false" customHeight="false" outlineLevel="0" collapsed="false">
      <c r="A432" s="238" t="str">
        <f aca="false">A546</f>
        <v>Common Stock</v>
      </c>
      <c r="B432" s="238"/>
      <c r="C432" s="467"/>
      <c r="D432" s="467"/>
      <c r="E432" s="468" t="n">
        <f aca="false">E546</f>
        <v>0</v>
      </c>
      <c r="F432" s="468" t="n">
        <f aca="false">F546</f>
        <v>6769</v>
      </c>
      <c r="G432" s="468" t="n">
        <f aca="false">G546</f>
        <v>4656</v>
      </c>
      <c r="H432" s="474" t="n">
        <f aca="false">N546</f>
        <v>24000</v>
      </c>
      <c r="I432" s="475" t="n">
        <f aca="false">H383</f>
        <v>24000</v>
      </c>
      <c r="J432" s="468" t="n">
        <f aca="false">I432</f>
        <v>24000</v>
      </c>
      <c r="K432" s="468" t="n">
        <f aca="false">J432</f>
        <v>24000</v>
      </c>
      <c r="L432" s="468" t="n">
        <f aca="false">K432</f>
        <v>24000</v>
      </c>
      <c r="M432" s="468" t="n">
        <f aca="false">L432</f>
        <v>24000</v>
      </c>
      <c r="N432" s="468" t="n">
        <f aca="false">M432</f>
        <v>24000</v>
      </c>
      <c r="O432" s="468" t="n">
        <f aca="false">N432</f>
        <v>24000</v>
      </c>
      <c r="P432" s="468" t="n">
        <f aca="false">O432</f>
        <v>24000</v>
      </c>
      <c r="Q432" s="468" t="n">
        <f aca="false">P432</f>
        <v>24000</v>
      </c>
      <c r="R432" s="468" t="n">
        <f aca="false">Q432</f>
        <v>24000</v>
      </c>
      <c r="S432" s="468" t="n">
        <f aca="false">R432</f>
        <v>24000</v>
      </c>
      <c r="T432" s="468" t="n">
        <f aca="false">S432</f>
        <v>24000</v>
      </c>
      <c r="U432" s="468" t="n">
        <f aca="false">T432</f>
        <v>24000</v>
      </c>
      <c r="V432" s="468" t="n">
        <f aca="false">U432</f>
        <v>24000</v>
      </c>
      <c r="W432" s="468" t="n">
        <f aca="false">V432</f>
        <v>24000</v>
      </c>
      <c r="X432" s="468" t="n">
        <f aca="false">W432</f>
        <v>24000</v>
      </c>
      <c r="Y432" s="468" t="n">
        <f aca="false">X432</f>
        <v>24000</v>
      </c>
      <c r="Z432" s="468" t="n">
        <f aca="false">Y432</f>
        <v>24000</v>
      </c>
      <c r="AA432" s="468" t="n">
        <f aca="false">Z432</f>
        <v>24000</v>
      </c>
      <c r="AB432" s="468" t="n">
        <f aca="false">AA432</f>
        <v>24000</v>
      </c>
      <c r="AC432" s="468" t="n">
        <f aca="false">AB432</f>
        <v>24000</v>
      </c>
      <c r="AD432" s="468" t="n">
        <f aca="false">AC432</f>
        <v>24000</v>
      </c>
      <c r="AE432" s="468" t="n">
        <f aca="false">AD432</f>
        <v>24000</v>
      </c>
      <c r="AF432" s="468" t="n">
        <f aca="false">AE432</f>
        <v>24000</v>
      </c>
    </row>
    <row r="433" customFormat="false" ht="11.25" hidden="false" customHeight="false" outlineLevel="0" collapsed="false">
      <c r="A433" s="238" t="str">
        <f aca="false">A547</f>
        <v>Paid in Capital</v>
      </c>
      <c r="B433" s="238"/>
      <c r="C433" s="467"/>
      <c r="D433" s="467"/>
      <c r="E433" s="468" t="n">
        <f aca="false">E547</f>
        <v>0</v>
      </c>
      <c r="F433" s="468" t="n">
        <f aca="false">F547</f>
        <v>0</v>
      </c>
      <c r="G433" s="468" t="n">
        <f aca="false">G547</f>
        <v>0</v>
      </c>
      <c r="H433" s="474" t="n">
        <f aca="false">N547</f>
        <v>0</v>
      </c>
      <c r="I433" s="475" t="n">
        <f aca="false">H433-I619</f>
        <v>0</v>
      </c>
      <c r="J433" s="468" t="n">
        <f aca="false">I433-J619</f>
        <v>0</v>
      </c>
      <c r="K433" s="468" t="n">
        <f aca="false">J433-K619</f>
        <v>0</v>
      </c>
      <c r="L433" s="468" t="n">
        <f aca="false">K433-L619</f>
        <v>0</v>
      </c>
      <c r="M433" s="468" t="n">
        <f aca="false">L433-M619</f>
        <v>0</v>
      </c>
      <c r="N433" s="468" t="n">
        <f aca="false">M433-N619</f>
        <v>0</v>
      </c>
      <c r="O433" s="468" t="n">
        <f aca="false">N433-O619</f>
        <v>0</v>
      </c>
      <c r="P433" s="468" t="n">
        <f aca="false">O433-P619</f>
        <v>0</v>
      </c>
      <c r="Q433" s="468" t="n">
        <f aca="false">P433-Q619</f>
        <v>0</v>
      </c>
      <c r="R433" s="468" t="n">
        <f aca="false">Q433-R619</f>
        <v>0</v>
      </c>
      <c r="S433" s="468" t="n">
        <f aca="false">R433-S619</f>
        <v>0</v>
      </c>
      <c r="T433" s="468" t="n">
        <f aca="false">S433-T619</f>
        <v>0</v>
      </c>
      <c r="U433" s="468" t="n">
        <f aca="false">T433-U619</f>
        <v>0</v>
      </c>
      <c r="V433" s="468" t="n">
        <f aca="false">U433-V619</f>
        <v>0</v>
      </c>
      <c r="W433" s="468" t="n">
        <f aca="false">V433-W619</f>
        <v>0</v>
      </c>
      <c r="X433" s="468" t="n">
        <f aca="false">W433-X619</f>
        <v>0</v>
      </c>
      <c r="Y433" s="468" t="n">
        <f aca="false">X433-Y619</f>
        <v>0</v>
      </c>
      <c r="Z433" s="468" t="n">
        <f aca="false">Y433-Z619</f>
        <v>0</v>
      </c>
      <c r="AA433" s="468" t="n">
        <f aca="false">Z433-AA619</f>
        <v>0</v>
      </c>
      <c r="AB433" s="468" t="n">
        <f aca="false">AA433-AB619</f>
        <v>0</v>
      </c>
      <c r="AC433" s="468" t="n">
        <f aca="false">AB433-AC619</f>
        <v>0</v>
      </c>
      <c r="AD433" s="468" t="n">
        <f aca="false">AC433-AD619</f>
        <v>0</v>
      </c>
      <c r="AE433" s="468" t="n">
        <f aca="false">AD433-AE619</f>
        <v>0</v>
      </c>
      <c r="AF433" s="468" t="n">
        <f aca="false">AE433-AF619</f>
        <v>0</v>
      </c>
    </row>
    <row r="434" customFormat="false" ht="11.25" hidden="false" customHeight="false" outlineLevel="0" collapsed="false">
      <c r="A434" s="238" t="str">
        <f aca="false">A548</f>
        <v>Treasury Stock</v>
      </c>
      <c r="B434" s="238"/>
      <c r="C434" s="467"/>
      <c r="D434" s="467"/>
      <c r="E434" s="468" t="n">
        <f aca="false">E548</f>
        <v>0</v>
      </c>
      <c r="F434" s="468" t="n">
        <f aca="false">F548</f>
        <v>0</v>
      </c>
      <c r="G434" s="468" t="n">
        <f aca="false">G548</f>
        <v>0</v>
      </c>
      <c r="H434" s="474" t="n">
        <f aca="false">N548</f>
        <v>0</v>
      </c>
      <c r="I434" s="475" t="n">
        <f aca="false">H434-I618</f>
        <v>0</v>
      </c>
      <c r="J434" s="468" t="n">
        <f aca="false">I434-J618</f>
        <v>0</v>
      </c>
      <c r="K434" s="468" t="n">
        <f aca="false">J434-K618</f>
        <v>0</v>
      </c>
      <c r="L434" s="468" t="n">
        <f aca="false">K434-L618</f>
        <v>0</v>
      </c>
      <c r="M434" s="468" t="n">
        <f aca="false">L434-M618</f>
        <v>0</v>
      </c>
      <c r="N434" s="468" t="n">
        <f aca="false">M434-N618</f>
        <v>0</v>
      </c>
      <c r="O434" s="468" t="n">
        <f aca="false">N434-O618</f>
        <v>0</v>
      </c>
      <c r="P434" s="468" t="n">
        <f aca="false">O434-P618</f>
        <v>0</v>
      </c>
      <c r="Q434" s="468" t="n">
        <f aca="false">P434-Q618</f>
        <v>0</v>
      </c>
      <c r="R434" s="468" t="n">
        <f aca="false">Q434-R618</f>
        <v>0</v>
      </c>
      <c r="S434" s="468" t="n">
        <f aca="false">R434-S618</f>
        <v>0</v>
      </c>
      <c r="T434" s="468" t="n">
        <f aca="false">S434-T618</f>
        <v>0</v>
      </c>
      <c r="U434" s="468" t="n">
        <f aca="false">T434-U618</f>
        <v>0</v>
      </c>
      <c r="V434" s="468" t="n">
        <f aca="false">U434-V618</f>
        <v>0</v>
      </c>
      <c r="W434" s="468" t="n">
        <f aca="false">V434-W618</f>
        <v>0</v>
      </c>
      <c r="X434" s="468" t="n">
        <f aca="false">W434-X618</f>
        <v>0</v>
      </c>
      <c r="Y434" s="468" t="n">
        <f aca="false">X434-Y618</f>
        <v>0</v>
      </c>
      <c r="Z434" s="468" t="n">
        <f aca="false">Y434-Z618</f>
        <v>0</v>
      </c>
      <c r="AA434" s="468" t="n">
        <f aca="false">Z434-AA618</f>
        <v>0</v>
      </c>
      <c r="AB434" s="468" t="n">
        <f aca="false">AA434-AB618</f>
        <v>0</v>
      </c>
      <c r="AC434" s="468" t="n">
        <f aca="false">AB434-AC618</f>
        <v>0</v>
      </c>
      <c r="AD434" s="468" t="n">
        <f aca="false">AC434-AD618</f>
        <v>0</v>
      </c>
      <c r="AE434" s="468" t="n">
        <f aca="false">AD434-AE618</f>
        <v>0</v>
      </c>
      <c r="AF434" s="468" t="n">
        <f aca="false">AE434-AF618</f>
        <v>0</v>
      </c>
    </row>
    <row r="435" customFormat="false" ht="11.25" hidden="false" customHeight="false" outlineLevel="0" collapsed="false">
      <c r="A435" s="238" t="str">
        <f aca="false">A549</f>
        <v>Retained Earnings</v>
      </c>
      <c r="B435" s="238"/>
      <c r="C435" s="467"/>
      <c r="D435" s="467"/>
      <c r="E435" s="468" t="n">
        <f aca="false">E549</f>
        <v>0</v>
      </c>
      <c r="F435" s="468" t="n">
        <f aca="false">F549</f>
        <v>0</v>
      </c>
      <c r="G435" s="468" t="n">
        <f aca="false">G549</f>
        <v>0</v>
      </c>
      <c r="H435" s="479" t="n">
        <f aca="false">N549</f>
        <v>0</v>
      </c>
      <c r="I435" s="468" t="n">
        <f aca="false">H435+H436+I348</f>
        <v>-1847.14506211111</v>
      </c>
      <c r="J435" s="468" t="e">
        <f aca="false">I435+I436+J348</f>
        <v>#VALUE!</v>
      </c>
      <c r="K435" s="468" t="e">
        <f aca="false">J435+J436+K348</f>
        <v>#VALUE!</v>
      </c>
      <c r="L435" s="468" t="e">
        <f aca="false">K435+K436+L348</f>
        <v>#VALUE!</v>
      </c>
      <c r="M435" s="468" t="e">
        <f aca="false">L435+L436+M348</f>
        <v>#VALUE!</v>
      </c>
      <c r="N435" s="468" t="e">
        <f aca="false">M435+M436+N348</f>
        <v>#VALUE!</v>
      </c>
      <c r="O435" s="468" t="e">
        <f aca="false">N435+N436+O348</f>
        <v>#VALUE!</v>
      </c>
      <c r="P435" s="468" t="e">
        <f aca="false">O435+O436+P348</f>
        <v>#VALUE!</v>
      </c>
      <c r="Q435" s="468" t="e">
        <f aca="false">P435+P436+Q348</f>
        <v>#VALUE!</v>
      </c>
      <c r="R435" s="468" t="e">
        <f aca="false">Q435+Q436+R348</f>
        <v>#VALUE!</v>
      </c>
      <c r="S435" s="468" t="e">
        <f aca="false">R435+R436+S348</f>
        <v>#VALUE!</v>
      </c>
      <c r="T435" s="468" t="e">
        <f aca="false">S435+S436+T348</f>
        <v>#VALUE!</v>
      </c>
      <c r="U435" s="468" t="e">
        <f aca="false">T435+T436+U348</f>
        <v>#VALUE!</v>
      </c>
      <c r="V435" s="468" t="e">
        <f aca="false">U435+U436+V348</f>
        <v>#VALUE!</v>
      </c>
      <c r="W435" s="468" t="e">
        <f aca="false">V435+V436+W348</f>
        <v>#VALUE!</v>
      </c>
      <c r="X435" s="468" t="e">
        <f aca="false">W435+W436+X348</f>
        <v>#VALUE!</v>
      </c>
      <c r="Y435" s="468" t="e">
        <f aca="false">X435+X436+Y348</f>
        <v>#VALUE!</v>
      </c>
      <c r="Z435" s="468" t="e">
        <f aca="false">Y435+Y436+Z348</f>
        <v>#VALUE!</v>
      </c>
      <c r="AA435" s="468" t="e">
        <f aca="false">Z435+Z436+AA348</f>
        <v>#VALUE!</v>
      </c>
      <c r="AB435" s="468" t="e">
        <f aca="false">AA435+AA436+AB348</f>
        <v>#VALUE!</v>
      </c>
      <c r="AC435" s="468" t="e">
        <f aca="false">AB435+AB436+AC348</f>
        <v>#VALUE!</v>
      </c>
      <c r="AD435" s="468" t="e">
        <f aca="false">AC435+AC436+AD348</f>
        <v>#VALUE!</v>
      </c>
      <c r="AE435" s="468" t="e">
        <f aca="false">AD435+AD436+AE348</f>
        <v>#VALUE!</v>
      </c>
      <c r="AF435" s="468" t="e">
        <f aca="false">AE435+AE436+AF348</f>
        <v>#VALUE!</v>
      </c>
    </row>
    <row r="436" customFormat="false" ht="11.25" hidden="false" customHeight="false" outlineLevel="0" collapsed="false">
      <c r="A436" s="238" t="str">
        <f aca="false">A550</f>
        <v>Preferred and Common Dividends</v>
      </c>
      <c r="B436" s="238"/>
      <c r="C436" s="238"/>
      <c r="D436" s="238"/>
      <c r="E436" s="468" t="n">
        <f aca="false">E550</f>
        <v>0</v>
      </c>
      <c r="F436" s="468" t="n">
        <f aca="false">F550</f>
        <v>0</v>
      </c>
      <c r="G436" s="468" t="n">
        <f aca="false">G550</f>
        <v>0</v>
      </c>
      <c r="H436" s="479" t="n">
        <f aca="false">N550</f>
        <v>0</v>
      </c>
      <c r="I436" s="468" t="n">
        <f aca="false">-I353</f>
        <v>-799</v>
      </c>
      <c r="J436" s="468" t="e">
        <f aca="false">-J353</f>
        <v>#VALUE!</v>
      </c>
      <c r="K436" s="468" t="e">
        <f aca="false">-K353</f>
        <v>#VALUE!</v>
      </c>
      <c r="L436" s="468" t="e">
        <f aca="false">-L353</f>
        <v>#VALUE!</v>
      </c>
      <c r="M436" s="468" t="e">
        <f aca="false">-M353</f>
        <v>#VALUE!</v>
      </c>
      <c r="N436" s="468" t="e">
        <f aca="false">-N353</f>
        <v>#VALUE!</v>
      </c>
      <c r="O436" s="468" t="e">
        <f aca="false">-O353</f>
        <v>#VALUE!</v>
      </c>
      <c r="P436" s="468" t="e">
        <f aca="false">-P353</f>
        <v>#VALUE!</v>
      </c>
      <c r="Q436" s="468" t="e">
        <f aca="false">-Q353</f>
        <v>#VALUE!</v>
      </c>
      <c r="R436" s="468" t="e">
        <f aca="false">-R353</f>
        <v>#VALUE!</v>
      </c>
      <c r="S436" s="468" t="e">
        <f aca="false">-S353</f>
        <v>#VALUE!</v>
      </c>
      <c r="T436" s="468" t="e">
        <f aca="false">-T353</f>
        <v>#VALUE!</v>
      </c>
      <c r="U436" s="468" t="e">
        <f aca="false">-U353</f>
        <v>#VALUE!</v>
      </c>
      <c r="V436" s="468" t="e">
        <f aca="false">-V353</f>
        <v>#VALUE!</v>
      </c>
      <c r="W436" s="468" t="e">
        <f aca="false">-W353</f>
        <v>#VALUE!</v>
      </c>
      <c r="X436" s="468" t="e">
        <f aca="false">-X353</f>
        <v>#VALUE!</v>
      </c>
      <c r="Y436" s="468" t="e">
        <f aca="false">-Y353</f>
        <v>#VALUE!</v>
      </c>
      <c r="Z436" s="468" t="e">
        <f aca="false">-Z353</f>
        <v>#VALUE!</v>
      </c>
      <c r="AA436" s="468" t="e">
        <f aca="false">-AA353</f>
        <v>#VALUE!</v>
      </c>
      <c r="AB436" s="468" t="e">
        <f aca="false">-AB353</f>
        <v>#VALUE!</v>
      </c>
      <c r="AC436" s="468" t="e">
        <f aca="false">-AC353</f>
        <v>#VALUE!</v>
      </c>
      <c r="AD436" s="468" t="e">
        <f aca="false">-AD353</f>
        <v>#VALUE!</v>
      </c>
      <c r="AE436" s="468" t="e">
        <f aca="false">-AE353</f>
        <v>#VALUE!</v>
      </c>
      <c r="AF436" s="468" t="e">
        <f aca="false">-AF353</f>
        <v>#VALUE!</v>
      </c>
    </row>
    <row r="437" customFormat="false" ht="11.25" hidden="false" customHeight="false" outlineLevel="0" collapsed="false">
      <c r="A437" s="499" t="str">
        <f aca="false">A551</f>
        <v>Total Stockholders' Equity</v>
      </c>
      <c r="B437" s="238"/>
      <c r="C437" s="468"/>
      <c r="D437" s="468"/>
      <c r="E437" s="477" t="n">
        <f aca="false">SUM(E432:E436)</f>
        <v>0</v>
      </c>
      <c r="F437" s="477" t="n">
        <f aca="false">SUM(F432:F436)</f>
        <v>6769</v>
      </c>
      <c r="G437" s="477" t="n">
        <f aca="false">SUM(G432:G436)</f>
        <v>4656</v>
      </c>
      <c r="H437" s="478" t="n">
        <f aca="false">SUM(H432:H436)</f>
        <v>24000</v>
      </c>
      <c r="I437" s="477" t="n">
        <f aca="false">SUM(I432:I436)</f>
        <v>21353.8549378889</v>
      </c>
      <c r="J437" s="477" t="e">
        <f aca="false">SUM(J432:J436)</f>
        <v>#VALUE!</v>
      </c>
      <c r="K437" s="477" t="e">
        <f aca="false">SUM(K432:K436)</f>
        <v>#VALUE!</v>
      </c>
      <c r="L437" s="477" t="e">
        <f aca="false">SUM(L432:L436)</f>
        <v>#VALUE!</v>
      </c>
      <c r="M437" s="477" t="e">
        <f aca="false">SUM(M432:M436)</f>
        <v>#VALUE!</v>
      </c>
      <c r="N437" s="477" t="e">
        <f aca="false">SUM(N432:N436)</f>
        <v>#VALUE!</v>
      </c>
      <c r="O437" s="477" t="e">
        <f aca="false">SUM(O432:O436)</f>
        <v>#VALUE!</v>
      </c>
      <c r="P437" s="477" t="e">
        <f aca="false">SUM(P432:P436)</f>
        <v>#VALUE!</v>
      </c>
      <c r="Q437" s="477" t="e">
        <f aca="false">SUM(Q432:Q436)</f>
        <v>#VALUE!</v>
      </c>
      <c r="R437" s="477" t="e">
        <f aca="false">SUM(R432:R436)</f>
        <v>#VALUE!</v>
      </c>
      <c r="S437" s="477" t="e">
        <f aca="false">SUM(S432:S436)</f>
        <v>#VALUE!</v>
      </c>
      <c r="T437" s="477" t="e">
        <f aca="false">SUM(T432:T436)</f>
        <v>#VALUE!</v>
      </c>
      <c r="U437" s="477" t="e">
        <f aca="false">SUM(U432:U436)</f>
        <v>#VALUE!</v>
      </c>
      <c r="V437" s="477" t="e">
        <f aca="false">SUM(V432:V436)</f>
        <v>#VALUE!</v>
      </c>
      <c r="W437" s="477" t="e">
        <f aca="false">SUM(W432:W436)</f>
        <v>#VALUE!</v>
      </c>
      <c r="X437" s="477" t="e">
        <f aca="false">SUM(X432:X436)</f>
        <v>#VALUE!</v>
      </c>
      <c r="Y437" s="477" t="e">
        <f aca="false">SUM(Y432:Y436)</f>
        <v>#VALUE!</v>
      </c>
      <c r="Z437" s="477" t="e">
        <f aca="false">SUM(Z432:Z436)</f>
        <v>#VALUE!</v>
      </c>
      <c r="AA437" s="477" t="e">
        <f aca="false">SUM(AA432:AA436)</f>
        <v>#VALUE!</v>
      </c>
      <c r="AB437" s="477" t="e">
        <f aca="false">SUM(AB432:AB436)</f>
        <v>#VALUE!</v>
      </c>
      <c r="AC437" s="477" t="e">
        <f aca="false">SUM(AC432:AC436)</f>
        <v>#VALUE!</v>
      </c>
      <c r="AD437" s="477" t="e">
        <f aca="false">SUM(AD432:AD436)</f>
        <v>#VALUE!</v>
      </c>
      <c r="AE437" s="477" t="e">
        <f aca="false">SUM(AE432:AE436)</f>
        <v>#VALUE!</v>
      </c>
      <c r="AF437" s="477" t="e">
        <f aca="false">SUM(AF432:AF436)</f>
        <v>#VALUE!</v>
      </c>
    </row>
    <row r="438" customFormat="false" ht="12" hidden="false" customHeight="false" outlineLevel="0" collapsed="false">
      <c r="A438" s="499" t="str">
        <f aca="false">A552</f>
        <v>Total Liabilities &amp; Equity</v>
      </c>
      <c r="B438" s="238"/>
      <c r="C438" s="468"/>
      <c r="D438" s="468"/>
      <c r="E438" s="487" t="n">
        <f aca="false">E430+E437</f>
        <v>0</v>
      </c>
      <c r="F438" s="487" t="n">
        <f aca="false">F430+F437</f>
        <v>67935</v>
      </c>
      <c r="G438" s="487" t="n">
        <f aca="false">G430+G437</f>
        <v>65857</v>
      </c>
      <c r="H438" s="488" t="n">
        <f aca="false">H430+H437</f>
        <v>79792.3752741349</v>
      </c>
      <c r="I438" s="487" t="e">
        <f aca="false">I430+I437</f>
        <v>#VALUE!</v>
      </c>
      <c r="J438" s="487" t="e">
        <f aca="false">J430+J437</f>
        <v>#VALUE!</v>
      </c>
      <c r="K438" s="487" t="e">
        <f aca="false">K430+K437</f>
        <v>#VALUE!</v>
      </c>
      <c r="L438" s="487" t="e">
        <f aca="false">L430+L437</f>
        <v>#VALUE!</v>
      </c>
      <c r="M438" s="487" t="e">
        <f aca="false">M430+M437</f>
        <v>#VALUE!</v>
      </c>
      <c r="N438" s="487" t="e">
        <f aca="false">N430+N437</f>
        <v>#VALUE!</v>
      </c>
      <c r="O438" s="487" t="e">
        <f aca="false">O430+O437</f>
        <v>#VALUE!</v>
      </c>
      <c r="P438" s="487" t="e">
        <f aca="false">P430+P437</f>
        <v>#VALUE!</v>
      </c>
      <c r="Q438" s="487" t="e">
        <f aca="false">Q430+Q437</f>
        <v>#VALUE!</v>
      </c>
      <c r="R438" s="487" t="e">
        <f aca="false">R430+R437</f>
        <v>#VALUE!</v>
      </c>
      <c r="S438" s="487" t="e">
        <f aca="false">S430+S437</f>
        <v>#VALUE!</v>
      </c>
      <c r="T438" s="487" t="e">
        <f aca="false">T430+T437</f>
        <v>#VALUE!</v>
      </c>
      <c r="U438" s="487" t="e">
        <f aca="false">U430+U437</f>
        <v>#VALUE!</v>
      </c>
      <c r="V438" s="487" t="e">
        <f aca="false">V430+V437</f>
        <v>#VALUE!</v>
      </c>
      <c r="W438" s="487" t="e">
        <f aca="false">W430+W437</f>
        <v>#VALUE!</v>
      </c>
      <c r="X438" s="487" t="e">
        <f aca="false">X430+X437</f>
        <v>#VALUE!</v>
      </c>
      <c r="Y438" s="487" t="e">
        <f aca="false">Y430+Y437</f>
        <v>#VALUE!</v>
      </c>
      <c r="Z438" s="487" t="e">
        <f aca="false">Z430+Z437</f>
        <v>#VALUE!</v>
      </c>
      <c r="AA438" s="487" t="e">
        <f aca="false">AA430+AA437</f>
        <v>#VALUE!</v>
      </c>
      <c r="AB438" s="487" t="e">
        <f aca="false">AB430+AB437</f>
        <v>#VALUE!</v>
      </c>
      <c r="AC438" s="487" t="e">
        <f aca="false">AC430+AC437</f>
        <v>#VALUE!</v>
      </c>
      <c r="AD438" s="487" t="e">
        <f aca="false">AD430+AD437</f>
        <v>#VALUE!</v>
      </c>
      <c r="AE438" s="487" t="e">
        <f aca="false">AE430+AE437</f>
        <v>#VALUE!</v>
      </c>
      <c r="AF438" s="487" t="e">
        <f aca="false">AF430+AF437</f>
        <v>#VALUE!</v>
      </c>
    </row>
    <row r="439" customFormat="false" ht="12" hidden="false" customHeight="false" outlineLevel="0" collapsed="false">
      <c r="A439" s="238"/>
      <c r="B439" s="238"/>
      <c r="C439" s="468"/>
      <c r="D439" s="468"/>
      <c r="E439" s="468"/>
      <c r="F439" s="468"/>
      <c r="G439" s="468"/>
      <c r="H439" s="468"/>
      <c r="I439" s="454"/>
      <c r="J439" s="454"/>
      <c r="K439" s="454"/>
      <c r="L439" s="454"/>
      <c r="M439" s="454"/>
      <c r="N439" s="468"/>
      <c r="O439" s="468"/>
      <c r="P439" s="468"/>
      <c r="Q439" s="468"/>
      <c r="R439" s="468"/>
      <c r="S439" s="468"/>
      <c r="T439" s="468"/>
      <c r="U439" s="468"/>
      <c r="V439" s="468"/>
      <c r="W439" s="468"/>
      <c r="X439" s="468"/>
      <c r="Y439" s="468"/>
      <c r="Z439" s="468"/>
      <c r="AA439" s="468"/>
      <c r="AB439" s="468"/>
      <c r="AC439" s="468"/>
      <c r="AD439" s="468"/>
      <c r="AE439" s="468"/>
      <c r="AF439" s="468"/>
    </row>
    <row r="440" customFormat="false" ht="11.25" hidden="false" customHeight="false" outlineLevel="0" collapsed="false">
      <c r="A440" s="473" t="s">
        <v>285</v>
      </c>
      <c r="B440" s="238"/>
      <c r="C440" s="468"/>
      <c r="D440" s="468"/>
      <c r="E440" s="504" t="n">
        <f aca="false">E415-E438</f>
        <v>0</v>
      </c>
      <c r="F440" s="504" t="n">
        <f aca="false">F415-F438</f>
        <v>0</v>
      </c>
      <c r="G440" s="504" t="n">
        <f aca="false">G415-G438</f>
        <v>0</v>
      </c>
      <c r="H440" s="504" t="n">
        <f aca="false">H415-H438</f>
        <v>0</v>
      </c>
      <c r="I440" s="504" t="e">
        <f aca="false">I415-I438</f>
        <v>#VALUE!</v>
      </c>
      <c r="J440" s="504" t="e">
        <f aca="false">J415-J438</f>
        <v>#VALUE!</v>
      </c>
      <c r="K440" s="504" t="e">
        <f aca="false">K415-K438</f>
        <v>#VALUE!</v>
      </c>
      <c r="L440" s="504" t="e">
        <f aca="false">L415-L438</f>
        <v>#VALUE!</v>
      </c>
      <c r="M440" s="504" t="e">
        <f aca="false">M415-M438</f>
        <v>#VALUE!</v>
      </c>
      <c r="N440" s="504" t="e">
        <f aca="false">N415-N438</f>
        <v>#VALUE!</v>
      </c>
      <c r="O440" s="504" t="e">
        <f aca="false">O415-O438</f>
        <v>#VALUE!</v>
      </c>
      <c r="P440" s="504" t="e">
        <f aca="false">P415-P438</f>
        <v>#VALUE!</v>
      </c>
      <c r="Q440" s="504" t="e">
        <f aca="false">Q415-Q438</f>
        <v>#VALUE!</v>
      </c>
      <c r="R440" s="504" t="e">
        <f aca="false">R415-R438</f>
        <v>#VALUE!</v>
      </c>
      <c r="S440" s="504" t="e">
        <f aca="false">S415-S438</f>
        <v>#VALUE!</v>
      </c>
      <c r="T440" s="504" t="e">
        <f aca="false">T415-T438</f>
        <v>#VALUE!</v>
      </c>
      <c r="U440" s="504" t="e">
        <f aca="false">U415-U438</f>
        <v>#VALUE!</v>
      </c>
      <c r="V440" s="504" t="e">
        <f aca="false">V415-V438</f>
        <v>#VALUE!</v>
      </c>
      <c r="W440" s="504" t="e">
        <f aca="false">W415-W438</f>
        <v>#VALUE!</v>
      </c>
      <c r="X440" s="504" t="e">
        <f aca="false">X415-X438</f>
        <v>#VALUE!</v>
      </c>
      <c r="Y440" s="504" t="e">
        <f aca="false">Y415-Y438</f>
        <v>#VALUE!</v>
      </c>
      <c r="Z440" s="504" t="e">
        <f aca="false">Z415-Z438</f>
        <v>#VALUE!</v>
      </c>
      <c r="AA440" s="504" t="e">
        <f aca="false">AA415-AA438</f>
        <v>#VALUE!</v>
      </c>
      <c r="AB440" s="504" t="e">
        <f aca="false">AB415-AB438</f>
        <v>#VALUE!</v>
      </c>
      <c r="AC440" s="504" t="e">
        <f aca="false">AC415-AC438</f>
        <v>#VALUE!</v>
      </c>
      <c r="AD440" s="504" t="e">
        <f aca="false">AD415-AD438</f>
        <v>#VALUE!</v>
      </c>
      <c r="AE440" s="504" t="e">
        <f aca="false">AE415-AE438</f>
        <v>#VALUE!</v>
      </c>
      <c r="AF440" s="504" t="e">
        <f aca="false">AF415-AF438</f>
        <v>#VALUE!</v>
      </c>
    </row>
    <row r="441" customFormat="false" ht="12" hidden="false" customHeight="false" outlineLevel="0" collapsed="false">
      <c r="A441" s="473"/>
      <c r="B441" s="238"/>
      <c r="C441" s="468"/>
      <c r="D441" s="468"/>
      <c r="E441" s="468"/>
      <c r="F441" s="468"/>
      <c r="G441" s="468"/>
      <c r="H441" s="468"/>
      <c r="I441" s="468"/>
      <c r="J441" s="468"/>
      <c r="K441" s="468"/>
      <c r="L441" s="468"/>
      <c r="M441" s="468"/>
      <c r="N441" s="468"/>
      <c r="O441" s="468"/>
      <c r="P441" s="468"/>
      <c r="Q441" s="468"/>
      <c r="R441" s="468"/>
      <c r="S441" s="468"/>
      <c r="T441" s="468"/>
      <c r="U441" s="468"/>
      <c r="V441" s="468"/>
      <c r="W441" s="468"/>
      <c r="X441" s="468"/>
      <c r="Y441" s="468"/>
      <c r="Z441" s="468"/>
      <c r="AA441" s="468"/>
      <c r="AB441" s="468"/>
      <c r="AC441" s="468"/>
      <c r="AD441" s="468"/>
      <c r="AE441" s="468"/>
      <c r="AF441" s="468"/>
    </row>
    <row r="442" customFormat="false" ht="12.75" hidden="false" customHeight="false" outlineLevel="0" collapsed="false">
      <c r="A442" s="238"/>
      <c r="B442" s="238"/>
      <c r="C442" s="238"/>
      <c r="D442" s="238"/>
      <c r="E442" s="238"/>
      <c r="F442" s="238"/>
      <c r="G442" s="468"/>
      <c r="H442" s="263" t="n">
        <f aca="false">H$638</f>
        <v>36373</v>
      </c>
      <c r="I442" s="505" t="n">
        <f aca="false">I$638</f>
        <v>36525</v>
      </c>
      <c r="J442" s="506" t="n">
        <f aca="false">J$638</f>
        <v>36891</v>
      </c>
      <c r="K442" s="506" t="n">
        <f aca="false">K$638</f>
        <v>37256</v>
      </c>
      <c r="L442" s="506" t="n">
        <f aca="false">L$638</f>
        <v>37621</v>
      </c>
      <c r="M442" s="506" t="n">
        <f aca="false">M$638</f>
        <v>37986</v>
      </c>
      <c r="N442" s="506" t="n">
        <f aca="false">N$638</f>
        <v>38352</v>
      </c>
      <c r="O442" s="506" t="n">
        <f aca="false">O$638</f>
        <v>38717</v>
      </c>
      <c r="P442" s="506" t="n">
        <f aca="false">P$638</f>
        <v>39082</v>
      </c>
      <c r="Q442" s="506" t="n">
        <f aca="false">Q$638</f>
        <v>39447</v>
      </c>
      <c r="R442" s="506" t="n">
        <f aca="false">R$638</f>
        <v>39813</v>
      </c>
      <c r="S442" s="506" t="n">
        <f aca="false">S$638</f>
        <v>40178</v>
      </c>
      <c r="T442" s="506" t="n">
        <f aca="false">T$638</f>
        <v>40543</v>
      </c>
      <c r="U442" s="506" t="n">
        <f aca="false">U$638</f>
        <v>40908</v>
      </c>
      <c r="V442" s="506" t="n">
        <f aca="false">V$638</f>
        <v>41274</v>
      </c>
      <c r="W442" s="506" t="n">
        <f aca="false">W$638</f>
        <v>41639</v>
      </c>
      <c r="X442" s="506" t="n">
        <f aca="false">X$638</f>
        <v>42004</v>
      </c>
      <c r="Y442" s="506" t="n">
        <f aca="false">Y$638</f>
        <v>42369</v>
      </c>
      <c r="Z442" s="506" t="n">
        <f aca="false">Z$638</f>
        <v>42735</v>
      </c>
      <c r="AA442" s="506" t="n">
        <f aca="false">AA$638</f>
        <v>43100</v>
      </c>
      <c r="AB442" s="506" t="n">
        <f aca="false">AB$638</f>
        <v>43465</v>
      </c>
      <c r="AC442" s="506" t="n">
        <f aca="false">AC$638</f>
        <v>43830</v>
      </c>
      <c r="AD442" s="506" t="n">
        <f aca="false">AD$638</f>
        <v>44196</v>
      </c>
      <c r="AE442" s="506" t="n">
        <f aca="false">AE$638</f>
        <v>44561</v>
      </c>
      <c r="AF442" s="506" t="n">
        <f aca="false">AF$638</f>
        <v>44926</v>
      </c>
    </row>
    <row r="443" customFormat="false" ht="12" hidden="false" customHeight="false" outlineLevel="0" collapsed="false">
      <c r="A443" s="341" t="s">
        <v>499</v>
      </c>
      <c r="B443" s="238"/>
      <c r="C443" s="238"/>
      <c r="D443" s="464"/>
      <c r="E443" s="238"/>
      <c r="F443" s="238"/>
      <c r="G443" s="238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  <c r="AA443" s="241"/>
      <c r="AB443" s="241"/>
      <c r="AC443" s="241"/>
      <c r="AD443" s="241"/>
      <c r="AE443" s="241"/>
      <c r="AF443" s="241"/>
    </row>
    <row r="444" customFormat="false" ht="12.75" hidden="false" customHeight="false" outlineLevel="0" collapsed="false">
      <c r="A444" s="473" t="s">
        <v>500</v>
      </c>
      <c r="B444" s="238"/>
      <c r="C444" s="450" t="s">
        <v>501</v>
      </c>
      <c r="D444" s="238"/>
      <c r="E444" s="238"/>
      <c r="F444" s="0"/>
      <c r="G444" s="468"/>
      <c r="H444" s="479" t="n">
        <v>0</v>
      </c>
      <c r="I444" s="468" t="n">
        <f aca="false">H447</f>
        <v>0</v>
      </c>
      <c r="J444" s="468" t="n">
        <f aca="false">I447</f>
        <v>0</v>
      </c>
      <c r="K444" s="468" t="e">
        <f aca="false">J447</f>
        <v>#VALUE!</v>
      </c>
      <c r="L444" s="468" t="e">
        <f aca="false">K447</f>
        <v>#VALUE!</v>
      </c>
      <c r="M444" s="468" t="e">
        <f aca="false">L447</f>
        <v>#VALUE!</v>
      </c>
      <c r="N444" s="468" t="e">
        <f aca="false">M447</f>
        <v>#VALUE!</v>
      </c>
      <c r="O444" s="468" t="e">
        <f aca="false">N447</f>
        <v>#VALUE!</v>
      </c>
      <c r="P444" s="468" t="e">
        <f aca="false">O447</f>
        <v>#VALUE!</v>
      </c>
      <c r="Q444" s="468" t="e">
        <f aca="false">P447</f>
        <v>#VALUE!</v>
      </c>
      <c r="R444" s="468" t="e">
        <f aca="false">Q447</f>
        <v>#VALUE!</v>
      </c>
      <c r="S444" s="468" t="e">
        <f aca="false">R447</f>
        <v>#VALUE!</v>
      </c>
      <c r="T444" s="468" t="e">
        <f aca="false">S447</f>
        <v>#VALUE!</v>
      </c>
      <c r="U444" s="468" t="e">
        <f aca="false">T447</f>
        <v>#VALUE!</v>
      </c>
      <c r="V444" s="468" t="e">
        <f aca="false">U447</f>
        <v>#VALUE!</v>
      </c>
      <c r="W444" s="468" t="e">
        <f aca="false">V447</f>
        <v>#VALUE!</v>
      </c>
      <c r="X444" s="468" t="e">
        <f aca="false">W447</f>
        <v>#VALUE!</v>
      </c>
      <c r="Y444" s="468" t="e">
        <f aca="false">X447</f>
        <v>#VALUE!</v>
      </c>
      <c r="Z444" s="468" t="e">
        <f aca="false">Y447</f>
        <v>#VALUE!</v>
      </c>
      <c r="AA444" s="468" t="e">
        <f aca="false">Z447</f>
        <v>#VALUE!</v>
      </c>
      <c r="AB444" s="468" t="e">
        <f aca="false">AA447</f>
        <v>#VALUE!</v>
      </c>
      <c r="AC444" s="468" t="e">
        <f aca="false">AB447</f>
        <v>#VALUE!</v>
      </c>
      <c r="AD444" s="468" t="e">
        <f aca="false">AC447</f>
        <v>#VALUE!</v>
      </c>
      <c r="AE444" s="468" t="e">
        <f aca="false">AD447</f>
        <v>#VALUE!</v>
      </c>
      <c r="AF444" s="468" t="e">
        <f aca="false">AE447</f>
        <v>#VALUE!</v>
      </c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</row>
    <row r="445" customFormat="false" ht="12.75" hidden="false" customHeight="false" outlineLevel="0" collapsed="false">
      <c r="A445" s="238"/>
      <c r="B445" s="238"/>
      <c r="C445" s="450" t="s">
        <v>502</v>
      </c>
      <c r="D445" s="238"/>
      <c r="E445" s="238"/>
      <c r="F445" s="0"/>
      <c r="G445" s="468"/>
      <c r="H445" s="479" t="n">
        <v>0</v>
      </c>
      <c r="I445" s="468" t="n">
        <f aca="false">IF(I378+I384+(I391+I392-I569)&lt;=0,I378+I384+(I391+I392-I569),0)</f>
        <v>0</v>
      </c>
      <c r="J445" s="468" t="e">
        <f aca="false">IF(J378+J384+(J391+J392-J569)&lt;=0,J378+J384+(J391+J392-J569),0)</f>
        <v>#VALUE!</v>
      </c>
      <c r="K445" s="468" t="e">
        <f aca="false">IF(K378+K384+(K391+K392-K569)&lt;=0,K378+K384+(K391+K392-K569),0)</f>
        <v>#VALUE!</v>
      </c>
      <c r="L445" s="468" t="e">
        <f aca="false">IF(L378+L384+(L391+L392-L569)&lt;=0,L378+L384+(L391+L392-L569),0)</f>
        <v>#VALUE!</v>
      </c>
      <c r="M445" s="468" t="e">
        <f aca="false">IF(M378+M384+(M391+M392-M569)&lt;=0,M378+M384+(M391+M392-M569),0)</f>
        <v>#VALUE!</v>
      </c>
      <c r="N445" s="468" t="e">
        <f aca="false">IF(N378+N384+(N391+N392-N569)&lt;=0,N378+N384+(N391+N392-N569),0)</f>
        <v>#VALUE!</v>
      </c>
      <c r="O445" s="468" t="e">
        <f aca="false">IF(O378+O384+(O391+O392-O569)&lt;=0,O378+O384+(O391+O392-O569),0)</f>
        <v>#VALUE!</v>
      </c>
      <c r="P445" s="468" t="e">
        <f aca="false">IF(P378+P384+(P391+P392-P569)&lt;=0,P378+P384+(P391+P392-P569),0)</f>
        <v>#VALUE!</v>
      </c>
      <c r="Q445" s="468" t="e">
        <f aca="false">IF(Q378+Q384+(Q391+Q392-Q569)&lt;=0,Q378+Q384+(Q391+Q392-Q569),0)</f>
        <v>#VALUE!</v>
      </c>
      <c r="R445" s="468" t="e">
        <f aca="false">IF(R378+R384+(R391+R392-R569)&lt;=0,R378+R384+(R391+R392-R569),0)</f>
        <v>#VALUE!</v>
      </c>
      <c r="S445" s="468" t="e">
        <f aca="false">IF(S378+S384+(S391+S392-S569)&lt;=0,S378+S384+(S391+S392-S569),0)</f>
        <v>#VALUE!</v>
      </c>
      <c r="T445" s="468" t="e">
        <f aca="false">IF(T378+T384+(T391+T392-T569)&lt;=0,T378+T384+(T391+T392-T569),0)</f>
        <v>#VALUE!</v>
      </c>
      <c r="U445" s="468" t="e">
        <f aca="false">IF(U378+U384+(U391+U392-U569)&lt;=0,U378+U384+(U391+U392-U569),0)</f>
        <v>#VALUE!</v>
      </c>
      <c r="V445" s="468" t="e">
        <f aca="false">IF(V378+V384+(V391+V392-V569)&lt;=0,V378+V384+(V391+V392-V569),0)</f>
        <v>#VALUE!</v>
      </c>
      <c r="W445" s="468" t="e">
        <f aca="false">IF(W378+W384+(W391+W392-W569)&lt;=0,W378+W384+(W391+W392-W569),0)</f>
        <v>#VALUE!</v>
      </c>
      <c r="X445" s="468" t="e">
        <f aca="false">IF(X378+X384+(X391+X392-X569)&lt;=0,X378+X384+(X391+X392-X569),0)</f>
        <v>#VALUE!</v>
      </c>
      <c r="Y445" s="468" t="e">
        <f aca="false">IF(Y378+Y384+(Y391+Y392-Y569)&lt;=0,Y378+Y384+(Y391+Y392-Y569),0)</f>
        <v>#VALUE!</v>
      </c>
      <c r="Z445" s="468" t="e">
        <f aca="false">IF(Z378+Z384+(Z391+Z392-Z569)&lt;=0,Z378+Z384+(Z391+Z392-Z569),0)</f>
        <v>#VALUE!</v>
      </c>
      <c r="AA445" s="468" t="e">
        <f aca="false">IF(AA378+AA384+(AA391+AA392-AA569)&lt;=0,AA378+AA384+(AA391+AA392-AA569),0)</f>
        <v>#VALUE!</v>
      </c>
      <c r="AB445" s="468" t="e">
        <f aca="false">IF(AB378+AB384+(AB391+AB392-AB569)&lt;=0,AB378+AB384+(AB391+AB392-AB569),0)</f>
        <v>#VALUE!</v>
      </c>
      <c r="AC445" s="468" t="e">
        <f aca="false">IF(AC378+AC384+(AC391+AC392-AC569)&lt;=0,AC378+AC384+(AC391+AC392-AC569),0)</f>
        <v>#VALUE!</v>
      </c>
      <c r="AD445" s="468" t="e">
        <f aca="false">IF(AD378+AD384+(AD391+AD392-AD569)&lt;=0,AD378+AD384+(AD391+AD392-AD569),0)</f>
        <v>#VALUE!</v>
      </c>
      <c r="AE445" s="468" t="e">
        <f aca="false">IF(AE378+AE384+(AE391+AE392-AE569)&lt;=0,AE378+AE384+(AE391+AE392-AE569),0)</f>
        <v>#VALUE!</v>
      </c>
      <c r="AF445" s="468" t="e">
        <f aca="false">IF(AF378+AF384+(AF391+AF392-AF569)&lt;=0,AF378+AF384+(AF391+AF392-AF569),0)</f>
        <v>#VALUE!</v>
      </c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</row>
    <row r="446" customFormat="false" ht="12.75" hidden="false" customHeight="false" outlineLevel="0" collapsed="false">
      <c r="A446" s="238"/>
      <c r="B446" s="238"/>
      <c r="C446" s="450" t="s">
        <v>503</v>
      </c>
      <c r="D446" s="238"/>
      <c r="E446" s="238"/>
      <c r="F446" s="0"/>
      <c r="G446" s="468"/>
      <c r="H446" s="479" t="n">
        <v>0</v>
      </c>
      <c r="I446" s="468" t="n">
        <f aca="false">IF(I378+I384&gt;0,MIN(I378+I384,I444),0)</f>
        <v>0</v>
      </c>
      <c r="J446" s="468" t="e">
        <f aca="false">IF(J378+J384&gt;0,MIN(J378+J384,J444),0)</f>
        <v>#VALUE!</v>
      </c>
      <c r="K446" s="468" t="e">
        <f aca="false">IF(K378+K384&gt;0,MIN(K378+K384,K444),0)</f>
        <v>#VALUE!</v>
      </c>
      <c r="L446" s="468" t="e">
        <f aca="false">IF(L378+L384&gt;0,MIN(L378+L384,L444),0)</f>
        <v>#VALUE!</v>
      </c>
      <c r="M446" s="468" t="e">
        <f aca="false">IF(M378+M384&gt;0,MIN(M378+M384,M444),0)</f>
        <v>#VALUE!</v>
      </c>
      <c r="N446" s="468" t="e">
        <f aca="false">IF(N378+N384&gt;0,MIN(N378+N384,N444),0)</f>
        <v>#VALUE!</v>
      </c>
      <c r="O446" s="468" t="e">
        <f aca="false">IF(O378+O384&gt;0,MIN(O378+O384,O444),0)</f>
        <v>#VALUE!</v>
      </c>
      <c r="P446" s="468" t="e">
        <f aca="false">IF(P378+P384&gt;0,MIN(P378+P384,P444),0)</f>
        <v>#VALUE!</v>
      </c>
      <c r="Q446" s="468" t="e">
        <f aca="false">IF(Q378+Q384&gt;0,MIN(Q378+Q384,Q444),0)</f>
        <v>#VALUE!</v>
      </c>
      <c r="R446" s="468" t="e">
        <f aca="false">IF(R378+R384&gt;0,MIN(R378+R384,R444),0)</f>
        <v>#VALUE!</v>
      </c>
      <c r="S446" s="468" t="e">
        <f aca="false">IF(S378+S384&gt;0,MIN(S378+S384,S444),0)</f>
        <v>#VALUE!</v>
      </c>
      <c r="T446" s="468" t="e">
        <f aca="false">IF(T378+T384&gt;0,MIN(T378+T384,T444),0)</f>
        <v>#VALUE!</v>
      </c>
      <c r="U446" s="468" t="e">
        <f aca="false">IF(U378+U384&gt;0,MIN(U378+U384,U444),0)</f>
        <v>#VALUE!</v>
      </c>
      <c r="V446" s="468" t="e">
        <f aca="false">IF(V378+V384&gt;0,MIN(V378+V384,V444),0)</f>
        <v>#VALUE!</v>
      </c>
      <c r="W446" s="468" t="e">
        <f aca="false">IF(W378+W384&gt;0,MIN(W378+W384,W444),0)</f>
        <v>#VALUE!</v>
      </c>
      <c r="X446" s="468" t="e">
        <f aca="false">IF(X378+X384&gt;0,MIN(X378+X384,X444),0)</f>
        <v>#VALUE!</v>
      </c>
      <c r="Y446" s="468" t="e">
        <f aca="false">IF(Y378+Y384&gt;0,MIN(Y378+Y384,Y444),0)</f>
        <v>#VALUE!</v>
      </c>
      <c r="Z446" s="468" t="e">
        <f aca="false">IF(Z378+Z384&gt;0,MIN(Z378+Z384,Z444),0)</f>
        <v>#VALUE!</v>
      </c>
      <c r="AA446" s="468" t="e">
        <f aca="false">IF(AA378+AA384&gt;0,MIN(AA378+AA384,AA444),0)</f>
        <v>#VALUE!</v>
      </c>
      <c r="AB446" s="468" t="e">
        <f aca="false">IF(AB378+AB384&gt;0,MIN(AB378+AB384,AB444),0)</f>
        <v>#VALUE!</v>
      </c>
      <c r="AC446" s="468" t="e">
        <f aca="false">IF(AC378+AC384&gt;0,MIN(AC378+AC384,AC444),0)</f>
        <v>#VALUE!</v>
      </c>
      <c r="AD446" s="468" t="e">
        <f aca="false">IF(AD378+AD384&gt;0,MIN(AD378+AD384,AD444),0)</f>
        <v>#VALUE!</v>
      </c>
      <c r="AE446" s="468" t="e">
        <f aca="false">IF(AE378+AE384&gt;0,MIN(AE378+AE384,AE444),0)</f>
        <v>#VALUE!</v>
      </c>
      <c r="AF446" s="468" t="e">
        <f aca="false">IF(AF378+AF384&gt;0,MIN(AF378+AF384,AF444),0)</f>
        <v>#VALUE!</v>
      </c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</row>
    <row r="447" customFormat="false" ht="12.75" hidden="false" customHeight="false" outlineLevel="0" collapsed="false">
      <c r="A447" s="238"/>
      <c r="B447" s="238"/>
      <c r="C447" s="450" t="s">
        <v>504</v>
      </c>
      <c r="D447" s="238"/>
      <c r="E447" s="238"/>
      <c r="F447" s="0"/>
      <c r="G447" s="468"/>
      <c r="H447" s="478" t="n">
        <f aca="false">H444-H445-H446</f>
        <v>0</v>
      </c>
      <c r="I447" s="477" t="n">
        <f aca="false">I444-I445-I446</f>
        <v>0</v>
      </c>
      <c r="J447" s="477" t="e">
        <f aca="false">J444-J445-J446</f>
        <v>#VALUE!</v>
      </c>
      <c r="K447" s="477" t="e">
        <f aca="false">K444-K445-K446</f>
        <v>#VALUE!</v>
      </c>
      <c r="L447" s="477" t="e">
        <f aca="false">L444-L445-L446</f>
        <v>#VALUE!</v>
      </c>
      <c r="M447" s="477" t="e">
        <f aca="false">M444-M445-M446</f>
        <v>#VALUE!</v>
      </c>
      <c r="N447" s="477" t="e">
        <f aca="false">N444-N445-N446</f>
        <v>#VALUE!</v>
      </c>
      <c r="O447" s="477" t="e">
        <f aca="false">O444-O445-O446</f>
        <v>#VALUE!</v>
      </c>
      <c r="P447" s="477" t="e">
        <f aca="false">P444-P445-P446</f>
        <v>#VALUE!</v>
      </c>
      <c r="Q447" s="477" t="e">
        <f aca="false">Q444-Q445-Q446</f>
        <v>#VALUE!</v>
      </c>
      <c r="R447" s="477" t="e">
        <f aca="false">R444-R445-R446</f>
        <v>#VALUE!</v>
      </c>
      <c r="S447" s="477" t="e">
        <f aca="false">S444-S445-S446</f>
        <v>#VALUE!</v>
      </c>
      <c r="T447" s="477" t="e">
        <f aca="false">T444-T445-T446</f>
        <v>#VALUE!</v>
      </c>
      <c r="U447" s="477" t="e">
        <f aca="false">U444-U445-U446</f>
        <v>#VALUE!</v>
      </c>
      <c r="V447" s="477" t="e">
        <f aca="false">V444-V445-V446</f>
        <v>#VALUE!</v>
      </c>
      <c r="W447" s="477" t="e">
        <f aca="false">W444-W445-W446</f>
        <v>#VALUE!</v>
      </c>
      <c r="X447" s="477" t="e">
        <f aca="false">X444-X445-X446</f>
        <v>#VALUE!</v>
      </c>
      <c r="Y447" s="477" t="e">
        <f aca="false">Y444-Y445-Y446</f>
        <v>#VALUE!</v>
      </c>
      <c r="Z447" s="477" t="e">
        <f aca="false">Z444-Z445-Z446</f>
        <v>#VALUE!</v>
      </c>
      <c r="AA447" s="477" t="e">
        <f aca="false">AA444-AA445-AA446</f>
        <v>#VALUE!</v>
      </c>
      <c r="AB447" s="477" t="e">
        <f aca="false">AB444-AB445-AB446</f>
        <v>#VALUE!</v>
      </c>
      <c r="AC447" s="477" t="e">
        <f aca="false">AC444-AC445-AC446</f>
        <v>#VALUE!</v>
      </c>
      <c r="AD447" s="477" t="e">
        <f aca="false">AD444-AD445-AD446</f>
        <v>#VALUE!</v>
      </c>
      <c r="AE447" s="477" t="e">
        <f aca="false">AE444-AE445-AE446</f>
        <v>#VALUE!</v>
      </c>
      <c r="AF447" s="477" t="e">
        <f aca="false">AF444-AF445-AF446</f>
        <v>#VALUE!</v>
      </c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</row>
    <row r="448" customFormat="false" ht="12.75" hidden="false" customHeight="false" outlineLevel="0" collapsed="false">
      <c r="A448" s="238"/>
      <c r="B448" s="238"/>
      <c r="C448" s="450" t="s">
        <v>505</v>
      </c>
      <c r="D448" s="238"/>
      <c r="E448" s="238"/>
      <c r="F448" s="0"/>
      <c r="G448" s="238"/>
      <c r="H448" s="483"/>
      <c r="I448" s="484" t="n">
        <f aca="false">I626</f>
        <v>0.1</v>
      </c>
      <c r="J448" s="484" t="n">
        <f aca="false">J626</f>
        <v>0.1</v>
      </c>
      <c r="K448" s="484" t="n">
        <f aca="false">K626</f>
        <v>0.1</v>
      </c>
      <c r="L448" s="484" t="n">
        <f aca="false">L626</f>
        <v>0.1</v>
      </c>
      <c r="M448" s="484" t="n">
        <f aca="false">M626</f>
        <v>0.1</v>
      </c>
      <c r="N448" s="484" t="n">
        <f aca="false">N626</f>
        <v>0.1</v>
      </c>
      <c r="O448" s="484" t="n">
        <f aca="false">O626</f>
        <v>0.1</v>
      </c>
      <c r="P448" s="484" t="n">
        <f aca="false">P626</f>
        <v>0.1</v>
      </c>
      <c r="Q448" s="484" t="n">
        <f aca="false">Q626</f>
        <v>0.1</v>
      </c>
      <c r="R448" s="484" t="n">
        <f aca="false">R626</f>
        <v>0.1</v>
      </c>
      <c r="S448" s="484" t="n">
        <f aca="false">S626</f>
        <v>0.1</v>
      </c>
      <c r="T448" s="484" t="n">
        <f aca="false">T626</f>
        <v>0.1</v>
      </c>
      <c r="U448" s="484" t="n">
        <f aca="false">U626</f>
        <v>0.1</v>
      </c>
      <c r="V448" s="484" t="n">
        <f aca="false">V626</f>
        <v>0.1</v>
      </c>
      <c r="W448" s="484" t="n">
        <f aca="false">W626</f>
        <v>0.1</v>
      </c>
      <c r="X448" s="484" t="n">
        <f aca="false">X626</f>
        <v>0.1</v>
      </c>
      <c r="Y448" s="484" t="n">
        <f aca="false">Y626</f>
        <v>0.1</v>
      </c>
      <c r="Z448" s="484" t="n">
        <f aca="false">Z626</f>
        <v>0.1</v>
      </c>
      <c r="AA448" s="484" t="n">
        <f aca="false">AA626</f>
        <v>0.1</v>
      </c>
      <c r="AB448" s="484" t="n">
        <f aca="false">AB626</f>
        <v>0.1</v>
      </c>
      <c r="AC448" s="484" t="n">
        <f aca="false">AC626</f>
        <v>0.1</v>
      </c>
      <c r="AD448" s="484" t="n">
        <f aca="false">AD626</f>
        <v>0.1</v>
      </c>
      <c r="AE448" s="484" t="n">
        <f aca="false">AE626</f>
        <v>0.1</v>
      </c>
      <c r="AF448" s="484" t="n">
        <f aca="false">AF626</f>
        <v>0.1</v>
      </c>
    </row>
    <row r="449" customFormat="false" ht="12.75" hidden="false" customHeight="false" outlineLevel="0" collapsed="false">
      <c r="A449" s="507"/>
      <c r="B449" s="507"/>
      <c r="C449" s="507"/>
      <c r="D449" s="507"/>
      <c r="E449" s="238"/>
      <c r="F449" s="0"/>
      <c r="G449" s="508"/>
      <c r="H449" s="483"/>
      <c r="I449" s="238"/>
      <c r="J449" s="238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</row>
    <row r="450" customFormat="false" ht="11.25" hidden="false" customHeight="false" outlineLevel="0" collapsed="false">
      <c r="A450" s="238"/>
      <c r="B450" s="238"/>
      <c r="C450" s="450"/>
      <c r="D450" s="238"/>
      <c r="E450" s="238"/>
      <c r="F450" s="238"/>
      <c r="G450" s="238"/>
      <c r="H450" s="509"/>
      <c r="I450" s="510"/>
      <c r="J450" s="511"/>
      <c r="K450" s="510"/>
      <c r="L450" s="510"/>
      <c r="M450" s="510"/>
      <c r="N450" s="510"/>
      <c r="O450" s="510"/>
      <c r="P450" s="510"/>
      <c r="Q450" s="510"/>
      <c r="R450" s="510"/>
      <c r="S450" s="510"/>
      <c r="T450" s="510"/>
      <c r="U450" s="510"/>
      <c r="V450" s="510"/>
      <c r="W450" s="510"/>
      <c r="X450" s="510"/>
      <c r="Y450" s="484"/>
      <c r="Z450" s="484"/>
      <c r="AA450" s="484"/>
      <c r="AB450" s="484"/>
      <c r="AC450" s="484"/>
      <c r="AD450" s="484"/>
      <c r="AE450" s="484"/>
      <c r="AF450" s="484"/>
    </row>
    <row r="451" customFormat="false" ht="11.25" hidden="false" customHeight="false" outlineLevel="0" collapsed="false">
      <c r="A451" s="499" t="str">
        <f aca="false">B481&amp;":"</f>
        <v>Purchase Term Loan:</v>
      </c>
      <c r="B451" s="238"/>
      <c r="C451" s="450" t="s">
        <v>501</v>
      </c>
      <c r="D451" s="238"/>
      <c r="E451" s="238"/>
      <c r="F451" s="238"/>
      <c r="G451" s="468"/>
      <c r="H451" s="479" t="n">
        <v>0</v>
      </c>
      <c r="I451" s="468" t="n">
        <f aca="false">H455</f>
        <v>56500</v>
      </c>
      <c r="J451" s="468" t="n">
        <f aca="false">I455</f>
        <v>56108.999999</v>
      </c>
      <c r="K451" s="468" t="e">
        <f aca="false">J455</f>
        <v>#VALUE!</v>
      </c>
      <c r="L451" s="468" t="e">
        <f aca="false">K455</f>
        <v>#VALUE!</v>
      </c>
      <c r="M451" s="468" t="e">
        <f aca="false">L455</f>
        <v>#VALUE!</v>
      </c>
      <c r="N451" s="468" t="e">
        <f aca="false">M455</f>
        <v>#VALUE!</v>
      </c>
      <c r="O451" s="468" t="e">
        <f aca="false">N455</f>
        <v>#VALUE!</v>
      </c>
      <c r="P451" s="468" t="e">
        <f aca="false">O455</f>
        <v>#VALUE!</v>
      </c>
      <c r="Q451" s="468" t="e">
        <f aca="false">P455</f>
        <v>#VALUE!</v>
      </c>
      <c r="R451" s="468" t="e">
        <f aca="false">Q455</f>
        <v>#VALUE!</v>
      </c>
      <c r="S451" s="468" t="e">
        <f aca="false">R455</f>
        <v>#VALUE!</v>
      </c>
      <c r="T451" s="468" t="e">
        <f aca="false">S455</f>
        <v>#VALUE!</v>
      </c>
      <c r="U451" s="468" t="e">
        <f aca="false">T455</f>
        <v>#VALUE!</v>
      </c>
      <c r="V451" s="468" t="e">
        <f aca="false">U455</f>
        <v>#VALUE!</v>
      </c>
      <c r="W451" s="468" t="e">
        <f aca="false">V455</f>
        <v>#VALUE!</v>
      </c>
      <c r="X451" s="468" t="e">
        <f aca="false">W455</f>
        <v>#VALUE!</v>
      </c>
      <c r="Y451" s="468" t="e">
        <f aca="false">X455</f>
        <v>#VALUE!</v>
      </c>
      <c r="Z451" s="468" t="e">
        <f aca="false">Y455</f>
        <v>#VALUE!</v>
      </c>
      <c r="AA451" s="468" t="e">
        <f aca="false">Z455</f>
        <v>#VALUE!</v>
      </c>
      <c r="AB451" s="468" t="e">
        <f aca="false">AA455</f>
        <v>#VALUE!</v>
      </c>
      <c r="AC451" s="468" t="e">
        <f aca="false">AB455</f>
        <v>#VALUE!</v>
      </c>
      <c r="AD451" s="468" t="e">
        <f aca="false">AC455</f>
        <v>#VALUE!</v>
      </c>
      <c r="AE451" s="468" t="e">
        <f aca="false">AD455</f>
        <v>#VALUE!</v>
      </c>
      <c r="AF451" s="468" t="e">
        <f aca="false">AE455</f>
        <v>#VALUE!</v>
      </c>
    </row>
    <row r="452" customFormat="false" ht="11.25" hidden="false" customHeight="false" outlineLevel="0" collapsed="false">
      <c r="A452" s="238"/>
      <c r="B452" s="238"/>
      <c r="C452" s="450" t="s">
        <v>502</v>
      </c>
      <c r="D452" s="486"/>
      <c r="E452" s="486"/>
      <c r="F452" s="486"/>
      <c r="G452" s="468"/>
      <c r="H452" s="479" t="n">
        <f aca="false">-H481+H608-K536</f>
        <v>-56500</v>
      </c>
      <c r="I452" s="468" t="n">
        <f aca="false">I608+I604</f>
        <v>0</v>
      </c>
      <c r="J452" s="468" t="n">
        <f aca="false">J608+J604</f>
        <v>0</v>
      </c>
      <c r="K452" s="468" t="n">
        <f aca="false">K608+K604</f>
        <v>0</v>
      </c>
      <c r="L452" s="468" t="n">
        <f aca="false">L608+L604</f>
        <v>0</v>
      </c>
      <c r="M452" s="468" t="n">
        <f aca="false">M608+M604</f>
        <v>0</v>
      </c>
      <c r="N452" s="468" t="n">
        <f aca="false">N608+N604</f>
        <v>0</v>
      </c>
      <c r="O452" s="468" t="n">
        <f aca="false">O608+O604</f>
        <v>0</v>
      </c>
      <c r="P452" s="468" t="n">
        <f aca="false">P608+P604</f>
        <v>0</v>
      </c>
      <c r="Q452" s="468" t="n">
        <f aca="false">Q608+Q604</f>
        <v>0</v>
      </c>
      <c r="R452" s="468" t="n">
        <f aca="false">R608+R604</f>
        <v>0</v>
      </c>
      <c r="S452" s="468" t="n">
        <f aca="false">S608+S604</f>
        <v>0</v>
      </c>
      <c r="T452" s="468" t="n">
        <f aca="false">T608+T604</f>
        <v>0</v>
      </c>
      <c r="U452" s="468" t="n">
        <f aca="false">U608+U604</f>
        <v>0</v>
      </c>
      <c r="V452" s="468" t="n">
        <f aca="false">V608+V604</f>
        <v>0</v>
      </c>
      <c r="W452" s="468" t="n">
        <f aca="false">W608+W604</f>
        <v>0</v>
      </c>
      <c r="X452" s="468" t="n">
        <f aca="false">X608+X604</f>
        <v>0</v>
      </c>
      <c r="Y452" s="468" t="n">
        <f aca="false">Y608+Y604</f>
        <v>0</v>
      </c>
      <c r="Z452" s="468" t="n">
        <f aca="false">Z608+Z604</f>
        <v>0</v>
      </c>
      <c r="AA452" s="468" t="n">
        <f aca="false">AA608+AA604</f>
        <v>0</v>
      </c>
      <c r="AB452" s="468" t="n">
        <f aca="false">AB608+AB604</f>
        <v>0</v>
      </c>
      <c r="AC452" s="468" t="n">
        <f aca="false">AC608+AC604</f>
        <v>0</v>
      </c>
      <c r="AD452" s="468" t="n">
        <f aca="false">AD608+AD604</f>
        <v>0</v>
      </c>
      <c r="AE452" s="468" t="n">
        <f aca="false">AE608+AE604</f>
        <v>0</v>
      </c>
      <c r="AF452" s="468" t="n">
        <f aca="false">AF608+AF604</f>
        <v>0</v>
      </c>
    </row>
    <row r="453" customFormat="false" ht="11.25" hidden="false" customHeight="false" outlineLevel="0" collapsed="false">
      <c r="A453" s="238"/>
      <c r="B453" s="238"/>
      <c r="C453" s="450" t="s">
        <v>503</v>
      </c>
      <c r="D453" s="238"/>
      <c r="E453" s="238"/>
      <c r="F453" s="238"/>
      <c r="G453" s="468"/>
      <c r="H453" s="479" t="n">
        <f aca="false">H603</f>
        <v>0</v>
      </c>
      <c r="I453" s="468" t="n">
        <f aca="false">I603</f>
        <v>391.000001</v>
      </c>
      <c r="J453" s="468" t="n">
        <f aca="false">J603</f>
        <v>1601.999983</v>
      </c>
      <c r="K453" s="468" t="n">
        <f aca="false">K603</f>
        <v>2148.00005</v>
      </c>
      <c r="L453" s="468" t="n">
        <f aca="false">L603</f>
        <v>2500.9999025</v>
      </c>
      <c r="M453" s="468" t="n">
        <f aca="false">M603</f>
        <v>2102.00001</v>
      </c>
      <c r="N453" s="468" t="n">
        <f aca="false">N603</f>
        <v>3172.999998</v>
      </c>
      <c r="O453" s="468" t="n">
        <f aca="false">O603</f>
        <v>3259.000004</v>
      </c>
      <c r="P453" s="468" t="n">
        <f aca="false">P603</f>
        <v>2143.000026</v>
      </c>
      <c r="Q453" s="468" t="n">
        <f aca="false">Q603</f>
        <v>2834.9999915</v>
      </c>
      <c r="R453" s="468" t="n">
        <f aca="false">R603</f>
        <v>4242.9999925</v>
      </c>
      <c r="S453" s="468" t="n">
        <f aca="false">S603</f>
        <v>4340.999977</v>
      </c>
      <c r="T453" s="468" t="n">
        <f aca="false">T603</f>
        <v>3399.999935</v>
      </c>
      <c r="U453" s="468" t="n">
        <f aca="false">U603</f>
        <v>3140.000043</v>
      </c>
      <c r="V453" s="468" t="n">
        <f aca="false">V603</f>
        <v>4238.999962</v>
      </c>
      <c r="W453" s="468" t="n">
        <f aca="false">W603</f>
        <v>4286.000052</v>
      </c>
      <c r="X453" s="468" t="n">
        <f aca="false">X603</f>
        <v>3758.9999745</v>
      </c>
      <c r="Y453" s="468" t="n">
        <f aca="false">Y603</f>
        <v>4520.9999935</v>
      </c>
      <c r="Z453" s="468" t="n">
        <f aca="false">Z603</f>
        <v>4417.0001045</v>
      </c>
      <c r="AA453" s="468" t="n">
        <f aca="false">AA603</f>
        <v>0</v>
      </c>
      <c r="AB453" s="468" t="n">
        <f aca="false">AB603</f>
        <v>0</v>
      </c>
      <c r="AC453" s="468" t="n">
        <f aca="false">AC603</f>
        <v>0</v>
      </c>
      <c r="AD453" s="468" t="n">
        <f aca="false">AD603</f>
        <v>0</v>
      </c>
      <c r="AE453" s="468" t="n">
        <f aca="false">AE603</f>
        <v>0</v>
      </c>
      <c r="AF453" s="468" t="n">
        <f aca="false">AF603</f>
        <v>0</v>
      </c>
    </row>
    <row r="454" customFormat="false" ht="11.25" hidden="false" customHeight="false" outlineLevel="0" collapsed="false">
      <c r="A454" s="238"/>
      <c r="B454" s="238"/>
      <c r="C454" s="450" t="s">
        <v>506</v>
      </c>
      <c r="D454" s="238"/>
      <c r="E454" s="238"/>
      <c r="F454" s="238"/>
      <c r="G454" s="468"/>
      <c r="H454" s="479" t="n">
        <f aca="false">-H394</f>
        <v>-0</v>
      </c>
      <c r="I454" s="474" t="n">
        <f aca="false">-I394</f>
        <v>-0</v>
      </c>
      <c r="J454" s="474" t="e">
        <f aca="false">-J394</f>
        <v>#VALUE!</v>
      </c>
      <c r="K454" s="474" t="e">
        <f aca="false">-K394</f>
        <v>#VALUE!</v>
      </c>
      <c r="L454" s="474" t="e">
        <f aca="false">-L394</f>
        <v>#VALUE!</v>
      </c>
      <c r="M454" s="474" t="e">
        <f aca="false">-M394</f>
        <v>#VALUE!</v>
      </c>
      <c r="N454" s="474" t="e">
        <f aca="false">-N394</f>
        <v>#VALUE!</v>
      </c>
      <c r="O454" s="474" t="e">
        <f aca="false">-O394</f>
        <v>#VALUE!</v>
      </c>
      <c r="P454" s="474" t="e">
        <f aca="false">-P394</f>
        <v>#VALUE!</v>
      </c>
      <c r="Q454" s="474" t="e">
        <f aca="false">-Q394</f>
        <v>#VALUE!</v>
      </c>
      <c r="R454" s="474" t="e">
        <f aca="false">-R394</f>
        <v>#VALUE!</v>
      </c>
      <c r="S454" s="474" t="e">
        <f aca="false">-S394</f>
        <v>#VALUE!</v>
      </c>
      <c r="T454" s="474" t="e">
        <f aca="false">-T394</f>
        <v>#VALUE!</v>
      </c>
      <c r="U454" s="474" t="e">
        <f aca="false">-U394</f>
        <v>#VALUE!</v>
      </c>
      <c r="V454" s="474" t="e">
        <f aca="false">-V394</f>
        <v>#VALUE!</v>
      </c>
      <c r="W454" s="474" t="e">
        <f aca="false">-W394</f>
        <v>#VALUE!</v>
      </c>
      <c r="X454" s="474" t="e">
        <f aca="false">-X394</f>
        <v>#VALUE!</v>
      </c>
      <c r="Y454" s="474" t="e">
        <f aca="false">-Y394</f>
        <v>#VALUE!</v>
      </c>
      <c r="Z454" s="474" t="e">
        <f aca="false">-Z394</f>
        <v>#VALUE!</v>
      </c>
      <c r="AA454" s="474" t="e">
        <f aca="false">-AA394</f>
        <v>#VALUE!</v>
      </c>
      <c r="AB454" s="474" t="e">
        <f aca="false">-AB394</f>
        <v>#VALUE!</v>
      </c>
      <c r="AC454" s="474" t="e">
        <f aca="false">-AC394</f>
        <v>#VALUE!</v>
      </c>
      <c r="AD454" s="474" t="e">
        <f aca="false">-AD394</f>
        <v>#VALUE!</v>
      </c>
      <c r="AE454" s="474" t="e">
        <f aca="false">-AE394</f>
        <v>#VALUE!</v>
      </c>
      <c r="AF454" s="474" t="e">
        <f aca="false">-AF394</f>
        <v>#VALUE!</v>
      </c>
    </row>
    <row r="455" customFormat="false" ht="11.25" hidden="false" customHeight="false" outlineLevel="0" collapsed="false">
      <c r="A455" s="238"/>
      <c r="B455" s="238"/>
      <c r="C455" s="450" t="s">
        <v>504</v>
      </c>
      <c r="D455" s="238"/>
      <c r="E455" s="238"/>
      <c r="F455" s="238"/>
      <c r="G455" s="468"/>
      <c r="H455" s="478" t="n">
        <f aca="false">H451-H453-H452-H454</f>
        <v>56500</v>
      </c>
      <c r="I455" s="477" t="n">
        <f aca="false">I451-I453-I452-I454</f>
        <v>56108.999999</v>
      </c>
      <c r="J455" s="477" t="e">
        <f aca="false">J451-J453-J452-J454</f>
        <v>#VALUE!</v>
      </c>
      <c r="K455" s="477" t="e">
        <f aca="false">K451-K453-K452-K454</f>
        <v>#VALUE!</v>
      </c>
      <c r="L455" s="477" t="e">
        <f aca="false">L451-L453-L452-L454</f>
        <v>#VALUE!</v>
      </c>
      <c r="M455" s="477" t="e">
        <f aca="false">M451-M453-M452-M454</f>
        <v>#VALUE!</v>
      </c>
      <c r="N455" s="477" t="e">
        <f aca="false">N451-N453-N452-N454</f>
        <v>#VALUE!</v>
      </c>
      <c r="O455" s="477" t="e">
        <f aca="false">O451-O453-O452-O454</f>
        <v>#VALUE!</v>
      </c>
      <c r="P455" s="477" t="e">
        <f aca="false">P451-P453-P452-P454</f>
        <v>#VALUE!</v>
      </c>
      <c r="Q455" s="477" t="e">
        <f aca="false">Q451-Q453-Q452-Q454</f>
        <v>#VALUE!</v>
      </c>
      <c r="R455" s="477" t="e">
        <f aca="false">R451-R453-R452-R454</f>
        <v>#VALUE!</v>
      </c>
      <c r="S455" s="477" t="e">
        <f aca="false">S451-S453-S452-S454</f>
        <v>#VALUE!</v>
      </c>
      <c r="T455" s="477" t="e">
        <f aca="false">T451-T453-T452-T454</f>
        <v>#VALUE!</v>
      </c>
      <c r="U455" s="477" t="e">
        <f aca="false">U451-U453-U452-U454</f>
        <v>#VALUE!</v>
      </c>
      <c r="V455" s="477" t="e">
        <f aca="false">V451-V453-V452-V454</f>
        <v>#VALUE!</v>
      </c>
      <c r="W455" s="477" t="e">
        <f aca="false">W451-W453-W452-W454</f>
        <v>#VALUE!</v>
      </c>
      <c r="X455" s="477" t="e">
        <f aca="false">X451-X453-X452-X454</f>
        <v>#VALUE!</v>
      </c>
      <c r="Y455" s="477" t="e">
        <f aca="false">Y451-Y453-Y452-Y454</f>
        <v>#VALUE!</v>
      </c>
      <c r="Z455" s="477" t="e">
        <f aca="false">Z451-Z453-Z452-Z454</f>
        <v>#VALUE!</v>
      </c>
      <c r="AA455" s="477" t="e">
        <f aca="false">AA451-AA453-AA452-AA454</f>
        <v>#VALUE!</v>
      </c>
      <c r="AB455" s="477" t="e">
        <f aca="false">AB451-AB453-AB452-AB454</f>
        <v>#VALUE!</v>
      </c>
      <c r="AC455" s="477" t="e">
        <f aca="false">AC451-AC453-AC452-AC454</f>
        <v>#VALUE!</v>
      </c>
      <c r="AD455" s="477" t="e">
        <f aca="false">AD451-AD453-AD452-AD454</f>
        <v>#VALUE!</v>
      </c>
      <c r="AE455" s="477" t="e">
        <f aca="false">AE451-AE453-AE452-AE454</f>
        <v>#VALUE!</v>
      </c>
      <c r="AF455" s="477" t="e">
        <f aca="false">AF451-AF453-AF452-AF454</f>
        <v>#VALUE!</v>
      </c>
    </row>
    <row r="456" customFormat="false" ht="11.25" hidden="false" customHeight="false" outlineLevel="0" collapsed="false">
      <c r="A456" s="238"/>
      <c r="B456" s="238"/>
      <c r="C456" s="450" t="s">
        <v>505</v>
      </c>
      <c r="D456" s="238"/>
      <c r="E456" s="238"/>
      <c r="F456" s="238"/>
      <c r="G456" s="238"/>
      <c r="H456" s="483"/>
      <c r="I456" s="484" t="n">
        <f aca="false">I627</f>
        <v>0.0775</v>
      </c>
      <c r="J456" s="484" t="n">
        <f aca="false">J627</f>
        <v>0.0775</v>
      </c>
      <c r="K456" s="484" t="n">
        <f aca="false">K627</f>
        <v>0.0775</v>
      </c>
      <c r="L456" s="484" t="n">
        <f aca="false">L627</f>
        <v>0.07875</v>
      </c>
      <c r="M456" s="484" t="n">
        <f aca="false">M627</f>
        <v>0.07875</v>
      </c>
      <c r="N456" s="484" t="n">
        <f aca="false">N627</f>
        <v>0.07875</v>
      </c>
      <c r="O456" s="484" t="n">
        <f aca="false">O627</f>
        <v>0.08125</v>
      </c>
      <c r="P456" s="484" t="n">
        <f aca="false">P627</f>
        <v>0.08125</v>
      </c>
      <c r="Q456" s="484" t="n">
        <f aca="false">Q627</f>
        <v>0.08125</v>
      </c>
      <c r="R456" s="484" t="n">
        <f aca="false">R627</f>
        <v>0.0825</v>
      </c>
      <c r="S456" s="484" t="n">
        <f aca="false">S627</f>
        <v>0.0825</v>
      </c>
      <c r="T456" s="484" t="n">
        <f aca="false">T627</f>
        <v>0.0825</v>
      </c>
      <c r="U456" s="484" t="n">
        <f aca="false">U627</f>
        <v>0.0825</v>
      </c>
      <c r="V456" s="484" t="n">
        <f aca="false">V627</f>
        <v>0.08375</v>
      </c>
      <c r="W456" s="484" t="n">
        <f aca="false">W627</f>
        <v>0.08375</v>
      </c>
      <c r="X456" s="484" t="n">
        <f aca="false">X627</f>
        <v>0.08375</v>
      </c>
      <c r="Y456" s="484" t="n">
        <f aca="false">Y627</f>
        <v>0.08375</v>
      </c>
      <c r="Z456" s="484" t="n">
        <f aca="false">Z627</f>
        <v>0.08375</v>
      </c>
      <c r="AA456" s="484" t="n">
        <f aca="false">AA627</f>
        <v>0.08375</v>
      </c>
      <c r="AB456" s="484" t="n">
        <f aca="false">AB627</f>
        <v>0.08375</v>
      </c>
      <c r="AC456" s="484" t="n">
        <f aca="false">AC627</f>
        <v>0.08375</v>
      </c>
      <c r="AD456" s="484" t="n">
        <f aca="false">AD627</f>
        <v>0.08375</v>
      </c>
      <c r="AE456" s="484" t="n">
        <f aca="false">AE627</f>
        <v>0.08375</v>
      </c>
      <c r="AF456" s="484" t="n">
        <f aca="false">AF627</f>
        <v>0.08375</v>
      </c>
    </row>
    <row r="457" customFormat="false" ht="11.25" hidden="false" customHeight="false" outlineLevel="0" collapsed="false">
      <c r="A457" s="238"/>
      <c r="B457" s="238"/>
      <c r="C457" s="238"/>
      <c r="D457" s="238"/>
      <c r="E457" s="238"/>
      <c r="F457" s="238"/>
      <c r="G457" s="238"/>
      <c r="H457" s="483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</row>
    <row r="458" customFormat="false" ht="11.25" hidden="false" customHeight="false" outlineLevel="0" collapsed="false">
      <c r="A458" s="499" t="str">
        <f aca="false">B482&amp;":"</f>
        <v>Other Term Loan:</v>
      </c>
      <c r="B458" s="238"/>
      <c r="C458" s="450" t="s">
        <v>501</v>
      </c>
      <c r="D458" s="238"/>
      <c r="E458" s="238"/>
      <c r="F458" s="238"/>
      <c r="G458" s="468"/>
      <c r="H458" s="479" t="n">
        <v>0</v>
      </c>
      <c r="I458" s="468" t="n">
        <f aca="false">H461</f>
        <v>0</v>
      </c>
      <c r="J458" s="468" t="n">
        <f aca="false">I461</f>
        <v>0</v>
      </c>
      <c r="K458" s="468" t="n">
        <f aca="false">J461</f>
        <v>0</v>
      </c>
      <c r="L458" s="468" t="n">
        <f aca="false">K461</f>
        <v>0</v>
      </c>
      <c r="M458" s="468" t="n">
        <f aca="false">L461</f>
        <v>0</v>
      </c>
      <c r="N458" s="468" t="n">
        <f aca="false">M461</f>
        <v>0</v>
      </c>
      <c r="O458" s="468" t="n">
        <f aca="false">N461</f>
        <v>0</v>
      </c>
      <c r="P458" s="468" t="n">
        <f aca="false">O461</f>
        <v>0</v>
      </c>
      <c r="Q458" s="468" t="n">
        <f aca="false">P461</f>
        <v>0</v>
      </c>
      <c r="R458" s="468" t="n">
        <f aca="false">Q461</f>
        <v>0</v>
      </c>
      <c r="S458" s="468" t="n">
        <f aca="false">R461</f>
        <v>0</v>
      </c>
      <c r="T458" s="468" t="n">
        <f aca="false">S461</f>
        <v>0</v>
      </c>
      <c r="U458" s="468" t="n">
        <f aca="false">T461</f>
        <v>0</v>
      </c>
      <c r="V458" s="468" t="n">
        <f aca="false">U461</f>
        <v>0</v>
      </c>
      <c r="W458" s="468" t="n">
        <f aca="false">V461</f>
        <v>0</v>
      </c>
      <c r="X458" s="468" t="n">
        <f aca="false">W461</f>
        <v>0</v>
      </c>
      <c r="Y458" s="468" t="n">
        <f aca="false">X461</f>
        <v>0</v>
      </c>
      <c r="Z458" s="468" t="n">
        <f aca="false">Y461</f>
        <v>0</v>
      </c>
      <c r="AA458" s="468" t="n">
        <f aca="false">Z461</f>
        <v>0</v>
      </c>
      <c r="AB458" s="468" t="n">
        <f aca="false">AA461</f>
        <v>0</v>
      </c>
      <c r="AC458" s="468" t="n">
        <f aca="false">AB461</f>
        <v>0</v>
      </c>
      <c r="AD458" s="468" t="n">
        <f aca="false">AC461</f>
        <v>0</v>
      </c>
      <c r="AE458" s="468" t="n">
        <f aca="false">AD461</f>
        <v>0</v>
      </c>
      <c r="AF458" s="468" t="n">
        <f aca="false">AE461</f>
        <v>0</v>
      </c>
    </row>
    <row r="459" customFormat="false" ht="11.25" hidden="false" customHeight="false" outlineLevel="0" collapsed="false">
      <c r="A459" s="238"/>
      <c r="B459" s="238"/>
      <c r="C459" s="450" t="s">
        <v>502</v>
      </c>
      <c r="D459" s="238"/>
      <c r="E459" s="238"/>
      <c r="F459" s="238"/>
      <c r="G459" s="468"/>
      <c r="H459" s="479" t="n">
        <f aca="false">-H482+H616</f>
        <v>0</v>
      </c>
      <c r="I459" s="468" t="n">
        <f aca="false">I616+I612</f>
        <v>0</v>
      </c>
      <c r="J459" s="468" t="n">
        <f aca="false">J616+J612</f>
        <v>0</v>
      </c>
      <c r="K459" s="468" t="n">
        <f aca="false">K616+K612</f>
        <v>0</v>
      </c>
      <c r="L459" s="468" t="n">
        <f aca="false">L616+L612</f>
        <v>0</v>
      </c>
      <c r="M459" s="468" t="n">
        <f aca="false">M616+M612</f>
        <v>0</v>
      </c>
      <c r="N459" s="468" t="n">
        <f aca="false">N616+N612</f>
        <v>0</v>
      </c>
      <c r="O459" s="468" t="n">
        <f aca="false">O616+O612</f>
        <v>0</v>
      </c>
      <c r="P459" s="468" t="n">
        <f aca="false">P616+P612</f>
        <v>0</v>
      </c>
      <c r="Q459" s="468" t="n">
        <f aca="false">Q616+Q612</f>
        <v>0</v>
      </c>
      <c r="R459" s="468" t="n">
        <f aca="false">R616+R612</f>
        <v>0</v>
      </c>
      <c r="S459" s="468" t="n">
        <f aca="false">S616+S612</f>
        <v>0</v>
      </c>
      <c r="T459" s="468" t="n">
        <f aca="false">T616+T612</f>
        <v>0</v>
      </c>
      <c r="U459" s="468" t="n">
        <f aca="false">U616+U612</f>
        <v>0</v>
      </c>
      <c r="V459" s="468" t="n">
        <f aca="false">V616+V612</f>
        <v>0</v>
      </c>
      <c r="W459" s="468" t="n">
        <f aca="false">W616+W612</f>
        <v>0</v>
      </c>
      <c r="X459" s="468" t="n">
        <f aca="false">X616+X612</f>
        <v>0</v>
      </c>
      <c r="Y459" s="468" t="n">
        <f aca="false">Y616+Y612</f>
        <v>0</v>
      </c>
      <c r="Z459" s="468" t="n">
        <f aca="false">Z616+Z612</f>
        <v>0</v>
      </c>
      <c r="AA459" s="468" t="n">
        <f aca="false">AA616+AA612</f>
        <v>0</v>
      </c>
      <c r="AB459" s="468" t="n">
        <f aca="false">AB616+AB612</f>
        <v>0</v>
      </c>
      <c r="AC459" s="468" t="n">
        <f aca="false">AC616+AC612</f>
        <v>0</v>
      </c>
      <c r="AD459" s="468" t="n">
        <f aca="false">AD616+AD612</f>
        <v>0</v>
      </c>
      <c r="AE459" s="468" t="n">
        <f aca="false">AE616+AE612</f>
        <v>0</v>
      </c>
      <c r="AF459" s="468" t="n">
        <f aca="false">AF616+AF612</f>
        <v>0</v>
      </c>
    </row>
    <row r="460" customFormat="false" ht="11.25" hidden="false" customHeight="false" outlineLevel="0" collapsed="false">
      <c r="A460" s="238"/>
      <c r="B460" s="238"/>
      <c r="C460" s="450" t="s">
        <v>503</v>
      </c>
      <c r="D460" s="238"/>
      <c r="E460" s="238"/>
      <c r="F460" s="238"/>
      <c r="G460" s="238"/>
      <c r="H460" s="483" t="n">
        <f aca="false">H611</f>
        <v>0</v>
      </c>
      <c r="I460" s="238" t="n">
        <f aca="false">I611</f>
        <v>0</v>
      </c>
      <c r="J460" s="238" t="n">
        <f aca="false">J611</f>
        <v>0</v>
      </c>
      <c r="K460" s="238" t="n">
        <f aca="false">K611</f>
        <v>0</v>
      </c>
      <c r="L460" s="238" t="n">
        <f aca="false">L611</f>
        <v>0</v>
      </c>
      <c r="M460" s="238" t="n">
        <f aca="false">M611</f>
        <v>0</v>
      </c>
      <c r="N460" s="238" t="n">
        <f aca="false">N611</f>
        <v>0</v>
      </c>
      <c r="O460" s="238" t="n">
        <f aca="false">O611</f>
        <v>0</v>
      </c>
      <c r="P460" s="238" t="n">
        <f aca="false">P611</f>
        <v>0</v>
      </c>
      <c r="Q460" s="238" t="n">
        <f aca="false">Q611</f>
        <v>0</v>
      </c>
      <c r="R460" s="238" t="n">
        <f aca="false">R611</f>
        <v>0</v>
      </c>
      <c r="S460" s="238" t="n">
        <f aca="false">S611</f>
        <v>0</v>
      </c>
      <c r="T460" s="238" t="n">
        <f aca="false">T611</f>
        <v>0</v>
      </c>
      <c r="U460" s="238" t="n">
        <f aca="false">U611</f>
        <v>0</v>
      </c>
      <c r="V460" s="238" t="n">
        <f aca="false">V611</f>
        <v>0</v>
      </c>
      <c r="W460" s="238" t="n">
        <f aca="false">W611</f>
        <v>0</v>
      </c>
      <c r="X460" s="238" t="n">
        <f aca="false">X611</f>
        <v>0</v>
      </c>
      <c r="Y460" s="238" t="n">
        <f aca="false">Y611</f>
        <v>0</v>
      </c>
      <c r="Z460" s="238" t="n">
        <f aca="false">Z611</f>
        <v>0</v>
      </c>
      <c r="AA460" s="238" t="n">
        <f aca="false">AA611</f>
        <v>0</v>
      </c>
      <c r="AB460" s="238" t="n">
        <f aca="false">AB611</f>
        <v>0</v>
      </c>
      <c r="AC460" s="238" t="n">
        <f aca="false">AC611</f>
        <v>0</v>
      </c>
      <c r="AD460" s="238" t="n">
        <f aca="false">AD611</f>
        <v>0</v>
      </c>
      <c r="AE460" s="238" t="n">
        <f aca="false">AE611</f>
        <v>0</v>
      </c>
      <c r="AF460" s="238" t="n">
        <f aca="false">AF611</f>
        <v>0</v>
      </c>
    </row>
    <row r="461" customFormat="false" ht="11.25" hidden="false" customHeight="false" outlineLevel="0" collapsed="false">
      <c r="A461" s="238"/>
      <c r="B461" s="238"/>
      <c r="C461" s="450" t="s">
        <v>504</v>
      </c>
      <c r="D461" s="238"/>
      <c r="E461" s="238"/>
      <c r="F461" s="468"/>
      <c r="G461" s="468"/>
      <c r="H461" s="478" t="n">
        <f aca="false">H458-H459-H460</f>
        <v>0</v>
      </c>
      <c r="I461" s="477" t="n">
        <f aca="false">I458-I459-I460</f>
        <v>0</v>
      </c>
      <c r="J461" s="477" t="n">
        <f aca="false">J458-J459-J460</f>
        <v>0</v>
      </c>
      <c r="K461" s="477" t="n">
        <f aca="false">K458-K459-K460</f>
        <v>0</v>
      </c>
      <c r="L461" s="477" t="n">
        <f aca="false">L458-L459-L460</f>
        <v>0</v>
      </c>
      <c r="M461" s="477" t="n">
        <f aca="false">M458-M459-M460</f>
        <v>0</v>
      </c>
      <c r="N461" s="477" t="n">
        <f aca="false">N458-N459-N460</f>
        <v>0</v>
      </c>
      <c r="O461" s="477" t="n">
        <f aca="false">O458-O459-O460</f>
        <v>0</v>
      </c>
      <c r="P461" s="477" t="n">
        <f aca="false">P458-P459-P460</f>
        <v>0</v>
      </c>
      <c r="Q461" s="477" t="n">
        <f aca="false">Q458-Q459-Q460</f>
        <v>0</v>
      </c>
      <c r="R461" s="477" t="n">
        <f aca="false">R458-R459-R460</f>
        <v>0</v>
      </c>
      <c r="S461" s="477" t="n">
        <f aca="false">S458-S459-S460</f>
        <v>0</v>
      </c>
      <c r="T461" s="477" t="n">
        <f aca="false">T458-T459-T460</f>
        <v>0</v>
      </c>
      <c r="U461" s="477" t="n">
        <f aca="false">U458-U459-U460</f>
        <v>0</v>
      </c>
      <c r="V461" s="477" t="n">
        <f aca="false">V458-V459-V460</f>
        <v>0</v>
      </c>
      <c r="W461" s="477" t="n">
        <f aca="false">W458-W459-W460</f>
        <v>0</v>
      </c>
      <c r="X461" s="477" t="n">
        <f aca="false">X458-X459-X460</f>
        <v>0</v>
      </c>
      <c r="Y461" s="477" t="n">
        <f aca="false">Y458-Y459-Y460</f>
        <v>0</v>
      </c>
      <c r="Z461" s="477" t="n">
        <f aca="false">Z458-Z459-Z460</f>
        <v>0</v>
      </c>
      <c r="AA461" s="477" t="n">
        <f aca="false">AA458-AA459-AA460</f>
        <v>0</v>
      </c>
      <c r="AB461" s="477" t="n">
        <f aca="false">AB458-AB459-AB460</f>
        <v>0</v>
      </c>
      <c r="AC461" s="477" t="n">
        <f aca="false">AC458-AC459-AC460</f>
        <v>0</v>
      </c>
      <c r="AD461" s="477" t="n">
        <f aca="false">AD458-AD459-AD460</f>
        <v>0</v>
      </c>
      <c r="AE461" s="477" t="n">
        <f aca="false">AE458-AE459-AE460</f>
        <v>0</v>
      </c>
      <c r="AF461" s="477" t="n">
        <f aca="false">AF458-AF459-AF460</f>
        <v>0</v>
      </c>
    </row>
    <row r="462" customFormat="false" ht="11.25" hidden="false" customHeight="false" outlineLevel="0" collapsed="false">
      <c r="A462" s="238"/>
      <c r="B462" s="238"/>
      <c r="C462" s="450" t="s">
        <v>505</v>
      </c>
      <c r="D462" s="238"/>
      <c r="E462" s="238"/>
      <c r="F462" s="238"/>
      <c r="G462" s="238"/>
      <c r="H462" s="483"/>
      <c r="I462" s="484" t="n">
        <f aca="false">I628</f>
        <v>0</v>
      </c>
      <c r="J462" s="484" t="n">
        <f aca="false">J628</f>
        <v>0</v>
      </c>
      <c r="K462" s="484" t="n">
        <f aca="false">K628</f>
        <v>0</v>
      </c>
      <c r="L462" s="484" t="n">
        <f aca="false">L628</f>
        <v>0</v>
      </c>
      <c r="M462" s="484" t="n">
        <f aca="false">M628</f>
        <v>0</v>
      </c>
      <c r="N462" s="484" t="n">
        <f aca="false">N628</f>
        <v>0</v>
      </c>
      <c r="O462" s="484" t="n">
        <f aca="false">O628</f>
        <v>0</v>
      </c>
      <c r="P462" s="484" t="n">
        <f aca="false">P628</f>
        <v>0</v>
      </c>
      <c r="Q462" s="484" t="n">
        <f aca="false">Q628</f>
        <v>0</v>
      </c>
      <c r="R462" s="484" t="n">
        <f aca="false">R628</f>
        <v>0</v>
      </c>
      <c r="S462" s="484" t="n">
        <f aca="false">S628</f>
        <v>0</v>
      </c>
      <c r="T462" s="484" t="n">
        <f aca="false">T628</f>
        <v>0</v>
      </c>
      <c r="U462" s="484" t="n">
        <f aca="false">U628</f>
        <v>0</v>
      </c>
      <c r="V462" s="484" t="n">
        <f aca="false">V628</f>
        <v>0</v>
      </c>
      <c r="W462" s="484" t="n">
        <f aca="false">W628</f>
        <v>0</v>
      </c>
      <c r="X462" s="484" t="n">
        <f aca="false">X628</f>
        <v>0</v>
      </c>
      <c r="Y462" s="484" t="n">
        <f aca="false">Y628</f>
        <v>0</v>
      </c>
      <c r="Z462" s="484" t="n">
        <f aca="false">Z628</f>
        <v>0</v>
      </c>
      <c r="AA462" s="484" t="n">
        <f aca="false">AA628</f>
        <v>0</v>
      </c>
      <c r="AB462" s="484" t="n">
        <f aca="false">AB628</f>
        <v>0</v>
      </c>
      <c r="AC462" s="484" t="n">
        <f aca="false">AC628</f>
        <v>0</v>
      </c>
      <c r="AD462" s="484" t="n">
        <f aca="false">AD628</f>
        <v>0</v>
      </c>
      <c r="AE462" s="484" t="n">
        <f aca="false">AE628</f>
        <v>0</v>
      </c>
      <c r="AF462" s="484" t="n">
        <f aca="false">AF628</f>
        <v>0</v>
      </c>
    </row>
    <row r="463" customFormat="false" ht="12" hidden="false" customHeight="false" outlineLevel="0" collapsed="false">
      <c r="A463" s="238"/>
      <c r="B463" s="238"/>
      <c r="C463" s="238"/>
      <c r="D463" s="238"/>
      <c r="E463" s="238"/>
      <c r="F463" s="238"/>
      <c r="G463" s="238"/>
      <c r="H463" s="483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238"/>
      <c r="W463" s="238"/>
      <c r="X463" s="238"/>
      <c r="Y463" s="238"/>
      <c r="Z463" s="238"/>
      <c r="AA463" s="238"/>
      <c r="AB463" s="238"/>
      <c r="AC463" s="238"/>
      <c r="AD463" s="238"/>
      <c r="AE463" s="238"/>
      <c r="AF463" s="238"/>
    </row>
    <row r="464" customFormat="false" ht="12" hidden="false" customHeight="false" outlineLevel="0" collapsed="false">
      <c r="A464" s="431"/>
      <c r="B464" s="431"/>
      <c r="C464" s="431"/>
      <c r="D464" s="431"/>
      <c r="E464" s="431"/>
      <c r="F464" s="431"/>
      <c r="G464" s="431"/>
      <c r="H464" s="431"/>
      <c r="I464" s="431"/>
      <c r="J464" s="431"/>
      <c r="K464" s="431"/>
      <c r="L464" s="431"/>
      <c r="M464" s="431"/>
      <c r="N464" s="431"/>
      <c r="O464" s="431"/>
      <c r="P464" s="431"/>
      <c r="Q464" s="431"/>
      <c r="R464" s="431"/>
      <c r="S464" s="431"/>
      <c r="T464" s="431"/>
      <c r="U464" s="431"/>
      <c r="V464" s="431"/>
      <c r="W464" s="431"/>
      <c r="X464" s="431"/>
      <c r="Y464" s="431"/>
      <c r="Z464" s="431"/>
      <c r="AA464" s="431"/>
      <c r="AB464" s="431"/>
      <c r="AC464" s="431"/>
      <c r="AD464" s="431"/>
      <c r="AE464" s="431"/>
      <c r="AF464" s="431"/>
    </row>
    <row r="465" customFormat="false" ht="11.25" hidden="false" customHeight="false" outlineLevel="0" collapsed="false">
      <c r="A465" s="341" t="s">
        <v>507</v>
      </c>
      <c r="B465" s="238"/>
      <c r="C465" s="512"/>
      <c r="D465" s="238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</row>
    <row r="466" customFormat="false" ht="11.25" hidden="false" customHeight="false" outlineLevel="0" collapsed="false">
      <c r="A466" s="238"/>
      <c r="B466" s="238"/>
      <c r="C466" s="238"/>
      <c r="D466" s="238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238"/>
      <c r="W466" s="238"/>
      <c r="X466" s="238"/>
      <c r="Y466" s="238"/>
      <c r="Z466" s="238"/>
      <c r="AA466" s="238"/>
      <c r="AB466" s="238"/>
      <c r="AC466" s="238"/>
      <c r="AD466" s="238"/>
      <c r="AE466" s="238"/>
      <c r="AF466" s="238"/>
    </row>
    <row r="467" customFormat="false" ht="11.25" hidden="false" customHeight="false" outlineLevel="0" collapsed="false">
      <c r="A467" s="473" t="s">
        <v>508</v>
      </c>
      <c r="B467" s="238"/>
      <c r="C467" s="513" t="n">
        <f aca="false">+Summary!E22</f>
        <v>36373</v>
      </c>
      <c r="D467" s="238"/>
      <c r="E467" s="238"/>
      <c r="F467" s="484"/>
      <c r="G467" s="238"/>
      <c r="H467" s="238"/>
      <c r="I467" s="238"/>
      <c r="J467" s="238"/>
      <c r="K467" s="238"/>
      <c r="L467" s="241"/>
      <c r="M467" s="241"/>
      <c r="N467" s="238"/>
      <c r="O467" s="238"/>
      <c r="P467" s="238"/>
      <c r="Q467" s="238"/>
      <c r="R467" s="238"/>
      <c r="S467" s="238"/>
      <c r="T467" s="238"/>
      <c r="U467" s="238"/>
      <c r="V467" s="238"/>
      <c r="W467" s="238"/>
      <c r="X467" s="238"/>
      <c r="Y467" s="238"/>
      <c r="Z467" s="238"/>
      <c r="AA467" s="238"/>
      <c r="AB467" s="238"/>
      <c r="AC467" s="238"/>
      <c r="AD467" s="238"/>
      <c r="AE467" s="238"/>
      <c r="AF467" s="238"/>
    </row>
    <row r="468" customFormat="false" ht="11.25" hidden="false" customHeight="false" outlineLevel="0" collapsed="false">
      <c r="A468" s="473" t="s">
        <v>509</v>
      </c>
      <c r="B468" s="238"/>
      <c r="C468" s="513"/>
      <c r="D468" s="238"/>
      <c r="E468" s="238"/>
      <c r="F468" s="484"/>
      <c r="G468" s="238"/>
      <c r="H468" s="238"/>
      <c r="I468" s="238"/>
      <c r="J468" s="238"/>
      <c r="K468" s="238"/>
      <c r="L468" s="241"/>
      <c r="M468" s="473"/>
      <c r="N468" s="238"/>
      <c r="O468" s="238"/>
      <c r="P468" s="238"/>
      <c r="Q468" s="238"/>
      <c r="R468" s="238"/>
      <c r="S468" s="238"/>
      <c r="T468" s="238"/>
      <c r="U468" s="238"/>
      <c r="V468" s="238"/>
      <c r="W468" s="238"/>
      <c r="X468" s="238"/>
      <c r="Y468" s="238"/>
      <c r="Z468" s="238"/>
      <c r="AA468" s="238"/>
      <c r="AB468" s="238"/>
      <c r="AC468" s="238"/>
      <c r="AD468" s="238"/>
      <c r="AE468" s="238"/>
      <c r="AF468" s="238"/>
    </row>
    <row r="469" customFormat="false" ht="11.25" hidden="false" customHeight="false" outlineLevel="0" collapsed="false">
      <c r="A469" s="473"/>
      <c r="B469" s="460" t="s">
        <v>510</v>
      </c>
      <c r="C469" s="514" t="n">
        <f aca="false">1-C472</f>
        <v>0.666666666666667</v>
      </c>
      <c r="D469" s="450" t="s">
        <v>511</v>
      </c>
      <c r="E469" s="238"/>
      <c r="F469" s="484"/>
      <c r="G469" s="238"/>
      <c r="H469" s="238"/>
      <c r="I469" s="238"/>
      <c r="J469" s="238"/>
      <c r="K469" s="238"/>
      <c r="L469" s="241"/>
      <c r="M469" s="473"/>
      <c r="N469" s="238"/>
      <c r="O469" s="238"/>
      <c r="P469" s="238"/>
      <c r="Q469" s="238"/>
      <c r="R469" s="238"/>
      <c r="S469" s="238"/>
      <c r="T469" s="238"/>
      <c r="U469" s="238"/>
      <c r="V469" s="238"/>
      <c r="W469" s="238"/>
      <c r="X469" s="238"/>
      <c r="Y469" s="238"/>
      <c r="Z469" s="238"/>
      <c r="AA469" s="238"/>
      <c r="AB469" s="238"/>
      <c r="AC469" s="238"/>
      <c r="AD469" s="238"/>
      <c r="AE469" s="238"/>
      <c r="AF469" s="238"/>
    </row>
    <row r="470" customFormat="false" ht="11.25" hidden="false" customHeight="false" outlineLevel="0" collapsed="false">
      <c r="A470" s="473"/>
      <c r="B470" s="460" t="s">
        <v>512</v>
      </c>
      <c r="C470" s="515" t="n">
        <f aca="false">C469*12</f>
        <v>8</v>
      </c>
      <c r="D470" s="450" t="s">
        <v>513</v>
      </c>
      <c r="E470" s="238"/>
      <c r="F470" s="484"/>
      <c r="G470" s="238"/>
      <c r="H470" s="238"/>
      <c r="I470" s="238"/>
      <c r="J470" s="238"/>
      <c r="K470" s="238"/>
      <c r="L470" s="241"/>
      <c r="M470" s="473"/>
      <c r="N470" s="238"/>
      <c r="O470" s="238"/>
      <c r="P470" s="238"/>
      <c r="Q470" s="238"/>
      <c r="R470" s="238"/>
      <c r="S470" s="238"/>
      <c r="T470" s="238"/>
      <c r="U470" s="238"/>
      <c r="V470" s="238"/>
      <c r="W470" s="238"/>
      <c r="X470" s="238"/>
      <c r="Y470" s="238"/>
      <c r="Z470" s="238"/>
      <c r="AA470" s="238"/>
      <c r="AB470" s="238"/>
      <c r="AC470" s="238"/>
      <c r="AD470" s="238"/>
      <c r="AE470" s="238"/>
      <c r="AF470" s="238"/>
    </row>
    <row r="471" customFormat="false" ht="11.25" hidden="false" customHeight="false" outlineLevel="0" collapsed="false">
      <c r="A471" s="473"/>
      <c r="B471" s="238"/>
      <c r="C471" s="241"/>
      <c r="D471" s="450"/>
      <c r="E471" s="238"/>
      <c r="F471" s="484"/>
      <c r="G471" s="238"/>
      <c r="H471" s="238"/>
      <c r="I471" s="238"/>
      <c r="J471" s="238"/>
      <c r="K471" s="238"/>
      <c r="L471" s="241"/>
      <c r="M471" s="473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</row>
    <row r="472" customFormat="false" ht="11.25" hidden="false" customHeight="false" outlineLevel="0" collapsed="false">
      <c r="A472" s="473"/>
      <c r="B472" s="460" t="s">
        <v>510</v>
      </c>
      <c r="C472" s="514" t="n">
        <f aca="false">IF(12-MONTH(Summary!E22)+MONTH(E475)&gt;=12,(12-MONTH(Summary!E22)+MONTH(E475))-12,12-MONTH(Summary!E22)+MONTH(E475))/12</f>
        <v>0.333333333333333</v>
      </c>
      <c r="D472" s="450" t="s">
        <v>514</v>
      </c>
      <c r="E472" s="238"/>
      <c r="F472" s="484"/>
      <c r="G472" s="238"/>
      <c r="H472" s="238"/>
      <c r="I472" s="238"/>
      <c r="J472" s="238"/>
      <c r="K472" s="238"/>
      <c r="L472" s="241"/>
      <c r="M472" s="473"/>
      <c r="N472" s="238"/>
      <c r="O472" s="238"/>
      <c r="P472" s="238"/>
      <c r="Q472" s="238"/>
      <c r="R472" s="238"/>
      <c r="S472" s="238"/>
      <c r="T472" s="238"/>
      <c r="U472" s="238"/>
      <c r="V472" s="238"/>
      <c r="W472" s="238"/>
      <c r="X472" s="238"/>
      <c r="Y472" s="238"/>
      <c r="Z472" s="238"/>
      <c r="AA472" s="238"/>
      <c r="AB472" s="238"/>
      <c r="AC472" s="238"/>
      <c r="AD472" s="238"/>
      <c r="AE472" s="238"/>
      <c r="AF472" s="238"/>
    </row>
    <row r="473" customFormat="false" ht="11.25" hidden="false" customHeight="false" outlineLevel="0" collapsed="false">
      <c r="A473" s="473"/>
      <c r="B473" s="516" t="s">
        <v>512</v>
      </c>
      <c r="C473" s="515" t="n">
        <f aca="false">C472*12</f>
        <v>4</v>
      </c>
      <c r="D473" s="450" t="s">
        <v>515</v>
      </c>
      <c r="E473" s="238"/>
      <c r="F473" s="484"/>
      <c r="G473" s="517" t="str">
        <f aca="false">TEXT(I638,"0")&amp;"."</f>
        <v>36525.</v>
      </c>
      <c r="H473" s="238"/>
      <c r="I473" s="238"/>
      <c r="J473" s="238"/>
      <c r="K473" s="238"/>
      <c r="L473" s="241"/>
      <c r="M473" s="473"/>
      <c r="N473" s="238"/>
      <c r="O473" s="238"/>
      <c r="P473" s="238"/>
      <c r="Q473" s="238"/>
      <c r="R473" s="238"/>
      <c r="S473" s="238"/>
      <c r="T473" s="238"/>
      <c r="U473" s="238"/>
      <c r="V473" s="238"/>
      <c r="W473" s="238"/>
      <c r="X473" s="238"/>
      <c r="Y473" s="238"/>
      <c r="Z473" s="238"/>
      <c r="AA473" s="238"/>
      <c r="AB473" s="238"/>
      <c r="AC473" s="238"/>
      <c r="AD473" s="238"/>
      <c r="AE473" s="238"/>
      <c r="AF473" s="238"/>
    </row>
    <row r="474" customFormat="false" ht="11.25" hidden="false" customHeight="false" outlineLevel="0" collapsed="false">
      <c r="A474" s="473"/>
      <c r="B474" s="238"/>
      <c r="C474" s="238"/>
      <c r="D474" s="238"/>
      <c r="E474" s="238"/>
      <c r="F474" s="484"/>
      <c r="G474" s="238"/>
      <c r="H474" s="238"/>
      <c r="I474" s="238"/>
      <c r="J474" s="238"/>
      <c r="K474" s="238"/>
      <c r="L474" s="241"/>
      <c r="M474" s="473"/>
      <c r="N474" s="238"/>
      <c r="O474" s="238"/>
      <c r="P474" s="238"/>
      <c r="Q474" s="238"/>
      <c r="R474" s="238"/>
      <c r="S474" s="238"/>
      <c r="T474" s="238"/>
      <c r="U474" s="238"/>
      <c r="V474" s="238"/>
      <c r="W474" s="238"/>
      <c r="X474" s="238"/>
      <c r="Y474" s="238"/>
      <c r="Z474" s="238"/>
      <c r="AA474" s="238"/>
      <c r="AB474" s="238"/>
      <c r="AC474" s="238"/>
      <c r="AD474" s="238"/>
      <c r="AE474" s="238"/>
      <c r="AF474" s="238"/>
    </row>
    <row r="475" customFormat="false" ht="11.25" hidden="false" customHeight="false" outlineLevel="0" collapsed="false">
      <c r="A475" s="473"/>
      <c r="B475" s="241"/>
      <c r="C475" s="460" t="s">
        <v>516</v>
      </c>
      <c r="D475" s="241"/>
      <c r="E475" s="513" t="n">
        <f aca="false">DATE(YEAR(Summary!$E$22),12,31)</f>
        <v>36525</v>
      </c>
      <c r="F475" s="241"/>
      <c r="G475" s="238"/>
      <c r="H475" s="238"/>
      <c r="I475" s="238"/>
      <c r="J475" s="238"/>
      <c r="K475" s="238"/>
      <c r="L475" s="241"/>
      <c r="M475" s="473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</row>
    <row r="476" customFormat="false" ht="12" hidden="false" customHeight="false" outlineLevel="0" collapsed="false">
      <c r="A476" s="473"/>
      <c r="B476" s="238"/>
      <c r="C476" s="513"/>
      <c r="D476" s="238"/>
      <c r="E476" s="238"/>
      <c r="F476" s="484"/>
      <c r="G476" s="238"/>
      <c r="H476" s="238"/>
      <c r="I476" s="238"/>
      <c r="J476" s="238"/>
      <c r="K476" s="238"/>
      <c r="L476" s="241"/>
      <c r="M476" s="473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</row>
    <row r="477" customFormat="false" ht="12" hidden="false" customHeight="false" outlineLevel="0" collapsed="false">
      <c r="A477" s="431"/>
      <c r="B477" s="431"/>
      <c r="C477" s="431"/>
      <c r="D477" s="431"/>
      <c r="E477" s="431"/>
      <c r="F477" s="431"/>
      <c r="G477" s="431"/>
      <c r="H477" s="431"/>
      <c r="I477" s="431"/>
      <c r="J477" s="431"/>
      <c r="K477" s="431"/>
      <c r="L477" s="518"/>
      <c r="M477" s="519"/>
      <c r="N477" s="519"/>
      <c r="O477" s="519"/>
      <c r="P477" s="431"/>
      <c r="Q477" s="431"/>
      <c r="R477" s="431"/>
      <c r="S477" s="431"/>
      <c r="T477" s="520"/>
      <c r="U477" s="431"/>
      <c r="V477" s="431"/>
      <c r="W477" s="431"/>
      <c r="X477" s="431"/>
      <c r="Y477" s="431"/>
      <c r="Z477" s="431"/>
      <c r="AA477" s="431"/>
      <c r="AB477" s="431"/>
      <c r="AC477" s="431"/>
      <c r="AD477" s="431"/>
      <c r="AE477" s="431"/>
      <c r="AF477" s="431"/>
    </row>
    <row r="478" customFormat="false" ht="11.25" hidden="false" customHeight="false" outlineLevel="0" collapsed="false">
      <c r="A478" s="341" t="s">
        <v>517</v>
      </c>
      <c r="B478" s="238"/>
      <c r="C478" s="238"/>
      <c r="D478" s="238"/>
      <c r="E478" s="241"/>
      <c r="F478" s="238"/>
      <c r="G478" s="238"/>
      <c r="H478" s="461"/>
      <c r="I478" s="238"/>
      <c r="J478" s="521" t="s">
        <v>518</v>
      </c>
      <c r="K478" s="238"/>
      <c r="L478" s="241"/>
      <c r="M478" s="241"/>
      <c r="N478" s="241"/>
      <c r="O478" s="241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</row>
    <row r="479" customFormat="false" ht="12" hidden="false" customHeight="false" outlineLevel="0" collapsed="false">
      <c r="A479" s="238"/>
      <c r="B479" s="238"/>
      <c r="C479" s="238"/>
      <c r="D479" s="238"/>
      <c r="E479" s="522" t="s">
        <v>519</v>
      </c>
      <c r="F479" s="238"/>
      <c r="G479" s="241"/>
      <c r="H479" s="522" t="s">
        <v>519</v>
      </c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</row>
    <row r="480" customFormat="false" ht="12.75" hidden="false" customHeight="false" outlineLevel="0" collapsed="false">
      <c r="A480" s="238"/>
      <c r="B480" s="523" t="s">
        <v>520</v>
      </c>
      <c r="C480" s="238"/>
      <c r="D480" s="238"/>
      <c r="E480" s="521" t="s">
        <v>521</v>
      </c>
      <c r="F480" s="238"/>
      <c r="G480" s="241"/>
      <c r="H480" s="521" t="s">
        <v>522</v>
      </c>
      <c r="I480" s="263" t="n">
        <f aca="false">I$638</f>
        <v>36525</v>
      </c>
      <c r="J480" s="506" t="n">
        <f aca="false">J$638</f>
        <v>36891</v>
      </c>
      <c r="K480" s="506" t="n">
        <f aca="false">K$638</f>
        <v>37256</v>
      </c>
      <c r="L480" s="506" t="n">
        <f aca="false">L$638</f>
        <v>37621</v>
      </c>
      <c r="M480" s="506" t="n">
        <f aca="false">M$638</f>
        <v>37986</v>
      </c>
      <c r="N480" s="506" t="n">
        <f aca="false">N$638</f>
        <v>38352</v>
      </c>
      <c r="O480" s="506" t="n">
        <f aca="false">O$638</f>
        <v>38717</v>
      </c>
      <c r="P480" s="506" t="n">
        <f aca="false">P$638</f>
        <v>39082</v>
      </c>
      <c r="Q480" s="506" t="n">
        <f aca="false">Q$638</f>
        <v>39447</v>
      </c>
      <c r="R480" s="506" t="n">
        <f aca="false">R$638</f>
        <v>39813</v>
      </c>
      <c r="S480" s="506" t="n">
        <f aca="false">S$638</f>
        <v>40178</v>
      </c>
      <c r="T480" s="506" t="n">
        <f aca="false">T$638</f>
        <v>40543</v>
      </c>
      <c r="U480" s="506" t="n">
        <f aca="false">U$638</f>
        <v>40908</v>
      </c>
      <c r="V480" s="506" t="n">
        <f aca="false">V$638</f>
        <v>41274</v>
      </c>
      <c r="W480" s="506" t="n">
        <f aca="false">W$638</f>
        <v>41639</v>
      </c>
      <c r="X480" s="506" t="n">
        <f aca="false">X$638</f>
        <v>42004</v>
      </c>
      <c r="Y480" s="506" t="n">
        <f aca="false">Y$638</f>
        <v>42369</v>
      </c>
      <c r="Z480" s="506" t="n">
        <f aca="false">Z$638</f>
        <v>42735</v>
      </c>
      <c r="AA480" s="506" t="n">
        <f aca="false">AA$638</f>
        <v>43100</v>
      </c>
      <c r="AB480" s="506" t="n">
        <f aca="false">AB$638</f>
        <v>43465</v>
      </c>
      <c r="AC480" s="506" t="n">
        <f aca="false">AC$638</f>
        <v>43830</v>
      </c>
      <c r="AD480" s="506" t="n">
        <f aca="false">AD$638</f>
        <v>44196</v>
      </c>
      <c r="AE480" s="506" t="n">
        <f aca="false">AE$638</f>
        <v>44561</v>
      </c>
      <c r="AF480" s="506" t="n">
        <f aca="false">AF$638</f>
        <v>44926</v>
      </c>
    </row>
    <row r="481" customFormat="false" ht="12" hidden="false" customHeight="false" outlineLevel="0" collapsed="false">
      <c r="A481" s="238"/>
      <c r="B481" s="524" t="s">
        <v>523</v>
      </c>
      <c r="C481" s="238"/>
      <c r="D481" s="238"/>
      <c r="E481" s="525" t="n">
        <f aca="false">Summary!E98</f>
        <v>56500</v>
      </c>
      <c r="F481" s="484"/>
      <c r="G481" s="241"/>
      <c r="H481" s="417" t="n">
        <f aca="false">E481</f>
        <v>56500</v>
      </c>
      <c r="I481" s="465" t="n">
        <f aca="false">-I604</f>
        <v>-0</v>
      </c>
      <c r="J481" s="465" t="n">
        <f aca="false">-J604</f>
        <v>-0</v>
      </c>
      <c r="K481" s="465" t="n">
        <f aca="false">-K604</f>
        <v>-0</v>
      </c>
      <c r="L481" s="465" t="n">
        <f aca="false">-L604</f>
        <v>-0</v>
      </c>
      <c r="M481" s="465" t="n">
        <f aca="false">-M604</f>
        <v>-0</v>
      </c>
      <c r="N481" s="465" t="n">
        <f aca="false">-N604</f>
        <v>-0</v>
      </c>
      <c r="O481" s="465" t="n">
        <f aca="false">-O604</f>
        <v>-0</v>
      </c>
      <c r="P481" s="465" t="n">
        <f aca="false">-P604</f>
        <v>-0</v>
      </c>
      <c r="Q481" s="465" t="n">
        <f aca="false">-Q604</f>
        <v>-0</v>
      </c>
      <c r="R481" s="465" t="n">
        <f aca="false">-R604</f>
        <v>-0</v>
      </c>
      <c r="S481" s="465" t="n">
        <f aca="false">-S604</f>
        <v>-0</v>
      </c>
      <c r="T481" s="465" t="n">
        <f aca="false">-T604</f>
        <v>-0</v>
      </c>
      <c r="U481" s="465" t="n">
        <f aca="false">-U604</f>
        <v>-0</v>
      </c>
      <c r="V481" s="465" t="n">
        <f aca="false">-V604</f>
        <v>-0</v>
      </c>
      <c r="W481" s="465" t="n">
        <f aca="false">-W604</f>
        <v>-0</v>
      </c>
      <c r="X481" s="465" t="n">
        <f aca="false">-X604</f>
        <v>-0</v>
      </c>
      <c r="Y481" s="465" t="n">
        <f aca="false">-Y604</f>
        <v>-0</v>
      </c>
      <c r="Z481" s="465" t="n">
        <f aca="false">-Z604</f>
        <v>-0</v>
      </c>
      <c r="AA481" s="465" t="n">
        <f aca="false">-AA604</f>
        <v>-0</v>
      </c>
      <c r="AB481" s="465" t="n">
        <f aca="false">-AB604</f>
        <v>-0</v>
      </c>
      <c r="AC481" s="465" t="n">
        <f aca="false">-AC604</f>
        <v>-0</v>
      </c>
      <c r="AD481" s="465" t="n">
        <f aca="false">-AD604</f>
        <v>-0</v>
      </c>
      <c r="AE481" s="465" t="n">
        <f aca="false">-AE604</f>
        <v>-0</v>
      </c>
      <c r="AF481" s="465" t="n">
        <f aca="false">-AF604</f>
        <v>-0</v>
      </c>
    </row>
    <row r="482" customFormat="false" ht="11.25" hidden="false" customHeight="false" outlineLevel="0" collapsed="false">
      <c r="A482" s="238"/>
      <c r="B482" s="524" t="s">
        <v>524</v>
      </c>
      <c r="C482" s="238"/>
      <c r="D482" s="238"/>
      <c r="E482" s="525" t="n">
        <v>0</v>
      </c>
      <c r="F482" s="484"/>
      <c r="G482" s="241"/>
      <c r="H482" s="526" t="n">
        <f aca="false">E482</f>
        <v>0</v>
      </c>
      <c r="I482" s="465" t="n">
        <f aca="false">-I612</f>
        <v>-0</v>
      </c>
      <c r="J482" s="465" t="n">
        <f aca="false">-J612</f>
        <v>-0</v>
      </c>
      <c r="K482" s="465" t="n">
        <f aca="false">-K612</f>
        <v>-0</v>
      </c>
      <c r="L482" s="465" t="n">
        <f aca="false">-L612</f>
        <v>-0</v>
      </c>
      <c r="M482" s="465" t="n">
        <f aca="false">-M612</f>
        <v>-0</v>
      </c>
      <c r="N482" s="465" t="n">
        <f aca="false">-N612</f>
        <v>-0</v>
      </c>
      <c r="O482" s="465" t="n">
        <f aca="false">-O612</f>
        <v>-0</v>
      </c>
      <c r="P482" s="465" t="n">
        <f aca="false">-P612</f>
        <v>-0</v>
      </c>
      <c r="Q482" s="465" t="n">
        <f aca="false">-Q612</f>
        <v>-0</v>
      </c>
      <c r="R482" s="465" t="n">
        <f aca="false">-R612</f>
        <v>-0</v>
      </c>
      <c r="S482" s="465" t="n">
        <f aca="false">-S612</f>
        <v>-0</v>
      </c>
      <c r="T482" s="465" t="n">
        <f aca="false">-T612</f>
        <v>-0</v>
      </c>
      <c r="U482" s="465" t="n">
        <f aca="false">-U612</f>
        <v>-0</v>
      </c>
      <c r="V482" s="465" t="n">
        <f aca="false">-V612</f>
        <v>-0</v>
      </c>
      <c r="W482" s="465" t="n">
        <f aca="false">-W612</f>
        <v>-0</v>
      </c>
      <c r="X482" s="465" t="n">
        <f aca="false">-X612</f>
        <v>-0</v>
      </c>
      <c r="Y482" s="465" t="n">
        <f aca="false">-Y612</f>
        <v>-0</v>
      </c>
      <c r="Z482" s="465" t="n">
        <f aca="false">-Z612</f>
        <v>-0</v>
      </c>
      <c r="AA482" s="465" t="n">
        <f aca="false">-AA612</f>
        <v>-0</v>
      </c>
      <c r="AB482" s="465" t="n">
        <f aca="false">-AB612</f>
        <v>-0</v>
      </c>
      <c r="AC482" s="465" t="n">
        <f aca="false">-AC612</f>
        <v>-0</v>
      </c>
      <c r="AD482" s="465" t="n">
        <f aca="false">-AD612</f>
        <v>-0</v>
      </c>
      <c r="AE482" s="465" t="n">
        <f aca="false">-AE612</f>
        <v>-0</v>
      </c>
      <c r="AF482" s="465" t="n">
        <f aca="false">-AF612</f>
        <v>-0</v>
      </c>
    </row>
    <row r="483" customFormat="false" ht="11.25" hidden="false" customHeight="false" outlineLevel="0" collapsed="false">
      <c r="A483" s="238"/>
      <c r="B483" s="450" t="s">
        <v>525</v>
      </c>
      <c r="C483" s="238"/>
      <c r="D483" s="238"/>
      <c r="E483" s="525" t="n">
        <f aca="false">+K546</f>
        <v>24000</v>
      </c>
      <c r="F483" s="238"/>
      <c r="G483" s="241"/>
      <c r="H483" s="417" t="n">
        <f aca="false">E483</f>
        <v>24000</v>
      </c>
      <c r="I483" s="465" t="n">
        <f aca="false">-I619</f>
        <v>-0</v>
      </c>
      <c r="J483" s="465" t="n">
        <f aca="false">-J619</f>
        <v>-0</v>
      </c>
      <c r="K483" s="465" t="n">
        <f aca="false">-K619</f>
        <v>-0</v>
      </c>
      <c r="L483" s="465" t="n">
        <f aca="false">-L619</f>
        <v>-0</v>
      </c>
      <c r="M483" s="465" t="n">
        <f aca="false">-M619</f>
        <v>-0</v>
      </c>
      <c r="N483" s="465" t="n">
        <f aca="false">-N619</f>
        <v>-0</v>
      </c>
      <c r="O483" s="465" t="n">
        <f aca="false">-O619</f>
        <v>-0</v>
      </c>
      <c r="P483" s="465" t="n">
        <f aca="false">-P619</f>
        <v>-0</v>
      </c>
      <c r="Q483" s="465" t="n">
        <f aca="false">-Q619</f>
        <v>-0</v>
      </c>
      <c r="R483" s="465" t="n">
        <f aca="false">-R619</f>
        <v>-0</v>
      </c>
      <c r="S483" s="465" t="n">
        <f aca="false">-S619</f>
        <v>-0</v>
      </c>
      <c r="T483" s="465" t="n">
        <f aca="false">-T619</f>
        <v>-0</v>
      </c>
      <c r="U483" s="465" t="n">
        <f aca="false">-U619</f>
        <v>-0</v>
      </c>
      <c r="V483" s="465" t="n">
        <f aca="false">-V619</f>
        <v>-0</v>
      </c>
      <c r="W483" s="465" t="n">
        <f aca="false">-W619</f>
        <v>-0</v>
      </c>
      <c r="X483" s="465" t="n">
        <f aca="false">-X619</f>
        <v>-0</v>
      </c>
      <c r="Y483" s="465" t="n">
        <f aca="false">-Y619</f>
        <v>-0</v>
      </c>
      <c r="Z483" s="465" t="n">
        <f aca="false">-Z619</f>
        <v>-0</v>
      </c>
      <c r="AA483" s="465" t="n">
        <f aca="false">-AA619</f>
        <v>-0</v>
      </c>
      <c r="AB483" s="465" t="n">
        <f aca="false">-AB619</f>
        <v>-0</v>
      </c>
      <c r="AC483" s="465" t="n">
        <f aca="false">-AC619</f>
        <v>-0</v>
      </c>
      <c r="AD483" s="465" t="n">
        <f aca="false">-AD619</f>
        <v>-0</v>
      </c>
      <c r="AE483" s="465" t="n">
        <f aca="false">-AE619</f>
        <v>-0</v>
      </c>
      <c r="AF483" s="465" t="n">
        <f aca="false">-AF619</f>
        <v>-0</v>
      </c>
    </row>
    <row r="484" customFormat="false" ht="11.25" hidden="false" customHeight="false" outlineLevel="0" collapsed="false">
      <c r="A484" s="238"/>
      <c r="B484" s="450" t="s">
        <v>526</v>
      </c>
      <c r="C484" s="238"/>
      <c r="D484" s="238"/>
      <c r="E484" s="525" t="n">
        <v>0</v>
      </c>
      <c r="F484" s="484"/>
      <c r="G484" s="241"/>
      <c r="H484" s="465" t="n">
        <f aca="false">E484</f>
        <v>0</v>
      </c>
      <c r="I484" s="465"/>
      <c r="J484" s="465"/>
      <c r="K484" s="465"/>
      <c r="L484" s="465"/>
      <c r="M484" s="465"/>
      <c r="N484" s="465"/>
      <c r="O484" s="465"/>
      <c r="P484" s="465"/>
      <c r="Q484" s="465"/>
      <c r="R484" s="465"/>
      <c r="S484" s="465"/>
      <c r="T484" s="465"/>
      <c r="U484" s="465"/>
      <c r="V484" s="465"/>
      <c r="W484" s="465"/>
      <c r="X484" s="465"/>
      <c r="Y484" s="465"/>
      <c r="Z484" s="465"/>
      <c r="AA484" s="465"/>
      <c r="AB484" s="465"/>
      <c r="AC484" s="465"/>
      <c r="AD484" s="465"/>
      <c r="AE484" s="465"/>
      <c r="AF484" s="465"/>
    </row>
    <row r="485" customFormat="false" ht="11.25" hidden="false" customHeight="false" outlineLevel="0" collapsed="false">
      <c r="A485" s="238"/>
      <c r="B485" s="473" t="s">
        <v>527</v>
      </c>
      <c r="C485" s="238"/>
      <c r="D485" s="238"/>
      <c r="E485" s="477" t="n">
        <f aca="false">SUM(E481:E484)</f>
        <v>80500</v>
      </c>
      <c r="F485" s="527"/>
      <c r="G485" s="528"/>
      <c r="H485" s="477" t="n">
        <f aca="false">SUM(H481:H484)</f>
        <v>80500</v>
      </c>
      <c r="I485" s="477" t="n">
        <f aca="false">SUM(I481:I484)</f>
        <v>0</v>
      </c>
      <c r="J485" s="477" t="n">
        <f aca="false">SUM(J481:J484)</f>
        <v>0</v>
      </c>
      <c r="K485" s="477" t="n">
        <f aca="false">SUM(K481:K484)</f>
        <v>0</v>
      </c>
      <c r="L485" s="477" t="n">
        <f aca="false">SUM(L481:L484)</f>
        <v>0</v>
      </c>
      <c r="M485" s="477" t="n">
        <f aca="false">SUM(M481:M484)</f>
        <v>0</v>
      </c>
      <c r="N485" s="477" t="n">
        <f aca="false">SUM(N481:N484)</f>
        <v>0</v>
      </c>
      <c r="O485" s="477" t="n">
        <f aca="false">SUM(O481:O484)</f>
        <v>0</v>
      </c>
      <c r="P485" s="477" t="n">
        <f aca="false">SUM(P481:P484)</f>
        <v>0</v>
      </c>
      <c r="Q485" s="477" t="n">
        <f aca="false">SUM(Q481:Q484)</f>
        <v>0</v>
      </c>
      <c r="R485" s="477" t="n">
        <f aca="false">SUM(R481:R484)</f>
        <v>0</v>
      </c>
      <c r="S485" s="477" t="n">
        <f aca="false">SUM(S481:S484)</f>
        <v>0</v>
      </c>
      <c r="T485" s="477" t="n">
        <f aca="false">SUM(T481:T484)</f>
        <v>0</v>
      </c>
      <c r="U485" s="477" t="n">
        <f aca="false">SUM(U481:U484)</f>
        <v>0</v>
      </c>
      <c r="V485" s="477" t="n">
        <f aca="false">SUM(V481:V484)</f>
        <v>0</v>
      </c>
      <c r="W485" s="477" t="n">
        <f aca="false">SUM(W481:W484)</f>
        <v>0</v>
      </c>
      <c r="X485" s="477" t="n">
        <f aca="false">SUM(X481:X484)</f>
        <v>0</v>
      </c>
      <c r="Y485" s="477" t="n">
        <f aca="false">SUM(Y481:Y484)</f>
        <v>0</v>
      </c>
      <c r="Z485" s="477" t="n">
        <f aca="false">SUM(Z481:Z484)</f>
        <v>0</v>
      </c>
      <c r="AA485" s="477" t="n">
        <f aca="false">SUM(AA481:AA484)</f>
        <v>0</v>
      </c>
      <c r="AB485" s="477" t="n">
        <f aca="false">SUM(AB481:AB484)</f>
        <v>0</v>
      </c>
      <c r="AC485" s="477" t="n">
        <f aca="false">SUM(AC481:AC484)</f>
        <v>0</v>
      </c>
      <c r="AD485" s="477" t="n">
        <f aca="false">SUM(AD481:AD484)</f>
        <v>0</v>
      </c>
      <c r="AE485" s="477" t="n">
        <f aca="false">SUM(AE481:AE484)</f>
        <v>0</v>
      </c>
      <c r="AF485" s="477" t="n">
        <f aca="false">SUM(AF481:AF484)</f>
        <v>0</v>
      </c>
    </row>
    <row r="486" customFormat="false" ht="11.25" hidden="false" customHeight="false" outlineLevel="0" collapsed="false">
      <c r="A486" s="238"/>
      <c r="B486" s="238"/>
      <c r="C486" s="241"/>
      <c r="D486" s="241"/>
      <c r="E486" s="241"/>
      <c r="F486" s="454"/>
      <c r="G486" s="238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</row>
    <row r="487" customFormat="false" ht="11.25" hidden="false" customHeight="false" outlineLevel="0" collapsed="false">
      <c r="A487" s="450"/>
      <c r="B487" s="523" t="s">
        <v>528</v>
      </c>
      <c r="C487" s="238"/>
      <c r="D487" s="238"/>
      <c r="E487" s="522"/>
      <c r="F487" s="484"/>
      <c r="G487" s="241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</row>
    <row r="488" customFormat="false" ht="11.25" hidden="false" customHeight="false" outlineLevel="0" collapsed="false">
      <c r="A488" s="450"/>
      <c r="B488" s="241" t="s">
        <v>529</v>
      </c>
      <c r="C488" s="465" t="str">
        <f aca="false">A521</f>
        <v>Intangibles</v>
      </c>
      <c r="D488" s="241"/>
      <c r="E488" s="529" t="n">
        <v>0</v>
      </c>
      <c r="F488" s="484"/>
      <c r="G488" s="241"/>
      <c r="H488" s="530" t="n">
        <f aca="false">E488</f>
        <v>0</v>
      </c>
      <c r="I488" s="481" t="n">
        <f aca="false">I777-H488</f>
        <v>0</v>
      </c>
      <c r="J488" s="481" t="n">
        <f aca="false">J777</f>
        <v>0</v>
      </c>
      <c r="K488" s="481" t="n">
        <f aca="false">K777</f>
        <v>0</v>
      </c>
      <c r="L488" s="481" t="n">
        <f aca="false">L777</f>
        <v>0</v>
      </c>
      <c r="M488" s="481" t="n">
        <f aca="false">M777</f>
        <v>0</v>
      </c>
      <c r="N488" s="481" t="n">
        <f aca="false">N777</f>
        <v>0</v>
      </c>
      <c r="O488" s="481" t="n">
        <f aca="false">O777</f>
        <v>0</v>
      </c>
      <c r="P488" s="481" t="n">
        <f aca="false">P777</f>
        <v>0</v>
      </c>
      <c r="Q488" s="481" t="n">
        <f aca="false">Q777</f>
        <v>0</v>
      </c>
      <c r="R488" s="481" t="n">
        <f aca="false">R777</f>
        <v>0</v>
      </c>
      <c r="S488" s="482" t="n">
        <f aca="false">S777</f>
        <v>0</v>
      </c>
      <c r="T488" s="482" t="n">
        <f aca="false">T777</f>
        <v>0</v>
      </c>
      <c r="U488" s="482" t="n">
        <f aca="false">U777</f>
        <v>0</v>
      </c>
      <c r="V488" s="482" t="n">
        <f aca="false">V777</f>
        <v>0</v>
      </c>
      <c r="W488" s="482" t="n">
        <f aca="false">W777</f>
        <v>0</v>
      </c>
      <c r="X488" s="482" t="n">
        <f aca="false">X777</f>
        <v>0</v>
      </c>
      <c r="Y488" s="482" t="n">
        <f aca="false">Y777</f>
        <v>0</v>
      </c>
      <c r="Z488" s="482" t="n">
        <f aca="false">Z777</f>
        <v>0</v>
      </c>
      <c r="AA488" s="482" t="n">
        <f aca="false">AA777</f>
        <v>0</v>
      </c>
      <c r="AB488" s="482" t="n">
        <f aca="false">AB777</f>
        <v>0</v>
      </c>
      <c r="AC488" s="482" t="n">
        <f aca="false">AC777</f>
        <v>0</v>
      </c>
      <c r="AD488" s="482" t="n">
        <f aca="false">AD777</f>
        <v>0</v>
      </c>
      <c r="AE488" s="482" t="n">
        <f aca="false">AE777</f>
        <v>0</v>
      </c>
      <c r="AF488" s="482" t="n">
        <f aca="false">AF777</f>
        <v>0</v>
      </c>
    </row>
    <row r="489" customFormat="false" ht="11.25" hidden="false" customHeight="false" outlineLevel="0" collapsed="false">
      <c r="A489" s="450"/>
      <c r="B489" s="241"/>
      <c r="C489" s="465" t="s">
        <v>530</v>
      </c>
      <c r="D489" s="241"/>
      <c r="E489" s="531" t="n">
        <v>0</v>
      </c>
      <c r="F489" s="484"/>
      <c r="G489" s="241"/>
      <c r="H489" s="532" t="n">
        <f aca="false">E489</f>
        <v>0</v>
      </c>
      <c r="I489" s="430" t="n">
        <f aca="false">(I774-I777-I776)-H489</f>
        <v>0</v>
      </c>
      <c r="J489" s="430" t="n">
        <f aca="false">J774-J490</f>
        <v>0</v>
      </c>
      <c r="K489" s="430" t="n">
        <f aca="false">K774-K490</f>
        <v>0</v>
      </c>
      <c r="L489" s="430" t="n">
        <f aca="false">L774-L490</f>
        <v>0</v>
      </c>
      <c r="M489" s="430" t="n">
        <f aca="false">M774-M490</f>
        <v>1331.9046155778</v>
      </c>
      <c r="N489" s="430" t="n">
        <f aca="false">N774-N490</f>
        <v>0</v>
      </c>
      <c r="O489" s="430" t="n">
        <f aca="false">O774-O490</f>
        <v>0</v>
      </c>
      <c r="P489" s="430" t="n">
        <f aca="false">P774-P490</f>
        <v>0</v>
      </c>
      <c r="Q489" s="430" t="n">
        <f aca="false">Q774-Q490</f>
        <v>4611.73981979569</v>
      </c>
      <c r="R489" s="430" t="n">
        <f aca="false">R774-R490</f>
        <v>0</v>
      </c>
      <c r="S489" s="483" t="n">
        <f aca="false">S774-S490</f>
        <v>0</v>
      </c>
      <c r="T489" s="483" t="n">
        <f aca="false">T774-T490</f>
        <v>0</v>
      </c>
      <c r="U489" s="483" t="n">
        <f aca="false">U774-U490</f>
        <v>1870.65531397766</v>
      </c>
      <c r="V489" s="483" t="n">
        <f aca="false">V774-V490</f>
        <v>0</v>
      </c>
      <c r="W489" s="483" t="n">
        <f aca="false">W774-W490</f>
        <v>0</v>
      </c>
      <c r="X489" s="483" t="n">
        <f aca="false">X774-X490</f>
        <v>0</v>
      </c>
      <c r="Y489" s="483" t="n">
        <f aca="false">Y774-Y490</f>
        <v>6463.75753668992</v>
      </c>
      <c r="Z489" s="483" t="n">
        <f aca="false">Z774-Z490</f>
        <v>0</v>
      </c>
      <c r="AA489" s="483" t="n">
        <f aca="false">AA774-AA490</f>
        <v>0</v>
      </c>
      <c r="AB489" s="483" t="n">
        <f aca="false">AB774-AB490</f>
        <v>0</v>
      </c>
      <c r="AC489" s="483" t="n">
        <f aca="false">AC774-AC490</f>
        <v>0</v>
      </c>
      <c r="AD489" s="483" t="n">
        <f aca="false">AD774-AD490</f>
        <v>0</v>
      </c>
      <c r="AE489" s="483" t="n">
        <f aca="false">AE774-AE490</f>
        <v>0</v>
      </c>
      <c r="AF489" s="483" t="n">
        <f aca="false">AF774-AF490</f>
        <v>0</v>
      </c>
    </row>
    <row r="490" customFormat="false" ht="11.25" hidden="false" customHeight="false" outlineLevel="0" collapsed="false">
      <c r="A490" s="450"/>
      <c r="B490" s="241"/>
      <c r="C490" s="465" t="s">
        <v>348</v>
      </c>
      <c r="D490" s="241"/>
      <c r="E490" s="533" t="n">
        <v>0</v>
      </c>
      <c r="F490" s="484"/>
      <c r="G490" s="241"/>
      <c r="H490" s="534" t="n">
        <f aca="false">E490</f>
        <v>0</v>
      </c>
      <c r="I490" s="535" t="n">
        <f aca="false">I776-H490</f>
        <v>0</v>
      </c>
      <c r="J490" s="535" t="n">
        <f aca="false">J776</f>
        <v>0</v>
      </c>
      <c r="K490" s="535" t="n">
        <f aca="false">K776</f>
        <v>0</v>
      </c>
      <c r="L490" s="535" t="n">
        <f aca="false">L776</f>
        <v>0</v>
      </c>
      <c r="M490" s="535" t="n">
        <f aca="false">M776</f>
        <v>0</v>
      </c>
      <c r="N490" s="535" t="n">
        <f aca="false">N776</f>
        <v>0</v>
      </c>
      <c r="O490" s="535" t="n">
        <f aca="false">O776</f>
        <v>0</v>
      </c>
      <c r="P490" s="535" t="n">
        <f aca="false">P776</f>
        <v>0</v>
      </c>
      <c r="Q490" s="535" t="n">
        <f aca="false">Q776</f>
        <v>0</v>
      </c>
      <c r="R490" s="535" t="n">
        <f aca="false">R776</f>
        <v>0</v>
      </c>
      <c r="S490" s="535" t="n">
        <f aca="false">S776</f>
        <v>0</v>
      </c>
      <c r="T490" s="535" t="n">
        <f aca="false">T776</f>
        <v>0</v>
      </c>
      <c r="U490" s="535" t="n">
        <f aca="false">U776</f>
        <v>0</v>
      </c>
      <c r="V490" s="535" t="n">
        <f aca="false">V776</f>
        <v>0</v>
      </c>
      <c r="W490" s="535" t="n">
        <f aca="false">W776</f>
        <v>0</v>
      </c>
      <c r="X490" s="535" t="n">
        <f aca="false">X776</f>
        <v>0</v>
      </c>
      <c r="Y490" s="535" t="n">
        <f aca="false">Y776</f>
        <v>0</v>
      </c>
      <c r="Z490" s="535" t="n">
        <f aca="false">Z776</f>
        <v>0</v>
      </c>
      <c r="AA490" s="535" t="n">
        <f aca="false">AA776</f>
        <v>0</v>
      </c>
      <c r="AB490" s="535" t="n">
        <f aca="false">AB776</f>
        <v>0</v>
      </c>
      <c r="AC490" s="535" t="n">
        <f aca="false">AC776</f>
        <v>0</v>
      </c>
      <c r="AD490" s="535" t="n">
        <f aca="false">AD776</f>
        <v>0</v>
      </c>
      <c r="AE490" s="535" t="n">
        <f aca="false">AE776</f>
        <v>0</v>
      </c>
      <c r="AF490" s="535" t="n">
        <f aca="false">AF776</f>
        <v>0</v>
      </c>
    </row>
    <row r="491" customFormat="false" ht="11.25" hidden="false" customHeight="false" outlineLevel="0" collapsed="false">
      <c r="A491" s="450"/>
      <c r="B491" s="241" t="s">
        <v>531</v>
      </c>
      <c r="C491" s="241"/>
      <c r="D491" s="241"/>
      <c r="E491" s="526" t="n">
        <v>0</v>
      </c>
      <c r="F491" s="484"/>
      <c r="G491" s="241"/>
      <c r="H491" s="526" t="n">
        <v>0</v>
      </c>
      <c r="I491" s="526" t="n">
        <v>0</v>
      </c>
      <c r="J491" s="526" t="n">
        <v>0</v>
      </c>
      <c r="K491" s="526" t="n">
        <v>0</v>
      </c>
      <c r="L491" s="526" t="n">
        <v>0</v>
      </c>
      <c r="M491" s="526" t="n">
        <v>0</v>
      </c>
      <c r="N491" s="526" t="n">
        <v>0</v>
      </c>
      <c r="O491" s="526" t="n">
        <v>0</v>
      </c>
      <c r="P491" s="526" t="n">
        <v>0</v>
      </c>
      <c r="Q491" s="526" t="n">
        <v>0</v>
      </c>
      <c r="R491" s="526" t="n">
        <v>0</v>
      </c>
      <c r="S491" s="526" t="n">
        <v>0</v>
      </c>
      <c r="T491" s="526" t="n">
        <v>0</v>
      </c>
      <c r="U491" s="526" t="n">
        <v>0</v>
      </c>
      <c r="V491" s="526" t="n">
        <v>0</v>
      </c>
      <c r="W491" s="526" t="n">
        <v>0</v>
      </c>
      <c r="X491" s="526" t="n">
        <v>0</v>
      </c>
      <c r="Y491" s="526" t="n">
        <v>0</v>
      </c>
      <c r="Z491" s="526" t="n">
        <v>0</v>
      </c>
      <c r="AA491" s="526" t="n">
        <v>0</v>
      </c>
      <c r="AB491" s="526" t="n">
        <v>0</v>
      </c>
      <c r="AC491" s="526" t="n">
        <v>0</v>
      </c>
      <c r="AD491" s="526" t="n">
        <v>0</v>
      </c>
      <c r="AE491" s="526" t="n">
        <v>0</v>
      </c>
      <c r="AF491" s="526" t="n">
        <v>0</v>
      </c>
    </row>
    <row r="492" customFormat="false" ht="11.25" hidden="false" customHeight="false" outlineLevel="0" collapsed="false">
      <c r="A492" s="450"/>
      <c r="B492" s="241" t="s">
        <v>532</v>
      </c>
      <c r="C492" s="241"/>
      <c r="D492" s="241"/>
      <c r="E492" s="467" t="n">
        <v>0</v>
      </c>
      <c r="F492" s="484"/>
      <c r="G492" s="241"/>
      <c r="H492" s="526" t="n">
        <f aca="false">E492</f>
        <v>0</v>
      </c>
      <c r="I492" s="417" t="n">
        <f aca="false">-I618</f>
        <v>-0</v>
      </c>
      <c r="J492" s="417" t="n">
        <f aca="false">-J618</f>
        <v>-0</v>
      </c>
      <c r="K492" s="417" t="n">
        <f aca="false">-K618</f>
        <v>-0</v>
      </c>
      <c r="L492" s="417" t="n">
        <f aca="false">-L618</f>
        <v>-0</v>
      </c>
      <c r="M492" s="417" t="n">
        <f aca="false">-M618</f>
        <v>-0</v>
      </c>
      <c r="N492" s="417" t="n">
        <f aca="false">-N618</f>
        <v>-0</v>
      </c>
      <c r="O492" s="417" t="n">
        <f aca="false">-O618</f>
        <v>-0</v>
      </c>
      <c r="P492" s="417" t="n">
        <f aca="false">-P618</f>
        <v>-0</v>
      </c>
      <c r="Q492" s="417" t="n">
        <f aca="false">-Q618</f>
        <v>-0</v>
      </c>
      <c r="R492" s="417" t="n">
        <f aca="false">-R618</f>
        <v>-0</v>
      </c>
      <c r="S492" s="417" t="n">
        <f aca="false">-S618</f>
        <v>-0</v>
      </c>
      <c r="T492" s="417" t="n">
        <f aca="false">-T618</f>
        <v>-0</v>
      </c>
      <c r="U492" s="417" t="n">
        <f aca="false">-U618</f>
        <v>-0</v>
      </c>
      <c r="V492" s="417" t="n">
        <f aca="false">-V618</f>
        <v>-0</v>
      </c>
      <c r="W492" s="417" t="n">
        <f aca="false">-W618</f>
        <v>-0</v>
      </c>
      <c r="X492" s="417" t="n">
        <f aca="false">-X618</f>
        <v>-0</v>
      </c>
      <c r="Y492" s="417" t="n">
        <f aca="false">-Y618</f>
        <v>-0</v>
      </c>
      <c r="Z492" s="417" t="n">
        <f aca="false">-Z618</f>
        <v>-0</v>
      </c>
      <c r="AA492" s="417" t="n">
        <f aca="false">-AA618</f>
        <v>-0</v>
      </c>
      <c r="AB492" s="417" t="n">
        <f aca="false">-AB618</f>
        <v>-0</v>
      </c>
      <c r="AC492" s="417" t="n">
        <f aca="false">-AC618</f>
        <v>-0</v>
      </c>
      <c r="AD492" s="417" t="n">
        <f aca="false">-AD618</f>
        <v>-0</v>
      </c>
      <c r="AE492" s="417" t="n">
        <f aca="false">-AE618</f>
        <v>-0</v>
      </c>
      <c r="AF492" s="417" t="n">
        <f aca="false">-AF618</f>
        <v>-0</v>
      </c>
    </row>
    <row r="493" customFormat="false" ht="11.25" hidden="false" customHeight="false" outlineLevel="0" collapsed="false">
      <c r="A493" s="450"/>
      <c r="B493" s="524" t="s">
        <v>533</v>
      </c>
      <c r="C493" s="238"/>
      <c r="D493" s="238"/>
      <c r="E493" s="468" t="n">
        <f aca="false">I503+I504</f>
        <v>774.44448</v>
      </c>
      <c r="F493" s="484"/>
      <c r="G493" s="241"/>
      <c r="H493" s="536" t="n">
        <f aca="false">E493</f>
        <v>774.44448</v>
      </c>
      <c r="I493" s="536" t="n">
        <f aca="false">+I370</f>
        <v>0</v>
      </c>
      <c r="J493" s="536" t="n">
        <f aca="false">+J370</f>
        <v>0</v>
      </c>
      <c r="K493" s="536" t="n">
        <f aca="false">+K370</f>
        <v>0</v>
      </c>
      <c r="L493" s="536" t="n">
        <f aca="false">+L370</f>
        <v>0</v>
      </c>
      <c r="M493" s="536" t="n">
        <f aca="false">+M370</f>
        <v>0</v>
      </c>
      <c r="N493" s="536" t="n">
        <f aca="false">+N370</f>
        <v>0</v>
      </c>
      <c r="O493" s="536" t="n">
        <f aca="false">+O370</f>
        <v>0</v>
      </c>
      <c r="P493" s="536" t="n">
        <f aca="false">+P370</f>
        <v>0</v>
      </c>
      <c r="Q493" s="536" t="n">
        <f aca="false">+Q370</f>
        <v>0</v>
      </c>
      <c r="R493" s="536" t="n">
        <f aca="false">+R370</f>
        <v>0</v>
      </c>
      <c r="S493" s="536" t="n">
        <f aca="false">+S370</f>
        <v>0</v>
      </c>
      <c r="T493" s="536" t="n">
        <f aca="false">+T370</f>
        <v>0</v>
      </c>
      <c r="U493" s="536" t="n">
        <f aca="false">+U370</f>
        <v>0</v>
      </c>
      <c r="V493" s="536" t="n">
        <f aca="false">+V370</f>
        <v>0</v>
      </c>
      <c r="W493" s="536" t="n">
        <f aca="false">+W370</f>
        <v>0</v>
      </c>
      <c r="X493" s="536" t="n">
        <f aca="false">+X370</f>
        <v>0</v>
      </c>
      <c r="Y493" s="536" t="n">
        <f aca="false">+Y370</f>
        <v>0</v>
      </c>
      <c r="Z493" s="536" t="n">
        <f aca="false">+Z370</f>
        <v>0</v>
      </c>
      <c r="AA493" s="536" t="n">
        <f aca="false">+AA370</f>
        <v>0</v>
      </c>
      <c r="AB493" s="536" t="n">
        <f aca="false">+AB370</f>
        <v>0</v>
      </c>
      <c r="AC493" s="536" t="n">
        <f aca="false">+AC370</f>
        <v>0</v>
      </c>
      <c r="AD493" s="536" t="n">
        <f aca="false">+AD370</f>
        <v>0</v>
      </c>
      <c r="AE493" s="536" t="n">
        <f aca="false">+AE370</f>
        <v>0</v>
      </c>
      <c r="AF493" s="536" t="n">
        <f aca="false">+AF370</f>
        <v>0</v>
      </c>
    </row>
    <row r="494" customFormat="false" ht="11.25" hidden="false" customHeight="false" outlineLevel="0" collapsed="false">
      <c r="A494" s="450"/>
      <c r="B494" s="524" t="s">
        <v>534</v>
      </c>
      <c r="C494" s="238"/>
      <c r="D494" s="238"/>
      <c r="E494" s="417" t="n">
        <f aca="false">E485-SUM(E488:E493)</f>
        <v>79725.55552</v>
      </c>
      <c r="F494" s="484"/>
      <c r="G494" s="241"/>
      <c r="H494" s="417" t="n">
        <f aca="false">H485-SUM(H488:H493)</f>
        <v>79725.55552</v>
      </c>
      <c r="I494" s="417" t="n">
        <f aca="false">I485-SUM(I488:I493)</f>
        <v>0</v>
      </c>
      <c r="J494" s="417" t="n">
        <f aca="false">J485-SUM(J488:J493)</f>
        <v>0</v>
      </c>
      <c r="K494" s="417" t="n">
        <f aca="false">K485-SUM(K488:K493)</f>
        <v>0</v>
      </c>
      <c r="L494" s="417" t="n">
        <f aca="false">L485-SUM(L488:L493)</f>
        <v>0</v>
      </c>
      <c r="M494" s="417" t="n">
        <f aca="false">M485-SUM(M488:M493)</f>
        <v>-1331.9046155778</v>
      </c>
      <c r="N494" s="417" t="n">
        <f aca="false">N485-SUM(N488:N493)</f>
        <v>0</v>
      </c>
      <c r="O494" s="417" t="n">
        <f aca="false">O485-SUM(O488:O493)</f>
        <v>0</v>
      </c>
      <c r="P494" s="417" t="n">
        <f aca="false">P485-SUM(P488:P493)</f>
        <v>0</v>
      </c>
      <c r="Q494" s="417" t="n">
        <f aca="false">Q485-SUM(Q488:Q493)</f>
        <v>-4611.73981979569</v>
      </c>
      <c r="R494" s="417" t="n">
        <f aca="false">R485-SUM(R488:R493)</f>
        <v>0</v>
      </c>
      <c r="S494" s="417" t="n">
        <f aca="false">S485-SUM(S488:S493)</f>
        <v>0</v>
      </c>
      <c r="T494" s="417" t="n">
        <f aca="false">T485-SUM(T488:T493)</f>
        <v>0</v>
      </c>
      <c r="U494" s="417" t="n">
        <f aca="false">U485-SUM(U488:U493)</f>
        <v>-1870.65531397766</v>
      </c>
      <c r="V494" s="417" t="n">
        <f aca="false">V485-SUM(V488:V493)</f>
        <v>0</v>
      </c>
      <c r="W494" s="417" t="n">
        <f aca="false">W485-SUM(W488:W493)</f>
        <v>0</v>
      </c>
      <c r="X494" s="417" t="n">
        <f aca="false">X485-SUM(X488:X493)</f>
        <v>0</v>
      </c>
      <c r="Y494" s="417" t="n">
        <f aca="false">Y485-SUM(Y488:Y493)</f>
        <v>-6463.75753668992</v>
      </c>
      <c r="Z494" s="417" t="n">
        <f aca="false">Z485-SUM(Z488:Z493)</f>
        <v>0</v>
      </c>
      <c r="AA494" s="417" t="n">
        <f aca="false">AA485-SUM(AA488:AA493)</f>
        <v>0</v>
      </c>
      <c r="AB494" s="417" t="n">
        <f aca="false">AB485-SUM(AB488:AB493)</f>
        <v>0</v>
      </c>
      <c r="AC494" s="417" t="n">
        <f aca="false">AC485-SUM(AC488:AC493)</f>
        <v>0</v>
      </c>
      <c r="AD494" s="417" t="n">
        <f aca="false">AD485-SUM(AD488:AD493)</f>
        <v>0</v>
      </c>
      <c r="AE494" s="417" t="n">
        <f aca="false">AE485-SUM(AE488:AE493)</f>
        <v>0</v>
      </c>
      <c r="AF494" s="417" t="n">
        <f aca="false">AF485-SUM(AF488:AF493)</f>
        <v>0</v>
      </c>
    </row>
    <row r="495" customFormat="false" ht="11.25" hidden="false" customHeight="false" outlineLevel="0" collapsed="false">
      <c r="A495" s="450"/>
      <c r="B495" s="238"/>
      <c r="C495" s="238"/>
      <c r="D495" s="238"/>
      <c r="E495" s="468"/>
      <c r="F495" s="484"/>
      <c r="G495" s="241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</row>
    <row r="496" customFormat="false" ht="11.25" hidden="false" customHeight="false" outlineLevel="0" collapsed="false">
      <c r="A496" s="450"/>
      <c r="B496" s="473" t="s">
        <v>535</v>
      </c>
      <c r="C496" s="238"/>
      <c r="D496" s="238"/>
      <c r="E496" s="468" t="n">
        <f aca="false">SUM(E488:E495)</f>
        <v>80500</v>
      </c>
      <c r="F496" s="484"/>
      <c r="G496" s="241"/>
      <c r="H496" s="477" t="n">
        <f aca="false">SUM(H488:H495)</f>
        <v>80500</v>
      </c>
      <c r="I496" s="477" t="n">
        <f aca="false">SUM(I488:I495)</f>
        <v>0</v>
      </c>
      <c r="J496" s="477" t="n">
        <f aca="false">SUM(J488:J495)</f>
        <v>0</v>
      </c>
      <c r="K496" s="477" t="n">
        <f aca="false">SUM(K488:K495)</f>
        <v>0</v>
      </c>
      <c r="L496" s="477" t="n">
        <f aca="false">SUM(L488:L495)</f>
        <v>0</v>
      </c>
      <c r="M496" s="477" t="n">
        <f aca="false">SUM(M488:M495)</f>
        <v>0</v>
      </c>
      <c r="N496" s="477" t="n">
        <f aca="false">SUM(N488:N495)</f>
        <v>0</v>
      </c>
      <c r="O496" s="477" t="n">
        <f aca="false">SUM(O488:O495)</f>
        <v>0</v>
      </c>
      <c r="P496" s="477" t="n">
        <f aca="false">SUM(P488:P495)</f>
        <v>0</v>
      </c>
      <c r="Q496" s="477" t="n">
        <f aca="false">SUM(Q488:Q495)</f>
        <v>0</v>
      </c>
      <c r="R496" s="477" t="n">
        <f aca="false">SUM(R488:R495)</f>
        <v>0</v>
      </c>
      <c r="S496" s="477" t="n">
        <f aca="false">SUM(S488:S495)</f>
        <v>0</v>
      </c>
      <c r="T496" s="477" t="n">
        <f aca="false">SUM(T488:T495)</f>
        <v>0</v>
      </c>
      <c r="U496" s="477" t="n">
        <f aca="false">SUM(U488:U495)</f>
        <v>0</v>
      </c>
      <c r="V496" s="477" t="n">
        <f aca="false">SUM(V488:V495)</f>
        <v>0</v>
      </c>
      <c r="W496" s="477" t="n">
        <f aca="false">SUM(W488:W495)</f>
        <v>0</v>
      </c>
      <c r="X496" s="477" t="n">
        <f aca="false">SUM(X488:X495)</f>
        <v>0</v>
      </c>
      <c r="Y496" s="477" t="n">
        <f aca="false">SUM(Y488:Y495)</f>
        <v>0</v>
      </c>
      <c r="Z496" s="477" t="n">
        <f aca="false">SUM(Z488:Z495)</f>
        <v>0</v>
      </c>
      <c r="AA496" s="477" t="n">
        <f aca="false">SUM(AA488:AA495)</f>
        <v>0</v>
      </c>
      <c r="AB496" s="477" t="n">
        <f aca="false">SUM(AB488:AB495)</f>
        <v>0</v>
      </c>
      <c r="AC496" s="477" t="n">
        <f aca="false">SUM(AC488:AC495)</f>
        <v>0</v>
      </c>
      <c r="AD496" s="477" t="n">
        <f aca="false">SUM(AD488:AD495)</f>
        <v>0</v>
      </c>
      <c r="AE496" s="477" t="n">
        <f aca="false">SUM(AE488:AE495)</f>
        <v>0</v>
      </c>
      <c r="AF496" s="477" t="n">
        <f aca="false">SUM(AF488:AF495)</f>
        <v>0</v>
      </c>
    </row>
    <row r="497" customFormat="false" ht="11.25" hidden="false" customHeight="false" outlineLevel="0" collapsed="false">
      <c r="A497" s="450"/>
      <c r="B497" s="454"/>
      <c r="C497" s="537" t="s">
        <v>536</v>
      </c>
      <c r="D497" s="238"/>
      <c r="E497" s="515" t="n">
        <f aca="false">E496-E485</f>
        <v>0</v>
      </c>
      <c r="F497" s="484"/>
      <c r="G497" s="241"/>
      <c r="H497" s="515" t="n">
        <f aca="false">H496-H485</f>
        <v>0</v>
      </c>
      <c r="I497" s="515" t="n">
        <f aca="false">I496-I485</f>
        <v>0</v>
      </c>
      <c r="J497" s="515" t="n">
        <f aca="false">J496-J485</f>
        <v>0</v>
      </c>
      <c r="K497" s="515" t="n">
        <f aca="false">K496-K485</f>
        <v>0</v>
      </c>
      <c r="L497" s="515" t="n">
        <f aca="false">L496-L485</f>
        <v>0</v>
      </c>
      <c r="M497" s="515" t="n">
        <f aca="false">M496-M485</f>
        <v>0</v>
      </c>
      <c r="N497" s="515" t="n">
        <f aca="false">N496-N485</f>
        <v>0</v>
      </c>
      <c r="O497" s="515" t="n">
        <f aca="false">O496-O485</f>
        <v>0</v>
      </c>
      <c r="P497" s="515" t="n">
        <f aca="false">P496-P485</f>
        <v>0</v>
      </c>
      <c r="Q497" s="515" t="n">
        <f aca="false">Q496-Q485</f>
        <v>0</v>
      </c>
      <c r="R497" s="515" t="n">
        <f aca="false">R496-R485</f>
        <v>0</v>
      </c>
      <c r="S497" s="515" t="n">
        <f aca="false">S496-S485</f>
        <v>0</v>
      </c>
      <c r="T497" s="515" t="n">
        <f aca="false">T496-T485</f>
        <v>0</v>
      </c>
      <c r="U497" s="515" t="n">
        <f aca="false">U496-U485</f>
        <v>0</v>
      </c>
      <c r="V497" s="515" t="n">
        <f aca="false">V496-V485</f>
        <v>0</v>
      </c>
      <c r="W497" s="515" t="n">
        <f aca="false">W496-W485</f>
        <v>0</v>
      </c>
      <c r="X497" s="515" t="n">
        <f aca="false">X496-X485</f>
        <v>0</v>
      </c>
      <c r="Y497" s="515" t="n">
        <f aca="false">Y496-Y485</f>
        <v>0</v>
      </c>
      <c r="Z497" s="515" t="n">
        <f aca="false">Z496-Z485</f>
        <v>0</v>
      </c>
      <c r="AA497" s="515" t="n">
        <f aca="false">AA496-AA485</f>
        <v>0</v>
      </c>
      <c r="AB497" s="515" t="n">
        <f aca="false">AB496-AB485</f>
        <v>0</v>
      </c>
      <c r="AC497" s="515" t="n">
        <f aca="false">AC496-AC485</f>
        <v>0</v>
      </c>
      <c r="AD497" s="515" t="n">
        <f aca="false">AD496-AD485</f>
        <v>0</v>
      </c>
      <c r="AE497" s="515" t="n">
        <f aca="false">AE496-AE485</f>
        <v>0</v>
      </c>
      <c r="AF497" s="515" t="n">
        <f aca="false">AF496-AF485</f>
        <v>0</v>
      </c>
    </row>
    <row r="498" customFormat="false" ht="11.25" hidden="false" customHeight="false" outlineLevel="0" collapsed="false">
      <c r="A498" s="450"/>
      <c r="B498" s="241"/>
      <c r="C498" s="241"/>
      <c r="D498" s="241"/>
      <c r="E498" s="241"/>
      <c r="F498" s="484"/>
      <c r="G498" s="241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238"/>
      <c r="W498" s="238"/>
      <c r="X498" s="238"/>
      <c r="Y498" s="238"/>
      <c r="Z498" s="238"/>
      <c r="AA498" s="238"/>
      <c r="AB498" s="238"/>
      <c r="AC498" s="238"/>
      <c r="AD498" s="238"/>
      <c r="AE498" s="238"/>
      <c r="AF498" s="238"/>
    </row>
    <row r="499" customFormat="false" ht="12" hidden="false" customHeight="false" outlineLevel="0" collapsed="false">
      <c r="A499" s="450"/>
      <c r="B499" s="238"/>
      <c r="C499" s="238"/>
      <c r="D499" s="238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238"/>
      <c r="W499" s="238"/>
      <c r="X499" s="238"/>
      <c r="Y499" s="238"/>
      <c r="Z499" s="238"/>
      <c r="AA499" s="238"/>
      <c r="AB499" s="238"/>
      <c r="AC499" s="238"/>
      <c r="AD499" s="238"/>
      <c r="AE499" s="238"/>
      <c r="AF499" s="238"/>
    </row>
    <row r="500" customFormat="false" ht="12.75" hidden="false" customHeight="false" outlineLevel="0" collapsed="false">
      <c r="A500" s="518"/>
      <c r="B500" s="431"/>
      <c r="C500" s="431"/>
      <c r="D500" s="431"/>
      <c r="E500" s="431"/>
      <c r="F500" s="431"/>
      <c r="G500" s="431"/>
      <c r="H500" s="431"/>
      <c r="I500" s="431"/>
      <c r="J500" s="431"/>
      <c r="K500" s="431"/>
      <c r="L500" s="431"/>
      <c r="M500" s="431"/>
      <c r="N500" s="431"/>
      <c r="O500" s="431"/>
      <c r="P500" s="431"/>
      <c r="Q500" s="431"/>
      <c r="R500" s="431"/>
      <c r="S500" s="431"/>
      <c r="T500" s="431"/>
      <c r="U500" s="431"/>
      <c r="V500" s="431"/>
      <c r="W500" s="431"/>
      <c r="X500" s="431"/>
      <c r="Y500" s="431"/>
      <c r="Z500" s="431"/>
      <c r="AA500" s="431"/>
      <c r="AB500" s="431"/>
      <c r="AC500" s="431"/>
      <c r="AD500" s="431"/>
      <c r="AE500" s="431"/>
      <c r="AF500" s="431"/>
    </row>
    <row r="501" customFormat="false" ht="12.75" hidden="false" customHeight="false" outlineLevel="0" collapsed="false">
      <c r="A501" s="341" t="s">
        <v>537</v>
      </c>
      <c r="B501" s="238"/>
      <c r="C501" s="430"/>
      <c r="D501" s="238"/>
      <c r="E501" s="430"/>
      <c r="F501" s="538" t="s">
        <v>538</v>
      </c>
      <c r="G501" s="538" t="s">
        <v>539</v>
      </c>
      <c r="H501" s="538"/>
      <c r="I501" s="238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</row>
    <row r="502" customFormat="false" ht="12.75" hidden="false" customHeight="false" outlineLevel="0" collapsed="false">
      <c r="A502" s="450"/>
      <c r="B502" s="238"/>
      <c r="C502" s="539" t="s">
        <v>540</v>
      </c>
      <c r="D502" s="238"/>
      <c r="E502" s="539" t="s">
        <v>541</v>
      </c>
      <c r="F502" s="540" t="s">
        <v>542</v>
      </c>
      <c r="G502" s="540" t="s">
        <v>543</v>
      </c>
      <c r="H502" s="540"/>
      <c r="I502" s="541" t="n">
        <f aca="false">I$638</f>
        <v>36525</v>
      </c>
      <c r="J502" s="542" t="n">
        <f aca="false">J$638</f>
        <v>36891</v>
      </c>
      <c r="K502" s="542" t="n">
        <f aca="false">K$638</f>
        <v>37256</v>
      </c>
      <c r="L502" s="542" t="n">
        <f aca="false">L$638</f>
        <v>37621</v>
      </c>
      <c r="M502" s="542" t="n">
        <f aca="false">M$638</f>
        <v>37986</v>
      </c>
      <c r="N502" s="542" t="n">
        <f aca="false">N$638</f>
        <v>38352</v>
      </c>
      <c r="O502" s="542" t="n">
        <f aca="false">O$638</f>
        <v>38717</v>
      </c>
      <c r="P502" s="542" t="n">
        <f aca="false">P$638</f>
        <v>39082</v>
      </c>
      <c r="Q502" s="542" t="n">
        <f aca="false">Q$638</f>
        <v>39447</v>
      </c>
      <c r="R502" s="542" t="n">
        <f aca="false">R$638</f>
        <v>39813</v>
      </c>
      <c r="S502" s="542" t="n">
        <f aca="false">S$638</f>
        <v>40178</v>
      </c>
      <c r="T502" s="542" t="n">
        <f aca="false">T$638</f>
        <v>40543</v>
      </c>
      <c r="U502" s="542" t="n">
        <f aca="false">U$638</f>
        <v>40908</v>
      </c>
      <c r="V502" s="542" t="n">
        <f aca="false">V$638</f>
        <v>41274</v>
      </c>
      <c r="W502" s="542" t="n">
        <f aca="false">W$638</f>
        <v>41639</v>
      </c>
      <c r="X502" s="542" t="n">
        <f aca="false">X$638</f>
        <v>42004</v>
      </c>
      <c r="Y502" s="542" t="n">
        <f aca="false">Y$638</f>
        <v>42369</v>
      </c>
      <c r="Z502" s="542" t="n">
        <f aca="false">Z$638</f>
        <v>42735</v>
      </c>
      <c r="AA502" s="542" t="n">
        <f aca="false">AA$638</f>
        <v>43100</v>
      </c>
      <c r="AB502" s="542" t="n">
        <f aca="false">AB$638</f>
        <v>43465</v>
      </c>
      <c r="AC502" s="542" t="n">
        <f aca="false">AC$638</f>
        <v>43830</v>
      </c>
      <c r="AD502" s="542" t="n">
        <f aca="false">AD$638</f>
        <v>44196</v>
      </c>
      <c r="AE502" s="542" t="n">
        <f aca="false">AE$638</f>
        <v>44561</v>
      </c>
      <c r="AF502" s="542" t="n">
        <f aca="false">AF$638</f>
        <v>44926</v>
      </c>
    </row>
    <row r="503" customFormat="false" ht="12" hidden="false" customHeight="false" outlineLevel="0" collapsed="false">
      <c r="A503" s="450" t="s">
        <v>544</v>
      </c>
      <c r="B503" s="238"/>
      <c r="C503" s="238"/>
      <c r="D503" s="238"/>
      <c r="E503" s="455" t="n">
        <v>0</v>
      </c>
      <c r="F503" s="460" t="s">
        <v>545</v>
      </c>
      <c r="G503" s="454"/>
      <c r="H503" s="460" t="s">
        <v>546</v>
      </c>
      <c r="I503" s="515" t="n">
        <v>0</v>
      </c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238"/>
      <c r="W503" s="238"/>
      <c r="X503" s="238"/>
      <c r="Y503" s="238"/>
      <c r="Z503" s="238"/>
      <c r="AA503" s="238"/>
      <c r="AB503" s="238"/>
      <c r="AC503" s="238"/>
      <c r="AD503" s="238"/>
      <c r="AE503" s="238"/>
      <c r="AF503" s="238"/>
    </row>
    <row r="504" customFormat="false" ht="11.25" hidden="false" customHeight="false" outlineLevel="0" collapsed="false">
      <c r="A504" s="450" t="s">
        <v>547</v>
      </c>
      <c r="B504" s="238"/>
      <c r="C504" s="238"/>
      <c r="D504" s="238"/>
      <c r="E504" s="543" t="n">
        <f aca="false">Summary!E91</f>
        <v>0</v>
      </c>
      <c r="F504" s="460" t="n">
        <f aca="false">Summary!E114</f>
        <v>15</v>
      </c>
      <c r="G504" s="454"/>
      <c r="H504" s="460" t="s">
        <v>548</v>
      </c>
      <c r="I504" s="515" t="n">
        <f aca="false">E509-I503</f>
        <v>774.44448</v>
      </c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</row>
    <row r="505" customFormat="false" ht="11.25" hidden="false" customHeight="false" outlineLevel="0" collapsed="false">
      <c r="A505" s="450" t="s">
        <v>549</v>
      </c>
      <c r="B505" s="238"/>
      <c r="C505" s="238"/>
      <c r="D505" s="238"/>
      <c r="E505" s="238"/>
      <c r="F505" s="238"/>
      <c r="G505" s="454"/>
      <c r="H505" s="460" t="s">
        <v>550</v>
      </c>
      <c r="I505" s="335" t="n">
        <v>0.05</v>
      </c>
      <c r="J505" s="335" t="n">
        <v>0.095</v>
      </c>
      <c r="K505" s="335" t="n">
        <v>0.0855</v>
      </c>
      <c r="L505" s="335" t="n">
        <v>0.077</v>
      </c>
      <c r="M505" s="335" t="n">
        <v>0.0693</v>
      </c>
      <c r="N505" s="335" t="n">
        <v>0.0623</v>
      </c>
      <c r="O505" s="335" t="n">
        <v>0.059</v>
      </c>
      <c r="P505" s="335" t="n">
        <v>0.059</v>
      </c>
      <c r="Q505" s="335" t="n">
        <v>0.0591</v>
      </c>
      <c r="R505" s="335" t="n">
        <v>0.059</v>
      </c>
      <c r="S505" s="335" t="n">
        <v>0.0591</v>
      </c>
      <c r="T505" s="335" t="n">
        <v>0.059</v>
      </c>
      <c r="U505" s="335" t="n">
        <v>0.0591</v>
      </c>
      <c r="V505" s="335" t="n">
        <v>0.059</v>
      </c>
      <c r="W505" s="335" t="n">
        <v>0.0591</v>
      </c>
      <c r="X505" s="335" t="n">
        <v>0.0295</v>
      </c>
      <c r="Y505" s="238"/>
      <c r="Z505" s="238"/>
      <c r="AA505" s="238"/>
      <c r="AB505" s="238"/>
      <c r="AC505" s="238"/>
      <c r="AD505" s="238"/>
      <c r="AE505" s="238"/>
      <c r="AF505" s="238"/>
    </row>
    <row r="506" customFormat="false" ht="11.25" hidden="false" customHeight="false" outlineLevel="0" collapsed="false">
      <c r="A506" s="450" t="str">
        <f aca="false">"    "&amp;B481</f>
        <v>    Purchase Term Loan</v>
      </c>
      <c r="B506" s="238"/>
      <c r="C506" s="544" t="n">
        <f aca="false">Summary!E113</f>
        <v>0.015</v>
      </c>
      <c r="D506" s="238"/>
      <c r="E506" s="238" t="n">
        <f aca="false">450+(E481+Summary!$E$103+Summary!$E$104)*0.0025+0.004*(15000)+0.0025*(E481+Summary!$E$103+Summary!$E$104-15000)</f>
        <v>774.44448</v>
      </c>
      <c r="F506" s="545" t="n">
        <f aca="false">Summary!$E$114</f>
        <v>15</v>
      </c>
      <c r="G506" s="238"/>
      <c r="H506" s="460" t="s">
        <v>551</v>
      </c>
      <c r="I506" s="238" t="n">
        <f aca="false">$I$504/15</f>
        <v>51.629632</v>
      </c>
      <c r="J506" s="238" t="n">
        <f aca="false">$I$504/15</f>
        <v>51.629632</v>
      </c>
      <c r="K506" s="238" t="n">
        <f aca="false">$I$504/15</f>
        <v>51.629632</v>
      </c>
      <c r="L506" s="238" t="n">
        <f aca="false">$I$504/15</f>
        <v>51.629632</v>
      </c>
      <c r="M506" s="238" t="n">
        <f aca="false">$I$504/15</f>
        <v>51.629632</v>
      </c>
      <c r="N506" s="238" t="n">
        <f aca="false">$I$504/15</f>
        <v>51.629632</v>
      </c>
      <c r="O506" s="238" t="n">
        <f aca="false">$I$504/15</f>
        <v>51.629632</v>
      </c>
      <c r="P506" s="238" t="n">
        <f aca="false">$I$504/15</f>
        <v>51.629632</v>
      </c>
      <c r="Q506" s="238" t="n">
        <f aca="false">$I$504/15</f>
        <v>51.629632</v>
      </c>
      <c r="R506" s="238" t="n">
        <f aca="false">$I$504/15</f>
        <v>51.629632</v>
      </c>
      <c r="S506" s="238" t="n">
        <f aca="false">$I$504/15</f>
        <v>51.629632</v>
      </c>
      <c r="T506" s="238" t="n">
        <f aca="false">$I$504/15</f>
        <v>51.629632</v>
      </c>
      <c r="U506" s="238" t="n">
        <f aca="false">$I$504/15</f>
        <v>51.629632</v>
      </c>
      <c r="V506" s="238" t="n">
        <f aca="false">$I$504/15</f>
        <v>51.629632</v>
      </c>
      <c r="W506" s="238" t="n">
        <f aca="false">$I$504/15</f>
        <v>51.629632</v>
      </c>
      <c r="X506" s="238"/>
      <c r="Y506" s="238"/>
      <c r="Z506" s="238"/>
      <c r="AA506" s="238"/>
      <c r="AB506" s="238"/>
      <c r="AC506" s="238"/>
      <c r="AD506" s="238"/>
      <c r="AE506" s="238"/>
      <c r="AF506" s="238"/>
    </row>
    <row r="507" customFormat="false" ht="11.25" hidden="false" customHeight="false" outlineLevel="0" collapsed="false">
      <c r="A507" s="450" t="str">
        <f aca="false">"    "&amp;B482</f>
        <v>    Other Term Loan</v>
      </c>
      <c r="B507" s="238"/>
      <c r="C507" s="544" t="n">
        <v>0</v>
      </c>
      <c r="D507" s="238"/>
      <c r="E507" s="238" t="n">
        <f aca="false">C507*SUM(H482:S482)</f>
        <v>0</v>
      </c>
      <c r="F507" s="545" t="n">
        <f aca="false">Summary!$E$114</f>
        <v>15</v>
      </c>
      <c r="G507" s="238"/>
      <c r="H507" s="238"/>
      <c r="I507" s="491" t="n">
        <v>0</v>
      </c>
      <c r="J507" s="491" t="n">
        <v>0</v>
      </c>
      <c r="K507" s="491" t="n">
        <v>0</v>
      </c>
      <c r="L507" s="491" t="n">
        <v>0</v>
      </c>
      <c r="M507" s="491" t="n">
        <v>0</v>
      </c>
      <c r="N507" s="491" t="n">
        <v>0</v>
      </c>
      <c r="O507" s="491" t="n">
        <v>0</v>
      </c>
      <c r="P507" s="491" t="n">
        <v>0</v>
      </c>
      <c r="Q507" s="491" t="n">
        <v>0</v>
      </c>
      <c r="R507" s="491" t="n">
        <v>0</v>
      </c>
      <c r="S507" s="491" t="n">
        <v>0</v>
      </c>
      <c r="T507" s="491" t="n">
        <v>0</v>
      </c>
      <c r="U507" s="491" t="n">
        <v>0</v>
      </c>
      <c r="V507" s="491" t="n">
        <v>0</v>
      </c>
      <c r="W507" s="491" t="n">
        <v>0</v>
      </c>
      <c r="X507" s="491" t="n">
        <v>0</v>
      </c>
      <c r="Y507" s="238"/>
      <c r="Z507" s="238"/>
      <c r="AA507" s="238"/>
      <c r="AB507" s="238"/>
      <c r="AC507" s="238"/>
      <c r="AD507" s="238"/>
      <c r="AE507" s="238"/>
      <c r="AF507" s="238"/>
    </row>
    <row r="508" customFormat="false" ht="11.25" hidden="false" customHeight="false" outlineLevel="0" collapsed="false">
      <c r="A508" s="450" t="str">
        <f aca="false">"    "&amp;B483</f>
        <v>    Common Stock</v>
      </c>
      <c r="B508" s="238"/>
      <c r="C508" s="544" t="n">
        <v>0</v>
      </c>
      <c r="D508" s="238"/>
      <c r="E508" s="238" t="n">
        <f aca="false">C508*SUM(H483:S483)</f>
        <v>0</v>
      </c>
      <c r="F508" s="460" t="s">
        <v>545</v>
      </c>
      <c r="G508" s="238"/>
      <c r="H508" s="238"/>
      <c r="I508" s="491" t="n">
        <v>0</v>
      </c>
      <c r="J508" s="491" t="n">
        <v>0</v>
      </c>
      <c r="K508" s="491" t="n">
        <v>0</v>
      </c>
      <c r="L508" s="491" t="n">
        <v>0</v>
      </c>
      <c r="M508" s="491" t="n">
        <v>0</v>
      </c>
      <c r="N508" s="491" t="n">
        <v>0</v>
      </c>
      <c r="O508" s="491" t="n">
        <v>0</v>
      </c>
      <c r="P508" s="491" t="n">
        <v>0</v>
      </c>
      <c r="Q508" s="491" t="n">
        <v>0</v>
      </c>
      <c r="R508" s="491" t="n">
        <v>0</v>
      </c>
      <c r="S508" s="491" t="n">
        <v>0</v>
      </c>
      <c r="T508" s="491" t="n">
        <v>0</v>
      </c>
      <c r="U508" s="491" t="n">
        <v>0</v>
      </c>
      <c r="V508" s="491" t="n">
        <v>0</v>
      </c>
      <c r="W508" s="491" t="n">
        <v>0</v>
      </c>
      <c r="X508" s="491" t="n">
        <v>0</v>
      </c>
      <c r="Z508" s="238"/>
      <c r="AA508" s="238"/>
      <c r="AB508" s="238"/>
      <c r="AC508" s="238"/>
      <c r="AD508" s="238"/>
      <c r="AE508" s="238"/>
      <c r="AF508" s="238"/>
    </row>
    <row r="509" customFormat="false" ht="12" hidden="false" customHeight="false" outlineLevel="0" collapsed="false">
      <c r="A509" s="450" t="s">
        <v>552</v>
      </c>
      <c r="B509" s="238"/>
      <c r="C509" s="450" t="s">
        <v>553</v>
      </c>
      <c r="D509" s="238"/>
      <c r="E509" s="490" t="n">
        <f aca="false">SUM(E503:E508)</f>
        <v>774.44448</v>
      </c>
      <c r="F509" s="238"/>
      <c r="G509" s="450" t="s">
        <v>422</v>
      </c>
      <c r="H509" s="238"/>
      <c r="I509" s="490" t="n">
        <f aca="false">SUM(I506:I508)</f>
        <v>51.629632</v>
      </c>
      <c r="J509" s="490" t="n">
        <f aca="false">SUM(J506:J508)</f>
        <v>51.629632</v>
      </c>
      <c r="K509" s="490" t="n">
        <f aca="false">SUM(K506:K508)</f>
        <v>51.629632</v>
      </c>
      <c r="L509" s="490" t="n">
        <f aca="false">SUM(L506:L508)</f>
        <v>51.629632</v>
      </c>
      <c r="M509" s="490" t="n">
        <f aca="false">SUM(M506:M508)</f>
        <v>51.629632</v>
      </c>
      <c r="N509" s="490" t="n">
        <f aca="false">SUM(N506:N508)</f>
        <v>51.629632</v>
      </c>
      <c r="O509" s="490" t="n">
        <f aca="false">SUM(O506:O508)</f>
        <v>51.629632</v>
      </c>
      <c r="P509" s="490" t="n">
        <f aca="false">SUM(P506:P508)</f>
        <v>51.629632</v>
      </c>
      <c r="Q509" s="490" t="n">
        <f aca="false">SUM(Q506:Q508)</f>
        <v>51.629632</v>
      </c>
      <c r="R509" s="490" t="n">
        <f aca="false">SUM(R506:R508)</f>
        <v>51.629632</v>
      </c>
      <c r="S509" s="490" t="n">
        <f aca="false">SUM(S506:S508)</f>
        <v>51.629632</v>
      </c>
      <c r="T509" s="490" t="n">
        <f aca="false">SUM(T506:T508)</f>
        <v>51.629632</v>
      </c>
      <c r="U509" s="490" t="n">
        <f aca="false">SUM(U506:U508)</f>
        <v>51.629632</v>
      </c>
      <c r="V509" s="490" t="n">
        <f aca="false">SUM(V506:V508)</f>
        <v>51.629632</v>
      </c>
      <c r="W509" s="490" t="n">
        <f aca="false">SUM(W506:W508)</f>
        <v>51.629632</v>
      </c>
      <c r="X509" s="490" t="n">
        <f aca="false">SUM(X506:X508)</f>
        <v>0</v>
      </c>
      <c r="Y509" s="238"/>
      <c r="Z509" s="238"/>
      <c r="AA509" s="238"/>
      <c r="AB509" s="238"/>
      <c r="AC509" s="238"/>
      <c r="AD509" s="238"/>
      <c r="AE509" s="238"/>
      <c r="AF509" s="238"/>
    </row>
    <row r="510" customFormat="false" ht="12" hidden="false" customHeight="false" outlineLevel="0" collapsed="false">
      <c r="A510" s="450"/>
      <c r="B510" s="238"/>
      <c r="C510" s="450"/>
      <c r="D510" s="238"/>
      <c r="E510" s="430"/>
      <c r="F510" s="238"/>
      <c r="G510" s="450"/>
      <c r="H510" s="238"/>
      <c r="I510" s="430"/>
      <c r="J510" s="430"/>
      <c r="K510" s="430"/>
      <c r="L510" s="430"/>
      <c r="M510" s="430"/>
      <c r="N510" s="430"/>
      <c r="O510" s="430"/>
      <c r="P510" s="430"/>
      <c r="Q510" s="430"/>
      <c r="R510" s="430"/>
      <c r="S510" s="430"/>
      <c r="T510" s="238"/>
      <c r="U510" s="238"/>
      <c r="V510" s="238"/>
      <c r="W510" s="238"/>
      <c r="X510" s="238"/>
      <c r="Y510" s="238"/>
      <c r="Z510" s="238"/>
      <c r="AA510" s="238"/>
      <c r="AB510" s="238"/>
      <c r="AC510" s="238"/>
      <c r="AD510" s="238"/>
      <c r="AE510" s="238"/>
      <c r="AF510" s="238"/>
    </row>
    <row r="511" customFormat="false" ht="12" hidden="false" customHeight="false" outlineLevel="0" collapsed="false">
      <c r="A511" s="450"/>
      <c r="B511" s="238"/>
      <c r="C511" s="450"/>
      <c r="D511" s="238"/>
      <c r="E511" s="430"/>
      <c r="F511" s="238"/>
      <c r="G511" s="450"/>
      <c r="H511" s="238"/>
      <c r="I511" s="430"/>
      <c r="J511" s="430"/>
      <c r="K511" s="430"/>
      <c r="L511" s="430"/>
      <c r="M511" s="430"/>
      <c r="N511" s="430"/>
      <c r="O511" s="430"/>
      <c r="P511" s="430"/>
      <c r="Q511" s="430"/>
      <c r="R511" s="430"/>
      <c r="S511" s="430"/>
      <c r="T511" s="430"/>
      <c r="U511" s="430"/>
      <c r="V511" s="430"/>
      <c r="W511" s="430"/>
      <c r="X511" s="430"/>
      <c r="Y511" s="430"/>
      <c r="Z511" s="430"/>
      <c r="AA511" s="430"/>
      <c r="AB511" s="430"/>
      <c r="AC511" s="430"/>
      <c r="AD511" s="430"/>
      <c r="AE511" s="430"/>
      <c r="AF511" s="430"/>
    </row>
    <row r="512" customFormat="false" ht="12" hidden="false" customHeight="false" outlineLevel="0" collapsed="false">
      <c r="A512" s="518"/>
      <c r="B512" s="431"/>
      <c r="C512" s="518"/>
      <c r="D512" s="431"/>
      <c r="E512" s="431"/>
      <c r="F512" s="431"/>
      <c r="G512" s="518"/>
      <c r="H512" s="431"/>
      <c r="I512" s="431"/>
      <c r="J512" s="431"/>
      <c r="K512" s="431"/>
      <c r="L512" s="431"/>
      <c r="M512" s="431"/>
      <c r="N512" s="431"/>
      <c r="O512" s="431"/>
      <c r="P512" s="431"/>
      <c r="Q512" s="431"/>
      <c r="R512" s="431"/>
      <c r="S512" s="431"/>
      <c r="T512" s="431"/>
      <c r="U512" s="431"/>
      <c r="V512" s="431"/>
      <c r="W512" s="431"/>
      <c r="X512" s="431"/>
      <c r="Y512" s="431"/>
      <c r="Z512" s="431"/>
      <c r="AA512" s="431"/>
      <c r="AB512" s="431"/>
      <c r="AC512" s="431"/>
      <c r="AD512" s="431"/>
      <c r="AE512" s="431"/>
      <c r="AF512" s="431"/>
    </row>
    <row r="513" customFormat="false" ht="16.5" hidden="false" customHeight="false" outlineLevel="0" collapsed="false">
      <c r="A513" s="463" t="s">
        <v>554</v>
      </c>
      <c r="B513" s="238"/>
      <c r="C513" s="238"/>
      <c r="D513" s="238"/>
      <c r="E513" s="238"/>
      <c r="F513" s="238"/>
      <c r="G513" s="238" t="s">
        <v>555</v>
      </c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238"/>
      <c r="W513" s="238"/>
      <c r="X513" s="238"/>
      <c r="Y513" s="238"/>
      <c r="Z513" s="238"/>
      <c r="AA513" s="238"/>
      <c r="AB513" s="238"/>
      <c r="AC513" s="238"/>
      <c r="AD513" s="238"/>
      <c r="AE513" s="238"/>
      <c r="AF513" s="238"/>
    </row>
    <row r="514" customFormat="false" ht="12.75" hidden="false" customHeight="false" outlineLevel="0" collapsed="false">
      <c r="A514" s="473" t="s">
        <v>556</v>
      </c>
      <c r="B514" s="238"/>
      <c r="C514" s="238"/>
      <c r="D514" s="238"/>
      <c r="E514" s="546" t="n">
        <f aca="false">E638</f>
        <v>35430</v>
      </c>
      <c r="F514" s="546" t="n">
        <f aca="false">E514+1</f>
        <v>35431</v>
      </c>
      <c r="G514" s="546" t="n">
        <f aca="false">F514+365</f>
        <v>35796</v>
      </c>
      <c r="H514" s="238"/>
      <c r="I514" s="547" t="n">
        <f aca="false">C467</f>
        <v>36373</v>
      </c>
      <c r="J514" s="238"/>
      <c r="K514" s="539" t="s">
        <v>557</v>
      </c>
      <c r="L514" s="539" t="s">
        <v>558</v>
      </c>
      <c r="M514" s="238"/>
      <c r="N514" s="547" t="n">
        <f aca="false">I514</f>
        <v>36373</v>
      </c>
      <c r="O514" s="238"/>
      <c r="P514" s="548" t="s">
        <v>559</v>
      </c>
      <c r="Q514" s="548"/>
      <c r="R514" s="241"/>
      <c r="S514" s="238"/>
      <c r="T514" s="238"/>
      <c r="U514" s="238"/>
      <c r="V514" s="238"/>
      <c r="W514" s="238"/>
      <c r="X514" s="238"/>
      <c r="Y514" s="238"/>
      <c r="Z514" s="238"/>
      <c r="AA514" s="238"/>
      <c r="AB514" s="238"/>
      <c r="AC514" s="238"/>
      <c r="AD514" s="238"/>
      <c r="AE514" s="238"/>
      <c r="AF514" s="238"/>
    </row>
    <row r="515" customFormat="false" ht="12.75" hidden="false" customHeight="false" outlineLevel="0" collapsed="false">
      <c r="A515" s="450" t="s">
        <v>560</v>
      </c>
      <c r="B515" s="238"/>
      <c r="C515" s="238"/>
      <c r="D515" s="238"/>
      <c r="E515" s="467" t="n">
        <v>0</v>
      </c>
      <c r="F515" s="467" t="n">
        <v>960</v>
      </c>
      <c r="G515" s="549" t="n">
        <v>1493</v>
      </c>
      <c r="H515" s="238"/>
      <c r="I515" s="550" t="n">
        <v>1493</v>
      </c>
      <c r="J515" s="468"/>
      <c r="K515" s="551" t="n">
        <f aca="false">H569</f>
        <v>0</v>
      </c>
      <c r="L515" s="468" t="n">
        <f aca="false">H484</f>
        <v>0</v>
      </c>
      <c r="M515" s="468"/>
      <c r="N515" s="468" t="n">
        <f aca="false">K515</f>
        <v>0</v>
      </c>
      <c r="O515" s="468"/>
      <c r="P515" s="552" t="str">
        <f aca="false">"at "&amp;TEXT(N514,"mm/dd/yy")&amp;":*"</f>
        <v>at 08/01/99:*</v>
      </c>
      <c r="Q515" s="552"/>
      <c r="R515" s="241"/>
      <c r="S515" s="238"/>
      <c r="T515" s="238"/>
      <c r="U515" s="238"/>
      <c r="V515" s="238"/>
      <c r="W515" s="238"/>
      <c r="X515" s="238"/>
      <c r="Y515" s="238"/>
      <c r="Z515" s="238"/>
      <c r="AA515" s="238"/>
      <c r="AB515" s="238"/>
      <c r="AC515" s="238"/>
      <c r="AD515" s="238"/>
      <c r="AE515" s="238"/>
      <c r="AF515" s="238"/>
    </row>
    <row r="516" customFormat="false" ht="12" hidden="false" customHeight="false" outlineLevel="0" collapsed="false">
      <c r="A516" s="450" t="s">
        <v>561</v>
      </c>
      <c r="B516" s="238"/>
      <c r="C516" s="238"/>
      <c r="D516" s="238"/>
      <c r="E516" s="467" t="n">
        <v>0</v>
      </c>
      <c r="F516" s="467" t="n">
        <v>1187</v>
      </c>
      <c r="G516" s="467" t="n">
        <v>591</v>
      </c>
      <c r="H516" s="238"/>
      <c r="I516" s="467" t="n">
        <v>591</v>
      </c>
      <c r="J516" s="468"/>
      <c r="K516" s="467" t="n">
        <f aca="false">H571</f>
        <v>303.375274134863</v>
      </c>
      <c r="L516" s="467"/>
      <c r="M516" s="468"/>
      <c r="N516" s="468" t="n">
        <f aca="false">K516</f>
        <v>303.375274134863</v>
      </c>
      <c r="O516" s="468"/>
      <c r="P516" s="553" t="n">
        <f aca="false">N515</f>
        <v>0</v>
      </c>
      <c r="Q516" s="461"/>
      <c r="R516" s="241"/>
      <c r="S516" s="238"/>
      <c r="T516" s="238"/>
      <c r="U516" s="238"/>
      <c r="V516" s="238"/>
      <c r="W516" s="238"/>
      <c r="X516" s="238"/>
      <c r="Y516" s="238"/>
      <c r="Z516" s="238"/>
      <c r="AA516" s="238"/>
      <c r="AB516" s="238"/>
      <c r="AC516" s="238"/>
      <c r="AD516" s="238"/>
      <c r="AE516" s="238"/>
      <c r="AF516" s="238"/>
    </row>
    <row r="517" customFormat="false" ht="11.25" hidden="false" customHeight="false" outlineLevel="0" collapsed="false">
      <c r="A517" s="450" t="s">
        <v>562</v>
      </c>
      <c r="B517" s="238"/>
      <c r="C517" s="238"/>
      <c r="D517" s="238"/>
      <c r="E517" s="467" t="n">
        <v>0</v>
      </c>
      <c r="F517" s="467" t="n">
        <v>0</v>
      </c>
      <c r="G517" s="467" t="n">
        <v>0</v>
      </c>
      <c r="H517" s="238"/>
      <c r="I517" s="467" t="n">
        <v>0</v>
      </c>
      <c r="J517" s="468"/>
      <c r="K517" s="467" t="n">
        <v>0</v>
      </c>
      <c r="L517" s="467"/>
      <c r="M517" s="468"/>
      <c r="N517" s="468" t="n">
        <f aca="false">I517+K517-L517</f>
        <v>0</v>
      </c>
      <c r="O517" s="468"/>
      <c r="P517" s="238"/>
      <c r="Q517" s="468"/>
      <c r="R517" s="468"/>
      <c r="S517" s="238"/>
      <c r="T517" s="238"/>
      <c r="U517" s="238"/>
      <c r="V517" s="238"/>
      <c r="W517" s="238"/>
      <c r="X517" s="238"/>
      <c r="Y517" s="238"/>
      <c r="Z517" s="238"/>
      <c r="AA517" s="238"/>
      <c r="AB517" s="238"/>
      <c r="AC517" s="238"/>
      <c r="AD517" s="238"/>
      <c r="AE517" s="238"/>
      <c r="AF517" s="238"/>
    </row>
    <row r="518" customFormat="false" ht="11.25" hidden="false" customHeight="false" outlineLevel="0" collapsed="false">
      <c r="A518" s="450" t="s">
        <v>563</v>
      </c>
      <c r="B518" s="238"/>
      <c r="C518" s="238"/>
      <c r="D518" s="238"/>
      <c r="E518" s="467" t="n">
        <v>0</v>
      </c>
      <c r="F518" s="467" t="n">
        <v>427</v>
      </c>
      <c r="G518" s="467" t="n">
        <v>381</v>
      </c>
      <c r="H518" s="238"/>
      <c r="I518" s="467" t="n">
        <v>381</v>
      </c>
      <c r="J518" s="468"/>
      <c r="K518" s="467" t="n">
        <v>0</v>
      </c>
      <c r="L518" s="467"/>
      <c r="M518" s="468"/>
      <c r="N518" s="468" t="n">
        <v>0</v>
      </c>
      <c r="O518" s="468"/>
      <c r="P518" s="238"/>
      <c r="Q518" s="468"/>
      <c r="R518" s="468"/>
      <c r="S518" s="238"/>
      <c r="T518" s="238"/>
      <c r="U518" s="238"/>
      <c r="V518" s="238"/>
      <c r="W518" s="238"/>
      <c r="X518" s="238"/>
      <c r="Y518" s="238"/>
      <c r="Z518" s="238"/>
      <c r="AA518" s="238"/>
      <c r="AB518" s="238"/>
      <c r="AC518" s="238"/>
      <c r="AD518" s="238"/>
      <c r="AE518" s="238"/>
      <c r="AF518" s="238"/>
    </row>
    <row r="519" customFormat="false" ht="11.25" hidden="false" customHeight="false" outlineLevel="0" collapsed="false">
      <c r="A519" s="473" t="s">
        <v>564</v>
      </c>
      <c r="B519" s="238"/>
      <c r="C519" s="238"/>
      <c r="D519" s="238"/>
      <c r="E519" s="477" t="n">
        <f aca="false">SUM(E515:E518)</f>
        <v>0</v>
      </c>
      <c r="F519" s="477" t="n">
        <f aca="false">SUM(F515:F518)</f>
        <v>2574</v>
      </c>
      <c r="G519" s="477" t="n">
        <f aca="false">SUM(G515:G518)</f>
        <v>2465</v>
      </c>
      <c r="H519" s="238"/>
      <c r="I519" s="477" t="n">
        <f aca="false">SUM(I515:I518)</f>
        <v>2465</v>
      </c>
      <c r="J519" s="468"/>
      <c r="K519" s="477" t="n">
        <f aca="false">SUM(K515:K518)</f>
        <v>303.375274134863</v>
      </c>
      <c r="L519" s="477" t="n">
        <f aca="false">SUM(L515:L518)</f>
        <v>0</v>
      </c>
      <c r="M519" s="468"/>
      <c r="N519" s="477" t="n">
        <f aca="false">SUM(N515:N518)</f>
        <v>303.375274134863</v>
      </c>
      <c r="O519" s="468"/>
      <c r="P519" s="238"/>
      <c r="Q519" s="468"/>
      <c r="R519" s="46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</row>
    <row r="520" customFormat="false" ht="11.25" hidden="false" customHeight="false" outlineLevel="0" collapsed="false">
      <c r="A520" s="238"/>
      <c r="B520" s="238"/>
      <c r="C520" s="238"/>
      <c r="D520" s="238"/>
      <c r="E520" s="467"/>
      <c r="F520" s="467"/>
      <c r="G520" s="467"/>
      <c r="H520" s="238"/>
      <c r="I520" s="467"/>
      <c r="J520" s="468"/>
      <c r="K520" s="468"/>
      <c r="L520" s="468"/>
      <c r="M520" s="468"/>
      <c r="N520" s="468"/>
      <c r="O520" s="468"/>
      <c r="P520" s="238"/>
      <c r="Q520" s="468"/>
      <c r="R520" s="468"/>
      <c r="S520" s="238"/>
      <c r="T520" s="238"/>
      <c r="U520" s="238"/>
      <c r="V520" s="238"/>
      <c r="W520" s="238"/>
      <c r="X520" s="238"/>
      <c r="Y520" s="238"/>
      <c r="Z520" s="238"/>
      <c r="AA520" s="238"/>
      <c r="AB520" s="238"/>
      <c r="AC520" s="238"/>
      <c r="AD520" s="238"/>
      <c r="AE520" s="238"/>
      <c r="AF520" s="238"/>
    </row>
    <row r="521" customFormat="false" ht="11.25" hidden="false" customHeight="false" outlineLevel="0" collapsed="false">
      <c r="A521" s="450" t="s">
        <v>565</v>
      </c>
      <c r="B521" s="238"/>
      <c r="C521" s="238"/>
      <c r="D521" s="238"/>
      <c r="E521" s="467" t="n">
        <v>0</v>
      </c>
      <c r="F521" s="467" t="n">
        <v>0</v>
      </c>
      <c r="G521" s="467" t="n">
        <v>0</v>
      </c>
      <c r="H521" s="238"/>
      <c r="I521" s="467" t="n">
        <v>0</v>
      </c>
      <c r="J521" s="468"/>
      <c r="K521" s="554" t="n">
        <f aca="false">H488</f>
        <v>0</v>
      </c>
      <c r="L521" s="467"/>
      <c r="M521" s="468"/>
      <c r="N521" s="468" t="n">
        <f aca="false">I521+K521-L521</f>
        <v>0</v>
      </c>
      <c r="O521" s="468"/>
      <c r="P521" s="468"/>
      <c r="Q521" s="468"/>
      <c r="R521" s="468"/>
      <c r="S521" s="238"/>
      <c r="T521" s="238"/>
      <c r="U521" s="238"/>
      <c r="V521" s="238"/>
      <c r="W521" s="238"/>
      <c r="X521" s="238"/>
      <c r="Y521" s="238"/>
      <c r="Z521" s="238"/>
      <c r="AA521" s="238"/>
      <c r="AB521" s="238"/>
      <c r="AC521" s="238"/>
      <c r="AD521" s="238"/>
      <c r="AE521" s="238"/>
      <c r="AF521" s="238"/>
    </row>
    <row r="522" customFormat="false" ht="11.25" hidden="false" customHeight="false" outlineLevel="0" collapsed="false">
      <c r="A522" s="450" t="s">
        <v>533</v>
      </c>
      <c r="B522" s="238"/>
      <c r="C522" s="238"/>
      <c r="D522" s="238"/>
      <c r="E522" s="467" t="n">
        <v>0</v>
      </c>
      <c r="F522" s="467" t="n">
        <v>0</v>
      </c>
      <c r="G522" s="467" t="n">
        <v>0</v>
      </c>
      <c r="H522" s="238"/>
      <c r="I522" s="555" t="n">
        <f aca="false">G522</f>
        <v>0</v>
      </c>
      <c r="J522" s="468"/>
      <c r="K522" s="556" t="n">
        <f aca="false">E509</f>
        <v>774.44448</v>
      </c>
      <c r="L522" s="467"/>
      <c r="M522" s="467" t="s">
        <v>566</v>
      </c>
      <c r="N522" s="468" t="n">
        <f aca="false">I522+K522-L522</f>
        <v>774.44448</v>
      </c>
      <c r="O522" s="468"/>
      <c r="P522" s="468"/>
      <c r="Q522" s="468"/>
      <c r="R522" s="468"/>
      <c r="S522" s="238"/>
      <c r="T522" s="238"/>
      <c r="U522" s="238"/>
      <c r="V522" s="238"/>
      <c r="W522" s="238"/>
      <c r="X522" s="238"/>
      <c r="Y522" s="238"/>
      <c r="Z522" s="238"/>
      <c r="AA522" s="238"/>
      <c r="AB522" s="238"/>
      <c r="AC522" s="238"/>
      <c r="AD522" s="238"/>
      <c r="AE522" s="238"/>
      <c r="AF522" s="238"/>
    </row>
    <row r="523" customFormat="false" ht="11.25" hidden="false" customHeight="false" outlineLevel="0" collapsed="false">
      <c r="A523" s="238"/>
      <c r="B523" s="238"/>
      <c r="C523" s="238"/>
      <c r="D523" s="238"/>
      <c r="E523" s="467"/>
      <c r="F523" s="467"/>
      <c r="G523" s="467"/>
      <c r="H523" s="238"/>
      <c r="I523" s="467"/>
      <c r="J523" s="468"/>
      <c r="K523" s="554"/>
      <c r="L523" s="467"/>
      <c r="M523" s="468"/>
      <c r="N523" s="468"/>
      <c r="O523" s="468"/>
      <c r="P523" s="468"/>
      <c r="Q523" s="468"/>
      <c r="R523" s="468"/>
      <c r="S523" s="238"/>
      <c r="T523" s="238"/>
      <c r="U523" s="238"/>
      <c r="V523" s="238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</row>
    <row r="524" customFormat="false" ht="11.25" hidden="false" customHeight="false" outlineLevel="0" collapsed="false">
      <c r="A524" s="450" t="s">
        <v>567</v>
      </c>
      <c r="B524" s="238"/>
      <c r="C524" s="238"/>
      <c r="D524" s="238"/>
      <c r="E524" s="467" t="n">
        <v>0</v>
      </c>
      <c r="F524" s="467" t="n">
        <v>68707</v>
      </c>
      <c r="G524" s="525" t="n">
        <v>68740</v>
      </c>
      <c r="H524" s="238"/>
      <c r="I524" s="467" t="n">
        <v>68740</v>
      </c>
      <c r="J524" s="468"/>
      <c r="K524" s="525" t="n">
        <f aca="false">H10</f>
        <v>78714.55552</v>
      </c>
      <c r="L524" s="467" t="n">
        <v>0</v>
      </c>
      <c r="M524" s="468"/>
      <c r="N524" s="468" t="n">
        <f aca="false">K524</f>
        <v>78714.55552</v>
      </c>
      <c r="O524" s="468"/>
      <c r="P524" s="468"/>
      <c r="Q524" s="468"/>
      <c r="R524" s="468"/>
      <c r="S524" s="238"/>
      <c r="T524" s="238"/>
      <c r="U524" s="238"/>
      <c r="V524" s="238"/>
      <c r="W524" s="238"/>
      <c r="X524" s="238"/>
      <c r="Y524" s="238"/>
      <c r="Z524" s="238"/>
      <c r="AA524" s="238"/>
      <c r="AB524" s="238"/>
      <c r="AC524" s="238"/>
      <c r="AD524" s="238"/>
      <c r="AE524" s="238"/>
      <c r="AF524" s="238"/>
    </row>
    <row r="525" customFormat="false" ht="11.25" hidden="false" customHeight="false" outlineLevel="0" collapsed="false">
      <c r="A525" s="450" t="s">
        <v>568</v>
      </c>
      <c r="B525" s="238"/>
      <c r="C525" s="238"/>
      <c r="D525" s="238"/>
      <c r="E525" s="467" t="n">
        <v>0</v>
      </c>
      <c r="F525" s="467" t="n">
        <v>-8596</v>
      </c>
      <c r="G525" s="467" t="n">
        <v>-11789</v>
      </c>
      <c r="H525" s="238"/>
      <c r="I525" s="467" t="n">
        <v>-11789</v>
      </c>
      <c r="J525" s="468"/>
      <c r="K525" s="467" t="n">
        <v>0</v>
      </c>
      <c r="L525" s="467"/>
      <c r="M525" s="468"/>
      <c r="N525" s="468" t="n">
        <f aca="false">K525</f>
        <v>0</v>
      </c>
      <c r="O525" s="468"/>
      <c r="P525" s="468"/>
      <c r="Q525" s="468"/>
      <c r="R525" s="468"/>
      <c r="S525" s="238"/>
      <c r="T525" s="238"/>
      <c r="U525" s="238"/>
      <c r="V525" s="238"/>
      <c r="W525" s="238"/>
      <c r="X525" s="238"/>
      <c r="Y525" s="238"/>
      <c r="Z525" s="238"/>
      <c r="AA525" s="238"/>
      <c r="AB525" s="238"/>
      <c r="AC525" s="238"/>
      <c r="AD525" s="238"/>
      <c r="AE525" s="238"/>
      <c r="AF525" s="238"/>
    </row>
    <row r="526" customFormat="false" ht="11.25" hidden="false" customHeight="false" outlineLevel="0" collapsed="false">
      <c r="A526" s="473" t="s">
        <v>569</v>
      </c>
      <c r="B526" s="238"/>
      <c r="C526" s="238"/>
      <c r="D526" s="238"/>
      <c r="E526" s="477" t="n">
        <f aca="false">E524+E525</f>
        <v>0</v>
      </c>
      <c r="F526" s="477" t="n">
        <f aca="false">F524+F525</f>
        <v>60111</v>
      </c>
      <c r="G526" s="477" t="n">
        <f aca="false">G524+G525</f>
        <v>56951</v>
      </c>
      <c r="H526" s="238"/>
      <c r="I526" s="477" t="n">
        <f aca="false">I524+I525</f>
        <v>56951</v>
      </c>
      <c r="J526" s="468"/>
      <c r="K526" s="477" t="n">
        <f aca="false">K524+K525</f>
        <v>78714.55552</v>
      </c>
      <c r="L526" s="468"/>
      <c r="M526" s="468"/>
      <c r="N526" s="477" t="n">
        <f aca="false">N524+N525</f>
        <v>78714.55552</v>
      </c>
      <c r="O526" s="468"/>
      <c r="P526" s="468"/>
      <c r="Q526" s="468"/>
      <c r="R526" s="468"/>
      <c r="S526" s="238"/>
      <c r="T526" s="238"/>
      <c r="U526" s="238"/>
      <c r="V526" s="238"/>
      <c r="W526" s="238"/>
      <c r="X526" s="238"/>
      <c r="Y526" s="238"/>
      <c r="Z526" s="238"/>
      <c r="AA526" s="238"/>
      <c r="AB526" s="238"/>
      <c r="AC526" s="238"/>
      <c r="AD526" s="238"/>
      <c r="AE526" s="238"/>
      <c r="AF526" s="238"/>
    </row>
    <row r="527" customFormat="false" ht="11.25" hidden="false" customHeight="false" outlineLevel="0" collapsed="false">
      <c r="A527" s="238"/>
      <c r="B527" s="238"/>
      <c r="C527" s="238"/>
      <c r="D527" s="238"/>
      <c r="E527" s="468"/>
      <c r="F527" s="468"/>
      <c r="G527" s="468"/>
      <c r="H527" s="238"/>
      <c r="I527" s="468"/>
      <c r="J527" s="468"/>
      <c r="K527" s="468"/>
      <c r="L527" s="468"/>
      <c r="M527" s="468"/>
      <c r="N527" s="468"/>
      <c r="O527" s="468"/>
      <c r="P527" s="468"/>
      <c r="Q527" s="468"/>
      <c r="R527" s="468"/>
      <c r="S527" s="238"/>
      <c r="T527" s="238"/>
      <c r="U527" s="238"/>
      <c r="V527" s="238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</row>
    <row r="528" customFormat="false" ht="11.25" hidden="false" customHeight="false" outlineLevel="0" collapsed="false">
      <c r="A528" s="450" t="s">
        <v>570</v>
      </c>
      <c r="B528" s="238"/>
      <c r="C528" s="238"/>
      <c r="D528" s="238"/>
      <c r="E528" s="467" t="n">
        <v>0</v>
      </c>
      <c r="F528" s="467" t="n">
        <v>0</v>
      </c>
      <c r="G528" s="467" t="n">
        <v>590</v>
      </c>
      <c r="H528" s="238"/>
      <c r="I528" s="467" t="n">
        <v>590</v>
      </c>
      <c r="J528" s="468"/>
      <c r="K528" s="467" t="n">
        <v>0</v>
      </c>
      <c r="L528" s="467"/>
      <c r="M528" s="468"/>
      <c r="N528" s="468" t="n">
        <v>0</v>
      </c>
      <c r="O528" s="468"/>
      <c r="P528" s="468"/>
      <c r="Q528" s="468"/>
      <c r="R528" s="46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</row>
    <row r="529" customFormat="false" ht="11.25" hidden="false" customHeight="false" outlineLevel="0" collapsed="false">
      <c r="A529" s="450" t="s">
        <v>571</v>
      </c>
      <c r="B529" s="238"/>
      <c r="C529" s="238"/>
      <c r="D529" s="238"/>
      <c r="E529" s="467" t="n">
        <v>0</v>
      </c>
      <c r="F529" s="467" t="n">
        <v>5250</v>
      </c>
      <c r="G529" s="467" t="n">
        <v>5851</v>
      </c>
      <c r="H529" s="238"/>
      <c r="I529" s="467" t="n">
        <v>5851</v>
      </c>
      <c r="J529" s="468"/>
      <c r="K529" s="555" t="n">
        <f aca="false">Summary!E97</f>
        <v>0</v>
      </c>
      <c r="L529" s="467"/>
      <c r="M529" s="468"/>
      <c r="N529" s="468" t="n">
        <f aca="false">K529</f>
        <v>0</v>
      </c>
      <c r="O529" s="468"/>
      <c r="P529" s="468"/>
      <c r="Q529" s="468"/>
      <c r="R529" s="468"/>
      <c r="S529" s="238"/>
      <c r="T529" s="238"/>
      <c r="U529" s="238"/>
      <c r="V529" s="238"/>
      <c r="W529" s="238"/>
      <c r="X529" s="238"/>
      <c r="Y529" s="238"/>
      <c r="Z529" s="238"/>
      <c r="AA529" s="238"/>
      <c r="AB529" s="238"/>
      <c r="AC529" s="238"/>
      <c r="AD529" s="238"/>
      <c r="AE529" s="238"/>
      <c r="AF529" s="238"/>
    </row>
    <row r="530" customFormat="false" ht="12" hidden="false" customHeight="false" outlineLevel="0" collapsed="false">
      <c r="A530" s="473" t="s">
        <v>572</v>
      </c>
      <c r="B530" s="238"/>
      <c r="C530" s="238"/>
      <c r="D530" s="238"/>
      <c r="E530" s="487" t="n">
        <f aca="false">E519+E521+E522+E526+E528+E529</f>
        <v>0</v>
      </c>
      <c r="F530" s="487" t="n">
        <f aca="false">F519+F521+F522+F526+F528+F529</f>
        <v>67935</v>
      </c>
      <c r="G530" s="487" t="n">
        <f aca="false">G519+G521+G522+G526+G528+G529</f>
        <v>65857</v>
      </c>
      <c r="H530" s="238"/>
      <c r="I530" s="487" t="n">
        <f aca="false">I519+I521+I522+I526+I528+I529</f>
        <v>65857</v>
      </c>
      <c r="J530" s="468"/>
      <c r="K530" s="487" t="n">
        <f aca="false">K519+K521+K522+K526+K528+K529</f>
        <v>79792.3752741349</v>
      </c>
      <c r="L530" s="487" t="n">
        <f aca="false">L519+L521+L522+L526+L528+L529</f>
        <v>0</v>
      </c>
      <c r="M530" s="468"/>
      <c r="N530" s="487" t="n">
        <f aca="false">N519+N521+N522+N526+N528+N529</f>
        <v>79792.3752741349</v>
      </c>
      <c r="O530" s="46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</row>
    <row r="531" customFormat="false" ht="12" hidden="false" customHeight="false" outlineLevel="0" collapsed="false">
      <c r="A531" s="238"/>
      <c r="B531" s="238"/>
      <c r="C531" s="238"/>
      <c r="D531" s="238"/>
      <c r="E531" s="467"/>
      <c r="F531" s="467"/>
      <c r="G531" s="467"/>
      <c r="H531" s="238"/>
      <c r="I531" s="467"/>
      <c r="J531" s="468"/>
      <c r="K531" s="468"/>
      <c r="L531" s="468"/>
      <c r="M531" s="468"/>
      <c r="N531" s="468"/>
      <c r="O531" s="468"/>
      <c r="P531" s="238"/>
      <c r="Q531" s="238"/>
      <c r="R531" s="238"/>
      <c r="S531" s="238"/>
      <c r="T531" s="238"/>
      <c r="U531" s="238"/>
      <c r="V531" s="238"/>
      <c r="W531" s="238"/>
      <c r="X531" s="238"/>
      <c r="Y531" s="238"/>
      <c r="Z531" s="238"/>
      <c r="AA531" s="238"/>
      <c r="AB531" s="238"/>
      <c r="AC531" s="238"/>
      <c r="AD531" s="238"/>
      <c r="AE531" s="238"/>
      <c r="AF531" s="238"/>
    </row>
    <row r="532" customFormat="false" ht="12" hidden="false" customHeight="false" outlineLevel="0" collapsed="false">
      <c r="A532" s="473" t="s">
        <v>573</v>
      </c>
      <c r="B532" s="238"/>
      <c r="C532" s="238"/>
      <c r="D532" s="238"/>
      <c r="E532" s="468"/>
      <c r="F532" s="468"/>
      <c r="G532" s="468"/>
      <c r="H532" s="238"/>
      <c r="I532" s="468"/>
      <c r="J532" s="468"/>
      <c r="K532" s="468"/>
      <c r="L532" s="468"/>
      <c r="M532" s="468"/>
      <c r="N532" s="468"/>
      <c r="O532" s="468"/>
      <c r="P532" s="238"/>
      <c r="Q532" s="238"/>
      <c r="R532" s="238"/>
      <c r="S532" s="238"/>
      <c r="T532" s="238"/>
      <c r="U532" s="238"/>
      <c r="V532" s="238"/>
      <c r="W532" s="238"/>
      <c r="X532" s="238"/>
      <c r="Y532" s="238"/>
      <c r="Z532" s="238"/>
      <c r="AA532" s="238"/>
      <c r="AB532" s="238"/>
      <c r="AC532" s="238"/>
      <c r="AD532" s="238"/>
      <c r="AE532" s="238"/>
      <c r="AF532" s="238"/>
    </row>
    <row r="533" customFormat="false" ht="12" hidden="false" customHeight="false" outlineLevel="0" collapsed="false">
      <c r="A533" s="450" t="s">
        <v>574</v>
      </c>
      <c r="B533" s="238"/>
      <c r="C533" s="238"/>
      <c r="D533" s="238"/>
      <c r="E533" s="467" t="n">
        <v>0</v>
      </c>
      <c r="F533" s="467" t="n">
        <v>920</v>
      </c>
      <c r="G533" s="467" t="n">
        <v>951</v>
      </c>
      <c r="H533" s="238"/>
      <c r="I533" s="467" t="n">
        <v>951</v>
      </c>
      <c r="J533" s="468"/>
      <c r="K533" s="467" t="n">
        <f aca="false">H574</f>
        <v>-707.624725865137</v>
      </c>
      <c r="L533" s="467"/>
      <c r="M533" s="468"/>
      <c r="N533" s="468" t="n">
        <f aca="false">K533</f>
        <v>-707.624725865137</v>
      </c>
      <c r="O533" s="468"/>
      <c r="P533" s="557" t="s">
        <v>553</v>
      </c>
      <c r="Q533" s="557"/>
      <c r="R533" s="557" t="s">
        <v>575</v>
      </c>
      <c r="S533" s="557"/>
      <c r="T533" s="238"/>
      <c r="U533" s="238"/>
      <c r="V533" s="238"/>
      <c r="W533" s="238"/>
      <c r="X533" s="238"/>
      <c r="Y533" s="238"/>
      <c r="Z533" s="238"/>
      <c r="AA533" s="238"/>
      <c r="AB533" s="238"/>
      <c r="AC533" s="238"/>
      <c r="AD533" s="238"/>
      <c r="AE533" s="238"/>
      <c r="AF533" s="238"/>
    </row>
    <row r="534" customFormat="false" ht="12" hidden="false" customHeight="false" outlineLevel="0" collapsed="false">
      <c r="A534" s="450" t="s">
        <v>576</v>
      </c>
      <c r="B534" s="238"/>
      <c r="C534" s="238"/>
      <c r="D534" s="238"/>
      <c r="E534" s="467" t="n">
        <v>0</v>
      </c>
      <c r="F534" s="467" t="n">
        <v>0</v>
      </c>
      <c r="G534" s="467" t="n">
        <v>0</v>
      </c>
      <c r="H534" s="238"/>
      <c r="I534" s="467" t="n">
        <v>0</v>
      </c>
      <c r="J534" s="468"/>
      <c r="K534" s="467" t="n">
        <v>0</v>
      </c>
      <c r="L534" s="467"/>
      <c r="M534" s="468"/>
      <c r="N534" s="468" t="n">
        <f aca="false">I534+K534-L534</f>
        <v>0</v>
      </c>
      <c r="O534" s="468"/>
      <c r="P534" s="558" t="s">
        <v>577</v>
      </c>
      <c r="Q534" s="558"/>
      <c r="R534" s="558" t="s">
        <v>577</v>
      </c>
      <c r="S534" s="558"/>
      <c r="T534" s="238"/>
      <c r="U534" s="238"/>
      <c r="V534" s="238"/>
      <c r="W534" s="238"/>
      <c r="X534" s="238"/>
      <c r="Y534" s="238"/>
      <c r="Z534" s="238"/>
      <c r="AA534" s="238"/>
      <c r="AB534" s="238"/>
      <c r="AC534" s="238"/>
      <c r="AD534" s="238"/>
      <c r="AE534" s="238"/>
      <c r="AF534" s="238"/>
    </row>
    <row r="535" customFormat="false" ht="12" hidden="false" customHeight="false" outlineLevel="0" collapsed="false">
      <c r="A535" s="450" t="s">
        <v>578</v>
      </c>
      <c r="B535" s="238"/>
      <c r="C535" s="238"/>
      <c r="D535" s="238"/>
      <c r="E535" s="467" t="n">
        <v>0</v>
      </c>
      <c r="F535" s="467" t="n">
        <v>516</v>
      </c>
      <c r="G535" s="467" t="n">
        <v>387</v>
      </c>
      <c r="H535" s="238"/>
      <c r="I535" s="467" t="n">
        <v>387</v>
      </c>
      <c r="J535" s="468"/>
      <c r="K535" s="467" t="n">
        <v>0</v>
      </c>
      <c r="L535" s="467"/>
      <c r="M535" s="468"/>
      <c r="N535" s="468" t="n">
        <v>0</v>
      </c>
      <c r="O535" s="468"/>
      <c r="P535" s="522" t="s">
        <v>541</v>
      </c>
      <c r="Q535" s="522" t="s">
        <v>540</v>
      </c>
      <c r="R535" s="522" t="s">
        <v>541</v>
      </c>
      <c r="S535" s="522" t="s">
        <v>540</v>
      </c>
      <c r="T535" s="238"/>
      <c r="U535" s="238"/>
      <c r="V535" s="238"/>
      <c r="W535" s="238"/>
      <c r="X535" s="238"/>
      <c r="Y535" s="238"/>
      <c r="Z535" s="238"/>
      <c r="AA535" s="238"/>
      <c r="AB535" s="238"/>
      <c r="AC535" s="238"/>
      <c r="AD535" s="238"/>
      <c r="AE535" s="238"/>
      <c r="AF535" s="238"/>
    </row>
    <row r="536" customFormat="false" ht="11.25" hidden="false" customHeight="false" outlineLevel="0" collapsed="false">
      <c r="A536" s="450" t="s">
        <v>579</v>
      </c>
      <c r="B536" s="238"/>
      <c r="C536" s="238"/>
      <c r="D536" s="238"/>
      <c r="E536" s="467" t="n">
        <v>0</v>
      </c>
      <c r="F536" s="467" t="n">
        <v>2067</v>
      </c>
      <c r="G536" s="467" t="n">
        <v>2584</v>
      </c>
      <c r="H536" s="238"/>
      <c r="I536" s="467" t="n">
        <v>2584</v>
      </c>
      <c r="J536" s="468"/>
      <c r="K536" s="467" t="n">
        <v>0</v>
      </c>
      <c r="L536" s="467" t="n">
        <v>0</v>
      </c>
      <c r="M536" s="468"/>
      <c r="N536" s="468" t="n">
        <v>0</v>
      </c>
      <c r="O536" s="468"/>
      <c r="P536" s="468" t="n">
        <f aca="false">N536</f>
        <v>0</v>
      </c>
      <c r="Q536" s="484" t="n">
        <f aca="false">IF($P$552=0,0,P536/$P$552)</f>
        <v>0</v>
      </c>
      <c r="R536" s="468" t="n">
        <f aca="false">N536</f>
        <v>0</v>
      </c>
      <c r="S536" s="484" t="n">
        <f aca="false">IF($R$552=0,0,R536/$R$552)</f>
        <v>0</v>
      </c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</row>
    <row r="537" customFormat="false" ht="11.25" hidden="false" customHeight="false" outlineLevel="0" collapsed="false">
      <c r="A537" s="473" t="s">
        <v>580</v>
      </c>
      <c r="B537" s="238"/>
      <c r="C537" s="238"/>
      <c r="D537" s="238"/>
      <c r="E537" s="477" t="n">
        <f aca="false">SUM(E533:E536)</f>
        <v>0</v>
      </c>
      <c r="F537" s="477" t="n">
        <f aca="false">SUM(F533:F536)</f>
        <v>3503</v>
      </c>
      <c r="G537" s="477" t="n">
        <f aca="false">SUM(G533:G536)</f>
        <v>3922</v>
      </c>
      <c r="H537" s="238"/>
      <c r="I537" s="477" t="n">
        <f aca="false">SUM(I533:I536)</f>
        <v>3922</v>
      </c>
      <c r="J537" s="468"/>
      <c r="K537" s="477" t="n">
        <f aca="false">SUM(K532:K536)</f>
        <v>-707.624725865137</v>
      </c>
      <c r="L537" s="477" t="n">
        <f aca="false">SUM(L532:L536)</f>
        <v>0</v>
      </c>
      <c r="M537" s="468"/>
      <c r="N537" s="477" t="n">
        <f aca="false">SUM(N533:N536)</f>
        <v>-707.624725865137</v>
      </c>
      <c r="O537" s="468"/>
      <c r="P537" s="477" t="n">
        <f aca="false">SUM(P536)</f>
        <v>0</v>
      </c>
      <c r="Q537" s="527" t="n">
        <f aca="false">IF($P$552=0,0,P537/$P$552)</f>
        <v>0</v>
      </c>
      <c r="R537" s="477" t="n">
        <f aca="false">SUM(R536)</f>
        <v>0</v>
      </c>
      <c r="S537" s="527" t="n">
        <f aca="false">IF($R$552=0,0,R537/$R$552)</f>
        <v>0</v>
      </c>
      <c r="T537" s="238"/>
      <c r="U537" s="238"/>
      <c r="V537" s="238"/>
      <c r="W537" s="238"/>
      <c r="X537" s="238"/>
      <c r="Y537" s="238"/>
      <c r="Z537" s="238"/>
      <c r="AA537" s="238"/>
      <c r="AB537" s="238"/>
      <c r="AC537" s="238"/>
      <c r="AD537" s="238"/>
      <c r="AE537" s="238"/>
      <c r="AF537" s="238"/>
    </row>
    <row r="538" customFormat="false" ht="11.25" hidden="false" customHeight="false" outlineLevel="0" collapsed="false">
      <c r="A538" s="238"/>
      <c r="B538" s="238"/>
      <c r="C538" s="238"/>
      <c r="D538" s="238"/>
      <c r="E538" s="467"/>
      <c r="F538" s="467"/>
      <c r="G538" s="467"/>
      <c r="H538" s="238"/>
      <c r="I538" s="467"/>
      <c r="J538" s="468"/>
      <c r="K538" s="468"/>
      <c r="L538" s="468"/>
      <c r="M538" s="468"/>
      <c r="N538" s="468"/>
      <c r="O538" s="468"/>
      <c r="P538" s="468"/>
      <c r="Q538" s="484"/>
      <c r="R538" s="468"/>
      <c r="S538" s="238"/>
      <c r="T538" s="238"/>
      <c r="U538" s="238"/>
      <c r="V538" s="238"/>
      <c r="W538" s="238"/>
      <c r="X538" s="238"/>
      <c r="Y538" s="238"/>
      <c r="Z538" s="238"/>
      <c r="AA538" s="238"/>
      <c r="AB538" s="238"/>
      <c r="AC538" s="238"/>
      <c r="AD538" s="238"/>
      <c r="AE538" s="238"/>
      <c r="AF538" s="238"/>
    </row>
    <row r="539" customFormat="false" ht="11.25" hidden="false" customHeight="false" outlineLevel="0" collapsed="false">
      <c r="A539" s="450" t="str">
        <f aca="false">+B481&amp;" Debt"</f>
        <v>Purchase Term Loan Debt</v>
      </c>
      <c r="B539" s="238"/>
      <c r="C539" s="238"/>
      <c r="D539" s="238"/>
      <c r="E539" s="467" t="n">
        <v>0</v>
      </c>
      <c r="F539" s="467" t="n">
        <v>52041</v>
      </c>
      <c r="G539" s="467" t="n">
        <v>48866</v>
      </c>
      <c r="H539" s="238"/>
      <c r="I539" s="467" t="n">
        <v>48866</v>
      </c>
      <c r="J539" s="467" t="s">
        <v>0</v>
      </c>
      <c r="K539" s="467" t="n">
        <f aca="false">Summary!E98</f>
        <v>56500</v>
      </c>
      <c r="L539" s="238" t="n">
        <v>0</v>
      </c>
      <c r="M539" s="468"/>
      <c r="N539" s="468" t="n">
        <f aca="false">K539</f>
        <v>56500</v>
      </c>
      <c r="O539" s="468"/>
      <c r="P539" s="238" t="n">
        <f aca="false">N539</f>
        <v>56500</v>
      </c>
      <c r="Q539" s="484" t="n">
        <f aca="false">IF($P$552=0,0,P539/$P$552)</f>
        <v>0.701863354037267</v>
      </c>
      <c r="R539" s="238" t="n">
        <f aca="false">N539</f>
        <v>56500</v>
      </c>
      <c r="S539" s="484" t="n">
        <f aca="false">IF($R$552=0,0,R539/$R$552)</f>
        <v>0.701863354037267</v>
      </c>
      <c r="T539" s="238"/>
      <c r="U539" s="238"/>
      <c r="V539" s="238"/>
      <c r="W539" s="238"/>
      <c r="X539" s="238"/>
      <c r="Y539" s="238"/>
      <c r="Z539" s="238"/>
      <c r="AA539" s="238"/>
      <c r="AB539" s="238"/>
      <c r="AC539" s="238"/>
      <c r="AD539" s="238"/>
      <c r="AE539" s="238"/>
      <c r="AF539" s="238"/>
    </row>
    <row r="540" customFormat="false" ht="11.25" hidden="false" customHeight="false" outlineLevel="0" collapsed="false">
      <c r="A540" s="450" t="s">
        <v>581</v>
      </c>
      <c r="B540" s="238"/>
      <c r="C540" s="238"/>
      <c r="D540" s="238"/>
      <c r="E540" s="467" t="n">
        <v>0</v>
      </c>
      <c r="F540" s="467" t="n">
        <v>4947</v>
      </c>
      <c r="G540" s="467" t="n">
        <v>7387</v>
      </c>
      <c r="H540" s="238"/>
      <c r="I540" s="467" t="n">
        <f aca="false">6797+590</f>
        <v>7387</v>
      </c>
      <c r="J540" s="468"/>
      <c r="K540" s="467" t="n">
        <v>0</v>
      </c>
      <c r="L540" s="467"/>
      <c r="M540" s="468"/>
      <c r="N540" s="468" t="n">
        <v>0</v>
      </c>
      <c r="O540" s="468"/>
      <c r="P540" s="238"/>
      <c r="Q540" s="484"/>
      <c r="R540" s="238"/>
      <c r="S540" s="484"/>
      <c r="T540" s="238"/>
      <c r="U540" s="238"/>
      <c r="V540" s="238"/>
      <c r="W540" s="238"/>
      <c r="X540" s="238"/>
      <c r="Y540" s="238"/>
      <c r="Z540" s="238"/>
      <c r="AA540" s="238"/>
      <c r="AB540" s="238"/>
      <c r="AC540" s="238"/>
      <c r="AD540" s="238"/>
      <c r="AE540" s="238"/>
      <c r="AF540" s="238"/>
    </row>
    <row r="541" customFormat="false" ht="11.25" hidden="false" customHeight="false" outlineLevel="0" collapsed="false">
      <c r="A541" s="450" t="s">
        <v>582</v>
      </c>
      <c r="B541" s="238"/>
      <c r="C541" s="238"/>
      <c r="D541" s="238"/>
      <c r="E541" s="455" t="n">
        <v>0</v>
      </c>
      <c r="F541" s="455" t="n">
        <v>675</v>
      </c>
      <c r="G541" s="455" t="n">
        <v>1026</v>
      </c>
      <c r="H541" s="238"/>
      <c r="I541" s="455" t="n">
        <v>1026</v>
      </c>
      <c r="J541" s="454"/>
      <c r="K541" s="455" t="n">
        <v>0</v>
      </c>
      <c r="L541" s="238"/>
      <c r="M541" s="238"/>
      <c r="N541" s="468" t="n">
        <v>0</v>
      </c>
      <c r="O541" s="238"/>
      <c r="P541" s="238"/>
      <c r="Q541" s="484"/>
      <c r="R541" s="238"/>
      <c r="S541" s="484"/>
      <c r="T541" s="238"/>
      <c r="U541" s="238"/>
      <c r="V541" s="238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</row>
    <row r="542" customFormat="false" ht="11.25" hidden="false" customHeight="false" outlineLevel="0" collapsed="false">
      <c r="A542" s="473" t="s">
        <v>583</v>
      </c>
      <c r="B542" s="238"/>
      <c r="C542" s="238"/>
      <c r="D542" s="238"/>
      <c r="E542" s="477" t="n">
        <f aca="false">+SUM(E539:E541)</f>
        <v>0</v>
      </c>
      <c r="F542" s="477" t="n">
        <f aca="false">+SUM(F539:F541)</f>
        <v>57663</v>
      </c>
      <c r="G542" s="477" t="n">
        <f aca="false">+SUM(G539:G541)</f>
        <v>57279</v>
      </c>
      <c r="H542" s="238"/>
      <c r="I542" s="477" t="n">
        <f aca="false">+SUM(I539:I541)</f>
        <v>57279</v>
      </c>
      <c r="J542" s="454"/>
      <c r="K542" s="477" t="n">
        <f aca="false">+SUM(K539:K541)</f>
        <v>56500</v>
      </c>
      <c r="L542" s="477" t="n">
        <f aca="false">+SUM(L539:L541)</f>
        <v>0</v>
      </c>
      <c r="M542" s="468"/>
      <c r="N542" s="477" t="n">
        <f aca="false">+SUM(N539:N541)</f>
        <v>56500</v>
      </c>
      <c r="O542" s="468"/>
      <c r="P542" s="477" t="n">
        <f aca="false">+SUM(P539:P541)</f>
        <v>56500</v>
      </c>
      <c r="Q542" s="527" t="n">
        <f aca="false">IF($P$552=0,0,P542/$P$552)</f>
        <v>0.701863354037267</v>
      </c>
      <c r="R542" s="477" t="n">
        <f aca="false">+SUM(R539:R541)</f>
        <v>56500</v>
      </c>
      <c r="S542" s="527" t="n">
        <f aca="false">IF($R$552=0,0,R542/$R$552)</f>
        <v>0.701863354037267</v>
      </c>
      <c r="T542" s="238"/>
      <c r="U542" s="238"/>
      <c r="V542" s="238"/>
      <c r="W542" s="238"/>
      <c r="X542" s="238"/>
      <c r="Y542" s="238"/>
      <c r="Z542" s="238"/>
      <c r="AA542" s="238"/>
      <c r="AB542" s="238"/>
      <c r="AC542" s="238"/>
      <c r="AD542" s="238"/>
      <c r="AE542" s="238"/>
      <c r="AF542" s="238"/>
    </row>
    <row r="543" customFormat="false" ht="11.25" hidden="false" customHeight="false" outlineLevel="0" collapsed="false">
      <c r="A543" s="238"/>
      <c r="B543" s="238"/>
      <c r="C543" s="238"/>
      <c r="D543" s="238"/>
      <c r="E543" s="468"/>
      <c r="F543" s="468"/>
      <c r="G543" s="468"/>
      <c r="H543" s="238"/>
      <c r="I543" s="468"/>
      <c r="J543" s="468"/>
      <c r="K543" s="468"/>
      <c r="L543" s="468"/>
      <c r="M543" s="468"/>
      <c r="N543" s="468"/>
      <c r="O543" s="468"/>
      <c r="P543" s="468"/>
      <c r="Q543" s="484"/>
      <c r="R543" s="468"/>
      <c r="S543" s="484"/>
      <c r="T543" s="238"/>
      <c r="U543" s="238"/>
      <c r="V543" s="238"/>
      <c r="W543" s="238"/>
      <c r="X543" s="238"/>
      <c r="Y543" s="238"/>
      <c r="Z543" s="238"/>
      <c r="AA543" s="238"/>
      <c r="AB543" s="238"/>
      <c r="AC543" s="238"/>
      <c r="AD543" s="238"/>
      <c r="AE543" s="238"/>
      <c r="AF543" s="238"/>
    </row>
    <row r="544" customFormat="false" ht="11.25" hidden="false" customHeight="false" outlineLevel="0" collapsed="false">
      <c r="A544" s="473" t="s">
        <v>584</v>
      </c>
      <c r="B544" s="238"/>
      <c r="C544" s="238"/>
      <c r="D544" s="238"/>
      <c r="E544" s="468" t="n">
        <f aca="false">E542+E537</f>
        <v>0</v>
      </c>
      <c r="F544" s="468" t="n">
        <f aca="false">F542+F537</f>
        <v>61166</v>
      </c>
      <c r="G544" s="468" t="n">
        <f aca="false">G542+G537</f>
        <v>61201</v>
      </c>
      <c r="H544" s="238"/>
      <c r="I544" s="468" t="n">
        <f aca="false">I542+I537</f>
        <v>61201</v>
      </c>
      <c r="J544" s="468"/>
      <c r="K544" s="468" t="n">
        <f aca="false">K542+K537</f>
        <v>55792.3752741349</v>
      </c>
      <c r="L544" s="468" t="n">
        <f aca="false">L542+L537</f>
        <v>0</v>
      </c>
      <c r="M544" s="468"/>
      <c r="N544" s="468" t="n">
        <f aca="false">N537+N542</f>
        <v>55792.3752741349</v>
      </c>
      <c r="O544" s="468"/>
      <c r="P544" s="468" t="n">
        <f aca="false">P537+P542</f>
        <v>56500</v>
      </c>
      <c r="Q544" s="484" t="n">
        <f aca="false">IF($P$552=0,0,P544/$P$552)</f>
        <v>0.701863354037267</v>
      </c>
      <c r="R544" s="468" t="n">
        <f aca="false">R537+R542</f>
        <v>56500</v>
      </c>
      <c r="S544" s="484" t="n">
        <f aca="false">IF($R$552=0,0,R544/$R$552)</f>
        <v>0.701863354037267</v>
      </c>
      <c r="T544" s="238"/>
      <c r="U544" s="238"/>
      <c r="V544" s="238"/>
      <c r="W544" s="238"/>
      <c r="X544" s="238"/>
      <c r="Y544" s="238"/>
      <c r="Z544" s="238"/>
      <c r="AA544" s="238"/>
      <c r="AB544" s="238"/>
      <c r="AC544" s="238"/>
      <c r="AD544" s="238"/>
      <c r="AE544" s="238"/>
      <c r="AF544" s="238"/>
    </row>
    <row r="545" customFormat="false" ht="11.25" hidden="false" customHeight="false" outlineLevel="0" collapsed="false">
      <c r="A545" s="238"/>
      <c r="B545" s="238"/>
      <c r="C545" s="238"/>
      <c r="D545" s="238"/>
      <c r="E545" s="467"/>
      <c r="F545" s="467"/>
      <c r="G545" s="467"/>
      <c r="H545" s="238"/>
      <c r="I545" s="467"/>
      <c r="J545" s="468"/>
      <c r="K545" s="468"/>
      <c r="L545" s="468"/>
      <c r="M545" s="468"/>
      <c r="N545" s="468"/>
      <c r="O545" s="468"/>
      <c r="P545" s="468"/>
      <c r="Q545" s="484"/>
      <c r="R545" s="468"/>
      <c r="S545" s="484"/>
      <c r="T545" s="238"/>
      <c r="U545" s="238"/>
      <c r="V545" s="238"/>
      <c r="W545" s="238"/>
      <c r="X545" s="238"/>
      <c r="Y545" s="238"/>
      <c r="Z545" s="238"/>
      <c r="AA545" s="238"/>
      <c r="AB545" s="238"/>
      <c r="AC545" s="238"/>
      <c r="AD545" s="238"/>
      <c r="AE545" s="238"/>
      <c r="AF545" s="238"/>
    </row>
    <row r="546" customFormat="false" ht="11.25" hidden="false" customHeight="false" outlineLevel="0" collapsed="false">
      <c r="A546" s="238" t="str">
        <f aca="false">B483</f>
        <v>Common Stock</v>
      </c>
      <c r="B546" s="238"/>
      <c r="C546" s="238"/>
      <c r="D546" s="238"/>
      <c r="E546" s="455" t="n">
        <v>0</v>
      </c>
      <c r="F546" s="455" t="n">
        <v>6769</v>
      </c>
      <c r="G546" s="455" t="n">
        <v>4656</v>
      </c>
      <c r="H546" s="238"/>
      <c r="I546" s="455" t="n">
        <v>4656</v>
      </c>
      <c r="J546" s="467" t="s">
        <v>0</v>
      </c>
      <c r="K546" s="467" t="n">
        <f aca="false">K530-K544</f>
        <v>24000</v>
      </c>
      <c r="L546" s="467" t="n">
        <v>0</v>
      </c>
      <c r="M546" s="468"/>
      <c r="N546" s="468" t="n">
        <f aca="false">K546</f>
        <v>24000</v>
      </c>
      <c r="O546" s="468"/>
      <c r="P546" s="468" t="n">
        <f aca="false">N546</f>
        <v>24000</v>
      </c>
      <c r="Q546" s="484" t="n">
        <f aca="false">IF($P$552=0,0,P546/$P$552)</f>
        <v>0.298136645962733</v>
      </c>
      <c r="R546" s="468" t="n">
        <f aca="false">N546</f>
        <v>24000</v>
      </c>
      <c r="S546" s="484" t="n">
        <f aca="false">IF($R$552=0,0,R546/$R$552)</f>
        <v>0.298136645962733</v>
      </c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</row>
    <row r="547" customFormat="false" ht="11.25" hidden="false" customHeight="false" outlineLevel="0" collapsed="false">
      <c r="A547" s="450" t="s">
        <v>585</v>
      </c>
      <c r="B547" s="238"/>
      <c r="C547" s="238"/>
      <c r="D547" s="238"/>
      <c r="E547" s="467" t="n">
        <v>0</v>
      </c>
      <c r="F547" s="467" t="n">
        <v>0</v>
      </c>
      <c r="G547" s="467" t="n">
        <v>0</v>
      </c>
      <c r="H547" s="238"/>
      <c r="I547" s="467" t="n">
        <v>0</v>
      </c>
      <c r="J547" s="468"/>
      <c r="K547" s="467" t="n">
        <v>0</v>
      </c>
      <c r="L547" s="467" t="n">
        <v>0</v>
      </c>
      <c r="M547" s="468"/>
      <c r="N547" s="468" t="n">
        <f aca="false">I547+K547-L547</f>
        <v>0</v>
      </c>
      <c r="O547" s="468"/>
      <c r="P547" s="468" t="n">
        <f aca="false">N547</f>
        <v>0</v>
      </c>
      <c r="Q547" s="484" t="n">
        <f aca="false">IF($P$552=0,0,P547/$P$552)</f>
        <v>0</v>
      </c>
      <c r="R547" s="468" t="n">
        <f aca="false">N547</f>
        <v>0</v>
      </c>
      <c r="S547" s="484" t="n">
        <f aca="false">IF($R$552=0,0,R547/$R$552)</f>
        <v>0</v>
      </c>
      <c r="T547" s="238"/>
      <c r="U547" s="238"/>
      <c r="V547" s="238"/>
      <c r="W547" s="238"/>
      <c r="X547" s="238"/>
      <c r="Y547" s="238"/>
      <c r="Z547" s="238"/>
      <c r="AA547" s="238"/>
      <c r="AB547" s="238"/>
      <c r="AC547" s="238"/>
      <c r="AD547" s="238"/>
      <c r="AE547" s="238"/>
      <c r="AF547" s="238"/>
    </row>
    <row r="548" customFormat="false" ht="11.25" hidden="false" customHeight="false" outlineLevel="0" collapsed="false">
      <c r="A548" s="450" t="s">
        <v>586</v>
      </c>
      <c r="B548" s="238"/>
      <c r="C548" s="238"/>
      <c r="D548" s="238"/>
      <c r="E548" s="467" t="n">
        <v>0</v>
      </c>
      <c r="F548" s="467" t="n">
        <v>0</v>
      </c>
      <c r="G548" s="467" t="n">
        <v>0</v>
      </c>
      <c r="H548" s="238"/>
      <c r="I548" s="467" t="n">
        <v>0</v>
      </c>
      <c r="J548" s="468"/>
      <c r="K548" s="467" t="n">
        <v>0</v>
      </c>
      <c r="L548" s="559" t="n">
        <f aca="false">H492</f>
        <v>0</v>
      </c>
      <c r="M548" s="468"/>
      <c r="N548" s="468" t="n">
        <f aca="false">I548+K548-L548</f>
        <v>0</v>
      </c>
      <c r="O548" s="468"/>
      <c r="P548" s="468" t="n">
        <f aca="false">N548</f>
        <v>0</v>
      </c>
      <c r="Q548" s="484" t="n">
        <f aca="false">IF($P$552=0,0,P548/$P$552)</f>
        <v>0</v>
      </c>
      <c r="R548" s="468" t="n">
        <f aca="false">N548</f>
        <v>0</v>
      </c>
      <c r="S548" s="484" t="n">
        <f aca="false">IF($R$552=0,0,R548/$R$552)</f>
        <v>0</v>
      </c>
      <c r="T548" s="238"/>
      <c r="U548" s="238"/>
      <c r="V548" s="238"/>
      <c r="W548" s="238"/>
      <c r="X548" s="238"/>
      <c r="Y548" s="238"/>
      <c r="Z548" s="238"/>
      <c r="AA548" s="238"/>
      <c r="AB548" s="238"/>
      <c r="AC548" s="238"/>
      <c r="AD548" s="238"/>
      <c r="AE548" s="238"/>
      <c r="AF548" s="238"/>
    </row>
    <row r="549" customFormat="false" ht="11.25" hidden="false" customHeight="false" outlineLevel="0" collapsed="false">
      <c r="A549" s="450" t="s">
        <v>587</v>
      </c>
      <c r="B549" s="238"/>
      <c r="C549" s="238"/>
      <c r="D549" s="238"/>
      <c r="E549" s="467" t="n">
        <v>0</v>
      </c>
      <c r="F549" s="467" t="n">
        <v>0</v>
      </c>
      <c r="G549" s="467" t="n">
        <v>0</v>
      </c>
      <c r="H549" s="238"/>
      <c r="I549" s="467" t="n">
        <v>0</v>
      </c>
      <c r="J549" s="468"/>
      <c r="K549" s="467" t="n">
        <v>0</v>
      </c>
      <c r="L549" s="559" t="n">
        <f aca="false">H491-L547-L546</f>
        <v>0</v>
      </c>
      <c r="M549" s="468"/>
      <c r="N549" s="468" t="n">
        <f aca="false">I549+K549-L549</f>
        <v>0</v>
      </c>
      <c r="O549" s="468"/>
      <c r="P549" s="468" t="n">
        <f aca="false">N549</f>
        <v>0</v>
      </c>
      <c r="Q549" s="484" t="n">
        <f aca="false">IF($P$552=0,0,P549/$P$552)</f>
        <v>0</v>
      </c>
      <c r="R549" s="468" t="n">
        <f aca="false">N549</f>
        <v>0</v>
      </c>
      <c r="S549" s="484" t="n">
        <f aca="false">IF($R$552=0,0,R549/$R$552)</f>
        <v>0</v>
      </c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</row>
    <row r="550" customFormat="false" ht="11.25" hidden="false" customHeight="false" outlineLevel="0" collapsed="false">
      <c r="A550" s="450" t="s">
        <v>588</v>
      </c>
      <c r="B550" s="238"/>
      <c r="C550" s="238"/>
      <c r="D550" s="238"/>
      <c r="E550" s="455" t="n">
        <v>0</v>
      </c>
      <c r="F550" s="455" t="n">
        <v>0</v>
      </c>
      <c r="G550" s="455" t="n">
        <v>0</v>
      </c>
      <c r="H550" s="238"/>
      <c r="I550" s="467" t="n">
        <v>0</v>
      </c>
      <c r="J550" s="238"/>
      <c r="K550" s="455" t="n">
        <v>0</v>
      </c>
      <c r="L550" s="560"/>
      <c r="M550" s="238"/>
      <c r="N550" s="468" t="n">
        <f aca="false">I550+K550-L550</f>
        <v>0</v>
      </c>
      <c r="O550" s="238"/>
      <c r="P550" s="468" t="n">
        <f aca="false">N550</f>
        <v>0</v>
      </c>
      <c r="Q550" s="484" t="n">
        <f aca="false">IF($P$552=0,0,P550/$P$552)</f>
        <v>0</v>
      </c>
      <c r="R550" s="468" t="n">
        <f aca="false">N550</f>
        <v>0</v>
      </c>
      <c r="S550" s="484" t="n">
        <f aca="false">IF($R$552=0,0,R550/$R$552)</f>
        <v>0</v>
      </c>
      <c r="T550" s="238"/>
      <c r="U550" s="238"/>
      <c r="V550" s="238"/>
      <c r="W550" s="238"/>
      <c r="X550" s="238"/>
      <c r="Y550" s="238"/>
      <c r="Z550" s="238"/>
      <c r="AA550" s="238"/>
      <c r="AB550" s="238"/>
      <c r="AC550" s="238"/>
      <c r="AD550" s="238"/>
      <c r="AE550" s="238"/>
      <c r="AF550" s="238"/>
    </row>
    <row r="551" customFormat="false" ht="11.25" hidden="false" customHeight="false" outlineLevel="0" collapsed="false">
      <c r="A551" s="473" t="s">
        <v>589</v>
      </c>
      <c r="B551" s="238"/>
      <c r="C551" s="238"/>
      <c r="D551" s="468"/>
      <c r="E551" s="477" t="n">
        <f aca="false">SUM(E546:E550)</f>
        <v>0</v>
      </c>
      <c r="F551" s="477" t="n">
        <f aca="false">SUM(F546:F550)</f>
        <v>6769</v>
      </c>
      <c r="G551" s="477" t="n">
        <f aca="false">SUM(G546:G550)</f>
        <v>4656</v>
      </c>
      <c r="H551" s="238"/>
      <c r="I551" s="477" t="n">
        <f aca="false">SUM(I546:I550)</f>
        <v>4656</v>
      </c>
      <c r="J551" s="468"/>
      <c r="K551" s="477" t="n">
        <f aca="false">SUM(K546:K550)</f>
        <v>24000</v>
      </c>
      <c r="L551" s="477" t="n">
        <f aca="false">SUM(L546:L550)</f>
        <v>0</v>
      </c>
      <c r="M551" s="468"/>
      <c r="N551" s="477" t="n">
        <f aca="false">SUM(N546:N550)</f>
        <v>24000</v>
      </c>
      <c r="O551" s="468"/>
      <c r="P551" s="477" t="n">
        <f aca="false">SUM(P546:P550)</f>
        <v>24000</v>
      </c>
      <c r="Q551" s="527" t="n">
        <f aca="false">IF($P$552=0,0,P551/$P$552)</f>
        <v>0.298136645962733</v>
      </c>
      <c r="R551" s="477" t="n">
        <f aca="false">SUM(R546:R550)</f>
        <v>24000</v>
      </c>
      <c r="S551" s="527" t="n">
        <f aca="false">IF($R$552=0,0,R551/$R$552)</f>
        <v>0.298136645962733</v>
      </c>
      <c r="T551" s="238"/>
      <c r="U551" s="238"/>
      <c r="V551" s="238"/>
      <c r="W551" s="238"/>
      <c r="X551" s="238"/>
      <c r="Y551" s="238"/>
      <c r="Z551" s="238"/>
      <c r="AA551" s="238"/>
      <c r="AB551" s="238"/>
      <c r="AC551" s="238"/>
      <c r="AD551" s="238"/>
      <c r="AE551" s="238"/>
      <c r="AF551" s="238"/>
    </row>
    <row r="552" customFormat="false" ht="12" hidden="false" customHeight="false" outlineLevel="0" collapsed="false">
      <c r="A552" s="473" t="s">
        <v>590</v>
      </c>
      <c r="B552" s="238"/>
      <c r="C552" s="238"/>
      <c r="D552" s="238"/>
      <c r="E552" s="487" t="n">
        <f aca="false">E544+E551</f>
        <v>0</v>
      </c>
      <c r="F552" s="487" t="n">
        <f aca="false">F544+F551</f>
        <v>67935</v>
      </c>
      <c r="G552" s="487" t="n">
        <f aca="false">G544+G551</f>
        <v>65857</v>
      </c>
      <c r="H552" s="238"/>
      <c r="I552" s="487" t="n">
        <f aca="false">I544+I551</f>
        <v>65857</v>
      </c>
      <c r="J552" s="468"/>
      <c r="K552" s="487" t="n">
        <f aca="false">K551+K544</f>
        <v>79792.3752741349</v>
      </c>
      <c r="L552" s="487" t="n">
        <f aca="false">L551+L544</f>
        <v>0</v>
      </c>
      <c r="M552" s="468"/>
      <c r="N552" s="487" t="n">
        <f aca="false">N544+N551</f>
        <v>79792.3752741349</v>
      </c>
      <c r="O552" s="468"/>
      <c r="P552" s="487" t="n">
        <f aca="false">P544+P551</f>
        <v>80500</v>
      </c>
      <c r="Q552" s="561" t="n">
        <f aca="false">IF($P$552=0,0,P552/$P$552)</f>
        <v>1</v>
      </c>
      <c r="R552" s="487" t="n">
        <f aca="false">R544+R551</f>
        <v>80500</v>
      </c>
      <c r="S552" s="561" t="n">
        <f aca="false">IF($R$552=0,0,R552/$R$552)</f>
        <v>1</v>
      </c>
      <c r="T552" s="238"/>
      <c r="U552" s="238"/>
      <c r="V552" s="238"/>
      <c r="W552" s="238"/>
      <c r="X552" s="238"/>
      <c r="Y552" s="238"/>
      <c r="Z552" s="238"/>
      <c r="AA552" s="238"/>
      <c r="AB552" s="238"/>
      <c r="AC552" s="238"/>
      <c r="AD552" s="238"/>
      <c r="AE552" s="238"/>
      <c r="AF552" s="238"/>
    </row>
    <row r="553" customFormat="false" ht="12" hidden="false" customHeight="false" outlineLevel="0" collapsed="false">
      <c r="A553" s="499"/>
      <c r="B553" s="238"/>
      <c r="C553" s="238"/>
      <c r="D553" s="238"/>
      <c r="E553" s="238"/>
      <c r="F553" s="238"/>
      <c r="G553" s="238"/>
      <c r="H553" s="238"/>
      <c r="I553" s="238"/>
      <c r="J553" s="468"/>
      <c r="K553" s="468"/>
      <c r="L553" s="468"/>
      <c r="M553" s="468"/>
      <c r="N553" s="468"/>
      <c r="O553" s="468"/>
      <c r="P553" s="468"/>
      <c r="Q553" s="484"/>
      <c r="R553" s="468"/>
      <c r="S553" s="238"/>
      <c r="T553" s="238"/>
      <c r="U553" s="238"/>
      <c r="V553" s="238"/>
      <c r="W553" s="238"/>
      <c r="X553" s="238"/>
      <c r="Y553" s="238"/>
      <c r="Z553" s="238"/>
      <c r="AA553" s="238"/>
      <c r="AB553" s="238"/>
      <c r="AC553" s="238"/>
      <c r="AD553" s="238"/>
      <c r="AE553" s="238"/>
      <c r="AF553" s="238"/>
    </row>
    <row r="554" customFormat="false" ht="11.25" hidden="false" customHeight="false" outlineLevel="0" collapsed="false">
      <c r="A554" s="473" t="s">
        <v>285</v>
      </c>
      <c r="B554" s="238"/>
      <c r="C554" s="238"/>
      <c r="D554" s="238"/>
      <c r="E554" s="468" t="n">
        <f aca="false">E530-E552</f>
        <v>0</v>
      </c>
      <c r="F554" s="468" t="n">
        <f aca="false">F530-F552</f>
        <v>0</v>
      </c>
      <c r="G554" s="468" t="n">
        <f aca="false">G530-G552</f>
        <v>0</v>
      </c>
      <c r="H554" s="238"/>
      <c r="I554" s="468" t="n">
        <f aca="false">I530-I552</f>
        <v>0</v>
      </c>
      <c r="J554" s="468"/>
      <c r="K554" s="468" t="n">
        <f aca="false">K530-K552</f>
        <v>0</v>
      </c>
      <c r="L554" s="468" t="n">
        <f aca="false">L530-L552</f>
        <v>0</v>
      </c>
      <c r="M554" s="468"/>
      <c r="N554" s="468" t="n">
        <f aca="false">N530-N552</f>
        <v>0</v>
      </c>
      <c r="O554" s="468"/>
      <c r="P554" s="468"/>
      <c r="Q554" s="468"/>
      <c r="R554" s="468"/>
      <c r="S554" s="238"/>
      <c r="T554" s="238"/>
      <c r="U554" s="238"/>
      <c r="V554" s="238"/>
      <c r="W554" s="238"/>
      <c r="X554" s="238"/>
      <c r="Y554" s="238"/>
      <c r="Z554" s="238"/>
      <c r="AA554" s="238"/>
      <c r="AB554" s="238"/>
      <c r="AC554" s="238"/>
      <c r="AD554" s="238"/>
      <c r="AE554" s="238"/>
      <c r="AF554" s="238"/>
    </row>
    <row r="555" customFormat="false" ht="11.25" hidden="false" customHeight="false" outlineLevel="0" collapsed="false">
      <c r="A555" s="238"/>
      <c r="B555" s="238"/>
      <c r="C555" s="238"/>
      <c r="D555" s="238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238"/>
      <c r="W555" s="238"/>
      <c r="X555" s="238"/>
      <c r="Y555" s="238"/>
      <c r="Z555" s="238"/>
      <c r="AA555" s="238"/>
      <c r="AB555" s="238"/>
      <c r="AC555" s="238"/>
      <c r="AD555" s="238"/>
      <c r="AE555" s="238"/>
      <c r="AF555" s="238"/>
    </row>
    <row r="556" customFormat="false" ht="12" hidden="false" customHeight="false" outlineLevel="0" collapsed="false">
      <c r="A556" s="450"/>
      <c r="B556" s="454"/>
      <c r="C556" s="454"/>
      <c r="D556" s="454"/>
      <c r="E556" s="454"/>
      <c r="F556" s="484"/>
      <c r="G556" s="238"/>
      <c r="H556" s="238"/>
      <c r="I556" s="238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238"/>
      <c r="W556" s="238"/>
      <c r="X556" s="238"/>
      <c r="Y556" s="238"/>
      <c r="Z556" s="238"/>
      <c r="AA556" s="238"/>
      <c r="AB556" s="238"/>
      <c r="AC556" s="238"/>
      <c r="AD556" s="238"/>
      <c r="AE556" s="238"/>
      <c r="AF556" s="238"/>
    </row>
    <row r="557" customFormat="false" ht="12.75" hidden="false" customHeight="false" outlineLevel="0" collapsed="false">
      <c r="A557" s="519"/>
      <c r="B557" s="562"/>
      <c r="C557" s="562"/>
      <c r="D557" s="562"/>
      <c r="E557" s="562"/>
      <c r="F557" s="563"/>
      <c r="G557" s="431"/>
      <c r="H557" s="431"/>
      <c r="I557" s="431"/>
      <c r="J557" s="431"/>
      <c r="K557" s="431"/>
      <c r="L557" s="431"/>
      <c r="M557" s="431"/>
      <c r="N557" s="431"/>
      <c r="O557" s="431"/>
      <c r="P557" s="431"/>
      <c r="Q557" s="431"/>
      <c r="R557" s="431"/>
      <c r="S557" s="431"/>
      <c r="T557" s="431"/>
      <c r="U557" s="431"/>
      <c r="V557" s="431"/>
      <c r="W557" s="431"/>
      <c r="X557" s="431"/>
      <c r="Y557" s="431"/>
      <c r="Z557" s="238"/>
      <c r="AA557" s="238"/>
      <c r="AB557" s="238"/>
      <c r="AC557" s="238"/>
      <c r="AD557" s="238"/>
      <c r="AE557" s="238"/>
      <c r="AF557" s="238"/>
    </row>
    <row r="558" customFormat="false" ht="12.75" hidden="false" customHeight="false" outlineLevel="0" collapsed="false">
      <c r="A558" s="341" t="s">
        <v>591</v>
      </c>
      <c r="B558" s="238"/>
      <c r="C558" s="238"/>
      <c r="D558" s="464"/>
      <c r="E558" s="546" t="n">
        <f aca="false">E$638</f>
        <v>35430</v>
      </c>
      <c r="F558" s="546" t="n">
        <f aca="false">F$638</f>
        <v>35795</v>
      </c>
      <c r="G558" s="546" t="n">
        <f aca="false">G$638</f>
        <v>36160</v>
      </c>
      <c r="H558" s="564" t="n">
        <f aca="false">H$638</f>
        <v>36373</v>
      </c>
      <c r="I558" s="541" t="n">
        <f aca="false">I$638</f>
        <v>36525</v>
      </c>
      <c r="J558" s="542" t="n">
        <f aca="false">J$638</f>
        <v>36891</v>
      </c>
      <c r="K558" s="542" t="n">
        <f aca="false">K$638</f>
        <v>37256</v>
      </c>
      <c r="L558" s="542" t="n">
        <f aca="false">L$638</f>
        <v>37621</v>
      </c>
      <c r="M558" s="542" t="n">
        <f aca="false">M$638</f>
        <v>37986</v>
      </c>
      <c r="N558" s="542" t="n">
        <f aca="false">N$638</f>
        <v>38352</v>
      </c>
      <c r="O558" s="542" t="n">
        <f aca="false">O$638</f>
        <v>38717</v>
      </c>
      <c r="P558" s="542" t="n">
        <f aca="false">P$638</f>
        <v>39082</v>
      </c>
      <c r="Q558" s="542" t="n">
        <f aca="false">Q$638</f>
        <v>39447</v>
      </c>
      <c r="R558" s="542" t="n">
        <f aca="false">R$638</f>
        <v>39813</v>
      </c>
      <c r="S558" s="542" t="n">
        <f aca="false">S$638</f>
        <v>40178</v>
      </c>
      <c r="T558" s="542" t="n">
        <f aca="false">T$638</f>
        <v>40543</v>
      </c>
      <c r="U558" s="542" t="n">
        <f aca="false">U$638</f>
        <v>40908</v>
      </c>
      <c r="V558" s="542" t="n">
        <f aca="false">V$638</f>
        <v>41274</v>
      </c>
      <c r="W558" s="542" t="n">
        <f aca="false">W$638</f>
        <v>41639</v>
      </c>
      <c r="X558" s="542" t="n">
        <f aca="false">X$638</f>
        <v>42004</v>
      </c>
      <c r="Y558" s="542" t="n">
        <f aca="false">Y$638</f>
        <v>42369</v>
      </c>
      <c r="Z558" s="542" t="n">
        <f aca="false">Z$638</f>
        <v>42735</v>
      </c>
      <c r="AA558" s="542" t="n">
        <f aca="false">AA$638</f>
        <v>43100</v>
      </c>
      <c r="AB558" s="542" t="n">
        <f aca="false">AB$638</f>
        <v>43465</v>
      </c>
      <c r="AC558" s="542" t="n">
        <f aca="false">AC$638</f>
        <v>43830</v>
      </c>
      <c r="AD558" s="542" t="n">
        <f aca="false">AD$638</f>
        <v>44196</v>
      </c>
      <c r="AE558" s="542" t="n">
        <f aca="false">AE$638</f>
        <v>44561</v>
      </c>
      <c r="AF558" s="542" t="n">
        <f aca="false">AF$638</f>
        <v>44926</v>
      </c>
    </row>
    <row r="559" customFormat="false" ht="12" hidden="false" customHeight="false" outlineLevel="0" collapsed="false">
      <c r="A559" s="465" t="str">
        <f aca="false">A569&amp;"  (Days)"</f>
        <v>Operating Cash Balance  (Days)</v>
      </c>
      <c r="B559" s="241"/>
      <c r="C559" s="241"/>
      <c r="D559" s="241"/>
      <c r="E559" s="565" t="n">
        <v>0</v>
      </c>
      <c r="F559" s="565" t="n">
        <v>0</v>
      </c>
      <c r="G559" s="565" t="n">
        <v>0</v>
      </c>
      <c r="H559" s="566" t="n">
        <v>0</v>
      </c>
      <c r="I559" s="566" t="n">
        <f aca="false">H559</f>
        <v>0</v>
      </c>
      <c r="J559" s="567" t="n">
        <f aca="false">I559</f>
        <v>0</v>
      </c>
      <c r="K559" s="567" t="n">
        <f aca="false">J559</f>
        <v>0</v>
      </c>
      <c r="L559" s="567" t="n">
        <f aca="false">K559</f>
        <v>0</v>
      </c>
      <c r="M559" s="567" t="n">
        <f aca="false">L559</f>
        <v>0</v>
      </c>
      <c r="N559" s="567" t="n">
        <f aca="false">M559</f>
        <v>0</v>
      </c>
      <c r="O559" s="567" t="n">
        <f aca="false">N559</f>
        <v>0</v>
      </c>
      <c r="P559" s="567" t="n">
        <f aca="false">O559</f>
        <v>0</v>
      </c>
      <c r="Q559" s="567" t="n">
        <f aca="false">P559</f>
        <v>0</v>
      </c>
      <c r="R559" s="567" t="n">
        <f aca="false">Q559</f>
        <v>0</v>
      </c>
      <c r="S559" s="567" t="n">
        <f aca="false">R559</f>
        <v>0</v>
      </c>
      <c r="T559" s="567" t="n">
        <f aca="false">S559</f>
        <v>0</v>
      </c>
      <c r="U559" s="567" t="n">
        <f aca="false">T559</f>
        <v>0</v>
      </c>
      <c r="V559" s="567" t="n">
        <f aca="false">U559</f>
        <v>0</v>
      </c>
      <c r="W559" s="567" t="n">
        <f aca="false">V559</f>
        <v>0</v>
      </c>
      <c r="X559" s="567" t="n">
        <f aca="false">W559</f>
        <v>0</v>
      </c>
      <c r="Y559" s="567" t="n">
        <f aca="false">X559</f>
        <v>0</v>
      </c>
      <c r="Z559" s="567" t="n">
        <f aca="false">Y559</f>
        <v>0</v>
      </c>
      <c r="AA559" s="567" t="n">
        <f aca="false">Z559</f>
        <v>0</v>
      </c>
      <c r="AB559" s="567" t="n">
        <f aca="false">AA559</f>
        <v>0</v>
      </c>
      <c r="AC559" s="567" t="n">
        <f aca="false">AB559</f>
        <v>0</v>
      </c>
      <c r="AD559" s="567" t="n">
        <f aca="false">AC559</f>
        <v>0</v>
      </c>
      <c r="AE559" s="567" t="n">
        <f aca="false">AD559</f>
        <v>0</v>
      </c>
      <c r="AF559" s="567" t="n">
        <f aca="false">AE559</f>
        <v>0</v>
      </c>
    </row>
    <row r="560" customFormat="false" ht="11.25" hidden="false" customHeight="false" outlineLevel="0" collapsed="false">
      <c r="A560" s="465" t="str">
        <f aca="false">A571&amp;"  (Days)"</f>
        <v>Accounts Receivable  (Days)</v>
      </c>
      <c r="B560" s="241"/>
      <c r="C560" s="241"/>
      <c r="D560" s="241"/>
      <c r="E560" s="565" t="n">
        <v>0</v>
      </c>
      <c r="F560" s="565" t="n">
        <v>0</v>
      </c>
      <c r="G560" s="565" t="n">
        <v>0</v>
      </c>
      <c r="H560" s="566" t="n">
        <v>60</v>
      </c>
      <c r="I560" s="566" t="n">
        <v>30</v>
      </c>
      <c r="J560" s="567" t="n">
        <v>30</v>
      </c>
      <c r="K560" s="567" t="n">
        <v>30</v>
      </c>
      <c r="L560" s="567" t="n">
        <v>30</v>
      </c>
      <c r="M560" s="567" t="n">
        <v>30</v>
      </c>
      <c r="N560" s="567" t="n">
        <v>30</v>
      </c>
      <c r="O560" s="567" t="n">
        <v>30</v>
      </c>
      <c r="P560" s="567" t="n">
        <v>30</v>
      </c>
      <c r="Q560" s="567" t="n">
        <v>30</v>
      </c>
      <c r="R560" s="567" t="n">
        <v>30</v>
      </c>
      <c r="S560" s="567" t="n">
        <v>30</v>
      </c>
      <c r="T560" s="567" t="n">
        <v>30</v>
      </c>
      <c r="U560" s="567" t="n">
        <v>30</v>
      </c>
      <c r="V560" s="567" t="n">
        <v>30</v>
      </c>
      <c r="W560" s="567" t="n">
        <v>30</v>
      </c>
      <c r="X560" s="567" t="n">
        <v>30</v>
      </c>
      <c r="Y560" s="567" t="n">
        <v>30</v>
      </c>
      <c r="Z560" s="567" t="n">
        <v>30</v>
      </c>
      <c r="AA560" s="567" t="n">
        <v>30</v>
      </c>
      <c r="AB560" s="567" t="n">
        <v>30</v>
      </c>
      <c r="AC560" s="567" t="n">
        <v>30</v>
      </c>
      <c r="AD560" s="567" t="n">
        <v>30</v>
      </c>
      <c r="AE560" s="567" t="n">
        <v>30</v>
      </c>
      <c r="AF560" s="567" t="n">
        <v>30</v>
      </c>
    </row>
    <row r="561" customFormat="false" ht="11.25" hidden="false" customHeight="false" outlineLevel="0" collapsed="false">
      <c r="A561" s="465" t="str">
        <f aca="false">A572&amp;"  (x)"</f>
        <v>Inventories  (x)</v>
      </c>
      <c r="B561" s="241"/>
      <c r="C561" s="241"/>
      <c r="D561" s="241"/>
      <c r="E561" s="565" t="n">
        <v>0</v>
      </c>
      <c r="F561" s="565" t="n">
        <v>0</v>
      </c>
      <c r="G561" s="565" t="n">
        <v>0</v>
      </c>
      <c r="H561" s="566" t="n">
        <v>20</v>
      </c>
      <c r="I561" s="566" t="n">
        <f aca="false">H561</f>
        <v>20</v>
      </c>
      <c r="J561" s="567" t="n">
        <f aca="false">I561</f>
        <v>20</v>
      </c>
      <c r="K561" s="567" t="n">
        <f aca="false">J561</f>
        <v>20</v>
      </c>
      <c r="L561" s="567" t="n">
        <f aca="false">K561</f>
        <v>20</v>
      </c>
      <c r="M561" s="567" t="n">
        <f aca="false">L561</f>
        <v>20</v>
      </c>
      <c r="N561" s="567" t="n">
        <f aca="false">M561</f>
        <v>20</v>
      </c>
      <c r="O561" s="567" t="n">
        <f aca="false">N561</f>
        <v>20</v>
      </c>
      <c r="P561" s="567" t="n">
        <f aca="false">O561</f>
        <v>20</v>
      </c>
      <c r="Q561" s="567" t="n">
        <f aca="false">P561</f>
        <v>20</v>
      </c>
      <c r="R561" s="567" t="n">
        <f aca="false">Q561</f>
        <v>20</v>
      </c>
      <c r="S561" s="567" t="n">
        <f aca="false">R561</f>
        <v>20</v>
      </c>
      <c r="T561" s="567" t="n">
        <f aca="false">S561</f>
        <v>20</v>
      </c>
      <c r="U561" s="567" t="n">
        <f aca="false">T561</f>
        <v>20</v>
      </c>
      <c r="V561" s="567" t="n">
        <f aca="false">U561</f>
        <v>20</v>
      </c>
      <c r="W561" s="567" t="n">
        <f aca="false">V561</f>
        <v>20</v>
      </c>
      <c r="X561" s="567" t="n">
        <f aca="false">W561</f>
        <v>20</v>
      </c>
      <c r="Y561" s="567" t="n">
        <f aca="false">X561</f>
        <v>20</v>
      </c>
      <c r="Z561" s="567" t="n">
        <f aca="false">Y561</f>
        <v>20</v>
      </c>
      <c r="AA561" s="567" t="n">
        <f aca="false">Z561</f>
        <v>20</v>
      </c>
      <c r="AB561" s="567" t="n">
        <f aca="false">AA561</f>
        <v>20</v>
      </c>
      <c r="AC561" s="567" t="n">
        <f aca="false">AB561</f>
        <v>20</v>
      </c>
      <c r="AD561" s="567" t="n">
        <f aca="false">AC561</f>
        <v>20</v>
      </c>
      <c r="AE561" s="567" t="n">
        <f aca="false">AD561</f>
        <v>20</v>
      </c>
      <c r="AF561" s="567" t="n">
        <f aca="false">AE561</f>
        <v>20</v>
      </c>
    </row>
    <row r="562" customFormat="false" ht="11.25" hidden="false" customHeight="false" outlineLevel="0" collapsed="false">
      <c r="A562" s="465" t="str">
        <f aca="false">A573&amp;"  ($)"</f>
        <v>Other Current Assets  ($)</v>
      </c>
      <c r="B562" s="241"/>
      <c r="C562" s="241"/>
      <c r="D562" s="241"/>
      <c r="E562" s="565" t="n">
        <v>0</v>
      </c>
      <c r="F562" s="565" t="n">
        <v>0</v>
      </c>
      <c r="G562" s="565" t="n">
        <v>0</v>
      </c>
      <c r="H562" s="568" t="n">
        <v>0</v>
      </c>
      <c r="I562" s="566" t="n">
        <f aca="false">H562</f>
        <v>0</v>
      </c>
      <c r="J562" s="569" t="n">
        <f aca="false">I562</f>
        <v>0</v>
      </c>
      <c r="K562" s="569" t="n">
        <f aca="false">J562</f>
        <v>0</v>
      </c>
      <c r="L562" s="569" t="n">
        <f aca="false">K562</f>
        <v>0</v>
      </c>
      <c r="M562" s="569" t="n">
        <f aca="false">L562</f>
        <v>0</v>
      </c>
      <c r="N562" s="569" t="n">
        <f aca="false">M562</f>
        <v>0</v>
      </c>
      <c r="O562" s="569" t="n">
        <f aca="false">N562</f>
        <v>0</v>
      </c>
      <c r="P562" s="569" t="n">
        <f aca="false">O562</f>
        <v>0</v>
      </c>
      <c r="Q562" s="569" t="n">
        <f aca="false">P562</f>
        <v>0</v>
      </c>
      <c r="R562" s="569" t="n">
        <f aca="false">Q562</f>
        <v>0</v>
      </c>
      <c r="S562" s="569" t="n">
        <f aca="false">R562</f>
        <v>0</v>
      </c>
      <c r="T562" s="569" t="n">
        <f aca="false">S562</f>
        <v>0</v>
      </c>
      <c r="U562" s="569" t="n">
        <f aca="false">T562</f>
        <v>0</v>
      </c>
      <c r="V562" s="569" t="n">
        <f aca="false">U562</f>
        <v>0</v>
      </c>
      <c r="W562" s="569" t="n">
        <f aca="false">V562</f>
        <v>0</v>
      </c>
      <c r="X562" s="569" t="n">
        <f aca="false">W562</f>
        <v>0</v>
      </c>
      <c r="Y562" s="569" t="n">
        <f aca="false">X562</f>
        <v>0</v>
      </c>
      <c r="Z562" s="569" t="n">
        <f aca="false">Y562</f>
        <v>0</v>
      </c>
      <c r="AA562" s="569" t="n">
        <f aca="false">Z562</f>
        <v>0</v>
      </c>
      <c r="AB562" s="569" t="n">
        <f aca="false">AA562</f>
        <v>0</v>
      </c>
      <c r="AC562" s="569" t="n">
        <f aca="false">AB562</f>
        <v>0</v>
      </c>
      <c r="AD562" s="569" t="n">
        <f aca="false">AC562</f>
        <v>0</v>
      </c>
      <c r="AE562" s="569" t="n">
        <f aca="false">AD562</f>
        <v>0</v>
      </c>
      <c r="AF562" s="569" t="n">
        <f aca="false">AE562</f>
        <v>0</v>
      </c>
    </row>
    <row r="563" customFormat="false" ht="11.25" hidden="false" customHeight="false" outlineLevel="0" collapsed="false">
      <c r="A563" s="465" t="str">
        <f aca="false">A574&amp;"  (Days)"</f>
        <v>Accounts Payable  (Days)</v>
      </c>
      <c r="B563" s="241"/>
      <c r="C563" s="241"/>
      <c r="D563" s="241"/>
      <c r="E563" s="565" t="n">
        <v>0</v>
      </c>
      <c r="F563" s="565" t="n">
        <v>0</v>
      </c>
      <c r="G563" s="565" t="n">
        <v>0</v>
      </c>
      <c r="H563" s="566" t="n">
        <v>30</v>
      </c>
      <c r="I563" s="566" t="n">
        <v>20</v>
      </c>
      <c r="J563" s="567" t="n">
        <v>20</v>
      </c>
      <c r="K563" s="567" t="n">
        <v>20</v>
      </c>
      <c r="L563" s="567" t="n">
        <v>20</v>
      </c>
      <c r="M563" s="567" t="n">
        <v>20</v>
      </c>
      <c r="N563" s="567" t="n">
        <v>20</v>
      </c>
      <c r="O563" s="567" t="n">
        <v>20</v>
      </c>
      <c r="P563" s="567" t="n">
        <v>20</v>
      </c>
      <c r="Q563" s="567" t="n">
        <v>20</v>
      </c>
      <c r="R563" s="567" t="n">
        <v>20</v>
      </c>
      <c r="S563" s="567" t="n">
        <v>20</v>
      </c>
      <c r="T563" s="567" t="n">
        <v>20</v>
      </c>
      <c r="U563" s="567" t="n">
        <v>20</v>
      </c>
      <c r="V563" s="567" t="n">
        <v>20</v>
      </c>
      <c r="W563" s="567" t="n">
        <v>20</v>
      </c>
      <c r="X563" s="567" t="n">
        <v>20</v>
      </c>
      <c r="Y563" s="567" t="n">
        <v>20</v>
      </c>
      <c r="Z563" s="567" t="n">
        <v>20</v>
      </c>
      <c r="AA563" s="567" t="n">
        <v>20</v>
      </c>
      <c r="AB563" s="567" t="n">
        <v>20</v>
      </c>
      <c r="AC563" s="567" t="n">
        <v>20</v>
      </c>
      <c r="AD563" s="567" t="n">
        <v>20</v>
      </c>
      <c r="AE563" s="567" t="n">
        <v>20</v>
      </c>
      <c r="AF563" s="567" t="n">
        <v>20</v>
      </c>
    </row>
    <row r="564" customFormat="false" ht="11.25" hidden="false" customHeight="false" outlineLevel="0" collapsed="false">
      <c r="A564" s="465" t="str">
        <f aca="false">A575&amp;"  (Days)"</f>
        <v>Accrued Expenses  (Days)</v>
      </c>
      <c r="B564" s="241"/>
      <c r="C564" s="241"/>
      <c r="D564" s="241"/>
      <c r="E564" s="565" t="n">
        <v>0</v>
      </c>
      <c r="F564" s="565" t="n">
        <v>0</v>
      </c>
      <c r="G564" s="565" t="n">
        <v>0</v>
      </c>
      <c r="H564" s="566" t="n">
        <v>20</v>
      </c>
      <c r="I564" s="566" t="n">
        <f aca="false">H564</f>
        <v>20</v>
      </c>
      <c r="J564" s="567" t="n">
        <f aca="false">I564</f>
        <v>20</v>
      </c>
      <c r="K564" s="567" t="n">
        <f aca="false">J564</f>
        <v>20</v>
      </c>
      <c r="L564" s="567" t="n">
        <f aca="false">K564</f>
        <v>20</v>
      </c>
      <c r="M564" s="567" t="n">
        <f aca="false">L564</f>
        <v>20</v>
      </c>
      <c r="N564" s="567" t="n">
        <f aca="false">M564</f>
        <v>20</v>
      </c>
      <c r="O564" s="567" t="n">
        <f aca="false">N564</f>
        <v>20</v>
      </c>
      <c r="P564" s="567" t="n">
        <f aca="false">O564</f>
        <v>20</v>
      </c>
      <c r="Q564" s="567" t="n">
        <f aca="false">P564</f>
        <v>20</v>
      </c>
      <c r="R564" s="567" t="n">
        <f aca="false">Q564</f>
        <v>20</v>
      </c>
      <c r="S564" s="567" t="n">
        <f aca="false">R564</f>
        <v>20</v>
      </c>
      <c r="T564" s="567" t="n">
        <f aca="false">S564</f>
        <v>20</v>
      </c>
      <c r="U564" s="567" t="n">
        <f aca="false">T564</f>
        <v>20</v>
      </c>
      <c r="V564" s="567" t="n">
        <f aca="false">U564</f>
        <v>20</v>
      </c>
      <c r="W564" s="567" t="n">
        <f aca="false">V564</f>
        <v>20</v>
      </c>
      <c r="X564" s="567" t="n">
        <f aca="false">W564</f>
        <v>20</v>
      </c>
      <c r="Y564" s="567" t="n">
        <f aca="false">X564</f>
        <v>20</v>
      </c>
      <c r="Z564" s="567" t="n">
        <f aca="false">Y564</f>
        <v>20</v>
      </c>
      <c r="AA564" s="567" t="n">
        <f aca="false">Z564</f>
        <v>20</v>
      </c>
      <c r="AB564" s="567" t="n">
        <f aca="false">AA564</f>
        <v>20</v>
      </c>
      <c r="AC564" s="567" t="n">
        <f aca="false">AB564</f>
        <v>20</v>
      </c>
      <c r="AD564" s="567" t="n">
        <f aca="false">AC564</f>
        <v>20</v>
      </c>
      <c r="AE564" s="567" t="n">
        <f aca="false">AD564</f>
        <v>20</v>
      </c>
      <c r="AF564" s="567" t="n">
        <f aca="false">AE564</f>
        <v>20</v>
      </c>
    </row>
    <row r="565" customFormat="false" ht="11.25" hidden="false" customHeight="false" outlineLevel="0" collapsed="false">
      <c r="A565" s="465" t="str">
        <f aca="false">A576&amp;"  ($)"</f>
        <v>Other Payables  ($)</v>
      </c>
      <c r="B565" s="241"/>
      <c r="C565" s="241"/>
      <c r="D565" s="241"/>
      <c r="E565" s="565" t="n">
        <v>0</v>
      </c>
      <c r="F565" s="565" t="n">
        <v>0</v>
      </c>
      <c r="G565" s="565" t="n">
        <v>0</v>
      </c>
      <c r="H565" s="568" t="n">
        <v>0</v>
      </c>
      <c r="I565" s="566" t="n">
        <f aca="false">H565</f>
        <v>0</v>
      </c>
      <c r="J565" s="569" t="n">
        <f aca="false">I565</f>
        <v>0</v>
      </c>
      <c r="K565" s="569" t="n">
        <f aca="false">J565</f>
        <v>0</v>
      </c>
      <c r="L565" s="569" t="n">
        <f aca="false">K565</f>
        <v>0</v>
      </c>
      <c r="M565" s="569" t="n">
        <f aca="false">L565</f>
        <v>0</v>
      </c>
      <c r="N565" s="569" t="n">
        <f aca="false">M565</f>
        <v>0</v>
      </c>
      <c r="O565" s="569" t="n">
        <f aca="false">N565</f>
        <v>0</v>
      </c>
      <c r="P565" s="569" t="n">
        <f aca="false">O565</f>
        <v>0</v>
      </c>
      <c r="Q565" s="569" t="n">
        <f aca="false">P565</f>
        <v>0</v>
      </c>
      <c r="R565" s="569" t="n">
        <f aca="false">Q565</f>
        <v>0</v>
      </c>
      <c r="S565" s="569" t="n">
        <f aca="false">R565</f>
        <v>0</v>
      </c>
      <c r="T565" s="569" t="n">
        <f aca="false">S565</f>
        <v>0</v>
      </c>
      <c r="U565" s="569" t="n">
        <f aca="false">T565</f>
        <v>0</v>
      </c>
      <c r="V565" s="569" t="n">
        <f aca="false">U565</f>
        <v>0</v>
      </c>
      <c r="W565" s="569" t="n">
        <f aca="false">V565</f>
        <v>0</v>
      </c>
      <c r="X565" s="569" t="n">
        <f aca="false">W565</f>
        <v>0</v>
      </c>
      <c r="Y565" s="569" t="n">
        <f aca="false">X565</f>
        <v>0</v>
      </c>
      <c r="Z565" s="569" t="n">
        <f aca="false">Y565</f>
        <v>0</v>
      </c>
      <c r="AA565" s="569" t="n">
        <f aca="false">Z565</f>
        <v>0</v>
      </c>
      <c r="AB565" s="569" t="n">
        <f aca="false">AA565</f>
        <v>0</v>
      </c>
      <c r="AC565" s="569" t="n">
        <f aca="false">AB565</f>
        <v>0</v>
      </c>
      <c r="AD565" s="569" t="n">
        <f aca="false">AC565</f>
        <v>0</v>
      </c>
      <c r="AE565" s="569" t="n">
        <f aca="false">AD565</f>
        <v>0</v>
      </c>
      <c r="AF565" s="569" t="n">
        <f aca="false">AE565</f>
        <v>0</v>
      </c>
    </row>
    <row r="566" customFormat="false" ht="11.25" hidden="false" customHeight="false" outlineLevel="0" collapsed="false">
      <c r="A566" s="238"/>
      <c r="B566" s="238"/>
      <c r="C566" s="238"/>
      <c r="D566" s="238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238"/>
      <c r="W566" s="238"/>
      <c r="X566" s="238"/>
      <c r="Y566" s="238"/>
      <c r="Z566" s="238"/>
      <c r="AA566" s="238"/>
      <c r="AB566" s="238"/>
      <c r="AC566" s="238"/>
      <c r="AD566" s="238"/>
      <c r="AE566" s="238"/>
      <c r="AF566" s="238"/>
    </row>
    <row r="567" customFormat="false" ht="12" hidden="false" customHeight="false" outlineLevel="0" collapsed="false">
      <c r="A567" s="238"/>
      <c r="B567" s="238"/>
      <c r="C567" s="238"/>
      <c r="D567" s="238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238"/>
      <c r="W567" s="238"/>
      <c r="X567" s="238"/>
      <c r="Y567" s="238"/>
      <c r="Z567" s="238"/>
      <c r="AA567" s="238"/>
      <c r="AB567" s="238"/>
      <c r="AC567" s="238"/>
      <c r="AD567" s="238"/>
      <c r="AE567" s="238"/>
      <c r="AF567" s="238"/>
    </row>
    <row r="568" customFormat="false" ht="12.75" hidden="false" customHeight="false" outlineLevel="0" collapsed="false">
      <c r="A568" s="570" t="s">
        <v>592</v>
      </c>
      <c r="B568" s="481"/>
      <c r="C568" s="481"/>
      <c r="D568" s="481"/>
      <c r="E568" s="571" t="n">
        <f aca="false">E$638</f>
        <v>35430</v>
      </c>
      <c r="F568" s="571" t="n">
        <f aca="false">F$638</f>
        <v>35795</v>
      </c>
      <c r="G568" s="571" t="n">
        <f aca="false">G$638</f>
        <v>36160</v>
      </c>
      <c r="H568" s="564" t="n">
        <f aca="false">H$638</f>
        <v>36373</v>
      </c>
      <c r="I568" s="541" t="n">
        <f aca="false">I$638</f>
        <v>36525</v>
      </c>
      <c r="J568" s="572" t="n">
        <f aca="false">J$638</f>
        <v>36891</v>
      </c>
      <c r="K568" s="572" t="n">
        <f aca="false">K$638</f>
        <v>37256</v>
      </c>
      <c r="L568" s="572" t="n">
        <f aca="false">L$638</f>
        <v>37621</v>
      </c>
      <c r="M568" s="572" t="n">
        <f aca="false">M$638</f>
        <v>37986</v>
      </c>
      <c r="N568" s="572" t="n">
        <f aca="false">N$638</f>
        <v>38352</v>
      </c>
      <c r="O568" s="572" t="n">
        <f aca="false">O$638</f>
        <v>38717</v>
      </c>
      <c r="P568" s="572" t="n">
        <f aca="false">P$638</f>
        <v>39082</v>
      </c>
      <c r="Q568" s="572" t="n">
        <f aca="false">Q$638</f>
        <v>39447</v>
      </c>
      <c r="R568" s="572" t="n">
        <f aca="false">R$638</f>
        <v>39813</v>
      </c>
      <c r="S568" s="572" t="n">
        <f aca="false">S$638</f>
        <v>40178</v>
      </c>
      <c r="T568" s="572" t="n">
        <f aca="false">T$638</f>
        <v>40543</v>
      </c>
      <c r="U568" s="572" t="n">
        <f aca="false">U$638</f>
        <v>40908</v>
      </c>
      <c r="V568" s="572" t="n">
        <f aca="false">V$638</f>
        <v>41274</v>
      </c>
      <c r="W568" s="572" t="n">
        <f aca="false">W$638</f>
        <v>41639</v>
      </c>
      <c r="X568" s="572" t="n">
        <f aca="false">X$638</f>
        <v>42004</v>
      </c>
      <c r="Y568" s="572" t="n">
        <f aca="false">Y$638</f>
        <v>42369</v>
      </c>
      <c r="Z568" s="572" t="n">
        <f aca="false">Z$638</f>
        <v>42735</v>
      </c>
      <c r="AA568" s="572" t="n">
        <f aca="false">AA$638</f>
        <v>43100</v>
      </c>
      <c r="AB568" s="572" t="n">
        <f aca="false">AB$638</f>
        <v>43465</v>
      </c>
      <c r="AC568" s="572" t="n">
        <f aca="false">AC$638</f>
        <v>43830</v>
      </c>
      <c r="AD568" s="572" t="n">
        <f aca="false">AD$638</f>
        <v>44196</v>
      </c>
      <c r="AE568" s="572" t="n">
        <f aca="false">AE$638</f>
        <v>44561</v>
      </c>
      <c r="AF568" s="573" t="n">
        <f aca="false">AF$638</f>
        <v>44926</v>
      </c>
    </row>
    <row r="569" customFormat="false" ht="12" hidden="false" customHeight="false" outlineLevel="0" collapsed="false">
      <c r="A569" s="574" t="s">
        <v>593</v>
      </c>
      <c r="B569" s="430"/>
      <c r="C569" s="430"/>
      <c r="D569" s="430"/>
      <c r="E569" s="474" t="n">
        <f aca="false">E515</f>
        <v>0</v>
      </c>
      <c r="F569" s="474" t="n">
        <f aca="false">F515</f>
        <v>960</v>
      </c>
      <c r="G569" s="474" t="n">
        <f aca="false">G515</f>
        <v>1493</v>
      </c>
      <c r="H569" s="575" t="n">
        <f aca="false">IF(I316=0,0,H559/365*(I$316))</f>
        <v>0</v>
      </c>
      <c r="I569" s="576" t="n">
        <f aca="false">IF(I316=0,0,I559/365*(I$316))</f>
        <v>0</v>
      </c>
      <c r="J569" s="577" t="e">
        <f aca="false">IF(J316=0,0,J559/365*(J$316))</f>
        <v>#VALUE!</v>
      </c>
      <c r="K569" s="576" t="e">
        <f aca="false">IF(K316=0,0,K559/365*(K$316))</f>
        <v>#VALUE!</v>
      </c>
      <c r="L569" s="576" t="e">
        <f aca="false">IF(L316=0,0,L559/365*(L$316))</f>
        <v>#VALUE!</v>
      </c>
      <c r="M569" s="576" t="e">
        <f aca="false">IF(M316=0,0,M559/365*(M$316))</f>
        <v>#VALUE!</v>
      </c>
      <c r="N569" s="576" t="e">
        <f aca="false">IF(N316=0,0,N559/365*(N$316))</f>
        <v>#VALUE!</v>
      </c>
      <c r="O569" s="576" t="e">
        <f aca="false">IF(O316=0,0,O559/365*(O$316))</f>
        <v>#VALUE!</v>
      </c>
      <c r="P569" s="576" t="e">
        <f aca="false">IF(P316=0,0,P559/365*(P$316))</f>
        <v>#VALUE!</v>
      </c>
      <c r="Q569" s="576" t="e">
        <f aca="false">IF(Q316=0,0,Q559/365*(Q$316))</f>
        <v>#VALUE!</v>
      </c>
      <c r="R569" s="576" t="e">
        <f aca="false">IF(R316=0,0,R559/365*(R$316))</f>
        <v>#VALUE!</v>
      </c>
      <c r="S569" s="576" t="e">
        <f aca="false">IF(S316=0,0,S559/365*(S$316))</f>
        <v>#VALUE!</v>
      </c>
      <c r="T569" s="576" t="e">
        <f aca="false">IF(T316=0,0,T559/365*(T$316))</f>
        <v>#VALUE!</v>
      </c>
      <c r="U569" s="576" t="e">
        <f aca="false">IF(U316=0,0,U559/365*(U$316))</f>
        <v>#VALUE!</v>
      </c>
      <c r="V569" s="576" t="e">
        <f aca="false">IF(V316=0,0,V559/365*(V$316))</f>
        <v>#VALUE!</v>
      </c>
      <c r="W569" s="576" t="e">
        <f aca="false">IF(W316=0,0,W559/365*(W$316))</f>
        <v>#VALUE!</v>
      </c>
      <c r="X569" s="576" t="e">
        <f aca="false">IF(X316=0,0,X559/365*(X$316))</f>
        <v>#VALUE!</v>
      </c>
      <c r="Y569" s="576" t="e">
        <f aca="false">IF(Y316=0,0,Y559/365*(Y$316))</f>
        <v>#VALUE!</v>
      </c>
      <c r="Z569" s="576" t="e">
        <f aca="false">IF(Z316=0,0,Z559/365*(Z$316))</f>
        <v>#VALUE!</v>
      </c>
      <c r="AA569" s="576" t="e">
        <f aca="false">IF(AA316=0,0,AA559/365*(AA$316))</f>
        <v>#VALUE!</v>
      </c>
      <c r="AB569" s="576" t="e">
        <f aca="false">IF(AB316=0,0,AB559/365*(AB$316))</f>
        <v>#VALUE!</v>
      </c>
      <c r="AC569" s="576" t="e">
        <f aca="false">IF(AC316=0,0,AC559/365*(AC$316))</f>
        <v>#VALUE!</v>
      </c>
      <c r="AD569" s="576" t="e">
        <f aca="false">IF(AD316=0,0,AD559/365*(AD$316))</f>
        <v>#VALUE!</v>
      </c>
      <c r="AE569" s="576" t="e">
        <f aca="false">IF(AE316=0,0,AE559/365*(AE$316))</f>
        <v>#VALUE!</v>
      </c>
      <c r="AF569" s="578" t="e">
        <f aca="false">IF(AF316=0,0,AF559/365*(AF$316))</f>
        <v>#VALUE!</v>
      </c>
    </row>
    <row r="570" customFormat="false" ht="11.25" hidden="false" customHeight="false" outlineLevel="0" collapsed="false">
      <c r="A570" s="574"/>
      <c r="B570" s="430"/>
      <c r="C570" s="430"/>
      <c r="D570" s="430"/>
      <c r="E570" s="474"/>
      <c r="F570" s="474"/>
      <c r="G570" s="474"/>
      <c r="H570" s="474"/>
      <c r="I570" s="579"/>
      <c r="J570" s="580"/>
      <c r="K570" s="579"/>
      <c r="L570" s="579"/>
      <c r="M570" s="579"/>
      <c r="N570" s="579"/>
      <c r="O570" s="579"/>
      <c r="P570" s="579"/>
      <c r="Q570" s="579"/>
      <c r="R570" s="579"/>
      <c r="S570" s="579"/>
      <c r="T570" s="579"/>
      <c r="U570" s="579"/>
      <c r="V570" s="579"/>
      <c r="W570" s="579"/>
      <c r="X570" s="579"/>
      <c r="Y570" s="579"/>
      <c r="Z570" s="579"/>
      <c r="AA570" s="579"/>
      <c r="AB570" s="579"/>
      <c r="AC570" s="579"/>
      <c r="AD570" s="579"/>
      <c r="AE570" s="579"/>
      <c r="AF570" s="581"/>
    </row>
    <row r="571" customFormat="false" ht="11.25" hidden="false" customHeight="false" outlineLevel="0" collapsed="false">
      <c r="A571" s="574" t="str">
        <f aca="false">A400</f>
        <v>Accounts Receivable</v>
      </c>
      <c r="B571" s="430"/>
      <c r="C571" s="582"/>
      <c r="D571" s="474"/>
      <c r="E571" s="474" t="n">
        <f aca="false">E516</f>
        <v>0</v>
      </c>
      <c r="F571" s="474" t="n">
        <f aca="false">F516</f>
        <v>1187</v>
      </c>
      <c r="G571" s="474" t="n">
        <f aca="false">G516</f>
        <v>591</v>
      </c>
      <c r="H571" s="583" t="n">
        <f aca="false">IF(I316=0,0,H560/365*(I$316))</f>
        <v>303.375274134863</v>
      </c>
      <c r="I571" s="579" t="n">
        <f aca="false">883</f>
        <v>883</v>
      </c>
      <c r="J571" s="580" t="e">
        <f aca="false">IF(J316=0,0,J560/365*(J$316))</f>
        <v>#VALUE!</v>
      </c>
      <c r="K571" s="579" t="e">
        <f aca="false">IF(K316=0,0,K560/365*(K$316))</f>
        <v>#VALUE!</v>
      </c>
      <c r="L571" s="579" t="e">
        <f aca="false">IF(L316=0,0,L560/365*(L$316))</f>
        <v>#VALUE!</v>
      </c>
      <c r="M571" s="579" t="e">
        <f aca="false">IF(M316=0,0,M560/365*(M$316))</f>
        <v>#VALUE!</v>
      </c>
      <c r="N571" s="579" t="e">
        <f aca="false">IF(N316=0,0,N560/365*(N$316))</f>
        <v>#VALUE!</v>
      </c>
      <c r="O571" s="579" t="e">
        <f aca="false">IF(O316=0,0,O560/365*(O$316))</f>
        <v>#VALUE!</v>
      </c>
      <c r="P571" s="579" t="e">
        <f aca="false">IF(P316=0,0,P560/365*(P$316))</f>
        <v>#VALUE!</v>
      </c>
      <c r="Q571" s="579" t="e">
        <f aca="false">IF(Q316=0,0,Q560/365*(Q$316))</f>
        <v>#VALUE!</v>
      </c>
      <c r="R571" s="579" t="e">
        <f aca="false">IF(R316=0,0,R560/365*(R$316))</f>
        <v>#VALUE!</v>
      </c>
      <c r="S571" s="579" t="e">
        <f aca="false">IF(S316=0,0,S560/365*(S$316))</f>
        <v>#VALUE!</v>
      </c>
      <c r="T571" s="579" t="e">
        <f aca="false">IF(T316=0,0,T560/365*(T$316))</f>
        <v>#VALUE!</v>
      </c>
      <c r="U571" s="579" t="e">
        <f aca="false">IF(U316=0,0,U560/365*(U$316))</f>
        <v>#VALUE!</v>
      </c>
      <c r="V571" s="579" t="e">
        <f aca="false">IF(V316=0,0,V560/365*(V$316))</f>
        <v>#VALUE!</v>
      </c>
      <c r="W571" s="579" t="e">
        <f aca="false">IF(W316=0,0,W560/365*(W$316))</f>
        <v>#VALUE!</v>
      </c>
      <c r="X571" s="579" t="e">
        <f aca="false">IF(X316=0,0,X560/365*(X$316))</f>
        <v>#VALUE!</v>
      </c>
      <c r="Y571" s="579" t="e">
        <f aca="false">IF(Y316=0,0,Y560/365*(Y$316))</f>
        <v>#VALUE!</v>
      </c>
      <c r="Z571" s="579" t="e">
        <f aca="false">IF(Z316=0,0,Z560/365*(Z$316))</f>
        <v>#VALUE!</v>
      </c>
      <c r="AA571" s="579" t="e">
        <f aca="false">IF(AA316=0,0,AA560/365*(AA$316))</f>
        <v>#VALUE!</v>
      </c>
      <c r="AB571" s="579" t="e">
        <f aca="false">IF(AB316=0,0,AB560/365*(AB$316))</f>
        <v>#VALUE!</v>
      </c>
      <c r="AC571" s="579" t="e">
        <f aca="false">IF(AC316=0,0,AC560/365*(AC$316))</f>
        <v>#VALUE!</v>
      </c>
      <c r="AD571" s="579" t="e">
        <f aca="false">IF(AD316=0,0,AD560/365*(AD$316))</f>
        <v>#VALUE!</v>
      </c>
      <c r="AE571" s="579" t="e">
        <f aca="false">IF(AE316=0,0,AE560/365*(AE$316))</f>
        <v>#VALUE!</v>
      </c>
      <c r="AF571" s="581" t="e">
        <f aca="false">IF(AF316=0,0,AF560/365*(AF$316))</f>
        <v>#VALUE!</v>
      </c>
    </row>
    <row r="572" customFormat="false" ht="11.25" hidden="false" customHeight="false" outlineLevel="0" collapsed="false">
      <c r="A572" s="574" t="str">
        <f aca="false">A401</f>
        <v>Inventories</v>
      </c>
      <c r="B572" s="430"/>
      <c r="C572" s="582"/>
      <c r="D572" s="474"/>
      <c r="E572" s="474" t="n">
        <f aca="false">E517</f>
        <v>0</v>
      </c>
      <c r="F572" s="474" t="n">
        <f aca="false">F517</f>
        <v>0</v>
      </c>
      <c r="G572" s="474" t="n">
        <f aca="false">G517</f>
        <v>0</v>
      </c>
      <c r="H572" s="474" t="n">
        <f aca="false">K517</f>
        <v>0</v>
      </c>
      <c r="I572" s="579" t="n">
        <f aca="false">163</f>
        <v>163</v>
      </c>
      <c r="J572" s="584" t="n">
        <v>0</v>
      </c>
      <c r="K572" s="585" t="n">
        <f aca="false">J572</f>
        <v>0</v>
      </c>
      <c r="L572" s="585" t="n">
        <f aca="false">K572</f>
        <v>0</v>
      </c>
      <c r="M572" s="585" t="n">
        <f aca="false">L572</f>
        <v>0</v>
      </c>
      <c r="N572" s="585" t="n">
        <f aca="false">M572</f>
        <v>0</v>
      </c>
      <c r="O572" s="585" t="n">
        <f aca="false">N572</f>
        <v>0</v>
      </c>
      <c r="P572" s="585" t="n">
        <f aca="false">O572</f>
        <v>0</v>
      </c>
      <c r="Q572" s="585" t="n">
        <f aca="false">P572</f>
        <v>0</v>
      </c>
      <c r="R572" s="585" t="n">
        <f aca="false">Q572</f>
        <v>0</v>
      </c>
      <c r="S572" s="585" t="n">
        <f aca="false">R572</f>
        <v>0</v>
      </c>
      <c r="T572" s="585" t="n">
        <f aca="false">S572</f>
        <v>0</v>
      </c>
      <c r="U572" s="585" t="n">
        <f aca="false">T572</f>
        <v>0</v>
      </c>
      <c r="V572" s="585" t="n">
        <f aca="false">U572</f>
        <v>0</v>
      </c>
      <c r="W572" s="585" t="n">
        <f aca="false">V572</f>
        <v>0</v>
      </c>
      <c r="X572" s="585" t="n">
        <f aca="false">W572</f>
        <v>0</v>
      </c>
      <c r="Y572" s="585" t="n">
        <f aca="false">X572</f>
        <v>0</v>
      </c>
      <c r="Z572" s="585" t="n">
        <f aca="false">Y572</f>
        <v>0</v>
      </c>
      <c r="AA572" s="585" t="n">
        <f aca="false">Z572</f>
        <v>0</v>
      </c>
      <c r="AB572" s="585" t="n">
        <f aca="false">AA572</f>
        <v>0</v>
      </c>
      <c r="AC572" s="585" t="n">
        <f aca="false">AB572</f>
        <v>0</v>
      </c>
      <c r="AD572" s="585" t="n">
        <f aca="false">AC572</f>
        <v>0</v>
      </c>
      <c r="AE572" s="585" t="n">
        <f aca="false">AD572</f>
        <v>0</v>
      </c>
      <c r="AF572" s="586" t="n">
        <f aca="false">AE572</f>
        <v>0</v>
      </c>
    </row>
    <row r="573" customFormat="false" ht="11.25" hidden="false" customHeight="false" outlineLevel="0" collapsed="false">
      <c r="A573" s="574" t="str">
        <f aca="false">A402</f>
        <v>Other Current Assets</v>
      </c>
      <c r="B573" s="430"/>
      <c r="C573" s="582"/>
      <c r="D573" s="474"/>
      <c r="E573" s="474" t="n">
        <f aca="false">E518</f>
        <v>0</v>
      </c>
      <c r="F573" s="474" t="n">
        <f aca="false">F518</f>
        <v>427</v>
      </c>
      <c r="G573" s="474" t="n">
        <f aca="false">G518</f>
        <v>381</v>
      </c>
      <c r="H573" s="474" t="n">
        <f aca="false">K518</f>
        <v>0</v>
      </c>
      <c r="I573" s="579" t="n">
        <f aca="false">H573</f>
        <v>0</v>
      </c>
      <c r="J573" s="584" t="n">
        <f aca="false">I573</f>
        <v>0</v>
      </c>
      <c r="K573" s="585" t="n">
        <f aca="false">J573</f>
        <v>0</v>
      </c>
      <c r="L573" s="585" t="n">
        <f aca="false">K573</f>
        <v>0</v>
      </c>
      <c r="M573" s="585" t="n">
        <f aca="false">L573</f>
        <v>0</v>
      </c>
      <c r="N573" s="585" t="n">
        <f aca="false">M573</f>
        <v>0</v>
      </c>
      <c r="O573" s="585" t="n">
        <f aca="false">N573</f>
        <v>0</v>
      </c>
      <c r="P573" s="585" t="n">
        <f aca="false">O573</f>
        <v>0</v>
      </c>
      <c r="Q573" s="585" t="n">
        <f aca="false">P573</f>
        <v>0</v>
      </c>
      <c r="R573" s="585" t="n">
        <f aca="false">Q573</f>
        <v>0</v>
      </c>
      <c r="S573" s="585" t="n">
        <f aca="false">R573</f>
        <v>0</v>
      </c>
      <c r="T573" s="585" t="n">
        <f aca="false">S573</f>
        <v>0</v>
      </c>
      <c r="U573" s="585" t="n">
        <f aca="false">T573</f>
        <v>0</v>
      </c>
      <c r="V573" s="585" t="n">
        <f aca="false">U573</f>
        <v>0</v>
      </c>
      <c r="W573" s="585" t="n">
        <f aca="false">V573</f>
        <v>0</v>
      </c>
      <c r="X573" s="585" t="n">
        <f aca="false">W573</f>
        <v>0</v>
      </c>
      <c r="Y573" s="585" t="n">
        <f aca="false">X573</f>
        <v>0</v>
      </c>
      <c r="Z573" s="585" t="n">
        <f aca="false">Y573</f>
        <v>0</v>
      </c>
      <c r="AA573" s="585" t="n">
        <f aca="false">Z573</f>
        <v>0</v>
      </c>
      <c r="AB573" s="585" t="n">
        <f aca="false">AA573</f>
        <v>0</v>
      </c>
      <c r="AC573" s="585" t="n">
        <f aca="false">AB573</f>
        <v>0</v>
      </c>
      <c r="AD573" s="585" t="n">
        <f aca="false">AC573</f>
        <v>0</v>
      </c>
      <c r="AE573" s="585" t="n">
        <f aca="false">AD573</f>
        <v>0</v>
      </c>
      <c r="AF573" s="586" t="n">
        <f aca="false">AE573</f>
        <v>0</v>
      </c>
    </row>
    <row r="574" customFormat="false" ht="11.25" hidden="false" customHeight="false" outlineLevel="0" collapsed="false">
      <c r="A574" s="574" t="str">
        <f aca="false">A418</f>
        <v>Accounts Payable</v>
      </c>
      <c r="B574" s="430"/>
      <c r="C574" s="582"/>
      <c r="D574" s="474"/>
      <c r="E574" s="474" t="n">
        <f aca="false">E533</f>
        <v>0</v>
      </c>
      <c r="F574" s="474" t="n">
        <f aca="false">F533</f>
        <v>920</v>
      </c>
      <c r="G574" s="474" t="n">
        <f aca="false">G533</f>
        <v>951</v>
      </c>
      <c r="H574" s="583" t="n">
        <f aca="false">+H571-1011</f>
        <v>-707.624725865137</v>
      </c>
      <c r="I574" s="579" t="n">
        <f aca="false">834</f>
        <v>834</v>
      </c>
      <c r="J574" s="580" t="e">
        <f aca="false">IF(J317=0,0,J563/365*(J$316))</f>
        <v>#VALUE!</v>
      </c>
      <c r="K574" s="579" t="e">
        <f aca="false">IF(K317=0,0,K563/365*(K$316))</f>
        <v>#VALUE!</v>
      </c>
      <c r="L574" s="579" t="e">
        <f aca="false">IF(L317=0,0,L563/365*(L$316))</f>
        <v>#VALUE!</v>
      </c>
      <c r="M574" s="579" t="e">
        <f aca="false">IF(M317=0,0,M563/365*(M$316))</f>
        <v>#VALUE!</v>
      </c>
      <c r="N574" s="579" t="e">
        <f aca="false">IF(N317=0,0,N563/365*(N$316))</f>
        <v>#VALUE!</v>
      </c>
      <c r="O574" s="579" t="e">
        <f aca="false">IF(O317=0,0,O563/365*(O$316))</f>
        <v>#VALUE!</v>
      </c>
      <c r="P574" s="579" t="e">
        <f aca="false">IF(P317=0,0,P563/365*(P$316))</f>
        <v>#VALUE!</v>
      </c>
      <c r="Q574" s="579" t="e">
        <f aca="false">IF(Q317=0,0,Q563/365*(Q$316))</f>
        <v>#VALUE!</v>
      </c>
      <c r="R574" s="579" t="e">
        <f aca="false">IF(R317=0,0,R563/365*(R$316))</f>
        <v>#VALUE!</v>
      </c>
      <c r="S574" s="579" t="e">
        <f aca="false">IF(S317=0,0,S563/365*(S$316))</f>
        <v>#VALUE!</v>
      </c>
      <c r="T574" s="579" t="e">
        <f aca="false">IF(T317=0,0,T563/365*(T$316))</f>
        <v>#VALUE!</v>
      </c>
      <c r="U574" s="579" t="e">
        <f aca="false">IF(U317=0,0,U563/365*(U$316))</f>
        <v>#VALUE!</v>
      </c>
      <c r="V574" s="579" t="e">
        <f aca="false">IF(V317=0,0,V563/365*(V$316))</f>
        <v>#VALUE!</v>
      </c>
      <c r="W574" s="579" t="e">
        <f aca="false">IF(W317=0,0,W563/365*(W$316))</f>
        <v>#VALUE!</v>
      </c>
      <c r="X574" s="579" t="e">
        <f aca="false">IF(X317=0,0,X563/365*(X$316))</f>
        <v>#VALUE!</v>
      </c>
      <c r="Y574" s="579" t="e">
        <f aca="false">IF(Y317=0,0,Y563/365*(Y$316))</f>
        <v>#VALUE!</v>
      </c>
      <c r="Z574" s="579" t="e">
        <f aca="false">IF(Z317=0,0,Z563/365*(Z$316))</f>
        <v>#VALUE!</v>
      </c>
      <c r="AA574" s="579" t="e">
        <f aca="false">IF(AA317=0,0,AA563/365*(AA$316))</f>
        <v>#VALUE!</v>
      </c>
      <c r="AB574" s="579" t="e">
        <f aca="false">IF(AB317=0,0,AB563/365*(AB$316))</f>
        <v>#VALUE!</v>
      </c>
      <c r="AC574" s="579" t="e">
        <f aca="false">IF(AC317=0,0,AC563/365*(AC$316))</f>
        <v>#VALUE!</v>
      </c>
      <c r="AD574" s="579" t="e">
        <f aca="false">IF(AD317=0,0,AD563/365*(AD$316))</f>
        <v>#VALUE!</v>
      </c>
      <c r="AE574" s="579" t="e">
        <f aca="false">IF(AE317=0,0,AE563/365*(AE$316))</f>
        <v>#VALUE!</v>
      </c>
      <c r="AF574" s="579" t="e">
        <f aca="false">IF(AF317=0,0,AF563/365*(AF$316))</f>
        <v>#VALUE!</v>
      </c>
    </row>
    <row r="575" customFormat="false" ht="11.25" hidden="false" customHeight="false" outlineLevel="0" collapsed="false">
      <c r="A575" s="574" t="str">
        <f aca="false">A419</f>
        <v>Accrued Expenses</v>
      </c>
      <c r="B575" s="430"/>
      <c r="C575" s="582"/>
      <c r="D575" s="474"/>
      <c r="E575" s="474" t="n">
        <f aca="false">E534</f>
        <v>0</v>
      </c>
      <c r="F575" s="474" t="n">
        <f aca="false">F534</f>
        <v>0</v>
      </c>
      <c r="G575" s="474" t="n">
        <f aca="false">G534</f>
        <v>0</v>
      </c>
      <c r="H575" s="474" t="n">
        <f aca="false">K534</f>
        <v>0</v>
      </c>
      <c r="I575" s="579" t="n">
        <v>0</v>
      </c>
      <c r="J575" s="580" t="n">
        <v>0</v>
      </c>
      <c r="K575" s="579" t="n">
        <f aca="false">J575</f>
        <v>0</v>
      </c>
      <c r="L575" s="579" t="n">
        <f aca="false">K575</f>
        <v>0</v>
      </c>
      <c r="M575" s="579" t="n">
        <f aca="false">L575</f>
        <v>0</v>
      </c>
      <c r="N575" s="579" t="n">
        <f aca="false">M575</f>
        <v>0</v>
      </c>
      <c r="O575" s="579" t="n">
        <f aca="false">N575</f>
        <v>0</v>
      </c>
      <c r="P575" s="579" t="n">
        <f aca="false">O575</f>
        <v>0</v>
      </c>
      <c r="Q575" s="579" t="n">
        <f aca="false">P575</f>
        <v>0</v>
      </c>
      <c r="R575" s="579" t="n">
        <f aca="false">Q575</f>
        <v>0</v>
      </c>
      <c r="S575" s="579" t="n">
        <f aca="false">R575</f>
        <v>0</v>
      </c>
      <c r="T575" s="579" t="n">
        <f aca="false">S575</f>
        <v>0</v>
      </c>
      <c r="U575" s="579" t="n">
        <f aca="false">T575</f>
        <v>0</v>
      </c>
      <c r="V575" s="579" t="n">
        <f aca="false">U575</f>
        <v>0</v>
      </c>
      <c r="W575" s="579" t="n">
        <f aca="false">V575</f>
        <v>0</v>
      </c>
      <c r="X575" s="579" t="n">
        <f aca="false">W575</f>
        <v>0</v>
      </c>
      <c r="Y575" s="579" t="n">
        <f aca="false">X575</f>
        <v>0</v>
      </c>
      <c r="Z575" s="579" t="n">
        <f aca="false">Y575</f>
        <v>0</v>
      </c>
      <c r="AA575" s="579" t="n">
        <f aca="false">Z575</f>
        <v>0</v>
      </c>
      <c r="AB575" s="579" t="n">
        <f aca="false">AA575</f>
        <v>0</v>
      </c>
      <c r="AC575" s="579" t="n">
        <f aca="false">AB575</f>
        <v>0</v>
      </c>
      <c r="AD575" s="579" t="n">
        <f aca="false">AC575</f>
        <v>0</v>
      </c>
      <c r="AE575" s="579" t="n">
        <f aca="false">AD575</f>
        <v>0</v>
      </c>
      <c r="AF575" s="581" t="n">
        <f aca="false">AE575</f>
        <v>0</v>
      </c>
    </row>
    <row r="576" customFormat="false" ht="11.25" hidden="false" customHeight="false" outlineLevel="0" collapsed="false">
      <c r="A576" s="574" t="str">
        <f aca="false">A420</f>
        <v>Other Payables</v>
      </c>
      <c r="B576" s="430"/>
      <c r="C576" s="474"/>
      <c r="D576" s="474"/>
      <c r="E576" s="474" t="n">
        <f aca="false">E535</f>
        <v>0</v>
      </c>
      <c r="F576" s="474" t="n">
        <f aca="false">F535</f>
        <v>516</v>
      </c>
      <c r="G576" s="474" t="n">
        <f aca="false">G535</f>
        <v>387</v>
      </c>
      <c r="H576" s="474" t="n">
        <f aca="false">K535</f>
        <v>0</v>
      </c>
      <c r="I576" s="579" t="n">
        <f aca="false">H576</f>
        <v>0</v>
      </c>
      <c r="J576" s="587" t="n">
        <f aca="false">I576</f>
        <v>0</v>
      </c>
      <c r="K576" s="588" t="n">
        <f aca="false">J576</f>
        <v>0</v>
      </c>
      <c r="L576" s="588" t="n">
        <f aca="false">K576</f>
        <v>0</v>
      </c>
      <c r="M576" s="588" t="n">
        <f aca="false">L576</f>
        <v>0</v>
      </c>
      <c r="N576" s="588" t="n">
        <f aca="false">M576</f>
        <v>0</v>
      </c>
      <c r="O576" s="588" t="n">
        <f aca="false">N576</f>
        <v>0</v>
      </c>
      <c r="P576" s="588" t="n">
        <f aca="false">O576</f>
        <v>0</v>
      </c>
      <c r="Q576" s="588" t="n">
        <f aca="false">P576</f>
        <v>0</v>
      </c>
      <c r="R576" s="588" t="n">
        <f aca="false">Q576</f>
        <v>0</v>
      </c>
      <c r="S576" s="588" t="n">
        <f aca="false">R576</f>
        <v>0</v>
      </c>
      <c r="T576" s="588" t="n">
        <f aca="false">S576</f>
        <v>0</v>
      </c>
      <c r="U576" s="588" t="n">
        <f aca="false">T576</f>
        <v>0</v>
      </c>
      <c r="V576" s="588" t="n">
        <f aca="false">U576</f>
        <v>0</v>
      </c>
      <c r="W576" s="588" t="n">
        <f aca="false">V576</f>
        <v>0</v>
      </c>
      <c r="X576" s="588" t="n">
        <f aca="false">W576</f>
        <v>0</v>
      </c>
      <c r="Y576" s="588" t="n">
        <f aca="false">X576</f>
        <v>0</v>
      </c>
      <c r="Z576" s="588" t="n">
        <f aca="false">Y576</f>
        <v>0</v>
      </c>
      <c r="AA576" s="588" t="n">
        <f aca="false">Z576</f>
        <v>0</v>
      </c>
      <c r="AB576" s="588" t="n">
        <f aca="false">AA576</f>
        <v>0</v>
      </c>
      <c r="AC576" s="588" t="n">
        <f aca="false">AB576</f>
        <v>0</v>
      </c>
      <c r="AD576" s="588" t="n">
        <f aca="false">AC576</f>
        <v>0</v>
      </c>
      <c r="AE576" s="588" t="n">
        <f aca="false">AD576</f>
        <v>0</v>
      </c>
      <c r="AF576" s="589" t="n">
        <f aca="false">AE576</f>
        <v>0</v>
      </c>
    </row>
    <row r="577" customFormat="false" ht="12" hidden="false" customHeight="false" outlineLevel="0" collapsed="false">
      <c r="A577" s="574" t="s">
        <v>594</v>
      </c>
      <c r="B577" s="430"/>
      <c r="C577" s="474"/>
      <c r="D577" s="590" t="n">
        <f aca="false">E577</f>
        <v>0</v>
      </c>
      <c r="E577" s="487" t="n">
        <f aca="false">E569+E571+E572+E573-E574-E575-E576</f>
        <v>0</v>
      </c>
      <c r="F577" s="487" t="n">
        <f aca="false">F569+F571+F572+F573-F574-F575-F576</f>
        <v>1138</v>
      </c>
      <c r="G577" s="487" t="n">
        <f aca="false">G569+G571+G572+G573-G574-G575-G576</f>
        <v>1127</v>
      </c>
      <c r="H577" s="487" t="n">
        <f aca="false">H569+H571+H572+H573-H574-H575-H576</f>
        <v>1011</v>
      </c>
      <c r="I577" s="488" t="n">
        <f aca="false">I569+I571+I572+I573-I574-I575-I576</f>
        <v>212</v>
      </c>
      <c r="J577" s="487" t="e">
        <f aca="false">J569+J571+J572+J573-J574-J575-J576</f>
        <v>#VALUE!</v>
      </c>
      <c r="K577" s="487" t="e">
        <f aca="false">K569+K571+K572+K573-K574-K575-K576</f>
        <v>#VALUE!</v>
      </c>
      <c r="L577" s="487" t="e">
        <f aca="false">L569+L571+L572+L573-L574-L575-L576</f>
        <v>#VALUE!</v>
      </c>
      <c r="M577" s="487" t="e">
        <f aca="false">M569+M571+M572+M573-M574-M575-M576</f>
        <v>#VALUE!</v>
      </c>
      <c r="N577" s="487" t="e">
        <f aca="false">N569+N571+N572+N573-N574-N575-N576</f>
        <v>#VALUE!</v>
      </c>
      <c r="O577" s="487" t="e">
        <f aca="false">O569+O571+O572+O573-O574-O575-O576</f>
        <v>#VALUE!</v>
      </c>
      <c r="P577" s="487" t="e">
        <f aca="false">P569+P571+P572+P573-P574-P575-P576</f>
        <v>#VALUE!</v>
      </c>
      <c r="Q577" s="487" t="e">
        <f aca="false">Q569+Q571+Q572+Q573-Q574-Q575-Q576</f>
        <v>#VALUE!</v>
      </c>
      <c r="R577" s="487" t="e">
        <f aca="false">R569+R571+R572+R573-R574-R575-R576</f>
        <v>#VALUE!</v>
      </c>
      <c r="S577" s="487" t="e">
        <f aca="false">S569+S571+S572+S573-S574-S575-S576</f>
        <v>#VALUE!</v>
      </c>
      <c r="T577" s="487" t="e">
        <f aca="false">T569+T571+T572+T573-T574-T575-T576</f>
        <v>#VALUE!</v>
      </c>
      <c r="U577" s="487" t="e">
        <f aca="false">U569+U571+U572+U573-U574-U575-U576</f>
        <v>#VALUE!</v>
      </c>
      <c r="V577" s="487" t="e">
        <f aca="false">V569+V571+V572+V573-V574-V575-V576</f>
        <v>#VALUE!</v>
      </c>
      <c r="W577" s="487" t="e">
        <f aca="false">W569+W571+W572+W573-W574-W575-W576</f>
        <v>#VALUE!</v>
      </c>
      <c r="X577" s="487" t="e">
        <f aca="false">X569+X571+X572+X573-X574-X575-X576</f>
        <v>#VALUE!</v>
      </c>
      <c r="Y577" s="487" t="e">
        <f aca="false">Y569+Y571+Y572+Y573-Y574-Y575-Y576</f>
        <v>#VALUE!</v>
      </c>
      <c r="Z577" s="487" t="e">
        <f aca="false">Z569+Z571+Z572+Z573-Z574-Z575-Z576</f>
        <v>#VALUE!</v>
      </c>
      <c r="AA577" s="487" t="e">
        <f aca="false">AA569+AA571+AA572+AA573-AA574-AA575-AA576</f>
        <v>#VALUE!</v>
      </c>
      <c r="AB577" s="487" t="e">
        <f aca="false">AB569+AB571+AB572+AB573-AB574-AB575-AB576</f>
        <v>#VALUE!</v>
      </c>
      <c r="AC577" s="487" t="e">
        <f aca="false">AC569+AC571+AC572+AC573-AC574-AC575-AC576</f>
        <v>#VALUE!</v>
      </c>
      <c r="AD577" s="487" t="e">
        <f aca="false">AD569+AD571+AD572+AD573-AD574-AD575-AD576</f>
        <v>#VALUE!</v>
      </c>
      <c r="AE577" s="487" t="e">
        <f aca="false">AE569+AE571+AE572+AE573-AE574-AE575-AE576</f>
        <v>#VALUE!</v>
      </c>
      <c r="AF577" s="487" t="e">
        <f aca="false">AF569+AF571+AF572+AF573-AF574-AF575-AF576</f>
        <v>#VALUE!</v>
      </c>
    </row>
    <row r="578" customFormat="false" ht="12" hidden="false" customHeight="false" outlineLevel="0" collapsed="false">
      <c r="A578" s="574"/>
      <c r="B578" s="430"/>
      <c r="C578" s="430"/>
      <c r="D578" s="430"/>
      <c r="E578" s="430"/>
      <c r="F578" s="430"/>
      <c r="G578" s="430"/>
      <c r="H578" s="430"/>
      <c r="I578" s="430"/>
      <c r="J578" s="502"/>
      <c r="K578" s="430"/>
      <c r="L578" s="430"/>
      <c r="M578" s="430"/>
      <c r="N578" s="430"/>
      <c r="O578" s="430"/>
      <c r="P578" s="430"/>
      <c r="Q578" s="430"/>
      <c r="R578" s="430"/>
      <c r="S578" s="430"/>
      <c r="T578" s="430"/>
      <c r="U578" s="430"/>
      <c r="V578" s="430"/>
      <c r="W578" s="430"/>
      <c r="X578" s="430"/>
      <c r="Y578" s="430"/>
      <c r="Z578" s="430"/>
      <c r="AA578" s="430"/>
      <c r="AB578" s="430"/>
      <c r="AC578" s="430"/>
      <c r="AD578" s="430"/>
      <c r="AE578" s="430"/>
      <c r="AF578" s="483"/>
    </row>
    <row r="579" customFormat="false" ht="11.25" hidden="false" customHeight="false" outlineLevel="0" collapsed="false">
      <c r="A579" s="591" t="s">
        <v>481</v>
      </c>
      <c r="B579" s="535"/>
      <c r="C579" s="535"/>
      <c r="D579" s="535"/>
      <c r="E579" s="535" t="n">
        <f aca="false">E577-D577</f>
        <v>0</v>
      </c>
      <c r="F579" s="535" t="n">
        <f aca="false">F577-E577</f>
        <v>1138</v>
      </c>
      <c r="G579" s="535" t="n">
        <f aca="false">G577-F577</f>
        <v>-11</v>
      </c>
      <c r="H579" s="592" t="n">
        <f aca="false">H577-G577</f>
        <v>-116</v>
      </c>
      <c r="I579" s="593" t="n">
        <f aca="false">+I577-H577</f>
        <v>-799</v>
      </c>
      <c r="J579" s="535" t="e">
        <f aca="false">+J577-I577</f>
        <v>#VALUE!</v>
      </c>
      <c r="K579" s="535" t="e">
        <f aca="false">+K577-J577</f>
        <v>#VALUE!</v>
      </c>
      <c r="L579" s="535" t="e">
        <f aca="false">+L577-K577</f>
        <v>#VALUE!</v>
      </c>
      <c r="M579" s="535" t="e">
        <f aca="false">+M577-L577</f>
        <v>#VALUE!</v>
      </c>
      <c r="N579" s="535" t="e">
        <f aca="false">+N577-M577</f>
        <v>#VALUE!</v>
      </c>
      <c r="O579" s="535" t="e">
        <f aca="false">+O577-N577</f>
        <v>#VALUE!</v>
      </c>
      <c r="P579" s="535" t="e">
        <f aca="false">+P577-O577</f>
        <v>#VALUE!</v>
      </c>
      <c r="Q579" s="535" t="e">
        <f aca="false">+Q577-P577</f>
        <v>#VALUE!</v>
      </c>
      <c r="R579" s="535" t="e">
        <f aca="false">+R577-Q577</f>
        <v>#VALUE!</v>
      </c>
      <c r="S579" s="535" t="e">
        <f aca="false">+S577-R577</f>
        <v>#VALUE!</v>
      </c>
      <c r="T579" s="535" t="e">
        <f aca="false">+T577-S577</f>
        <v>#VALUE!</v>
      </c>
      <c r="U579" s="535" t="e">
        <f aca="false">+U577-T577</f>
        <v>#VALUE!</v>
      </c>
      <c r="V579" s="535" t="e">
        <f aca="false">+V577-U577</f>
        <v>#VALUE!</v>
      </c>
      <c r="W579" s="535" t="e">
        <f aca="false">+W577-V577</f>
        <v>#VALUE!</v>
      </c>
      <c r="X579" s="535" t="e">
        <f aca="false">+X577-W577</f>
        <v>#VALUE!</v>
      </c>
      <c r="Y579" s="535" t="e">
        <f aca="false">+Y577-X577</f>
        <v>#VALUE!</v>
      </c>
      <c r="Z579" s="535" t="e">
        <f aca="false">+Z577-Y577</f>
        <v>#VALUE!</v>
      </c>
      <c r="AA579" s="535" t="e">
        <f aca="false">+AA577-Z577</f>
        <v>#VALUE!</v>
      </c>
      <c r="AB579" s="535" t="e">
        <f aca="false">+AB577-AA577</f>
        <v>#VALUE!</v>
      </c>
      <c r="AC579" s="535" t="e">
        <f aca="false">+AC577-AB577</f>
        <v>#VALUE!</v>
      </c>
      <c r="AD579" s="535" t="e">
        <f aca="false">+AD577-AC577</f>
        <v>#VALUE!</v>
      </c>
      <c r="AE579" s="535" t="e">
        <f aca="false">+AE577-AD577</f>
        <v>#VALUE!</v>
      </c>
      <c r="AF579" s="594" t="e">
        <f aca="false">+AF577-AE577</f>
        <v>#VALUE!</v>
      </c>
    </row>
    <row r="580" customFormat="false" ht="11.25" hidden="false" customHeight="false" outlineLevel="0" collapsed="false">
      <c r="A580" s="450"/>
      <c r="B580" s="238"/>
      <c r="C580" s="238"/>
      <c r="D580" s="238"/>
      <c r="E580" s="238"/>
      <c r="F580" s="238"/>
      <c r="G580" s="238"/>
      <c r="H580" s="238"/>
      <c r="I580" s="430"/>
      <c r="J580" s="430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238"/>
      <c r="W580" s="238"/>
      <c r="X580" s="238"/>
      <c r="Y580" s="238"/>
      <c r="Z580" s="238"/>
      <c r="AA580" s="238"/>
      <c r="AB580" s="238"/>
      <c r="AC580" s="238"/>
      <c r="AD580" s="238"/>
      <c r="AE580" s="238"/>
      <c r="AF580" s="238"/>
    </row>
    <row r="581" customFormat="false" ht="11.25" hidden="false" customHeight="false" outlineLevel="0" collapsed="false">
      <c r="A581" s="595" t="s">
        <v>595</v>
      </c>
      <c r="B581" s="481"/>
      <c r="C581" s="481"/>
      <c r="D581" s="481"/>
      <c r="E581" s="596"/>
      <c r="F581" s="596"/>
      <c r="G581" s="596"/>
      <c r="H581" s="596"/>
      <c r="I581" s="597" t="n">
        <f aca="false">I587-H587</f>
        <v>0</v>
      </c>
      <c r="J581" s="597" t="n">
        <f aca="false">J587-I587</f>
        <v>0</v>
      </c>
      <c r="K581" s="597" t="n">
        <f aca="false">K587-J587</f>
        <v>0</v>
      </c>
      <c r="L581" s="597" t="n">
        <f aca="false">L587-K587</f>
        <v>332.97615389445</v>
      </c>
      <c r="M581" s="597" t="n">
        <f aca="false">M587-L587</f>
        <v>-332.97615389445</v>
      </c>
      <c r="N581" s="597" t="n">
        <f aca="false">N587-M587</f>
        <v>0</v>
      </c>
      <c r="O581" s="597" t="n">
        <f aca="false">O587-N587</f>
        <v>576.467477474461</v>
      </c>
      <c r="P581" s="597" t="n">
        <f aca="false">P587-O587</f>
        <v>2305.86990989784</v>
      </c>
      <c r="Q581" s="597" t="n">
        <f aca="false">Q587-P587</f>
        <v>-2882.3373873723</v>
      </c>
      <c r="R581" s="597" t="n">
        <f aca="false">R587-Q587</f>
        <v>0</v>
      </c>
      <c r="S581" s="597" t="n">
        <f aca="false">S587-R587</f>
        <v>0</v>
      </c>
      <c r="T581" s="597" t="n">
        <f aca="false">T587-S587</f>
        <v>467.663828494415</v>
      </c>
      <c r="U581" s="597" t="n">
        <f aca="false">U587-T587</f>
        <v>-467.663828494415</v>
      </c>
      <c r="V581" s="597" t="n">
        <f aca="false">V587-U587</f>
        <v>0</v>
      </c>
      <c r="W581" s="597" t="n">
        <f aca="false">W587-V587</f>
        <v>807.96969208624</v>
      </c>
      <c r="X581" s="597" t="n">
        <f aca="false">X587-W587</f>
        <v>3231.87876834496</v>
      </c>
      <c r="Y581" s="597" t="n">
        <f aca="false">Y587-X587</f>
        <v>-4039.8484604312</v>
      </c>
      <c r="Z581" s="597" t="n">
        <f aca="false">Z587-Y587</f>
        <v>0</v>
      </c>
      <c r="AA581" s="597" t="n">
        <f aca="false">AA587-Z587</f>
        <v>0</v>
      </c>
      <c r="AB581" s="597" t="n">
        <f aca="false">AB587-AA587</f>
        <v>0</v>
      </c>
      <c r="AC581" s="597" t="n">
        <f aca="false">AC587-AB587</f>
        <v>0</v>
      </c>
      <c r="AD581" s="597" t="n">
        <f aca="false">AD587-AC587</f>
        <v>0</v>
      </c>
      <c r="AE581" s="597" t="n">
        <f aca="false">AE587-AD587</f>
        <v>0</v>
      </c>
      <c r="AF581" s="598" t="n">
        <f aca="false">AF587-AE587</f>
        <v>0</v>
      </c>
    </row>
    <row r="582" customFormat="false" ht="11.25" hidden="false" customHeight="false" outlineLevel="0" collapsed="false">
      <c r="A582" s="293"/>
      <c r="B582" s="430"/>
      <c r="C582" s="430"/>
      <c r="D582" s="430"/>
      <c r="E582" s="430"/>
      <c r="F582" s="430"/>
      <c r="G582" s="298"/>
      <c r="H582" s="298"/>
      <c r="I582" s="298"/>
      <c r="J582" s="298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  <c r="AA582" s="298"/>
      <c r="AB582" s="298"/>
      <c r="AC582" s="298"/>
      <c r="AD582" s="298"/>
      <c r="AE582" s="298"/>
      <c r="AF582" s="294"/>
    </row>
    <row r="583" customFormat="false" ht="11.25" hidden="false" customHeight="false" outlineLevel="0" collapsed="false">
      <c r="A583" s="293"/>
      <c r="B583" s="430"/>
      <c r="C583" s="430"/>
      <c r="D583" s="430"/>
      <c r="E583" s="430"/>
      <c r="F583" s="430"/>
      <c r="G583" s="430"/>
      <c r="H583" s="430"/>
      <c r="I583" s="599" t="s">
        <v>0</v>
      </c>
      <c r="J583" s="599"/>
      <c r="K583" s="599"/>
      <c r="L583" s="599"/>
      <c r="M583" s="599"/>
      <c r="N583" s="599"/>
      <c r="O583" s="599"/>
      <c r="P583" s="599"/>
      <c r="Q583" s="599"/>
      <c r="R583" s="599"/>
      <c r="S583" s="599"/>
      <c r="T583" s="599"/>
      <c r="U583" s="599"/>
      <c r="V583" s="599"/>
      <c r="W583" s="599"/>
      <c r="X583" s="599"/>
      <c r="Y583" s="599"/>
      <c r="Z583" s="599"/>
      <c r="AA583" s="599"/>
      <c r="AB583" s="599"/>
      <c r="AC583" s="599"/>
      <c r="AD583" s="599"/>
      <c r="AE583" s="599"/>
      <c r="AF583" s="600"/>
    </row>
    <row r="584" customFormat="false" ht="11.25" hidden="false" customHeight="false" outlineLevel="0" collapsed="false">
      <c r="A584" s="601" t="s">
        <v>596</v>
      </c>
      <c r="B584" s="602"/>
      <c r="C584" s="602"/>
      <c r="D584" s="602"/>
      <c r="E584" s="602"/>
      <c r="F584" s="602"/>
      <c r="G584" s="602"/>
      <c r="H584" s="603" t="n">
        <v>0</v>
      </c>
      <c r="I584" s="603" t="n">
        <v>0</v>
      </c>
      <c r="J584" s="604" t="e">
        <f aca="false">+J$453+J$460+J$339</f>
        <v>#VALUE!</v>
      </c>
      <c r="K584" s="604" t="e">
        <f aca="false">+K$453+K$460+K$339</f>
        <v>#VALUE!</v>
      </c>
      <c r="L584" s="604" t="e">
        <f aca="false">+L$453+L$460+L$339</f>
        <v>#VALUE!</v>
      </c>
      <c r="M584" s="604" t="e">
        <f aca="false">+M$453+M$460+M$339</f>
        <v>#VALUE!</v>
      </c>
      <c r="N584" s="604" t="e">
        <f aca="false">+N$453+N$460+N$339</f>
        <v>#VALUE!</v>
      </c>
      <c r="O584" s="604" t="e">
        <f aca="false">+O$453+O$460+O$339</f>
        <v>#VALUE!</v>
      </c>
      <c r="P584" s="604" t="e">
        <f aca="false">+P$453+P$460+P$339</f>
        <v>#VALUE!</v>
      </c>
      <c r="Q584" s="604" t="e">
        <f aca="false">+Q$453+Q$460+Q$339</f>
        <v>#VALUE!</v>
      </c>
      <c r="R584" s="604" t="e">
        <f aca="false">+R$453+R$460+R$339</f>
        <v>#VALUE!</v>
      </c>
      <c r="S584" s="604" t="e">
        <f aca="false">+S$453+S$460+S$339</f>
        <v>#VALUE!</v>
      </c>
      <c r="T584" s="604" t="e">
        <f aca="false">+T$453+T$460+T$339</f>
        <v>#VALUE!</v>
      </c>
      <c r="U584" s="604" t="e">
        <f aca="false">+U$453+U$460+U$339</f>
        <v>#VALUE!</v>
      </c>
      <c r="V584" s="604" t="e">
        <f aca="false">+V$453+V$460+V$339</f>
        <v>#VALUE!</v>
      </c>
      <c r="W584" s="604" t="e">
        <f aca="false">+W$453+W$460+W$339</f>
        <v>#VALUE!</v>
      </c>
      <c r="X584" s="604" t="e">
        <f aca="false">+X$453+X$460+X$339</f>
        <v>#VALUE!</v>
      </c>
      <c r="Y584" s="604" t="e">
        <f aca="false">+Y$453+Y$460+Y$339</f>
        <v>#VALUE!</v>
      </c>
      <c r="Z584" s="604" t="e">
        <f aca="false">+Z$453+Z$460+Z$339</f>
        <v>#VALUE!</v>
      </c>
      <c r="AA584" s="604" t="e">
        <f aca="false">+AA$453+AA$460+AA$339</f>
        <v>#VALUE!</v>
      </c>
      <c r="AB584" s="604" t="e">
        <f aca="false">+AB$453+AB$460+AB$339</f>
        <v>#VALUE!</v>
      </c>
      <c r="AC584" s="604" t="e">
        <f aca="false">+AC$453+AC$460+AC$339</f>
        <v>#VALUE!</v>
      </c>
      <c r="AD584" s="604" t="e">
        <f aca="false">+AD$453+AD$460+AD$339</f>
        <v>#VALUE!</v>
      </c>
      <c r="AE584" s="604" t="e">
        <f aca="false">+AE$453+AE$460+AE$339</f>
        <v>#VALUE!</v>
      </c>
      <c r="AF584" s="605" t="e">
        <f aca="false">+AF$453+AF$460+AF$339</f>
        <v>#VALUE!</v>
      </c>
      <c r="AG584" s="348"/>
      <c r="AH584" s="348"/>
      <c r="AI584" s="348"/>
      <c r="AJ584" s="348"/>
      <c r="AK584" s="348"/>
      <c r="AL584" s="348"/>
      <c r="AM584" s="348"/>
      <c r="AN584" s="348"/>
      <c r="AO584" s="348"/>
      <c r="AP584" s="348"/>
      <c r="AQ584" s="348"/>
      <c r="AR584" s="348"/>
      <c r="AS584" s="348"/>
      <c r="AT584" s="348"/>
      <c r="AU584" s="348"/>
      <c r="AV584" s="348"/>
      <c r="AW584" s="348"/>
      <c r="AX584" s="348"/>
      <c r="AY584" s="348"/>
      <c r="AZ584" s="348"/>
      <c r="BA584" s="348"/>
      <c r="BB584" s="348"/>
      <c r="BC584" s="348"/>
      <c r="BD584" s="348"/>
      <c r="BE584" s="348"/>
      <c r="BF584" s="348"/>
      <c r="BG584" s="348"/>
      <c r="BH584" s="348"/>
      <c r="BI584" s="348"/>
      <c r="BJ584" s="348"/>
      <c r="BK584" s="348"/>
      <c r="BL584" s="348"/>
      <c r="BM584" s="348"/>
      <c r="BN584" s="348"/>
      <c r="BO584" s="348"/>
      <c r="BP584" s="348"/>
      <c r="BQ584" s="348"/>
      <c r="BR584" s="348"/>
      <c r="BS584" s="348"/>
      <c r="BT584" s="348"/>
      <c r="BU584" s="348"/>
      <c r="BV584" s="348"/>
      <c r="BW584" s="348"/>
      <c r="BX584" s="348"/>
      <c r="BY584" s="348"/>
      <c r="BZ584" s="348"/>
      <c r="CA584" s="348"/>
      <c r="CB584" s="348"/>
      <c r="CC584" s="348"/>
      <c r="CD584" s="348"/>
      <c r="CE584" s="348"/>
      <c r="CF584" s="348"/>
      <c r="CG584" s="348"/>
      <c r="CH584" s="348"/>
      <c r="CI584" s="348"/>
      <c r="CJ584" s="348"/>
      <c r="CK584" s="348"/>
      <c r="CL584" s="348"/>
      <c r="CM584" s="348"/>
      <c r="CN584" s="348"/>
      <c r="CO584" s="348"/>
      <c r="CP584" s="348"/>
      <c r="CQ584" s="348"/>
      <c r="CR584" s="348"/>
      <c r="CS584" s="348"/>
      <c r="CT584" s="348"/>
      <c r="CU584" s="348"/>
      <c r="CV584" s="348"/>
      <c r="CW584" s="348"/>
      <c r="CX584" s="348"/>
      <c r="CY584" s="348"/>
      <c r="CZ584" s="348"/>
      <c r="DA584" s="348"/>
      <c r="DB584" s="348"/>
      <c r="DC584" s="348"/>
      <c r="DD584" s="348"/>
      <c r="DE584" s="348"/>
      <c r="DF584" s="348"/>
      <c r="DG584" s="348"/>
      <c r="DH584" s="348"/>
      <c r="DI584" s="348"/>
      <c r="DJ584" s="348"/>
      <c r="DK584" s="348"/>
      <c r="DL584" s="348"/>
      <c r="DM584" s="348"/>
      <c r="DN584" s="348"/>
      <c r="DO584" s="348"/>
      <c r="DP584" s="348"/>
      <c r="DQ584" s="348"/>
      <c r="DR584" s="348"/>
      <c r="DS584" s="348"/>
      <c r="DT584" s="348"/>
      <c r="DU584" s="348"/>
      <c r="DV584" s="348"/>
      <c r="DW584" s="348"/>
      <c r="DX584" s="348"/>
      <c r="DY584" s="348"/>
      <c r="DZ584" s="348"/>
      <c r="EA584" s="348"/>
      <c r="EB584" s="348"/>
      <c r="EC584" s="348"/>
      <c r="ED584" s="348"/>
      <c r="EE584" s="348"/>
      <c r="EF584" s="348"/>
      <c r="EG584" s="348"/>
      <c r="EH584" s="348"/>
      <c r="EI584" s="348"/>
      <c r="EJ584" s="348"/>
      <c r="EK584" s="348"/>
      <c r="EL584" s="348"/>
      <c r="EM584" s="348"/>
      <c r="EN584" s="348"/>
      <c r="EO584" s="348"/>
      <c r="EP584" s="348"/>
      <c r="EQ584" s="348"/>
      <c r="ER584" s="348"/>
      <c r="ES584" s="348"/>
      <c r="ET584" s="348"/>
      <c r="EU584" s="348"/>
      <c r="EV584" s="348"/>
      <c r="EW584" s="348"/>
      <c r="EX584" s="348"/>
      <c r="EY584" s="348"/>
      <c r="EZ584" s="348"/>
      <c r="FA584" s="348"/>
      <c r="FB584" s="348"/>
      <c r="FC584" s="348"/>
      <c r="FD584" s="348"/>
      <c r="FE584" s="348"/>
      <c r="FF584" s="348"/>
      <c r="FG584" s="348"/>
      <c r="FH584" s="348"/>
      <c r="FI584" s="348"/>
      <c r="FJ584" s="348"/>
      <c r="FK584" s="348"/>
      <c r="FL584" s="348"/>
      <c r="FM584" s="348"/>
      <c r="FN584" s="348"/>
      <c r="FO584" s="348"/>
      <c r="FP584" s="348"/>
      <c r="FQ584" s="348"/>
      <c r="FR584" s="348"/>
      <c r="FS584" s="348"/>
      <c r="FT584" s="348"/>
      <c r="FU584" s="348"/>
      <c r="FV584" s="348"/>
      <c r="FW584" s="348"/>
      <c r="FX584" s="348"/>
      <c r="FY584" s="348"/>
      <c r="FZ584" s="348"/>
      <c r="GA584" s="348"/>
      <c r="GB584" s="348"/>
      <c r="GC584" s="348"/>
      <c r="GD584" s="348"/>
      <c r="GE584" s="348"/>
      <c r="GF584" s="348"/>
      <c r="GG584" s="348"/>
      <c r="GH584" s="348"/>
      <c r="GI584" s="348"/>
      <c r="GJ584" s="348"/>
      <c r="GK584" s="348"/>
      <c r="GL584" s="348"/>
      <c r="GM584" s="348"/>
      <c r="GN584" s="348"/>
      <c r="GO584" s="348"/>
      <c r="GP584" s="348"/>
      <c r="GQ584" s="348"/>
      <c r="GR584" s="348"/>
      <c r="GS584" s="348"/>
      <c r="GT584" s="348"/>
      <c r="GU584" s="348"/>
      <c r="GV584" s="348"/>
      <c r="GW584" s="348"/>
      <c r="GX584" s="348"/>
      <c r="GY584" s="348"/>
      <c r="GZ584" s="348"/>
      <c r="HA584" s="348"/>
      <c r="HB584" s="348"/>
      <c r="HC584" s="348"/>
      <c r="HD584" s="348"/>
      <c r="HE584" s="348"/>
      <c r="HF584" s="348"/>
      <c r="HG584" s="348"/>
      <c r="HH584" s="348"/>
      <c r="HI584" s="348"/>
      <c r="HJ584" s="348"/>
      <c r="HK584" s="348"/>
      <c r="HL584" s="348"/>
      <c r="HM584" s="348"/>
      <c r="HN584" s="348"/>
      <c r="HO584" s="348"/>
      <c r="HP584" s="348"/>
      <c r="HQ584" s="348"/>
      <c r="HR584" s="348"/>
      <c r="HS584" s="348"/>
      <c r="HT584" s="348"/>
      <c r="HU584" s="348"/>
      <c r="HV584" s="348"/>
      <c r="HW584" s="348"/>
      <c r="HX584" s="348"/>
      <c r="HY584" s="348"/>
      <c r="HZ584" s="348"/>
      <c r="IA584" s="348"/>
      <c r="IB584" s="348"/>
      <c r="IC584" s="348"/>
      <c r="ID584" s="348"/>
      <c r="IE584" s="348"/>
      <c r="IF584" s="348"/>
      <c r="IG584" s="348"/>
      <c r="IH584" s="348"/>
      <c r="II584" s="348"/>
      <c r="IJ584" s="348"/>
      <c r="IK584" s="348"/>
      <c r="IL584" s="348"/>
      <c r="IM584" s="348"/>
      <c r="IN584" s="348"/>
      <c r="IO584" s="348"/>
      <c r="IP584" s="348"/>
      <c r="IQ584" s="348"/>
      <c r="IR584" s="348"/>
      <c r="IS584" s="348"/>
      <c r="IT584" s="348"/>
      <c r="IU584" s="348"/>
      <c r="IV584" s="348"/>
      <c r="IW584" s="348"/>
    </row>
    <row r="585" customFormat="false" ht="11.25" hidden="false" customHeight="false" outlineLevel="0" collapsed="false">
      <c r="A585" s="574" t="str">
        <f aca="false">"DS Reserve Account ("&amp;Summary!$E$118*100&amp;"% of Scheduled DS)"</f>
        <v>DS Reserve Account (50% of Scheduled DS)</v>
      </c>
      <c r="B585" s="430"/>
      <c r="C585" s="430"/>
      <c r="D585" s="430"/>
      <c r="E585" s="430"/>
      <c r="F585" s="430"/>
      <c r="G585" s="430"/>
      <c r="H585" s="603" t="n">
        <v>0</v>
      </c>
      <c r="I585" s="603" t="n">
        <f aca="false">IF(I425&gt;0,I584*Summary!$E$118,0)</f>
        <v>0</v>
      </c>
      <c r="J585" s="604"/>
      <c r="K585" s="604"/>
      <c r="L585" s="604"/>
      <c r="M585" s="604"/>
      <c r="N585" s="604"/>
      <c r="O585" s="604"/>
      <c r="P585" s="604"/>
      <c r="Q585" s="604"/>
      <c r="R585" s="604"/>
      <c r="S585" s="604"/>
      <c r="T585" s="604"/>
      <c r="U585" s="604"/>
      <c r="V585" s="604"/>
      <c r="W585" s="604"/>
      <c r="X585" s="604"/>
      <c r="Y585" s="604"/>
      <c r="Z585" s="604"/>
      <c r="AA585" s="604"/>
      <c r="AB585" s="604"/>
      <c r="AC585" s="604"/>
      <c r="AD585" s="604"/>
      <c r="AE585" s="604"/>
      <c r="AF585" s="604"/>
    </row>
    <row r="586" customFormat="false" ht="11.25" hidden="false" customHeight="false" outlineLevel="0" collapsed="false">
      <c r="A586" s="574"/>
      <c r="B586" s="430"/>
      <c r="C586" s="430"/>
      <c r="D586" s="430"/>
      <c r="E586" s="430"/>
      <c r="F586" s="430"/>
      <c r="G586" s="430"/>
      <c r="H586" s="603" t="n">
        <v>0</v>
      </c>
      <c r="I586" s="603" t="n">
        <v>0</v>
      </c>
      <c r="J586" s="606"/>
      <c r="K586" s="606"/>
      <c r="L586" s="606"/>
      <c r="M586" s="606"/>
      <c r="N586" s="606"/>
      <c r="O586" s="606"/>
      <c r="P586" s="606"/>
      <c r="Q586" s="606"/>
      <c r="R586" s="606"/>
      <c r="S586" s="606"/>
      <c r="T586" s="606"/>
      <c r="U586" s="606"/>
      <c r="V586" s="606"/>
      <c r="W586" s="606"/>
      <c r="X586" s="606"/>
      <c r="Y586" s="606"/>
      <c r="Z586" s="606"/>
      <c r="AA586" s="606"/>
      <c r="AB586" s="606"/>
      <c r="AC586" s="606"/>
      <c r="AD586" s="606"/>
      <c r="AE586" s="606"/>
      <c r="AF586" s="607"/>
    </row>
    <row r="587" customFormat="false" ht="11.25" hidden="false" customHeight="false" outlineLevel="0" collapsed="false">
      <c r="A587" s="574" t="s">
        <v>597</v>
      </c>
      <c r="B587" s="430"/>
      <c r="C587" s="430"/>
      <c r="D587" s="430"/>
      <c r="E587" s="430"/>
      <c r="F587" s="430"/>
      <c r="G587" s="430"/>
      <c r="H587" s="608"/>
      <c r="I587" s="608"/>
      <c r="J587" s="608" t="n">
        <f aca="false">IF(Summary!$O$109=0,0,SUMIF($J$598:$AF$598,J598,#REF!))</f>
        <v>0</v>
      </c>
      <c r="K587" s="608" t="n">
        <f aca="false">IF(Summary!$O$109=0,0,SUMIF($J$598:$AF$598,K598,#REF!))</f>
        <v>0</v>
      </c>
      <c r="L587" s="608" t="n">
        <f aca="false">IF(Summary!$O$109=0,Summary!$E$44*0.25,SUMIF($J$598:$AF$598,L598,#REF!))</f>
        <v>332.97615389445</v>
      </c>
      <c r="M587" s="608" t="n">
        <f aca="false">IF(Summary!$O$109=0,0,SUMIF($J$598:$AF$598,M598,#REF!))</f>
        <v>0</v>
      </c>
      <c r="N587" s="608" t="n">
        <f aca="false">IF(Summary!$O$109=0,0,SUMIF($J$598:$AF$598,N598,#REF!))</f>
        <v>0</v>
      </c>
      <c r="O587" s="608" t="n">
        <f aca="false">IF(Summary!$O$109=0,Summary!$E$50*0.125,SUMIF($J$598:$AF$598,O598,#REF!))</f>
        <v>576.467477474461</v>
      </c>
      <c r="P587" s="608" t="n">
        <f aca="false">IF(Summary!$O$109=0,Summary!$E$50*0.625,SUMIF($J$598:$AF$598,P598,#REF!))</f>
        <v>2882.3373873723</v>
      </c>
      <c r="Q587" s="608" t="n">
        <f aca="false">IF(Summary!$O$109=0,0,SUMIF($J$598:$AF$598,Q598,#REF!))</f>
        <v>0</v>
      </c>
      <c r="R587" s="608" t="n">
        <f aca="false">IF(Summary!$O$109=0,0,SUMIF($J$598:$AF$598,R598,#REF!))</f>
        <v>0</v>
      </c>
      <c r="S587" s="608" t="n">
        <f aca="false">IF(Summary!$O$109=0,0,SUMIF($J$598:$AF$598,S598,#REF!))</f>
        <v>0</v>
      </c>
      <c r="T587" s="608" t="n">
        <f aca="false">IF(Summary!$O$109=0,Summary!$E$56*0.25,SUMIF($J$598:$AF$598,T598,#REF!))</f>
        <v>467.663828494415</v>
      </c>
      <c r="U587" s="608" t="n">
        <f aca="false">IF(Summary!$O$109=0,0,SUMIF($J$598:$AF$598,U598,#REF!))</f>
        <v>0</v>
      </c>
      <c r="V587" s="608" t="n">
        <f aca="false">IF(Summary!$O$109=0,0,SUMIF($J$598:$AF$598,V598,#REF!))</f>
        <v>0</v>
      </c>
      <c r="W587" s="608" t="n">
        <f aca="false">IF(Summary!$O$109=0,Summary!$E$62*0.125,SUMIF($J$598:$AF$598,W598,#REF!))</f>
        <v>807.96969208624</v>
      </c>
      <c r="X587" s="608" t="n">
        <f aca="false">IF(Summary!$O$109=0,Summary!$E$62*0.625,SUMIF($J$598:$AF$598,X598,#REF!))</f>
        <v>4039.8484604312</v>
      </c>
      <c r="Y587" s="608" t="n">
        <f aca="false">IF(Summary!$O$109=0,0,SUMIF($J$598:$AF$598,Y598,#REF!))</f>
        <v>0</v>
      </c>
      <c r="Z587" s="608" t="n">
        <f aca="false">IF(Summary!$O$109=0,0,SUMIF($J$598:$AF$598,Z598,#REF!))</f>
        <v>0</v>
      </c>
      <c r="AA587" s="608" t="n">
        <f aca="false">IF(Summary!$O$109=0,0,SUMIF($J$598:$AF$598,AA598,#REF!))</f>
        <v>0</v>
      </c>
      <c r="AB587" s="608" t="n">
        <f aca="false">IF(Summary!$O$109=0,0,SUMIF($J$598:$AF$598,AB598,#REF!))</f>
        <v>0</v>
      </c>
      <c r="AC587" s="608" t="n">
        <f aca="false">IF(Summary!$O$109=0,0,SUMIF($J$598:$AF$598,AC598,#REF!))</f>
        <v>0</v>
      </c>
      <c r="AD587" s="608" t="n">
        <f aca="false">IF(Summary!$O$109=0,0,SUMIF($J$598:$AF$598,AD598,#REF!))</f>
        <v>0</v>
      </c>
      <c r="AE587" s="608" t="n">
        <f aca="false">IF(Summary!$O$109=0,0,SUMIF($J$598:$AF$598,AE598,#REF!))</f>
        <v>0</v>
      </c>
      <c r="AF587" s="608" t="n">
        <f aca="false">IF(Summary!$O$109=0,0,SUMIF($J$598:$AF$598,AF598,#REF!))</f>
        <v>0</v>
      </c>
    </row>
    <row r="588" customFormat="false" ht="11.25" hidden="false" customHeight="false" outlineLevel="0" collapsed="false">
      <c r="A588" s="574" t="s">
        <v>598</v>
      </c>
      <c r="B588" s="430"/>
      <c r="C588" s="430"/>
      <c r="D588" s="430"/>
      <c r="E588" s="430"/>
      <c r="F588" s="430"/>
      <c r="G588" s="430"/>
      <c r="H588" s="609"/>
      <c r="I588" s="604" t="n">
        <v>0</v>
      </c>
      <c r="J588" s="604" t="n">
        <f aca="false">SUM(J585:J587)</f>
        <v>0</v>
      </c>
      <c r="K588" s="604" t="n">
        <f aca="false">SUM(K585:K587)</f>
        <v>0</v>
      </c>
      <c r="L588" s="604" t="n">
        <f aca="false">SUM(L585:L587)</f>
        <v>332.97615389445</v>
      </c>
      <c r="M588" s="604" t="n">
        <f aca="false">SUM(M585:M587)</f>
        <v>0</v>
      </c>
      <c r="N588" s="604" t="n">
        <f aca="false">SUM(N585:N587)</f>
        <v>0</v>
      </c>
      <c r="O588" s="604" t="n">
        <f aca="false">SUM(O585:O587)</f>
        <v>576.467477474461</v>
      </c>
      <c r="P588" s="604" t="n">
        <f aca="false">SUM(P585:P587)</f>
        <v>2882.3373873723</v>
      </c>
      <c r="Q588" s="604" t="n">
        <f aca="false">SUM(Q585:Q587)</f>
        <v>0</v>
      </c>
      <c r="R588" s="604" t="n">
        <f aca="false">SUM(R585:R587)</f>
        <v>0</v>
      </c>
      <c r="S588" s="604" t="n">
        <f aca="false">SUM(S585:S587)</f>
        <v>0</v>
      </c>
      <c r="T588" s="604" t="n">
        <f aca="false">SUM(T585:T587)</f>
        <v>467.663828494415</v>
      </c>
      <c r="U588" s="604" t="n">
        <f aca="false">SUM(U585:U587)</f>
        <v>0</v>
      </c>
      <c r="V588" s="604" t="n">
        <f aca="false">SUM(V585:V587)</f>
        <v>0</v>
      </c>
      <c r="W588" s="604" t="n">
        <f aca="false">SUM(W585:W587)</f>
        <v>807.96969208624</v>
      </c>
      <c r="X588" s="604" t="n">
        <f aca="false">SUM(X585:X587)</f>
        <v>4039.8484604312</v>
      </c>
      <c r="Y588" s="604" t="n">
        <f aca="false">SUM(Y585:Y587)</f>
        <v>0</v>
      </c>
      <c r="Z588" s="604" t="n">
        <f aca="false">SUM(Z585:Z587)</f>
        <v>0</v>
      </c>
      <c r="AA588" s="604" t="n">
        <f aca="false">SUM(AA585:AA587)</f>
        <v>0</v>
      </c>
      <c r="AB588" s="604" t="n">
        <f aca="false">SUM(AB585:AB587)</f>
        <v>0</v>
      </c>
      <c r="AC588" s="604" t="n">
        <f aca="false">SUM(AC585:AC587)</f>
        <v>0</v>
      </c>
      <c r="AD588" s="604" t="n">
        <f aca="false">SUM(AD585:AD587)</f>
        <v>0</v>
      </c>
      <c r="AE588" s="604" t="n">
        <f aca="false">SUM(AE585:AE587)</f>
        <v>0</v>
      </c>
      <c r="AF588" s="605" t="n">
        <f aca="false">SUM(AF585:AF587)</f>
        <v>0</v>
      </c>
    </row>
    <row r="589" customFormat="false" ht="11.25" hidden="false" customHeight="false" outlineLevel="0" collapsed="false">
      <c r="A589" s="574"/>
      <c r="B589" s="430"/>
      <c r="C589" s="430"/>
      <c r="D589" s="430"/>
      <c r="E589" s="430"/>
      <c r="F589" s="430"/>
      <c r="G589" s="430"/>
      <c r="H589" s="609"/>
      <c r="I589" s="604"/>
      <c r="J589" s="604"/>
      <c r="K589" s="604"/>
      <c r="L589" s="604"/>
      <c r="M589" s="604"/>
      <c r="N589" s="604"/>
      <c r="O589" s="604"/>
      <c r="P589" s="604"/>
      <c r="Q589" s="604"/>
      <c r="R589" s="604"/>
      <c r="S589" s="604"/>
      <c r="T589" s="604"/>
      <c r="U589" s="604"/>
      <c r="V589" s="604"/>
      <c r="W589" s="604"/>
      <c r="X589" s="604"/>
      <c r="Y589" s="604"/>
      <c r="Z589" s="604"/>
      <c r="AA589" s="604"/>
      <c r="AB589" s="604"/>
      <c r="AC589" s="604"/>
      <c r="AD589" s="604"/>
      <c r="AE589" s="604"/>
      <c r="AF589" s="605"/>
    </row>
    <row r="590" customFormat="false" ht="11.25" hidden="false" customHeight="false" outlineLevel="0" collapsed="false">
      <c r="A590" s="574" t="s">
        <v>599</v>
      </c>
      <c r="B590" s="430"/>
      <c r="C590" s="430"/>
      <c r="D590" s="430"/>
      <c r="E590" s="430"/>
      <c r="F590" s="430"/>
      <c r="G590" s="430"/>
      <c r="H590" s="610" t="n">
        <v>0</v>
      </c>
      <c r="I590" s="604" t="n">
        <f aca="false">+H593</f>
        <v>0</v>
      </c>
      <c r="J590" s="604" t="n">
        <f aca="false">+I593+I593+J588</f>
        <v>0</v>
      </c>
      <c r="K590" s="604" t="n">
        <f aca="false">IF(Summary!$O$109=0,+J593,+J593+K588)</f>
        <v>0</v>
      </c>
      <c r="L590" s="604" t="n">
        <f aca="false">IF(Summary!$O$109=0,+K593,+K593+L588)</f>
        <v>0</v>
      </c>
      <c r="M590" s="604" t="n">
        <f aca="false">IF(Summary!$O$109=0,+L593,+L593+M588)</f>
        <v>332.97615389445</v>
      </c>
      <c r="N590" s="604" t="n">
        <f aca="false">IF(Summary!$O$109=0,+M593,+M593+N588)</f>
        <v>0</v>
      </c>
      <c r="O590" s="604" t="n">
        <f aca="false">IF(Summary!$O$109=0,+N593,+N593+O588)</f>
        <v>0</v>
      </c>
      <c r="P590" s="604" t="n">
        <f aca="false">IF(Summary!$O$109=0,+O593,+O593+P588)</f>
        <v>576.467477474461</v>
      </c>
      <c r="Q590" s="604" t="n">
        <f aca="false">IF(Summary!$O$109=0,+P593,+P593+Q588)</f>
        <v>2882.3373873723</v>
      </c>
      <c r="R590" s="604" t="n">
        <f aca="false">IF(Summary!$O$109=0,+Q593,+Q593+R588)</f>
        <v>0</v>
      </c>
      <c r="S590" s="604" t="n">
        <f aca="false">IF(Summary!$O$109=0,+R593,+R593+S588)</f>
        <v>0</v>
      </c>
      <c r="T590" s="604" t="n">
        <f aca="false">IF(Summary!$O$109=0,+S593,+S593+T588)</f>
        <v>0</v>
      </c>
      <c r="U590" s="604" t="n">
        <f aca="false">IF(Summary!$O$109=0,+T593,+T593+U588)</f>
        <v>467.663828494415</v>
      </c>
      <c r="V590" s="604" t="n">
        <f aca="false">IF(Summary!$O$109=0,+U593,+U593+V588)</f>
        <v>0</v>
      </c>
      <c r="W590" s="604" t="n">
        <f aca="false">IF(Summary!$O$109=0,+V593,+V593+W588)</f>
        <v>0</v>
      </c>
      <c r="X590" s="604" t="n">
        <f aca="false">IF(Summary!$O$109=0,+W593,+W593+X588)</f>
        <v>807.96969208624</v>
      </c>
      <c r="Y590" s="604" t="n">
        <f aca="false">IF(Summary!$O$109=0,+X593,+X593+Y588)</f>
        <v>4039.8484604312</v>
      </c>
      <c r="Z590" s="604" t="n">
        <f aca="false">IF(Summary!$O$109=0,+Y593,+Y593+Z588)</f>
        <v>0</v>
      </c>
      <c r="AA590" s="604" t="n">
        <f aca="false">IF(Summary!$O$109=0,+Z593,+Z593+AA588)</f>
        <v>0</v>
      </c>
      <c r="AB590" s="604" t="n">
        <f aca="false">IF(Summary!$O$109=0,+AA593,+AA593+AB588)</f>
        <v>0</v>
      </c>
      <c r="AC590" s="604" t="n">
        <f aca="false">IF(Summary!$O$109=0,+AB593,+AB593+AC588)</f>
        <v>0</v>
      </c>
      <c r="AD590" s="604" t="n">
        <f aca="false">IF(Summary!$O$109=0,+AC593,+AC593+AD588)</f>
        <v>0</v>
      </c>
      <c r="AE590" s="604" t="n">
        <f aca="false">IF(Summary!$O$109=0,+AD593,+AD593+AE588)</f>
        <v>0</v>
      </c>
      <c r="AF590" s="604" t="n">
        <f aca="false">IF(Summary!$O$109=0,+AE593,+AE593+AF588)</f>
        <v>0</v>
      </c>
    </row>
    <row r="591" customFormat="false" ht="11.25" hidden="false" customHeight="false" outlineLevel="0" collapsed="false">
      <c r="A591" s="574" t="s">
        <v>600</v>
      </c>
      <c r="B591" s="430"/>
      <c r="C591" s="430"/>
      <c r="D591" s="430"/>
      <c r="E591" s="430"/>
      <c r="F591" s="430"/>
      <c r="G591" s="430"/>
      <c r="H591" s="603" t="n">
        <v>0</v>
      </c>
      <c r="I591" s="603" t="n">
        <v>0</v>
      </c>
      <c r="J591" s="611" t="n">
        <f aca="false">-CCFMODEL!J590</f>
        <v>-0</v>
      </c>
      <c r="K591" s="611" t="n">
        <f aca="false">IF(Summary!O109=1,0,K585-J585)</f>
        <v>0</v>
      </c>
      <c r="L591" s="604" t="n">
        <f aca="false">L585-K585</f>
        <v>0</v>
      </c>
      <c r="M591" s="604" t="n">
        <f aca="false">M585-L585</f>
        <v>0</v>
      </c>
      <c r="N591" s="604" t="n">
        <f aca="false">N585-M585</f>
        <v>0</v>
      </c>
      <c r="O591" s="604" t="n">
        <f aca="false">O585-N585</f>
        <v>0</v>
      </c>
      <c r="P591" s="604" t="n">
        <f aca="false">P585-O585</f>
        <v>0</v>
      </c>
      <c r="Q591" s="604" t="n">
        <f aca="false">Q585-P585</f>
        <v>0</v>
      </c>
      <c r="R591" s="604" t="n">
        <f aca="false">R585-Q585</f>
        <v>0</v>
      </c>
      <c r="S591" s="604" t="n">
        <f aca="false">S585-R585</f>
        <v>0</v>
      </c>
      <c r="T591" s="604" t="n">
        <f aca="false">T585-S585</f>
        <v>0</v>
      </c>
      <c r="U591" s="604" t="n">
        <f aca="false">U585-T585</f>
        <v>0</v>
      </c>
      <c r="V591" s="604" t="n">
        <f aca="false">V585-U585</f>
        <v>0</v>
      </c>
      <c r="W591" s="604" t="n">
        <f aca="false">W585-V585</f>
        <v>0</v>
      </c>
      <c r="X591" s="604" t="n">
        <f aca="false">X585-W585</f>
        <v>0</v>
      </c>
      <c r="Y591" s="604" t="n">
        <f aca="false">Y585-X585</f>
        <v>0</v>
      </c>
      <c r="Z591" s="604" t="n">
        <f aca="false">Z585-Y585</f>
        <v>0</v>
      </c>
      <c r="AA591" s="604" t="n">
        <f aca="false">AA585-Z585</f>
        <v>0</v>
      </c>
      <c r="AB591" s="604" t="n">
        <f aca="false">AB585-AA585</f>
        <v>0</v>
      </c>
      <c r="AC591" s="604" t="n">
        <f aca="false">AC585-AB585</f>
        <v>0</v>
      </c>
      <c r="AD591" s="604" t="n">
        <f aca="false">AD585-AC585</f>
        <v>0</v>
      </c>
      <c r="AE591" s="604" t="n">
        <f aca="false">AE585-AD585</f>
        <v>0</v>
      </c>
      <c r="AF591" s="604" t="n">
        <f aca="false">AF585-AE585</f>
        <v>0</v>
      </c>
    </row>
    <row r="592" customFormat="false" ht="11.25" hidden="false" customHeight="false" outlineLevel="0" collapsed="false">
      <c r="A592" s="574" t="s">
        <v>601</v>
      </c>
      <c r="B592" s="430"/>
      <c r="C592" s="430"/>
      <c r="D592" s="430"/>
      <c r="E592" s="430"/>
      <c r="F592" s="430"/>
      <c r="G592" s="430"/>
      <c r="H592" s="608" t="n">
        <v>0</v>
      </c>
      <c r="I592" s="608" t="n">
        <v>0</v>
      </c>
      <c r="J592" s="608" t="n">
        <v>0</v>
      </c>
      <c r="K592" s="608" t="n">
        <v>0</v>
      </c>
      <c r="L592" s="608" t="n">
        <f aca="false">IF(Summary!$O$109=0,L587-K587,-SUM($J$598:$AF$598,L598))</f>
        <v>332.97615389445</v>
      </c>
      <c r="M592" s="608" t="n">
        <f aca="false">IF(Summary!$O$109=0,M587-L587,-SUM($J$598:$AF$598,M598))</f>
        <v>-332.97615389445</v>
      </c>
      <c r="N592" s="608" t="n">
        <f aca="false">IF(Summary!$O$109=0,N587-M587,-SUM($J$598:$AF$598,N598))</f>
        <v>0</v>
      </c>
      <c r="O592" s="608" t="n">
        <f aca="false">IF(Summary!$O$109=0,O587-N587,-SUM($J$598:$AF$598,O598))</f>
        <v>576.467477474461</v>
      </c>
      <c r="P592" s="608" t="n">
        <f aca="false">IF(Summary!$O$109=0,P587-O587,-SUM($J$598:$AF$598,P598))</f>
        <v>2305.86990989784</v>
      </c>
      <c r="Q592" s="608" t="n">
        <f aca="false">IF(Summary!$O$109=0,Q587-P587,-SUM($J$598:$AF$598,Q598))</f>
        <v>-2882.3373873723</v>
      </c>
      <c r="R592" s="608" t="n">
        <f aca="false">IF(Summary!$O$109=0,R587-Q587,-SUM($J$598:$AF$598,R598))</f>
        <v>0</v>
      </c>
      <c r="S592" s="608" t="n">
        <f aca="false">IF(Summary!$O$109=0,S587-R587,-SUM($J$598:$AF$598,S598))</f>
        <v>0</v>
      </c>
      <c r="T592" s="608" t="n">
        <f aca="false">IF(Summary!$O$109=0,T587-S587,-SUM($J$598:$AF$598,T598))</f>
        <v>467.663828494415</v>
      </c>
      <c r="U592" s="608" t="n">
        <f aca="false">IF(Summary!$O$109=0,U587-T587,-SUM($J$598:$AF$598,U598))</f>
        <v>-467.663828494415</v>
      </c>
      <c r="V592" s="608" t="n">
        <f aca="false">IF(Summary!$O$109=0,V587-U587,-SUM($J$598:$AF$598,V598))</f>
        <v>0</v>
      </c>
      <c r="W592" s="608" t="n">
        <f aca="false">IF(Summary!$O$109=0,W587-V587,-SUM($J$598:$AF$598,W598))</f>
        <v>807.96969208624</v>
      </c>
      <c r="X592" s="608" t="n">
        <f aca="false">IF(Summary!$O$109=0,X587-W587,-SUM($J$598:$AF$598,X598))</f>
        <v>3231.87876834496</v>
      </c>
      <c r="Y592" s="608" t="n">
        <f aca="false">IF(Summary!$O$109=0,Y587-X587,-SUM($J$598:$AF$598,Y598))</f>
        <v>-4039.8484604312</v>
      </c>
      <c r="Z592" s="608" t="n">
        <f aca="false">IF(Summary!$O$109=0,Z587-Y587,-SUM($J$598:$AF$598,Z598))</f>
        <v>0</v>
      </c>
      <c r="AA592" s="608" t="n">
        <f aca="false">IF(Summary!$O$109=0,AA587-Z587,-SUM($J$598:$AF$598,AA598))</f>
        <v>0</v>
      </c>
      <c r="AB592" s="608" t="n">
        <f aca="false">IF(Summary!$O$109=0,AB587-AA587,-SUM($J$598:$AF$598,AB598))</f>
        <v>0</v>
      </c>
      <c r="AC592" s="608" t="n">
        <f aca="false">IF(Summary!$O$109=0,AC587-AB587,-SUM($J$598:$AF$598,AC598))</f>
        <v>0</v>
      </c>
      <c r="AD592" s="608" t="n">
        <f aca="false">IF(Summary!$O$109=0,AD587-AC587,-SUM($J$598:$AF$598,AD598))</f>
        <v>0</v>
      </c>
      <c r="AE592" s="608" t="n">
        <f aca="false">IF(Summary!$O$109=0,AE587-AD587,-SUM($J$598:$AF$598,AE598))</f>
        <v>0</v>
      </c>
      <c r="AF592" s="608" t="n">
        <f aca="false">IF(Summary!$O$109=0,AF587-AE587,-SUM($J$598:$AF$598,AF598))</f>
        <v>0</v>
      </c>
    </row>
    <row r="593" customFormat="false" ht="11.25" hidden="false" customHeight="false" outlineLevel="0" collapsed="false">
      <c r="A593" s="574" t="s">
        <v>602</v>
      </c>
      <c r="B593" s="430"/>
      <c r="C593" s="430"/>
      <c r="D593" s="430"/>
      <c r="E593" s="430"/>
      <c r="F593" s="430"/>
      <c r="G593" s="604" t="n">
        <v>0</v>
      </c>
      <c r="H593" s="604" t="n">
        <f aca="false">SUM(H590:H592)</f>
        <v>0</v>
      </c>
      <c r="I593" s="604" t="n">
        <f aca="false">SUM(I590:I592)</f>
        <v>0</v>
      </c>
      <c r="J593" s="604" t="n">
        <f aca="false">SUM(J590:J592)</f>
        <v>0</v>
      </c>
      <c r="K593" s="604" t="n">
        <f aca="false">SUM(K590:K592)</f>
        <v>0</v>
      </c>
      <c r="L593" s="604" t="n">
        <f aca="false">SUM(L590:L592)</f>
        <v>332.97615389445</v>
      </c>
      <c r="M593" s="604" t="n">
        <f aca="false">SUM(M590:M592)</f>
        <v>0</v>
      </c>
      <c r="N593" s="604" t="n">
        <f aca="false">SUM(N590:N592)</f>
        <v>0</v>
      </c>
      <c r="O593" s="604" t="n">
        <f aca="false">SUM(O590:O592)</f>
        <v>576.467477474461</v>
      </c>
      <c r="P593" s="604" t="n">
        <f aca="false">SUM(P590:P592)</f>
        <v>2882.3373873723</v>
      </c>
      <c r="Q593" s="604" t="n">
        <f aca="false">SUM(Q590:Q592)</f>
        <v>0</v>
      </c>
      <c r="R593" s="604" t="n">
        <f aca="false">SUM(R590:R592)</f>
        <v>0</v>
      </c>
      <c r="S593" s="604" t="n">
        <f aca="false">SUM(S590:S592)</f>
        <v>0</v>
      </c>
      <c r="T593" s="604" t="n">
        <f aca="false">SUM(T590:T592)</f>
        <v>467.663828494415</v>
      </c>
      <c r="U593" s="604" t="n">
        <f aca="false">SUM(U590:U592)</f>
        <v>0</v>
      </c>
      <c r="V593" s="604" t="n">
        <f aca="false">SUM(V590:V592)</f>
        <v>0</v>
      </c>
      <c r="W593" s="604" t="n">
        <f aca="false">SUM(W590:W592)</f>
        <v>807.96969208624</v>
      </c>
      <c r="X593" s="604" t="n">
        <f aca="false">SUM(X590:X592)</f>
        <v>4039.8484604312</v>
      </c>
      <c r="Y593" s="604" t="n">
        <f aca="false">SUM(Y590:Y592)</f>
        <v>0</v>
      </c>
      <c r="Z593" s="604" t="n">
        <f aca="false">SUM(Z590:Z592)</f>
        <v>0</v>
      </c>
      <c r="AA593" s="604" t="n">
        <f aca="false">SUM(AA590:AA592)</f>
        <v>0</v>
      </c>
      <c r="AB593" s="604" t="n">
        <f aca="false">SUM(AB590:AB592)</f>
        <v>0</v>
      </c>
      <c r="AC593" s="604" t="n">
        <f aca="false">SUM(AC590:AC592)</f>
        <v>0</v>
      </c>
      <c r="AD593" s="604" t="n">
        <f aca="false">SUM(AD590:AD592)</f>
        <v>0</v>
      </c>
      <c r="AE593" s="604" t="n">
        <f aca="false">SUM(AE590:AE592)</f>
        <v>0</v>
      </c>
      <c r="AF593" s="604" t="n">
        <f aca="false">SUM(AF590:AF592)</f>
        <v>0</v>
      </c>
    </row>
    <row r="594" customFormat="false" ht="11.25" hidden="false" customHeight="false" outlineLevel="0" collapsed="false">
      <c r="A594" s="574"/>
      <c r="B594" s="430"/>
      <c r="C594" s="430"/>
      <c r="D594" s="430"/>
      <c r="E594" s="430"/>
      <c r="F594" s="430"/>
      <c r="G594" s="430"/>
      <c r="H594" s="599"/>
      <c r="I594" s="599"/>
      <c r="J594" s="604" t="s">
        <v>603</v>
      </c>
      <c r="K594" s="612" t="n">
        <f aca="false">K589-J589</f>
        <v>0</v>
      </c>
      <c r="L594" s="612" t="n">
        <f aca="false">L589-K589</f>
        <v>0</v>
      </c>
      <c r="M594" s="612" t="n">
        <f aca="false">M589-L589</f>
        <v>0</v>
      </c>
      <c r="N594" s="612" t="n">
        <f aca="false">N589-M589</f>
        <v>0</v>
      </c>
      <c r="O594" s="612" t="n">
        <f aca="false">O589-N589</f>
        <v>0</v>
      </c>
      <c r="P594" s="612" t="n">
        <f aca="false">P589-O589</f>
        <v>0</v>
      </c>
      <c r="Q594" s="612" t="n">
        <f aca="false">Q589-P589</f>
        <v>0</v>
      </c>
      <c r="R594" s="612" t="n">
        <f aca="false">R589-Q589</f>
        <v>0</v>
      </c>
      <c r="S594" s="612" t="n">
        <f aca="false">S589-R589</f>
        <v>0</v>
      </c>
      <c r="T594" s="612" t="n">
        <f aca="false">T589-S589</f>
        <v>0</v>
      </c>
      <c r="U594" s="612" t="n">
        <f aca="false">U589-T589</f>
        <v>0</v>
      </c>
      <c r="V594" s="612" t="n">
        <f aca="false">V589-U589</f>
        <v>0</v>
      </c>
      <c r="W594" s="612" t="n">
        <f aca="false">W589-V589</f>
        <v>0</v>
      </c>
      <c r="X594" s="612" t="n">
        <f aca="false">X589-W589</f>
        <v>0</v>
      </c>
      <c r="Y594" s="612" t="n">
        <f aca="false">Y589-X589</f>
        <v>0</v>
      </c>
      <c r="Z594" s="612" t="n">
        <f aca="false">Z589-Y589</f>
        <v>0</v>
      </c>
      <c r="AA594" s="612" t="n">
        <f aca="false">AA589-Z589</f>
        <v>0</v>
      </c>
      <c r="AB594" s="612" t="n">
        <f aca="false">AB589-AA589</f>
        <v>0</v>
      </c>
      <c r="AC594" s="612" t="n">
        <f aca="false">AC589-AB589</f>
        <v>0</v>
      </c>
      <c r="AD594" s="612" t="n">
        <f aca="false">AD589-AC589</f>
        <v>0</v>
      </c>
      <c r="AE594" s="612" t="n">
        <f aca="false">AE589-AD589</f>
        <v>0</v>
      </c>
      <c r="AF594" s="613" t="n">
        <f aca="false">AF589-AE589</f>
        <v>0</v>
      </c>
    </row>
    <row r="595" customFormat="false" ht="11.25" hidden="false" customHeight="false" outlineLevel="0" collapsed="false">
      <c r="A595" s="574" t="s">
        <v>604</v>
      </c>
      <c r="B595" s="430"/>
      <c r="C595" s="430"/>
      <c r="D595" s="430"/>
      <c r="E595" s="430"/>
      <c r="F595" s="430"/>
      <c r="G595" s="430" t="n">
        <v>0</v>
      </c>
      <c r="H595" s="606" t="n">
        <f aca="false">H593-G593</f>
        <v>0</v>
      </c>
      <c r="I595" s="606" t="n">
        <f aca="false">I593-H593</f>
        <v>0</v>
      </c>
      <c r="J595" s="606" t="n">
        <f aca="false">J593-I593</f>
        <v>0</v>
      </c>
      <c r="K595" s="606" t="n">
        <f aca="false">K593-J593</f>
        <v>0</v>
      </c>
      <c r="L595" s="606" t="n">
        <f aca="false">L593-K593</f>
        <v>332.97615389445</v>
      </c>
      <c r="M595" s="606" t="n">
        <f aca="false">M593-L593</f>
        <v>-332.97615389445</v>
      </c>
      <c r="N595" s="606" t="n">
        <f aca="false">N593-M593</f>
        <v>0</v>
      </c>
      <c r="O595" s="606" t="n">
        <f aca="false">O593-N593</f>
        <v>576.467477474461</v>
      </c>
      <c r="P595" s="606" t="n">
        <f aca="false">P593-O593</f>
        <v>2305.86990989784</v>
      </c>
      <c r="Q595" s="606" t="n">
        <f aca="false">Q593-P593</f>
        <v>-2882.3373873723</v>
      </c>
      <c r="R595" s="606" t="n">
        <f aca="false">R593-Q593</f>
        <v>0</v>
      </c>
      <c r="S595" s="606" t="n">
        <f aca="false">S593-R593</f>
        <v>0</v>
      </c>
      <c r="T595" s="606" t="n">
        <f aca="false">T593-S593</f>
        <v>467.663828494415</v>
      </c>
      <c r="U595" s="606" t="n">
        <f aca="false">U593-T593</f>
        <v>-467.663828494415</v>
      </c>
      <c r="V595" s="606" t="n">
        <f aca="false">V593-U593</f>
        <v>0</v>
      </c>
      <c r="W595" s="606" t="n">
        <f aca="false">W593-V593</f>
        <v>807.96969208624</v>
      </c>
      <c r="X595" s="606" t="n">
        <f aca="false">X593-W593</f>
        <v>3231.87876834496</v>
      </c>
      <c r="Y595" s="606" t="n">
        <f aca="false">Y593-X593</f>
        <v>-4039.8484604312</v>
      </c>
      <c r="Z595" s="606" t="n">
        <f aca="false">Z593-Y593</f>
        <v>0</v>
      </c>
      <c r="AA595" s="606" t="n">
        <f aca="false">AA593-Z593</f>
        <v>0</v>
      </c>
      <c r="AB595" s="606" t="n">
        <f aca="false">AB593-AA593</f>
        <v>0</v>
      </c>
      <c r="AC595" s="606" t="n">
        <f aca="false">AC593-AB593</f>
        <v>0</v>
      </c>
      <c r="AD595" s="606" t="n">
        <f aca="false">AD593-AC593</f>
        <v>0</v>
      </c>
      <c r="AE595" s="606" t="n">
        <f aca="false">AE593-AD593</f>
        <v>0</v>
      </c>
      <c r="AF595" s="607" t="n">
        <f aca="false">AF593-AE593</f>
        <v>0</v>
      </c>
    </row>
    <row r="596" customFormat="false" ht="12" hidden="false" customHeight="false" outlineLevel="0" collapsed="false">
      <c r="A596" s="591"/>
      <c r="B596" s="535"/>
      <c r="C596" s="535"/>
      <c r="D596" s="535"/>
      <c r="E596" s="535"/>
      <c r="F596" s="430"/>
      <c r="G596" s="298"/>
      <c r="H596" s="298" t="s">
        <v>0</v>
      </c>
      <c r="I596" s="430"/>
      <c r="J596" s="430"/>
      <c r="K596" s="430"/>
      <c r="L596" s="430" t="s">
        <v>605</v>
      </c>
      <c r="M596" s="430"/>
      <c r="N596" s="430"/>
      <c r="O596" s="430" t="s">
        <v>606</v>
      </c>
      <c r="P596" s="430" t="s">
        <v>607</v>
      </c>
      <c r="Q596" s="430"/>
      <c r="R596" s="430"/>
      <c r="S596" s="430"/>
      <c r="T596" s="430" t="s">
        <v>608</v>
      </c>
      <c r="U596" s="430"/>
      <c r="V596" s="430"/>
      <c r="W596" s="430" t="s">
        <v>609</v>
      </c>
      <c r="X596" s="430" t="s">
        <v>610</v>
      </c>
      <c r="Y596" s="430"/>
      <c r="Z596" s="430"/>
      <c r="AA596" s="430"/>
      <c r="AB596" s="430"/>
      <c r="AC596" s="430"/>
      <c r="AD596" s="430"/>
      <c r="AE596" s="430"/>
      <c r="AF596" s="483"/>
    </row>
    <row r="597" customFormat="false" ht="12" hidden="false" customHeight="false" outlineLevel="0" collapsed="false">
      <c r="A597" s="341" t="s">
        <v>611</v>
      </c>
      <c r="B597" s="238"/>
      <c r="C597" s="238"/>
      <c r="D597" s="238"/>
      <c r="E597" s="238"/>
      <c r="F597" s="614"/>
      <c r="G597" s="615" t="s">
        <v>612</v>
      </c>
      <c r="H597" s="616"/>
      <c r="I597" s="616" t="n">
        <v>391.000001</v>
      </c>
      <c r="J597" s="616" t="n">
        <v>1601.999983</v>
      </c>
      <c r="K597" s="616" t="n">
        <v>2148.00005</v>
      </c>
      <c r="L597" s="616" t="n">
        <v>2500.9999025</v>
      </c>
      <c r="M597" s="616" t="n">
        <v>2102.00001</v>
      </c>
      <c r="N597" s="616" t="n">
        <v>3172.999998</v>
      </c>
      <c r="O597" s="616" t="n">
        <v>3259.000004</v>
      </c>
      <c r="P597" s="616" t="n">
        <v>2143.000026</v>
      </c>
      <c r="Q597" s="616" t="n">
        <v>2834.9999915</v>
      </c>
      <c r="R597" s="616" t="n">
        <v>4242.9999925</v>
      </c>
      <c r="S597" s="616" t="n">
        <v>4340.999977</v>
      </c>
      <c r="T597" s="616" t="n">
        <v>3399.999935</v>
      </c>
      <c r="U597" s="616" t="n">
        <v>3140.000043</v>
      </c>
      <c r="V597" s="616" t="n">
        <v>4238.999962</v>
      </c>
      <c r="W597" s="616" t="n">
        <v>4286.000052</v>
      </c>
      <c r="X597" s="616" t="n">
        <v>3758.9999745</v>
      </c>
      <c r="Y597" s="616" t="n">
        <v>4520.9999935</v>
      </c>
      <c r="Z597" s="616" t="n">
        <v>4417.0001045</v>
      </c>
      <c r="AA597" s="616" t="n">
        <v>0</v>
      </c>
      <c r="AB597" s="616" t="n">
        <v>0</v>
      </c>
      <c r="AC597" s="616" t="n">
        <v>0</v>
      </c>
      <c r="AD597" s="616" t="n">
        <v>0</v>
      </c>
      <c r="AE597" s="616" t="n">
        <v>0</v>
      </c>
      <c r="AF597" s="617" t="n">
        <v>0</v>
      </c>
    </row>
    <row r="598" customFormat="false" ht="12.75" hidden="false" customHeight="false" outlineLevel="0" collapsed="false">
      <c r="A598" s="341" t="s">
        <v>613</v>
      </c>
      <c r="B598" s="238"/>
      <c r="C598" s="238"/>
      <c r="D598" s="464"/>
      <c r="E598" s="546" t="n">
        <f aca="false">E$638</f>
        <v>35430</v>
      </c>
      <c r="F598" s="618" t="n">
        <f aca="false">F$638</f>
        <v>35795</v>
      </c>
      <c r="G598" s="618" t="n">
        <f aca="false">G$638</f>
        <v>36160</v>
      </c>
      <c r="H598" s="619" t="n">
        <f aca="false">H$638</f>
        <v>36373</v>
      </c>
      <c r="I598" s="620" t="n">
        <f aca="false">I$638</f>
        <v>36525</v>
      </c>
      <c r="J598" s="621" t="n">
        <f aca="false">J$638</f>
        <v>36891</v>
      </c>
      <c r="K598" s="621" t="n">
        <f aca="false">K$638</f>
        <v>37256</v>
      </c>
      <c r="L598" s="621" t="n">
        <f aca="false">L$638</f>
        <v>37621</v>
      </c>
      <c r="M598" s="621" t="n">
        <f aca="false">M$638</f>
        <v>37986</v>
      </c>
      <c r="N598" s="621" t="n">
        <f aca="false">N$638</f>
        <v>38352</v>
      </c>
      <c r="O598" s="621" t="n">
        <f aca="false">O$638</f>
        <v>38717</v>
      </c>
      <c r="P598" s="621" t="n">
        <f aca="false">P$638</f>
        <v>39082</v>
      </c>
      <c r="Q598" s="621" t="n">
        <f aca="false">Q$638</f>
        <v>39447</v>
      </c>
      <c r="R598" s="621" t="n">
        <f aca="false">R$638</f>
        <v>39813</v>
      </c>
      <c r="S598" s="622" t="n">
        <f aca="false">S$638</f>
        <v>40178</v>
      </c>
      <c r="T598" s="622" t="n">
        <f aca="false">T$638</f>
        <v>40543</v>
      </c>
      <c r="U598" s="622" t="n">
        <f aca="false">U$638</f>
        <v>40908</v>
      </c>
      <c r="V598" s="622" t="n">
        <f aca="false">V$638</f>
        <v>41274</v>
      </c>
      <c r="W598" s="622" t="n">
        <f aca="false">W$638</f>
        <v>41639</v>
      </c>
      <c r="X598" s="622" t="n">
        <f aca="false">X$638</f>
        <v>42004</v>
      </c>
      <c r="Y598" s="622" t="n">
        <f aca="false">Y$638</f>
        <v>42369</v>
      </c>
      <c r="Z598" s="622" t="n">
        <f aca="false">Z$638</f>
        <v>42735</v>
      </c>
      <c r="AA598" s="621" t="n">
        <f aca="false">AA$638</f>
        <v>43100</v>
      </c>
      <c r="AB598" s="621" t="n">
        <f aca="false">AB$638</f>
        <v>43465</v>
      </c>
      <c r="AC598" s="621" t="n">
        <f aca="false">AC$638</f>
        <v>43830</v>
      </c>
      <c r="AD598" s="621" t="n">
        <f aca="false">AD$638</f>
        <v>44196</v>
      </c>
      <c r="AE598" s="621" t="n">
        <f aca="false">AE$638</f>
        <v>44561</v>
      </c>
      <c r="AF598" s="621" t="n">
        <f aca="false">AF$638</f>
        <v>44926</v>
      </c>
    </row>
    <row r="599" customFormat="false" ht="12" hidden="false" customHeight="false" outlineLevel="0" collapsed="false">
      <c r="A599" s="341"/>
      <c r="B599" s="238"/>
      <c r="C599" s="238"/>
      <c r="D599" s="464"/>
      <c r="E599" s="623"/>
      <c r="F599" s="623"/>
      <c r="G599" s="624" t="s">
        <v>614</v>
      </c>
      <c r="H599" s="625"/>
      <c r="I599" s="626" t="n">
        <v>0.006920354</v>
      </c>
      <c r="J599" s="626" t="n">
        <v>0.028353982</v>
      </c>
      <c r="K599" s="626" t="n">
        <v>0.0380177</v>
      </c>
      <c r="L599" s="626" t="n">
        <v>0.044265485</v>
      </c>
      <c r="M599" s="626" t="n">
        <v>0.03720354</v>
      </c>
      <c r="N599" s="626" t="n">
        <v>0.056159292</v>
      </c>
      <c r="O599" s="626" t="n">
        <v>0.057681416</v>
      </c>
      <c r="P599" s="626" t="n">
        <v>0.037929204</v>
      </c>
      <c r="Q599" s="626" t="n">
        <v>0.050176991</v>
      </c>
      <c r="R599" s="626" t="n">
        <v>0.075097345</v>
      </c>
      <c r="S599" s="626" t="n">
        <v>0.076831858</v>
      </c>
      <c r="T599" s="626" t="n">
        <v>0.06017699</v>
      </c>
      <c r="U599" s="626" t="n">
        <v>0.055575222</v>
      </c>
      <c r="V599" s="626" t="n">
        <v>0.075026548</v>
      </c>
      <c r="W599" s="626" t="n">
        <v>0.075858408</v>
      </c>
      <c r="X599" s="626" t="n">
        <v>0.066530973</v>
      </c>
      <c r="Y599" s="626" t="n">
        <v>0.080017699</v>
      </c>
      <c r="Z599" s="626" t="n">
        <v>0.0781769929999999</v>
      </c>
      <c r="AA599" s="626" t="n">
        <v>0</v>
      </c>
      <c r="AB599" s="626" t="n">
        <v>0</v>
      </c>
      <c r="AC599" s="626" t="n">
        <v>0</v>
      </c>
      <c r="AD599" s="626" t="n">
        <v>0</v>
      </c>
      <c r="AE599" s="626" t="n">
        <v>0</v>
      </c>
      <c r="AF599" s="626" t="n">
        <v>0</v>
      </c>
    </row>
    <row r="600" customFormat="false" ht="11.25" hidden="false" customHeight="false" outlineLevel="0" collapsed="false">
      <c r="A600" s="473"/>
      <c r="B600" s="238"/>
      <c r="C600" s="238"/>
      <c r="D600" s="238"/>
      <c r="E600" s="238" t="s">
        <v>0</v>
      </c>
      <c r="F600" s="238"/>
      <c r="G600" s="509" t="s">
        <v>615</v>
      </c>
      <c r="H600" s="627" t="n">
        <v>1E-005</v>
      </c>
      <c r="I600" s="628" t="n">
        <f aca="false">IF(OR(H602&gt;0,H600=0),0,IF(AND(YEAR(I598)=YEAR(Summary!$O$111),Summary!$O$109=1),1-SUM(CCFMODEL!$I599:I599),I599))</f>
        <v>0.006920354</v>
      </c>
      <c r="J600" s="628" t="n">
        <f aca="false">IF(J602&gt;0,J602/$H$455,IF(AND(YEAR(J598)=YEAR(Summary!$O$111),Summary!$O$109=1),1-SUM(CCFMODEL!$I599:I599),MIN(J599,1-SUM($I600:I600))))</f>
        <v>0.028353982</v>
      </c>
      <c r="K600" s="628" t="n">
        <f aca="false">IF(K602&gt;0,K602/$H$455,IF(AND(YEAR(K598)=YEAR(Summary!$O$111),Summary!$O$109=1),1-SUM(CCFMODEL!$I599:J599),MIN(K599,1-SUM($I600:J600))))</f>
        <v>0.0380177</v>
      </c>
      <c r="L600" s="628" t="n">
        <f aca="false">IF(L602&gt;0,L602/$H$455,IF(AND(YEAR(L598)=YEAR(Summary!$O$111),Summary!$O$109=1),1-SUM(CCFMODEL!$I599:K599),MIN(L599,1-SUM($I600:K600))))</f>
        <v>0.044265485</v>
      </c>
      <c r="M600" s="628" t="n">
        <f aca="false">IF(M602&gt;0,M602/$H$455,IF(AND(YEAR(M598)=YEAR(Summary!$O$111),Summary!$O$109=1),1-SUM(CCFMODEL!$I599:L599),MIN(M599,1-SUM($I600:L600))))</f>
        <v>0.03720354</v>
      </c>
      <c r="N600" s="628" t="n">
        <f aca="false">IF(N602&gt;0,N602/$H$455,IF(AND(YEAR(N598)=YEAR(Summary!$O$111),Summary!$O$109=1),1-SUM(CCFMODEL!$I599:M599),MIN(N599,1-SUM($I600:M600))))</f>
        <v>0.056159292</v>
      </c>
      <c r="O600" s="628" t="n">
        <f aca="false">IF(O602&gt;0,O602/$H$455,IF(AND(YEAR(O598)=YEAR(Summary!$O$111),Summary!$O$109=1),1-SUM(CCFMODEL!$I599:N599),MIN(O599,1-SUM($I600:N600))))</f>
        <v>0.057681416</v>
      </c>
      <c r="P600" s="628" t="n">
        <f aca="false">IF(P602&gt;0,P602/$H$455,IF(AND(YEAR(P598)=YEAR(Summary!$O$111),Summary!$O$109=1),1-SUM(CCFMODEL!$I599:O599),MIN(P599,1-SUM($I600:O600))))</f>
        <v>0.037929204</v>
      </c>
      <c r="Q600" s="628" t="n">
        <f aca="false">IF(Q602&gt;0,Q602/$H$455,IF(AND(YEAR(Q598)=YEAR(Summary!$O$111),Summary!$O$109=1),1-SUM(CCFMODEL!$I599:P599),MIN(Q599,1-SUM($I600:P600))))</f>
        <v>0.050176991</v>
      </c>
      <c r="R600" s="628" t="n">
        <f aca="false">IF(R602&gt;0,R602/$H$455,IF(AND(YEAR(R598)=YEAR(Summary!$O$111),Summary!$O$109=1),1-SUM(CCFMODEL!$I599:Q599),MIN(R599,1-SUM($I600:Q600))))</f>
        <v>0.075097345</v>
      </c>
      <c r="S600" s="628" t="n">
        <f aca="false">IF(S602&gt;0,S602/$H$455,IF(AND(YEAR(S598)=YEAR(Summary!$O$111),Summary!$O$109=1),1-SUM(CCFMODEL!$I599:R599),MIN(S599,1-SUM($I600:R600))))</f>
        <v>0.076831858</v>
      </c>
      <c r="T600" s="628" t="n">
        <f aca="false">IF(T602&gt;0,T602/$H$455,IF(AND(YEAR(T598)=YEAR(Summary!$O$111),Summary!$O$109=1),1-SUM(CCFMODEL!$I599:S599),MIN(T599,1-SUM($I600:S600))))</f>
        <v>0.06017699</v>
      </c>
      <c r="U600" s="628" t="n">
        <f aca="false">IF(U602&gt;0,U602/$H$455,IF(AND(YEAR(U598)=YEAR(Summary!$O$111),Summary!$O$109=1),1-SUM(CCFMODEL!$I599:T599),MIN(U599,1-SUM($I600:T600))))</f>
        <v>0.055575222</v>
      </c>
      <c r="V600" s="628" t="n">
        <f aca="false">IF(V602&gt;0,V602/$H$455,IF(AND(YEAR(V598)=YEAR(Summary!$O$111),Summary!$O$109=1),1-SUM(CCFMODEL!$I599:U599),MIN(V599,1-SUM($I600:U600))))</f>
        <v>0.075026548</v>
      </c>
      <c r="W600" s="628" t="n">
        <f aca="false">IF(W602&gt;0,W602/$H$455,IF(AND(YEAR(W598)=YEAR(Summary!$O$111),Summary!$O$109=1),1-SUM(CCFMODEL!$I599:V599),MIN(W599,1-SUM($I600:V600))))</f>
        <v>0.075858408</v>
      </c>
      <c r="X600" s="628" t="n">
        <f aca="false">IF(X602&gt;0,X602/$H$455,IF(AND(YEAR(X598)=YEAR(Summary!$O$111),Summary!$O$109=1),1-SUM(CCFMODEL!$I599:W599),MIN(X599,1-SUM($I600:W600))))</f>
        <v>0.066530973</v>
      </c>
      <c r="Y600" s="628" t="n">
        <f aca="false">IF(Y602&gt;0,Y602/$H$455,IF(AND(YEAR(Y598)=YEAR(Summary!$O$111),Summary!$O$109=1),1-SUM(CCFMODEL!$I599:X599),MIN(Y599,1-SUM($I600:X600))))</f>
        <v>0.080017699</v>
      </c>
      <c r="Z600" s="628" t="n">
        <f aca="false">IF(Z602&gt;0,Z602/$H$455,IF(AND(YEAR(Z598)=YEAR(Summary!$O$111),Summary!$O$109=1),1-SUM(CCFMODEL!$I599:Y599),MIN(Z599,1-SUM($I600:Y600))))</f>
        <v>0.0781769929999999</v>
      </c>
      <c r="AA600" s="628" t="n">
        <f aca="false">IF(AA602&gt;0,AA602/$H$455,IF(AND(YEAR(AA598)=YEAR(Summary!$O$111),Summary!$O$109=1),1-SUM(CCFMODEL!$I599:Z599),MIN(AA599,1-SUM($I600:Z600))))</f>
        <v>0</v>
      </c>
      <c r="AB600" s="628" t="n">
        <f aca="false">IF(AB602&gt;0,AB602/$H$455,IF(AND(YEAR(AB598)=YEAR(Summary!$O$111),Summary!$O$109=1),1-SUM(CCFMODEL!$I599:AA599),MIN(AB599,1-SUM($I600:AA600))))</f>
        <v>0</v>
      </c>
      <c r="AC600" s="628" t="n">
        <f aca="false">IF(AC602&gt;0,AC602/$H$455,IF(AND(YEAR(AC598)=YEAR(Summary!$O$111),Summary!$O$109=1),1-SUM(CCFMODEL!$I599:AB599),MIN(AC599,1-SUM($I600:AB600))))</f>
        <v>0</v>
      </c>
      <c r="AD600" s="628" t="n">
        <f aca="false">IF(AD602&gt;0,AD602/$H$455,IF(AND(YEAR(AD598)=YEAR(Summary!$O$111),Summary!$O$109=1),1-SUM(CCFMODEL!$I599:AC599),MIN(AD599,1-SUM($I600:AC600))))</f>
        <v>0</v>
      </c>
      <c r="AE600" s="628" t="n">
        <f aca="false">IF(AE602&gt;0,AE602/$H$455,IF(AND(YEAR(AE598)=YEAR(Summary!$O$111),Summary!$O$109=1),1-SUM(CCFMODEL!$I599:AD599),MIN(AE599,1-SUM($I600:AD600))))</f>
        <v>0</v>
      </c>
      <c r="AF600" s="628" t="n">
        <f aca="false">IF(AF602&gt;0,AF602/$H$455,IF(AND(YEAR(AF598)=YEAR(Summary!$O$111),Summary!$O$109=1),1-SUM(CCFMODEL!$I599:AE599),MIN(AF599,1-SUM($I600:AE600))))</f>
        <v>0</v>
      </c>
    </row>
    <row r="601" customFormat="false" ht="11.25" hidden="false" customHeight="false" outlineLevel="0" collapsed="false">
      <c r="A601" s="473"/>
      <c r="B601" s="238"/>
      <c r="C601" s="238"/>
      <c r="D601" s="238"/>
      <c r="E601" s="238"/>
      <c r="F601" s="238"/>
      <c r="G601" s="509" t="s">
        <v>616</v>
      </c>
      <c r="H601" s="629"/>
      <c r="I601" s="630" t="n">
        <f aca="false">IF(I602&gt;0,0,I597)</f>
        <v>391.000001</v>
      </c>
      <c r="J601" s="631" t="n">
        <f aca="false">IF(Summary!$J$75="YES",0,IF(J602&gt;0,0,J597))</f>
        <v>1601.999983</v>
      </c>
      <c r="K601" s="631" t="n">
        <f aca="false">IF(Summary!$J$75="YES",0,IF(K602&gt;0,0,K597))</f>
        <v>2148.00005</v>
      </c>
      <c r="L601" s="631" t="n">
        <f aca="false">IF(Summary!$J$75="YES",0,IF(L602&gt;0,0,L597))</f>
        <v>2500.9999025</v>
      </c>
      <c r="M601" s="631" t="n">
        <f aca="false">IF(Summary!$J$75="YES",0,IF(M602&gt;0,0,M597))</f>
        <v>2102.00001</v>
      </c>
      <c r="N601" s="631" t="n">
        <f aca="false">IF(Summary!$J$75="YES",0,IF(N602&gt;0,0,N597))</f>
        <v>3172.999998</v>
      </c>
      <c r="O601" s="631" t="n">
        <f aca="false">IF(Summary!$J$75="YES",0,IF(O602&gt;0,0,O597))</f>
        <v>3259.000004</v>
      </c>
      <c r="P601" s="631" t="n">
        <f aca="false">IF(Summary!$J$75="YES",0,IF(P602&gt;0,0,P597))</f>
        <v>2143.000026</v>
      </c>
      <c r="Q601" s="631" t="n">
        <f aca="false">IF(Summary!$J$75="YES",0,IF(Q602&gt;0,0,Q597))</f>
        <v>2834.9999915</v>
      </c>
      <c r="R601" s="631" t="n">
        <f aca="false">IF(Summary!$J$75="YES",0,IF(R602&gt;0,0,R597))</f>
        <v>4242.9999925</v>
      </c>
      <c r="S601" s="631" t="n">
        <f aca="false">IF(Summary!$J$75="YES",0,IF(S602&gt;0,0,S597))</f>
        <v>4340.999977</v>
      </c>
      <c r="T601" s="631" t="n">
        <f aca="false">IF(Summary!$J$75="YES",0,IF(T602&gt;0,0,T597))</f>
        <v>3399.999935</v>
      </c>
      <c r="U601" s="631" t="n">
        <f aca="false">IF(Summary!$J$75="YES",0,IF(U602&gt;0,0,U597))</f>
        <v>3140.000043</v>
      </c>
      <c r="V601" s="631" t="n">
        <f aca="false">IF(Summary!$J$75="YES",0,IF(V602&gt;0,0,V597))</f>
        <v>4238.999962</v>
      </c>
      <c r="W601" s="631" t="n">
        <f aca="false">IF(Summary!$J$75="YES",0,IF(W602&gt;0,0,W597))</f>
        <v>4286.000052</v>
      </c>
      <c r="X601" s="631" t="n">
        <f aca="false">IF(Summary!$J$75="YES",0,IF(X602&gt;0,0,X597))</f>
        <v>3758.9999745</v>
      </c>
      <c r="Y601" s="631" t="n">
        <f aca="false">IF(Summary!$J$75="YES",0,IF(Y602&gt;0,0,Y597))</f>
        <v>4520.9999935</v>
      </c>
      <c r="Z601" s="631" t="n">
        <f aca="false">IF(Summary!$J$75="YES",0,IF(Z602&gt;0,0,Z597))</f>
        <v>4417.0001045</v>
      </c>
      <c r="AA601" s="631" t="n">
        <f aca="false">IF(Summary!$J$75="YES",0,IF(AA602&gt;0,0,AA597))</f>
        <v>0</v>
      </c>
      <c r="AB601" s="631" t="n">
        <f aca="false">IF(Summary!$J$75="YES",0,IF(AB602&gt;0,0,AB597))</f>
        <v>0</v>
      </c>
      <c r="AC601" s="631" t="n">
        <f aca="false">IF(Summary!$J$75="YES",0,IF(AC602&gt;0,0,AC597))</f>
        <v>0</v>
      </c>
      <c r="AD601" s="631" t="n">
        <f aca="false">IF(Summary!$J$75="YES",0,IF(AD602&gt;0,0,AD597))</f>
        <v>0</v>
      </c>
      <c r="AE601" s="631" t="n">
        <f aca="false">IF(Summary!$J$75="YES",0,IF(AE602&gt;0,0,AE597))</f>
        <v>0</v>
      </c>
      <c r="AF601" s="631" t="n">
        <f aca="false">IF(Summary!$J$75="YES",0,IF(AF602&gt;0,0,AF597))</f>
        <v>0</v>
      </c>
      <c r="AG601" s="632"/>
      <c r="AH601" s="632"/>
      <c r="AI601" s="632"/>
      <c r="AJ601" s="632"/>
      <c r="AK601" s="632"/>
      <c r="AL601" s="632"/>
      <c r="AM601" s="632"/>
      <c r="AN601" s="632"/>
      <c r="AO601" s="632"/>
      <c r="AP601" s="632"/>
      <c r="AQ601" s="632"/>
      <c r="AR601" s="632"/>
      <c r="AS601" s="632"/>
      <c r="AT601" s="632"/>
      <c r="AU601" s="632"/>
      <c r="AV601" s="632"/>
      <c r="AW601" s="632"/>
      <c r="AX601" s="632"/>
      <c r="AY601" s="632"/>
      <c r="AZ601" s="632"/>
      <c r="BA601" s="632"/>
      <c r="BB601" s="632"/>
      <c r="BC601" s="632"/>
      <c r="BD601" s="632"/>
      <c r="BE601" s="632"/>
      <c r="BF601" s="632"/>
      <c r="BG601" s="632"/>
      <c r="BH601" s="632"/>
      <c r="BI601" s="632"/>
      <c r="BJ601" s="632"/>
      <c r="BK601" s="632"/>
      <c r="BL601" s="632"/>
      <c r="BM601" s="632"/>
      <c r="BN601" s="632"/>
      <c r="BO601" s="632"/>
      <c r="BP601" s="632"/>
      <c r="BQ601" s="632"/>
      <c r="BR601" s="632"/>
      <c r="BS601" s="632"/>
      <c r="BT601" s="632"/>
      <c r="BU601" s="632"/>
      <c r="BV601" s="632"/>
      <c r="BW601" s="632"/>
      <c r="BX601" s="632"/>
      <c r="BY601" s="632"/>
      <c r="BZ601" s="632"/>
      <c r="CA601" s="632"/>
      <c r="CB601" s="632"/>
      <c r="CC601" s="632"/>
      <c r="CD601" s="632"/>
      <c r="CE601" s="632"/>
      <c r="CF601" s="632"/>
      <c r="CG601" s="632"/>
      <c r="CH601" s="632"/>
      <c r="CI601" s="632"/>
      <c r="CJ601" s="632"/>
      <c r="CK601" s="632"/>
      <c r="CL601" s="632"/>
      <c r="CM601" s="632"/>
      <c r="CN601" s="632"/>
      <c r="CO601" s="632"/>
      <c r="CP601" s="632"/>
      <c r="CQ601" s="632"/>
      <c r="CR601" s="632"/>
      <c r="CS601" s="632"/>
      <c r="CT601" s="632"/>
      <c r="CU601" s="632"/>
      <c r="CV601" s="632"/>
      <c r="CW601" s="632"/>
      <c r="CX601" s="632"/>
      <c r="CY601" s="632"/>
      <c r="CZ601" s="632"/>
      <c r="DA601" s="632"/>
      <c r="DB601" s="632"/>
      <c r="DC601" s="632"/>
      <c r="DD601" s="632"/>
      <c r="DE601" s="632"/>
      <c r="DF601" s="632"/>
      <c r="DG601" s="632"/>
      <c r="DH601" s="632"/>
      <c r="DI601" s="632"/>
      <c r="DJ601" s="632"/>
      <c r="DK601" s="632"/>
      <c r="DL601" s="632"/>
      <c r="DM601" s="632"/>
      <c r="DN601" s="632"/>
      <c r="DO601" s="632"/>
      <c r="DP601" s="632"/>
      <c r="DQ601" s="632"/>
      <c r="DR601" s="632"/>
      <c r="DS601" s="632"/>
      <c r="DT601" s="632"/>
      <c r="DU601" s="632"/>
      <c r="DV601" s="632"/>
      <c r="DW601" s="632"/>
      <c r="DX601" s="632"/>
      <c r="DY601" s="632"/>
      <c r="DZ601" s="632"/>
      <c r="EA601" s="632"/>
      <c r="EB601" s="632"/>
      <c r="EC601" s="632"/>
      <c r="ED601" s="632"/>
      <c r="EE601" s="632"/>
      <c r="EF601" s="632"/>
      <c r="EG601" s="632"/>
      <c r="EH601" s="632"/>
      <c r="EI601" s="632"/>
      <c r="EJ601" s="632"/>
      <c r="EK601" s="632"/>
      <c r="EL601" s="632"/>
      <c r="EM601" s="632"/>
      <c r="EN601" s="632"/>
      <c r="EO601" s="632"/>
      <c r="EP601" s="632"/>
      <c r="EQ601" s="632"/>
      <c r="ER601" s="632"/>
      <c r="ES601" s="632"/>
      <c r="ET601" s="632"/>
      <c r="EU601" s="632"/>
      <c r="EV601" s="632"/>
      <c r="EW601" s="632"/>
      <c r="EX601" s="632"/>
      <c r="EY601" s="632"/>
      <c r="EZ601" s="632"/>
      <c r="FA601" s="632"/>
      <c r="FB601" s="632"/>
      <c r="FC601" s="632"/>
      <c r="FD601" s="632"/>
      <c r="FE601" s="632"/>
      <c r="FF601" s="632"/>
      <c r="FG601" s="632"/>
      <c r="FH601" s="632"/>
      <c r="FI601" s="632"/>
      <c r="FJ601" s="632"/>
      <c r="FK601" s="632"/>
      <c r="FL601" s="632"/>
      <c r="FM601" s="632"/>
      <c r="FN601" s="632"/>
      <c r="FO601" s="632"/>
      <c r="FP601" s="632"/>
      <c r="FQ601" s="632"/>
      <c r="FR601" s="632"/>
      <c r="FS601" s="632"/>
      <c r="FT601" s="632"/>
      <c r="FU601" s="632"/>
      <c r="FV601" s="632"/>
      <c r="FW601" s="632"/>
      <c r="FX601" s="632"/>
      <c r="FY601" s="632"/>
      <c r="FZ601" s="632"/>
      <c r="GA601" s="632"/>
      <c r="GB601" s="632"/>
      <c r="GC601" s="632"/>
      <c r="GD601" s="632"/>
      <c r="GE601" s="632"/>
      <c r="GF601" s="632"/>
      <c r="GG601" s="632"/>
      <c r="GH601" s="632"/>
      <c r="GI601" s="632"/>
      <c r="GJ601" s="632"/>
      <c r="GK601" s="632"/>
      <c r="GL601" s="632"/>
      <c r="GM601" s="632"/>
      <c r="GN601" s="632"/>
      <c r="GO601" s="632"/>
      <c r="GP601" s="632"/>
      <c r="GQ601" s="632"/>
      <c r="GR601" s="632"/>
      <c r="GS601" s="632"/>
      <c r="GT601" s="632"/>
      <c r="GU601" s="632"/>
      <c r="GV601" s="632"/>
      <c r="GW601" s="632"/>
      <c r="GX601" s="632"/>
      <c r="GY601" s="632"/>
      <c r="GZ601" s="632"/>
      <c r="HA601" s="632"/>
      <c r="HB601" s="632"/>
      <c r="HC601" s="632"/>
      <c r="HD601" s="632"/>
      <c r="HE601" s="632"/>
      <c r="HF601" s="632"/>
      <c r="HG601" s="632"/>
      <c r="HH601" s="632"/>
      <c r="HI601" s="632"/>
      <c r="HJ601" s="632"/>
      <c r="HK601" s="632"/>
      <c r="HL601" s="632"/>
      <c r="HM601" s="632"/>
      <c r="HN601" s="632"/>
      <c r="HO601" s="632"/>
      <c r="HP601" s="632"/>
      <c r="HQ601" s="632"/>
      <c r="HR601" s="632"/>
      <c r="HS601" s="632"/>
      <c r="HT601" s="632"/>
      <c r="HU601" s="632"/>
      <c r="HV601" s="632"/>
      <c r="HW601" s="632"/>
      <c r="HX601" s="632"/>
      <c r="HY601" s="632"/>
      <c r="HZ601" s="632"/>
      <c r="IA601" s="632"/>
      <c r="IB601" s="632"/>
      <c r="IC601" s="632"/>
      <c r="ID601" s="632"/>
      <c r="IE601" s="632"/>
      <c r="IF601" s="632"/>
      <c r="IG601" s="632"/>
      <c r="IH601" s="632"/>
      <c r="II601" s="632"/>
      <c r="IJ601" s="632"/>
      <c r="IK601" s="632"/>
      <c r="IL601" s="632"/>
      <c r="IM601" s="632"/>
      <c r="IN601" s="632"/>
      <c r="IO601" s="632"/>
      <c r="IP601" s="632"/>
      <c r="IQ601" s="632"/>
      <c r="IR601" s="632"/>
      <c r="IS601" s="632"/>
      <c r="IT601" s="632"/>
      <c r="IU601" s="632"/>
      <c r="IV601" s="632"/>
      <c r="IW601" s="632"/>
    </row>
    <row r="602" customFormat="false" ht="11.25" hidden="false" customHeight="false" outlineLevel="0" collapsed="false">
      <c r="A602" s="473"/>
      <c r="B602" s="238"/>
      <c r="C602" s="238"/>
      <c r="D602" s="238"/>
      <c r="E602" s="238"/>
      <c r="F602" s="238"/>
      <c r="G602" s="509" t="s">
        <v>617</v>
      </c>
      <c r="H602" s="633"/>
      <c r="I602" s="630"/>
      <c r="J602" s="630" t="n">
        <f aca="false">IF(AND(YEAR(J598)=YEAR(Summary!$O$111),Summary!$O$109=1),(1-SUM(CCFMODEL!$I599:I599))*$H$455,0)</f>
        <v>0</v>
      </c>
      <c r="K602" s="630" t="n">
        <f aca="false">IF(AND(YEAR(K598)=YEAR(Summary!$O$111),Summary!$O$109=1),MIN(Summary!$J$77,(1-SUM(CCFMODEL!$I599:J599))*$H$455),0)</f>
        <v>0</v>
      </c>
      <c r="L602" s="630" t="n">
        <f aca="false">IF(AND(YEAR(L598)=YEAR(Summary!$O$111),Summary!$O$109=1),MIN(Summary!$J$77,(1-SUM(CCFMODEL!$I599:K599))*$H$455),0)</f>
        <v>0</v>
      </c>
      <c r="M602" s="630" t="n">
        <f aca="false">IF(AND(YEAR(M598)=YEAR(Summary!$O$111),Summary!$O$109=1),MIN(Summary!$J$77,(1-SUM(CCFMODEL!$I599:L599))*$H$455),0)</f>
        <v>0</v>
      </c>
      <c r="N602" s="630" t="n">
        <f aca="false">IF(AND(YEAR(N598)=YEAR(Summary!$O$111),Summary!$O$109=1),MIN(Summary!$J$77,(1-SUM(CCFMODEL!$I599:M599))*$H$455),0)</f>
        <v>0</v>
      </c>
      <c r="O602" s="630" t="n">
        <f aca="false">IF(AND(YEAR(O598)=YEAR(Summary!$O$111),Summary!$O$109=1),MIN(Summary!$J$77,(1-SUM(CCFMODEL!$I599:N599))*$H$455),0)</f>
        <v>0</v>
      </c>
      <c r="P602" s="630" t="n">
        <f aca="false">IF(AND(YEAR(P598)=YEAR(Summary!$O$111),Summary!$O$109=1),MIN(Summary!$J$77,(1-SUM(CCFMODEL!$I599:O599))*$H$455),0)</f>
        <v>0</v>
      </c>
      <c r="Q602" s="630" t="n">
        <f aca="false">IF(AND(YEAR(Q598)=YEAR(Summary!$O$111),Summary!$O$109=1),MIN(Summary!$J$77,(1-SUM(CCFMODEL!$I599:P599))*$H$455),0)</f>
        <v>0</v>
      </c>
      <c r="R602" s="630" t="n">
        <f aca="false">IF(AND(YEAR(R598)=YEAR(Summary!$O$111),Summary!$O$109=1),MIN(Summary!$J$77,(1-SUM(CCFMODEL!$I599:Q599))*$H$455),0)</f>
        <v>0</v>
      </c>
      <c r="S602" s="630" t="n">
        <f aca="false">IF(AND(YEAR(S598)=YEAR(Summary!$O$111),Summary!$O$109=1),MIN(Summary!$J$77,(1-SUM(CCFMODEL!$I599:R599))*$H$455),0)</f>
        <v>0</v>
      </c>
      <c r="T602" s="630" t="n">
        <f aca="false">IF(AND(YEAR(T598)=YEAR(Summary!$O$111),Summary!$O$109=1),MIN(Summary!$J$77,(1-SUM(CCFMODEL!$I599:S599))*$H$455),0)</f>
        <v>0</v>
      </c>
      <c r="U602" s="630" t="n">
        <f aca="false">IF(AND(YEAR(U598)=YEAR(Summary!$O$111),Summary!$O$109=1),MIN(Summary!$J$77,(1-SUM(CCFMODEL!$I599:T599))*$H$455),0)</f>
        <v>0</v>
      </c>
      <c r="V602" s="630" t="n">
        <f aca="false">IF(AND(YEAR(V598)=YEAR(Summary!$O$111),Summary!$O$109=1),MIN(Summary!$J$77,(1-SUM(CCFMODEL!$I599:U599))*$H$455),0)</f>
        <v>0</v>
      </c>
      <c r="W602" s="630" t="n">
        <f aca="false">IF(AND(YEAR(W598)=YEAR(Summary!$O$111),Summary!$O$109=1),MIN(Summary!$J$77,(1-SUM(CCFMODEL!$I599:V599))*$H$455),0)</f>
        <v>0</v>
      </c>
      <c r="X602" s="630" t="n">
        <f aca="false">IF(AND(YEAR(X598)=YEAR(Summary!$O$111),Summary!$O$109=1),MIN(Summary!$J$77,(1-SUM(CCFMODEL!$I599:W599))*$H$455),0)</f>
        <v>0</v>
      </c>
      <c r="Y602" s="630" t="n">
        <f aca="false">IF(AND(YEAR(Y598)=YEAR(Summary!$O$111),Summary!$O$109=1),MIN(Summary!$J$77,(1-SUM(CCFMODEL!$I599:X599))*$H$455),0)</f>
        <v>0</v>
      </c>
      <c r="Z602" s="630" t="n">
        <f aca="false">IF(AND(YEAR(Z598)=YEAR(Summary!$O$111),Summary!$O$109=1),MIN(Summary!$J$77,(1-SUM(CCFMODEL!$I599:Y599))*$H$455),0)</f>
        <v>0</v>
      </c>
      <c r="AA602" s="630" t="n">
        <f aca="false">IF(AND(YEAR(AA598)=YEAR(Summary!$O$111),Summary!$O$109=1),MIN(Summary!$J$77,(1-SUM(CCFMODEL!$I599:Z599))*$H$455),0)</f>
        <v>0</v>
      </c>
      <c r="AB602" s="630" t="n">
        <f aca="false">IF(AND(YEAR(AB598)=YEAR(Summary!$O$111),Summary!$O$109=1),MIN(Summary!$J$77,(1-SUM(CCFMODEL!$I599:AA599))*$H$455),0)</f>
        <v>0</v>
      </c>
      <c r="AC602" s="630" t="n">
        <f aca="false">IF(AND(YEAR(AC598)=YEAR(Summary!$O$111),Summary!$O$109=1),MIN(Summary!$J$77,(1-SUM(CCFMODEL!$I599:AB599))*$H$455),0)</f>
        <v>0</v>
      </c>
      <c r="AD602" s="630" t="n">
        <f aca="false">IF(AND(YEAR(AD598)=YEAR(Summary!$O$111),Summary!$O$109=1),MIN(Summary!$J$77,(1-SUM(CCFMODEL!$I599:AC599))*$H$455),0)</f>
        <v>0</v>
      </c>
      <c r="AE602" s="630" t="n">
        <f aca="false">IF(AND(YEAR(AE598)=YEAR(Summary!$O$111),Summary!$O$109=1),MIN(Summary!$J$77,(1-SUM(CCFMODEL!$I599:AD599))*$H$455),0)</f>
        <v>0</v>
      </c>
      <c r="AF602" s="630" t="n">
        <f aca="false">IF(AND(YEAR(AF598)=YEAR(Summary!$O$111),Summary!$O$109=1),MIN(Summary!$J$77,(1-SUM(CCFMODEL!$I599:AE599))*$H$455),0)</f>
        <v>0</v>
      </c>
      <c r="AG602" s="632"/>
      <c r="AH602" s="632"/>
      <c r="AI602" s="632"/>
      <c r="AJ602" s="632"/>
      <c r="AK602" s="632"/>
      <c r="AL602" s="632"/>
      <c r="AM602" s="632"/>
      <c r="AN602" s="632"/>
      <c r="AO602" s="632"/>
      <c r="AP602" s="632"/>
      <c r="AQ602" s="632"/>
      <c r="AR602" s="632"/>
      <c r="AS602" s="632"/>
      <c r="AT602" s="632"/>
      <c r="AU602" s="632"/>
      <c r="AV602" s="632"/>
      <c r="AW602" s="632"/>
      <c r="AX602" s="632"/>
      <c r="AY602" s="632"/>
      <c r="AZ602" s="632"/>
      <c r="BA602" s="632"/>
      <c r="BB602" s="632"/>
      <c r="BC602" s="632"/>
      <c r="BD602" s="632"/>
      <c r="BE602" s="632"/>
      <c r="BF602" s="632"/>
      <c r="BG602" s="632"/>
      <c r="BH602" s="632"/>
      <c r="BI602" s="632"/>
      <c r="BJ602" s="632"/>
      <c r="BK602" s="632"/>
      <c r="BL602" s="632"/>
      <c r="BM602" s="632"/>
      <c r="BN602" s="632"/>
      <c r="BO602" s="632"/>
      <c r="BP602" s="632"/>
      <c r="BQ602" s="632"/>
      <c r="BR602" s="632"/>
      <c r="BS602" s="632"/>
      <c r="BT602" s="632"/>
      <c r="BU602" s="632"/>
      <c r="BV602" s="632"/>
      <c r="BW602" s="632"/>
      <c r="BX602" s="632"/>
      <c r="BY602" s="632"/>
      <c r="BZ602" s="632"/>
      <c r="CA602" s="632"/>
      <c r="CB602" s="632"/>
      <c r="CC602" s="632"/>
      <c r="CD602" s="632"/>
      <c r="CE602" s="632"/>
      <c r="CF602" s="632"/>
      <c r="CG602" s="632"/>
      <c r="CH602" s="632"/>
      <c r="CI602" s="632"/>
      <c r="CJ602" s="632"/>
      <c r="CK602" s="632"/>
      <c r="CL602" s="632"/>
      <c r="CM602" s="632"/>
      <c r="CN602" s="632"/>
      <c r="CO602" s="632"/>
      <c r="CP602" s="632"/>
      <c r="CQ602" s="632"/>
      <c r="CR602" s="632"/>
      <c r="CS602" s="632"/>
      <c r="CT602" s="632"/>
      <c r="CU602" s="632"/>
      <c r="CV602" s="632"/>
      <c r="CW602" s="632"/>
      <c r="CX602" s="632"/>
      <c r="CY602" s="632"/>
      <c r="CZ602" s="632"/>
      <c r="DA602" s="632"/>
      <c r="DB602" s="632"/>
      <c r="DC602" s="632"/>
      <c r="DD602" s="632"/>
      <c r="DE602" s="632"/>
      <c r="DF602" s="632"/>
      <c r="DG602" s="632"/>
      <c r="DH602" s="632"/>
      <c r="DI602" s="632"/>
      <c r="DJ602" s="632"/>
      <c r="DK602" s="632"/>
      <c r="DL602" s="632"/>
      <c r="DM602" s="632"/>
      <c r="DN602" s="632"/>
      <c r="DO602" s="632"/>
      <c r="DP602" s="632"/>
      <c r="DQ602" s="632"/>
      <c r="DR602" s="632"/>
      <c r="DS602" s="632"/>
      <c r="DT602" s="632"/>
      <c r="DU602" s="632"/>
      <c r="DV602" s="632"/>
      <c r="DW602" s="632"/>
      <c r="DX602" s="632"/>
      <c r="DY602" s="632"/>
      <c r="DZ602" s="632"/>
      <c r="EA602" s="632"/>
      <c r="EB602" s="632"/>
      <c r="EC602" s="632"/>
      <c r="ED602" s="632"/>
      <c r="EE602" s="632"/>
      <c r="EF602" s="632"/>
      <c r="EG602" s="632"/>
      <c r="EH602" s="632"/>
      <c r="EI602" s="632"/>
      <c r="EJ602" s="632"/>
      <c r="EK602" s="632"/>
      <c r="EL602" s="632"/>
      <c r="EM602" s="632"/>
      <c r="EN602" s="632"/>
      <c r="EO602" s="632"/>
      <c r="EP602" s="632"/>
      <c r="EQ602" s="632"/>
      <c r="ER602" s="632"/>
      <c r="ES602" s="632"/>
      <c r="ET602" s="632"/>
      <c r="EU602" s="632"/>
      <c r="EV602" s="632"/>
      <c r="EW602" s="632"/>
      <c r="EX602" s="632"/>
      <c r="EY602" s="632"/>
      <c r="EZ602" s="632"/>
      <c r="FA602" s="632"/>
      <c r="FB602" s="632"/>
      <c r="FC602" s="632"/>
      <c r="FD602" s="632"/>
      <c r="FE602" s="632"/>
      <c r="FF602" s="632"/>
      <c r="FG602" s="632"/>
      <c r="FH602" s="632"/>
      <c r="FI602" s="632"/>
      <c r="FJ602" s="632"/>
      <c r="FK602" s="632"/>
      <c r="FL602" s="632"/>
      <c r="FM602" s="632"/>
      <c r="FN602" s="632"/>
      <c r="FO602" s="632"/>
      <c r="FP602" s="632"/>
      <c r="FQ602" s="632"/>
      <c r="FR602" s="632"/>
      <c r="FS602" s="632"/>
      <c r="FT602" s="632"/>
      <c r="FU602" s="632"/>
      <c r="FV602" s="632"/>
      <c r="FW602" s="632"/>
      <c r="FX602" s="632"/>
      <c r="FY602" s="632"/>
      <c r="FZ602" s="632"/>
      <c r="GA602" s="632"/>
      <c r="GB602" s="632"/>
      <c r="GC602" s="632"/>
      <c r="GD602" s="632"/>
      <c r="GE602" s="632"/>
      <c r="GF602" s="632"/>
      <c r="GG602" s="632"/>
      <c r="GH602" s="632"/>
      <c r="GI602" s="632"/>
      <c r="GJ602" s="632"/>
      <c r="GK602" s="632"/>
      <c r="GL602" s="632"/>
      <c r="GM602" s="632"/>
      <c r="GN602" s="632"/>
      <c r="GO602" s="632"/>
      <c r="GP602" s="632"/>
      <c r="GQ602" s="632"/>
      <c r="GR602" s="632"/>
      <c r="GS602" s="632"/>
      <c r="GT602" s="632"/>
      <c r="GU602" s="632"/>
      <c r="GV602" s="632"/>
      <c r="GW602" s="632"/>
      <c r="GX602" s="632"/>
      <c r="GY602" s="632"/>
      <c r="GZ602" s="632"/>
      <c r="HA602" s="632"/>
      <c r="HB602" s="632"/>
      <c r="HC602" s="632"/>
      <c r="HD602" s="632"/>
      <c r="HE602" s="632"/>
      <c r="HF602" s="632"/>
      <c r="HG602" s="632"/>
      <c r="HH602" s="632"/>
      <c r="HI602" s="632"/>
      <c r="HJ602" s="632"/>
      <c r="HK602" s="632"/>
      <c r="HL602" s="632"/>
      <c r="HM602" s="632"/>
      <c r="HN602" s="632"/>
      <c r="HO602" s="632"/>
      <c r="HP602" s="632"/>
      <c r="HQ602" s="632"/>
      <c r="HR602" s="632"/>
      <c r="HS602" s="632"/>
      <c r="HT602" s="632"/>
      <c r="HU602" s="632"/>
      <c r="HV602" s="632"/>
      <c r="HW602" s="632"/>
      <c r="HX602" s="632"/>
      <c r="HY602" s="632"/>
      <c r="HZ602" s="632"/>
      <c r="IA602" s="632"/>
      <c r="IB602" s="632"/>
      <c r="IC602" s="632"/>
      <c r="ID602" s="632"/>
      <c r="IE602" s="632"/>
      <c r="IF602" s="632"/>
      <c r="IG602" s="632"/>
      <c r="IH602" s="632"/>
      <c r="II602" s="632"/>
      <c r="IJ602" s="632"/>
      <c r="IK602" s="632"/>
      <c r="IL602" s="632"/>
      <c r="IM602" s="632"/>
      <c r="IN602" s="632"/>
      <c r="IO602" s="632"/>
      <c r="IP602" s="632"/>
      <c r="IQ602" s="632"/>
      <c r="IR602" s="632"/>
      <c r="IS602" s="632"/>
      <c r="IT602" s="632"/>
      <c r="IU602" s="632"/>
      <c r="IV602" s="632"/>
      <c r="IW602" s="632"/>
    </row>
    <row r="603" customFormat="false" ht="11.25" hidden="false" customHeight="false" outlineLevel="0" collapsed="false">
      <c r="A603" s="473" t="str">
        <f aca="false">B481</f>
        <v>Purchase Term Loan</v>
      </c>
      <c r="B603" s="241"/>
      <c r="C603" s="238"/>
      <c r="D603" s="467"/>
      <c r="E603" s="467"/>
      <c r="F603" s="467"/>
      <c r="G603" s="460" t="s">
        <v>503</v>
      </c>
      <c r="H603" s="238"/>
      <c r="I603" s="555" t="n">
        <f aca="false">+I601+I602</f>
        <v>391.000001</v>
      </c>
      <c r="J603" s="555" t="n">
        <f aca="false">+J601+J602</f>
        <v>1601.999983</v>
      </c>
      <c r="K603" s="555" t="n">
        <f aca="false">+K601+K602</f>
        <v>2148.00005</v>
      </c>
      <c r="L603" s="555" t="n">
        <f aca="false">+L601+L602</f>
        <v>2500.9999025</v>
      </c>
      <c r="M603" s="555" t="n">
        <f aca="false">+M601+M602</f>
        <v>2102.00001</v>
      </c>
      <c r="N603" s="555" t="n">
        <f aca="false">+N601+N602</f>
        <v>3172.999998</v>
      </c>
      <c r="O603" s="555" t="n">
        <f aca="false">+O601+O602</f>
        <v>3259.000004</v>
      </c>
      <c r="P603" s="555" t="n">
        <f aca="false">+P601+P602</f>
        <v>2143.000026</v>
      </c>
      <c r="Q603" s="555" t="n">
        <f aca="false">+Q601+Q602</f>
        <v>2834.9999915</v>
      </c>
      <c r="R603" s="555" t="n">
        <f aca="false">+R601+R602</f>
        <v>4242.9999925</v>
      </c>
      <c r="S603" s="555" t="n">
        <f aca="false">+S601+S602</f>
        <v>4340.999977</v>
      </c>
      <c r="T603" s="555" t="n">
        <f aca="false">+T601+T602</f>
        <v>3399.999935</v>
      </c>
      <c r="U603" s="555" t="n">
        <f aca="false">+U601+U602</f>
        <v>3140.000043</v>
      </c>
      <c r="V603" s="555" t="n">
        <f aca="false">+V601+V602</f>
        <v>4238.999962</v>
      </c>
      <c r="W603" s="555" t="n">
        <f aca="false">+W601+W602</f>
        <v>4286.000052</v>
      </c>
      <c r="X603" s="555" t="n">
        <f aca="false">+X601+X602</f>
        <v>3758.9999745</v>
      </c>
      <c r="Y603" s="555" t="n">
        <f aca="false">+Y601+Y602</f>
        <v>4520.9999935</v>
      </c>
      <c r="Z603" s="555" t="n">
        <f aca="false">+Z601+Z602</f>
        <v>4417.0001045</v>
      </c>
      <c r="AA603" s="555" t="n">
        <f aca="false">+AA601+AA602</f>
        <v>0</v>
      </c>
      <c r="AB603" s="555" t="n">
        <f aca="false">+AB601+AB602</f>
        <v>0</v>
      </c>
      <c r="AC603" s="555" t="n">
        <f aca="false">+AC601+AC602</f>
        <v>0</v>
      </c>
      <c r="AD603" s="555" t="n">
        <f aca="false">+AD601+AD602</f>
        <v>0</v>
      </c>
      <c r="AE603" s="555" t="n">
        <f aca="false">+AE601+AE602</f>
        <v>0</v>
      </c>
      <c r="AF603" s="555" t="n">
        <f aca="false">+AF601+AF602</f>
        <v>0</v>
      </c>
    </row>
    <row r="604" customFormat="false" ht="11.25" hidden="false" customHeight="false" outlineLevel="0" collapsed="false">
      <c r="A604" s="473"/>
      <c r="B604" s="241"/>
      <c r="C604" s="238"/>
      <c r="D604" s="238"/>
      <c r="E604" s="238"/>
      <c r="F604" s="238"/>
      <c r="G604" s="460" t="s">
        <v>618</v>
      </c>
      <c r="H604" s="238"/>
      <c r="I604" s="455" t="n">
        <v>0</v>
      </c>
      <c r="J604" s="455" t="n">
        <v>0</v>
      </c>
      <c r="K604" s="455" t="n">
        <v>0</v>
      </c>
      <c r="L604" s="455" t="n">
        <v>0</v>
      </c>
      <c r="M604" s="455" t="n">
        <v>0</v>
      </c>
      <c r="N604" s="455" t="n">
        <v>0</v>
      </c>
      <c r="O604" s="455" t="n">
        <v>0</v>
      </c>
      <c r="P604" s="455" t="n">
        <v>0</v>
      </c>
      <c r="Q604" s="455" t="n">
        <v>0</v>
      </c>
      <c r="R604" s="455" t="n">
        <v>0</v>
      </c>
      <c r="S604" s="455" t="n">
        <v>0</v>
      </c>
      <c r="T604" s="455" t="n">
        <v>0</v>
      </c>
      <c r="U604" s="455" t="n">
        <v>0</v>
      </c>
      <c r="V604" s="455" t="n">
        <v>0</v>
      </c>
      <c r="W604" s="455" t="n">
        <v>0</v>
      </c>
      <c r="X604" s="455" t="n">
        <v>0</v>
      </c>
      <c r="Y604" s="455" t="n">
        <v>0</v>
      </c>
      <c r="Z604" s="455" t="n">
        <v>0</v>
      </c>
      <c r="AA604" s="455" t="n">
        <v>0</v>
      </c>
      <c r="AB604" s="455" t="n">
        <v>0</v>
      </c>
      <c r="AC604" s="455" t="n">
        <v>0</v>
      </c>
      <c r="AD604" s="455" t="n">
        <v>0</v>
      </c>
      <c r="AE604" s="455" t="n">
        <v>0</v>
      </c>
      <c r="AF604" s="455" t="n">
        <v>0</v>
      </c>
    </row>
    <row r="605" customFormat="false" ht="11.25" hidden="false" customHeight="false" outlineLevel="0" collapsed="false">
      <c r="A605" s="473"/>
      <c r="B605" s="241"/>
      <c r="C605" s="238"/>
      <c r="D605" s="634"/>
      <c r="E605" s="634"/>
      <c r="F605" s="634"/>
      <c r="G605" s="460" t="s">
        <v>619</v>
      </c>
      <c r="H605" s="238"/>
      <c r="I605" s="635" t="s">
        <v>620</v>
      </c>
      <c r="J605" s="635" t="s">
        <v>620</v>
      </c>
      <c r="K605" s="635" t="s">
        <v>620</v>
      </c>
      <c r="L605" s="635" t="s">
        <v>620</v>
      </c>
      <c r="M605" s="635" t="s">
        <v>620</v>
      </c>
      <c r="N605" s="635" t="s">
        <v>620</v>
      </c>
      <c r="O605" s="635" t="s">
        <v>620</v>
      </c>
      <c r="P605" s="635" t="s">
        <v>620</v>
      </c>
      <c r="Q605" s="635" t="s">
        <v>620</v>
      </c>
      <c r="R605" s="635" t="s">
        <v>620</v>
      </c>
      <c r="S605" s="635" t="s">
        <v>620</v>
      </c>
      <c r="T605" s="635" t="s">
        <v>620</v>
      </c>
      <c r="U605" s="635" t="s">
        <v>620</v>
      </c>
      <c r="V605" s="635" t="s">
        <v>620</v>
      </c>
      <c r="W605" s="635" t="s">
        <v>620</v>
      </c>
      <c r="X605" s="635" t="s">
        <v>620</v>
      </c>
      <c r="Y605" s="635" t="s">
        <v>620</v>
      </c>
      <c r="Z605" s="635" t="s">
        <v>620</v>
      </c>
      <c r="AA605" s="635" t="s">
        <v>620</v>
      </c>
      <c r="AB605" s="635" t="s">
        <v>620</v>
      </c>
      <c r="AC605" s="635" t="s">
        <v>620</v>
      </c>
      <c r="AD605" s="635" t="s">
        <v>620</v>
      </c>
      <c r="AE605" s="635" t="s">
        <v>620</v>
      </c>
      <c r="AF605" s="635" t="s">
        <v>620</v>
      </c>
    </row>
    <row r="606" customFormat="false" ht="11.25" hidden="false" customHeight="false" outlineLevel="0" collapsed="false">
      <c r="A606" s="473"/>
      <c r="B606" s="241"/>
      <c r="C606" s="238"/>
      <c r="D606" s="238"/>
      <c r="E606" s="238"/>
      <c r="F606" s="238"/>
      <c r="G606" s="460" t="s">
        <v>621</v>
      </c>
      <c r="H606" s="238"/>
      <c r="I606" s="635" t="s">
        <v>622</v>
      </c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238"/>
      <c r="W606" s="238"/>
      <c r="X606" s="238"/>
      <c r="Y606" s="238"/>
      <c r="Z606" s="238"/>
      <c r="AA606" s="238"/>
      <c r="AB606" s="238"/>
      <c r="AC606" s="238"/>
      <c r="AD606" s="238"/>
      <c r="AE606" s="238"/>
      <c r="AF606" s="238"/>
    </row>
    <row r="607" customFormat="false" ht="11.25" hidden="false" customHeight="false" outlineLevel="0" collapsed="false">
      <c r="A607" s="473"/>
      <c r="B607" s="241" t="s">
        <v>623</v>
      </c>
      <c r="C607" s="636" t="n">
        <f aca="false">Summary!O103</f>
        <v>1</v>
      </c>
      <c r="D607" s="637"/>
      <c r="E607" s="637"/>
      <c r="F607" s="637"/>
      <c r="G607" s="460" t="s">
        <v>624</v>
      </c>
      <c r="H607" s="464"/>
      <c r="I607" s="637" t="n">
        <v>0</v>
      </c>
      <c r="J607" s="637" t="n">
        <f aca="false">I607</f>
        <v>0</v>
      </c>
      <c r="K607" s="637" t="n">
        <f aca="false">J607</f>
        <v>0</v>
      </c>
      <c r="L607" s="637" t="n">
        <f aca="false">K607</f>
        <v>0</v>
      </c>
      <c r="M607" s="637" t="n">
        <f aca="false">L607</f>
        <v>0</v>
      </c>
      <c r="N607" s="637" t="n">
        <f aca="false">M607</f>
        <v>0</v>
      </c>
      <c r="O607" s="637" t="n">
        <f aca="false">N607</f>
        <v>0</v>
      </c>
      <c r="P607" s="637" t="n">
        <f aca="false">O607</f>
        <v>0</v>
      </c>
      <c r="Q607" s="637" t="n">
        <f aca="false">P607</f>
        <v>0</v>
      </c>
      <c r="R607" s="637" t="n">
        <f aca="false">Q607</f>
        <v>0</v>
      </c>
      <c r="S607" s="637" t="n">
        <f aca="false">R607</f>
        <v>0</v>
      </c>
      <c r="T607" s="637" t="n">
        <f aca="false">S607</f>
        <v>0</v>
      </c>
      <c r="U607" s="637" t="n">
        <f aca="false">T607</f>
        <v>0</v>
      </c>
      <c r="V607" s="637" t="n">
        <f aca="false">U607</f>
        <v>0</v>
      </c>
      <c r="W607" s="637" t="n">
        <f aca="false">V607</f>
        <v>0</v>
      </c>
      <c r="X607" s="637" t="n">
        <f aca="false">W607</f>
        <v>0</v>
      </c>
      <c r="Y607" s="637" t="n">
        <f aca="false">X607</f>
        <v>0</v>
      </c>
      <c r="Z607" s="637" t="n">
        <f aca="false">Y607</f>
        <v>0</v>
      </c>
      <c r="AA607" s="637" t="n">
        <f aca="false">Z607</f>
        <v>0</v>
      </c>
      <c r="AB607" s="637" t="n">
        <f aca="false">AA607</f>
        <v>0</v>
      </c>
      <c r="AC607" s="637" t="n">
        <f aca="false">AB607</f>
        <v>0</v>
      </c>
      <c r="AD607" s="637" t="n">
        <f aca="false">AC607</f>
        <v>0</v>
      </c>
      <c r="AE607" s="637" t="n">
        <f aca="false">AD607</f>
        <v>0</v>
      </c>
      <c r="AF607" s="637" t="n">
        <f aca="false">AE607</f>
        <v>0</v>
      </c>
    </row>
    <row r="608" customFormat="false" ht="11.25" hidden="false" customHeight="false" outlineLevel="0" collapsed="false">
      <c r="A608" s="473"/>
      <c r="B608" s="241" t="s">
        <v>625</v>
      </c>
      <c r="C608" s="636" t="n">
        <f aca="false">Summary!O105</f>
        <v>1</v>
      </c>
      <c r="D608" s="238"/>
      <c r="E608" s="238"/>
      <c r="F608" s="238"/>
      <c r="G608" s="460" t="s">
        <v>626</v>
      </c>
      <c r="H608" s="468"/>
      <c r="I608" s="468" t="n">
        <f aca="false">IF(I605="YES",((1+I607/2)^2-1)*I451*-1,0)*C472</f>
        <v>0</v>
      </c>
      <c r="J608" s="468" t="n">
        <f aca="false">IF(J605="YES",((1+J607/2)^2-1)*J451*-1,0)</f>
        <v>0</v>
      </c>
      <c r="K608" s="468" t="n">
        <f aca="false">IF(K605="YES",((1+K607/2)^2-1)*K451*-1,0)</f>
        <v>0</v>
      </c>
      <c r="L608" s="468" t="n">
        <f aca="false">IF(L605="YES",((1+L607/2)^2-1)*L451*-1,0)</f>
        <v>0</v>
      </c>
      <c r="M608" s="468" t="n">
        <f aca="false">IF(M605="YES",((1+M607/2)^2-1)*M451*-1,0)</f>
        <v>0</v>
      </c>
      <c r="N608" s="468" t="n">
        <f aca="false">IF(N605="YES",((1+N607/2)^2-1)*N451*-1,0)</f>
        <v>0</v>
      </c>
      <c r="O608" s="468" t="n">
        <f aca="false">IF(O605="YES",((1+O607/2)^2-1)*O451*-1,0)</f>
        <v>0</v>
      </c>
      <c r="P608" s="468" t="n">
        <f aca="false">IF(P605="YES",((1+P607/2)^2-1)*P451*-1,0)</f>
        <v>0</v>
      </c>
      <c r="Q608" s="468" t="n">
        <f aca="false">IF(Q605="YES",((1+Q607/2)^2-1)*Q451*-1,0)</f>
        <v>0</v>
      </c>
      <c r="R608" s="468" t="n">
        <f aca="false">IF(R605="YES",((1+R607/2)^2-1)*R451*-1,0)</f>
        <v>0</v>
      </c>
      <c r="S608" s="468" t="n">
        <f aca="false">IF(S605="YES",((1+S607/2)^2-1)*S451*-1,0)</f>
        <v>0</v>
      </c>
      <c r="T608" s="468" t="n">
        <f aca="false">IF(T605="YES",((1+T607/2)^2-1)*T451*-1,0)</f>
        <v>0</v>
      </c>
      <c r="U608" s="468" t="n">
        <f aca="false">IF(U605="YES",((1+U607/2)^2-1)*U451*-1,0)</f>
        <v>0</v>
      </c>
      <c r="V608" s="468" t="n">
        <f aca="false">IF(V605="YES",((1+V607/2)^2-1)*V451*-1,0)</f>
        <v>0</v>
      </c>
      <c r="W608" s="468" t="n">
        <f aca="false">IF(W605="YES",((1+W607/2)^2-1)*W451*-1,0)</f>
        <v>0</v>
      </c>
      <c r="X608" s="468" t="n">
        <f aca="false">IF(X605="YES",((1+X607/2)^2-1)*X451*-1,0)</f>
        <v>0</v>
      </c>
      <c r="Y608" s="468" t="n">
        <f aca="false">IF(Y605="YES",((1+Y607/2)^2-1)*Y451*-1,0)</f>
        <v>0</v>
      </c>
      <c r="Z608" s="468" t="n">
        <f aca="false">IF(Z605="YES",((1+Z607/2)^2-1)*Z451*-1,0)</f>
        <v>0</v>
      </c>
      <c r="AA608" s="468" t="n">
        <f aca="false">IF(AA605="YES",((1+AA607/2)^2-1)*AA451*-1,0)</f>
        <v>0</v>
      </c>
      <c r="AB608" s="468" t="n">
        <f aca="false">IF(AB605="YES",((1+AB607/2)^2-1)*AB451*-1,0)</f>
        <v>0</v>
      </c>
      <c r="AC608" s="468" t="n">
        <f aca="false">IF(AC605="YES",((1+AC607/2)^2-1)*AC451*-1,0)</f>
        <v>0</v>
      </c>
      <c r="AD608" s="468" t="n">
        <f aca="false">IF(AD605="YES",((1+AD607/2)^2-1)*AD451*-1,0)</f>
        <v>0</v>
      </c>
      <c r="AE608" s="468" t="n">
        <f aca="false">IF(AE605="YES",((1+AE607/2)^2-1)*AE451*-1,0)</f>
        <v>0</v>
      </c>
      <c r="AF608" s="468" t="n">
        <f aca="false">IF(AF605="YES",((1+AF607/2)^2-1)*AF451*-1,0)</f>
        <v>0</v>
      </c>
    </row>
    <row r="609" customFormat="false" ht="11.25" hidden="false" customHeight="false" outlineLevel="0" collapsed="false">
      <c r="A609" s="473"/>
      <c r="B609" s="241" t="s">
        <v>627</v>
      </c>
      <c r="C609" s="508" t="s">
        <v>0</v>
      </c>
      <c r="D609" s="238"/>
      <c r="E609" s="238"/>
      <c r="F609" s="238"/>
      <c r="G609" s="460" t="s">
        <v>628</v>
      </c>
      <c r="H609" s="468"/>
      <c r="I609" s="638" t="n">
        <f aca="false">IF(Summary!$J$75="Yes",1,0)</f>
        <v>0</v>
      </c>
      <c r="J609" s="638" t="n">
        <v>0</v>
      </c>
      <c r="K609" s="638" t="n">
        <v>0</v>
      </c>
      <c r="L609" s="638" t="n">
        <v>0</v>
      </c>
      <c r="M609" s="638" t="n">
        <v>0</v>
      </c>
      <c r="N609" s="638" t="n">
        <v>0</v>
      </c>
      <c r="O609" s="638" t="n">
        <v>0</v>
      </c>
      <c r="P609" s="638" t="n">
        <v>0</v>
      </c>
      <c r="Q609" s="638" t="n">
        <v>0</v>
      </c>
      <c r="R609" s="638" t="n">
        <v>0</v>
      </c>
      <c r="S609" s="638" t="n">
        <v>0</v>
      </c>
      <c r="T609" s="638" t="n">
        <v>0</v>
      </c>
      <c r="U609" s="638" t="n">
        <v>0</v>
      </c>
      <c r="V609" s="638" t="n">
        <v>0</v>
      </c>
      <c r="W609" s="638" t="n">
        <v>0</v>
      </c>
      <c r="X609" s="638" t="n">
        <v>0</v>
      </c>
      <c r="Y609" s="638" t="n">
        <v>0</v>
      </c>
      <c r="Z609" s="638" t="n">
        <v>0</v>
      </c>
      <c r="AA609" s="638" t="n">
        <v>0</v>
      </c>
      <c r="AB609" s="638" t="n">
        <v>0</v>
      </c>
      <c r="AC609" s="638" t="n">
        <v>0</v>
      </c>
      <c r="AD609" s="638" t="n">
        <v>0</v>
      </c>
      <c r="AE609" s="638" t="n">
        <v>0</v>
      </c>
      <c r="AF609" s="638" t="n">
        <v>0</v>
      </c>
    </row>
    <row r="610" customFormat="false" ht="11.25" hidden="false" customHeight="false" outlineLevel="0" collapsed="false">
      <c r="A610" s="473"/>
      <c r="B610" s="238"/>
      <c r="D610" s="238"/>
      <c r="E610" s="238"/>
      <c r="F610" s="238"/>
      <c r="G610" s="639" t="s">
        <v>629</v>
      </c>
      <c r="H610" s="464"/>
      <c r="I610" s="636" t="n">
        <f aca="false">I751</f>
        <v>1</v>
      </c>
      <c r="J610" s="636" t="str">
        <f aca="false">J751</f>
        <v>NA</v>
      </c>
      <c r="K610" s="636" t="str">
        <f aca="false">K751</f>
        <v>NA</v>
      </c>
      <c r="L610" s="636" t="str">
        <f aca="false">L751</f>
        <v>NA</v>
      </c>
      <c r="M610" s="636" t="str">
        <f aca="false">M751</f>
        <v>NA</v>
      </c>
      <c r="N610" s="636" t="str">
        <f aca="false">N751</f>
        <v>NA</v>
      </c>
      <c r="O610" s="636" t="str">
        <f aca="false">O751</f>
        <v>NA</v>
      </c>
      <c r="P610" s="636" t="str">
        <f aca="false">P751</f>
        <v>NA</v>
      </c>
      <c r="Q610" s="636" t="str">
        <f aca="false">Q751</f>
        <v>NA</v>
      </c>
      <c r="R610" s="636" t="str">
        <f aca="false">R751</f>
        <v>NA</v>
      </c>
      <c r="S610" s="636" t="str">
        <f aca="false">S751</f>
        <v>NA</v>
      </c>
      <c r="T610" s="636" t="str">
        <f aca="false">T751</f>
        <v>NA</v>
      </c>
      <c r="U610" s="636" t="str">
        <f aca="false">U751</f>
        <v>NA</v>
      </c>
      <c r="V610" s="636" t="str">
        <f aca="false">V751</f>
        <v>NA</v>
      </c>
      <c r="W610" s="636" t="str">
        <f aca="false">W751</f>
        <v>NA</v>
      </c>
      <c r="X610" s="636" t="str">
        <f aca="false">X751</f>
        <v>NA</v>
      </c>
      <c r="Y610" s="636" t="str">
        <f aca="false">Y751</f>
        <v>NA</v>
      </c>
      <c r="Z610" s="636" t="str">
        <f aca="false">Z751</f>
        <v>NA</v>
      </c>
      <c r="AA610" s="636" t="str">
        <f aca="false">AA751</f>
        <v> </v>
      </c>
      <c r="AB610" s="636" t="n">
        <f aca="false">AB751</f>
        <v>0</v>
      </c>
      <c r="AC610" s="636" t="n">
        <f aca="false">AC751</f>
        <v>0</v>
      </c>
      <c r="AD610" s="636" t="n">
        <f aca="false">AD751</f>
        <v>0</v>
      </c>
      <c r="AE610" s="636" t="n">
        <f aca="false">AE751</f>
        <v>0</v>
      </c>
      <c r="AF610" s="636" t="n">
        <f aca="false">AF751</f>
        <v>0</v>
      </c>
    </row>
    <row r="611" customFormat="false" ht="11.25" hidden="false" customHeight="false" outlineLevel="0" collapsed="false">
      <c r="A611" s="473" t="str">
        <f aca="false">B482</f>
        <v>Other Term Loan</v>
      </c>
      <c r="B611" s="241"/>
      <c r="C611" s="238"/>
      <c r="D611" s="238"/>
      <c r="E611" s="238"/>
      <c r="F611" s="238"/>
      <c r="G611" s="460" t="s">
        <v>503</v>
      </c>
      <c r="H611" s="464"/>
      <c r="I611" s="467" t="n">
        <v>0</v>
      </c>
      <c r="J611" s="467" t="n">
        <v>0</v>
      </c>
      <c r="K611" s="467" t="n">
        <v>0</v>
      </c>
      <c r="L611" s="467" t="n">
        <v>0</v>
      </c>
      <c r="M611" s="467" t="n">
        <v>0</v>
      </c>
      <c r="N611" s="467" t="n">
        <v>0</v>
      </c>
      <c r="O611" s="467" t="n">
        <v>0</v>
      </c>
      <c r="P611" s="467" t="n">
        <v>0</v>
      </c>
      <c r="Q611" s="467" t="n">
        <v>0</v>
      </c>
      <c r="R611" s="467" t="n">
        <v>0</v>
      </c>
      <c r="S611" s="467" t="n">
        <v>0</v>
      </c>
      <c r="T611" s="467" t="n">
        <v>0</v>
      </c>
      <c r="U611" s="467" t="n">
        <v>0</v>
      </c>
      <c r="V611" s="467" t="n">
        <v>0</v>
      </c>
      <c r="W611" s="467" t="n">
        <v>0</v>
      </c>
      <c r="X611" s="467" t="n">
        <v>0</v>
      </c>
      <c r="Y611" s="467" t="n">
        <v>0</v>
      </c>
      <c r="Z611" s="467" t="n">
        <v>0</v>
      </c>
      <c r="AA611" s="467" t="n">
        <v>0</v>
      </c>
      <c r="AB611" s="467" t="n">
        <v>0</v>
      </c>
      <c r="AC611" s="467" t="n">
        <v>0</v>
      </c>
      <c r="AD611" s="467" t="n">
        <v>0</v>
      </c>
      <c r="AE611" s="467" t="n">
        <v>0</v>
      </c>
      <c r="AF611" s="467" t="n">
        <v>0</v>
      </c>
    </row>
    <row r="612" customFormat="false" ht="11.25" hidden="false" customHeight="false" outlineLevel="0" collapsed="false">
      <c r="A612" s="473"/>
      <c r="B612" s="241"/>
      <c r="C612" s="238"/>
      <c r="D612" s="238"/>
      <c r="E612" s="238"/>
      <c r="F612" s="238"/>
      <c r="G612" s="460" t="s">
        <v>618</v>
      </c>
      <c r="H612" s="464"/>
      <c r="I612" s="455" t="n">
        <v>0</v>
      </c>
      <c r="J612" s="455" t="n">
        <v>0</v>
      </c>
      <c r="K612" s="455" t="n">
        <v>0</v>
      </c>
      <c r="L612" s="455" t="n">
        <v>0</v>
      </c>
      <c r="M612" s="455" t="n">
        <v>0</v>
      </c>
      <c r="N612" s="455" t="n">
        <v>0</v>
      </c>
      <c r="O612" s="455" t="n">
        <v>0</v>
      </c>
      <c r="P612" s="455" t="n">
        <v>0</v>
      </c>
      <c r="Q612" s="455" t="n">
        <v>0</v>
      </c>
      <c r="R612" s="455" t="n">
        <v>0</v>
      </c>
      <c r="S612" s="455" t="n">
        <v>0</v>
      </c>
      <c r="T612" s="455" t="n">
        <v>0</v>
      </c>
      <c r="U612" s="455" t="n">
        <v>0</v>
      </c>
      <c r="V612" s="455" t="n">
        <v>0</v>
      </c>
      <c r="W612" s="455" t="n">
        <v>0</v>
      </c>
      <c r="X612" s="455" t="n">
        <v>0</v>
      </c>
      <c r="Y612" s="455" t="n">
        <v>0</v>
      </c>
      <c r="Z612" s="455" t="n">
        <v>0</v>
      </c>
      <c r="AA612" s="455" t="n">
        <v>0</v>
      </c>
      <c r="AB612" s="455" t="n">
        <v>0</v>
      </c>
      <c r="AC612" s="455" t="n">
        <v>0</v>
      </c>
      <c r="AD612" s="455" t="n">
        <v>0</v>
      </c>
      <c r="AE612" s="455" t="n">
        <v>0</v>
      </c>
      <c r="AF612" s="455" t="n">
        <v>0</v>
      </c>
    </row>
    <row r="613" customFormat="false" ht="11.25" hidden="false" customHeight="false" outlineLevel="0" collapsed="false">
      <c r="A613" s="473"/>
      <c r="B613" s="241"/>
      <c r="C613" s="238"/>
      <c r="D613" s="238"/>
      <c r="E613" s="238"/>
      <c r="F613" s="238"/>
      <c r="G613" s="460" t="s">
        <v>619</v>
      </c>
      <c r="H613" s="238"/>
      <c r="I613" s="635" t="s">
        <v>620</v>
      </c>
      <c r="J613" s="635" t="s">
        <v>620</v>
      </c>
      <c r="K613" s="635" t="s">
        <v>620</v>
      </c>
      <c r="L613" s="635" t="s">
        <v>620</v>
      </c>
      <c r="M613" s="635" t="s">
        <v>620</v>
      </c>
      <c r="N613" s="635" t="s">
        <v>620</v>
      </c>
      <c r="O613" s="635" t="s">
        <v>620</v>
      </c>
      <c r="P613" s="635" t="s">
        <v>620</v>
      </c>
      <c r="Q613" s="635" t="s">
        <v>620</v>
      </c>
      <c r="R613" s="635" t="s">
        <v>620</v>
      </c>
      <c r="S613" s="635" t="s">
        <v>620</v>
      </c>
      <c r="T613" s="635" t="s">
        <v>620</v>
      </c>
      <c r="U613" s="635" t="s">
        <v>620</v>
      </c>
      <c r="V613" s="635" t="s">
        <v>620</v>
      </c>
      <c r="W613" s="635" t="s">
        <v>620</v>
      </c>
      <c r="X613" s="635" t="s">
        <v>620</v>
      </c>
      <c r="Y613" s="635" t="s">
        <v>620</v>
      </c>
      <c r="Z613" s="635" t="s">
        <v>620</v>
      </c>
      <c r="AA613" s="635" t="s">
        <v>620</v>
      </c>
      <c r="AB613" s="635" t="s">
        <v>620</v>
      </c>
      <c r="AC613" s="635" t="s">
        <v>620</v>
      </c>
      <c r="AD613" s="635" t="s">
        <v>620</v>
      </c>
      <c r="AE613" s="635" t="s">
        <v>620</v>
      </c>
      <c r="AF613" s="635" t="s">
        <v>620</v>
      </c>
    </row>
    <row r="614" customFormat="false" ht="11.25" hidden="false" customHeight="false" outlineLevel="0" collapsed="false">
      <c r="A614" s="473"/>
      <c r="B614" s="241"/>
      <c r="C614" s="238"/>
      <c r="D614" s="238"/>
      <c r="E614" s="238"/>
      <c r="F614" s="238"/>
      <c r="G614" s="460" t="s">
        <v>621</v>
      </c>
      <c r="H614" s="238"/>
      <c r="I614" s="635" t="s">
        <v>622</v>
      </c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</row>
    <row r="615" customFormat="false" ht="11.25" hidden="false" customHeight="false" outlineLevel="0" collapsed="false">
      <c r="A615" s="473"/>
      <c r="B615" s="241"/>
      <c r="C615" s="238"/>
      <c r="D615" s="238"/>
      <c r="E615" s="238"/>
      <c r="F615" s="238"/>
      <c r="G615" s="460" t="s">
        <v>624</v>
      </c>
      <c r="H615" s="464"/>
      <c r="I615" s="637" t="n">
        <v>0</v>
      </c>
      <c r="J615" s="637" t="n">
        <v>0</v>
      </c>
      <c r="K615" s="637" t="n">
        <v>0</v>
      </c>
      <c r="L615" s="637" t="n">
        <v>0</v>
      </c>
      <c r="M615" s="637" t="n">
        <v>0</v>
      </c>
      <c r="N615" s="637" t="n">
        <v>0</v>
      </c>
      <c r="O615" s="637" t="n">
        <v>0</v>
      </c>
      <c r="P615" s="637" t="n">
        <v>0</v>
      </c>
      <c r="Q615" s="637" t="n">
        <v>0</v>
      </c>
      <c r="R615" s="637" t="n">
        <v>0</v>
      </c>
      <c r="S615" s="637" t="n">
        <v>0</v>
      </c>
      <c r="T615" s="637" t="n">
        <v>0</v>
      </c>
      <c r="U615" s="637" t="n">
        <v>0</v>
      </c>
      <c r="V615" s="637" t="n">
        <v>0</v>
      </c>
      <c r="W615" s="637" t="n">
        <v>0</v>
      </c>
      <c r="X615" s="637" t="n">
        <v>0</v>
      </c>
      <c r="Y615" s="637" t="n">
        <v>0</v>
      </c>
      <c r="Z615" s="637" t="n">
        <v>0</v>
      </c>
      <c r="AA615" s="637" t="n">
        <v>0</v>
      </c>
      <c r="AB615" s="637" t="n">
        <v>0</v>
      </c>
      <c r="AC615" s="637" t="n">
        <v>0</v>
      </c>
      <c r="AD615" s="637" t="n">
        <v>0</v>
      </c>
      <c r="AE615" s="637" t="n">
        <v>0</v>
      </c>
      <c r="AF615" s="637" t="n">
        <v>0</v>
      </c>
    </row>
    <row r="616" customFormat="false" ht="11.25" hidden="false" customHeight="false" outlineLevel="0" collapsed="false">
      <c r="A616" s="473"/>
      <c r="B616" s="241"/>
      <c r="C616" s="238"/>
      <c r="D616" s="238"/>
      <c r="E616" s="238"/>
      <c r="F616" s="238"/>
      <c r="G616" s="460" t="s">
        <v>630</v>
      </c>
      <c r="H616" s="468"/>
      <c r="I616" s="468" t="n">
        <f aca="false">IF(I613="YES",((1+I615/2)^2-1)*(I458+I461)/2*-1,0)*C472</f>
        <v>0</v>
      </c>
      <c r="J616" s="468" t="n">
        <f aca="false">IF(J613="YES",((1+J615/2)^2-1)*(J458+J461)/2*-1,0)</f>
        <v>0</v>
      </c>
      <c r="K616" s="468" t="n">
        <f aca="false">IF(K613="YES",((1+K615/2)^2-1)*(K458+K461)/2*-1,0)</f>
        <v>0</v>
      </c>
      <c r="L616" s="468" t="n">
        <f aca="false">IF(L613="YES",((1+L615/2)^2-1)*(L458+L461)/2*-1,0)</f>
        <v>0</v>
      </c>
      <c r="M616" s="468" t="n">
        <f aca="false">IF(M613="YES",((1+M615/2)^2-1)*(M458+M461)/2*-1,0)</f>
        <v>0</v>
      </c>
      <c r="N616" s="468" t="n">
        <f aca="false">IF(N613="YES",((1+N615/2)^2-1)*(N458+N461)/2*-1,0)</f>
        <v>0</v>
      </c>
      <c r="O616" s="468" t="n">
        <f aca="false">IF(O613="YES",((1+O615/2)^2-1)*(O458+O461)/2*-1,0)</f>
        <v>0</v>
      </c>
      <c r="P616" s="468" t="n">
        <f aca="false">IF(P613="YES",((1+P615/2)^2-1)*(P458+P461)/2*-1,0)</f>
        <v>0</v>
      </c>
      <c r="Q616" s="468" t="n">
        <f aca="false">IF(Q613="YES",((1+Q615/2)^2-1)*(Q458+Q461)/2*-1,0)</f>
        <v>0</v>
      </c>
      <c r="R616" s="468" t="n">
        <f aca="false">IF(R613="YES",((1+R615/2)^2-1)*(R458+R461)/2*-1,0)</f>
        <v>0</v>
      </c>
      <c r="S616" s="468" t="n">
        <f aca="false">IF(S613="YES",((1+S615/2)^2-1)*(S458+S461)/2*-1,0)</f>
        <v>0</v>
      </c>
      <c r="T616" s="468" t="n">
        <f aca="false">IF(T613="YES",((1+T615/2)^2-1)*(T458+T461)/2*-1,0)</f>
        <v>0</v>
      </c>
      <c r="U616" s="468" t="n">
        <f aca="false">IF(U613="YES",((1+U615/2)^2-1)*(U458+U461)/2*-1,0)</f>
        <v>0</v>
      </c>
      <c r="V616" s="468" t="n">
        <f aca="false">IF(V613="YES",((1+V615/2)^2-1)*(V458+V461)/2*-1,0)</f>
        <v>0</v>
      </c>
      <c r="W616" s="468" t="n">
        <f aca="false">IF(W613="YES",((1+W615/2)^2-1)*(W458+W461)/2*-1,0)</f>
        <v>0</v>
      </c>
      <c r="X616" s="468" t="n">
        <f aca="false">IF(X613="YES",((1+X615/2)^2-1)*(X458+X461)/2*-1,0)</f>
        <v>0</v>
      </c>
      <c r="Y616" s="468" t="n">
        <f aca="false">IF(Y613="YES",((1+Y615/2)^2-1)*(Y458+Y461)/2*-1,0)</f>
        <v>0</v>
      </c>
      <c r="Z616" s="468" t="n">
        <f aca="false">IF(Z613="YES",((1+Z615/2)^2-1)*(Z458+Z461)/2*-1,0)</f>
        <v>0</v>
      </c>
      <c r="AA616" s="468" t="n">
        <f aca="false">IF(AA613="YES",((1+AA615/2)^2-1)*(AA458+AA461)/2*-1,0)</f>
        <v>0</v>
      </c>
      <c r="AB616" s="468" t="n">
        <f aca="false">IF(AB613="YES",((1+AB615/2)^2-1)*(AB458+AB461)/2*-1,0)</f>
        <v>0</v>
      </c>
      <c r="AC616" s="468" t="n">
        <f aca="false">IF(AC613="YES",((1+AC615/2)^2-1)*(AC458+AC461)/2*-1,0)</f>
        <v>0</v>
      </c>
      <c r="AD616" s="468" t="n">
        <f aca="false">IF(AD613="YES",((1+AD615/2)^2-1)*(AD458+AD461)/2*-1,0)</f>
        <v>0</v>
      </c>
      <c r="AE616" s="468" t="n">
        <f aca="false">IF(AE613="YES",((1+AE615/2)^2-1)*(AE458+AE461)/2*-1,0)</f>
        <v>0</v>
      </c>
      <c r="AF616" s="468" t="n">
        <f aca="false">IF(AF613="YES",((1+AF615/2)^2-1)*(AF458+AF461)/2*-1,0)</f>
        <v>0</v>
      </c>
    </row>
    <row r="617" customFormat="false" ht="11.25" hidden="false" customHeight="false" outlineLevel="0" collapsed="false">
      <c r="A617" s="473"/>
      <c r="B617" s="238"/>
      <c r="C617" s="238"/>
      <c r="D617" s="238"/>
      <c r="E617" s="238"/>
      <c r="F617" s="238"/>
      <c r="G617" s="238"/>
      <c r="H617" s="464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238"/>
      <c r="W617" s="238"/>
      <c r="X617" s="238"/>
      <c r="Y617" s="238"/>
      <c r="Z617" s="238"/>
      <c r="AA617" s="238"/>
      <c r="AB617" s="238"/>
      <c r="AC617" s="238"/>
      <c r="AD617" s="238"/>
      <c r="AE617" s="238"/>
      <c r="AF617" s="238"/>
    </row>
    <row r="618" customFormat="false" ht="11.25" hidden="false" customHeight="false" outlineLevel="0" collapsed="false">
      <c r="A618" s="473" t="str">
        <f aca="false">B483</f>
        <v>Common Stock</v>
      </c>
      <c r="B618" s="241"/>
      <c r="C618" s="238"/>
      <c r="D618" s="238"/>
      <c r="E618" s="238"/>
      <c r="F618" s="238"/>
      <c r="G618" s="460" t="s">
        <v>631</v>
      </c>
      <c r="H618" s="238"/>
      <c r="I618" s="455" t="n">
        <v>0</v>
      </c>
      <c r="J618" s="455" t="n">
        <v>0</v>
      </c>
      <c r="K618" s="455" t="n">
        <v>0</v>
      </c>
      <c r="L618" s="455" t="n">
        <v>0</v>
      </c>
      <c r="M618" s="455" t="n">
        <v>0</v>
      </c>
      <c r="N618" s="455" t="n">
        <v>0</v>
      </c>
      <c r="O618" s="455" t="n">
        <v>0</v>
      </c>
      <c r="P618" s="455" t="n">
        <v>0</v>
      </c>
      <c r="Q618" s="455" t="n">
        <v>0</v>
      </c>
      <c r="R618" s="455" t="n">
        <v>0</v>
      </c>
      <c r="S618" s="455" t="n">
        <v>0</v>
      </c>
      <c r="T618" s="455" t="n">
        <v>0</v>
      </c>
      <c r="U618" s="455" t="n">
        <v>0</v>
      </c>
      <c r="V618" s="455" t="n">
        <v>0</v>
      </c>
      <c r="W618" s="455" t="n">
        <v>0</v>
      </c>
      <c r="X618" s="455" t="n">
        <v>0</v>
      </c>
      <c r="Y618" s="455" t="n">
        <v>0</v>
      </c>
      <c r="Z618" s="455" t="n">
        <v>0</v>
      </c>
      <c r="AA618" s="455" t="n">
        <v>0</v>
      </c>
      <c r="AB618" s="455" t="n">
        <v>0</v>
      </c>
      <c r="AC618" s="455" t="n">
        <v>0</v>
      </c>
      <c r="AD618" s="455" t="n">
        <v>0</v>
      </c>
      <c r="AE618" s="455" t="n">
        <v>0</v>
      </c>
      <c r="AF618" s="455" t="n">
        <v>0</v>
      </c>
    </row>
    <row r="619" customFormat="false" ht="12" hidden="false" customHeight="false" outlineLevel="0" collapsed="false">
      <c r="A619" s="473"/>
      <c r="B619" s="241"/>
      <c r="C619" s="238"/>
      <c r="D619" s="238"/>
      <c r="E619" s="238"/>
      <c r="F619" s="238"/>
      <c r="G619" s="460" t="s">
        <v>632</v>
      </c>
      <c r="H619" s="238"/>
      <c r="I619" s="455" t="n">
        <v>0</v>
      </c>
      <c r="J619" s="455" t="n">
        <v>0</v>
      </c>
      <c r="K619" s="455" t="n">
        <v>0</v>
      </c>
      <c r="L619" s="455" t="n">
        <v>0</v>
      </c>
      <c r="M619" s="455" t="n">
        <v>0</v>
      </c>
      <c r="N619" s="455" t="n">
        <v>0</v>
      </c>
      <c r="O619" s="455" t="n">
        <v>0</v>
      </c>
      <c r="P619" s="455" t="n">
        <v>0</v>
      </c>
      <c r="Q619" s="455" t="n">
        <v>0</v>
      </c>
      <c r="R619" s="455" t="n">
        <v>0</v>
      </c>
      <c r="S619" s="455" t="n">
        <v>0</v>
      </c>
      <c r="T619" s="455" t="n">
        <v>0</v>
      </c>
      <c r="U619" s="455" t="n">
        <v>0</v>
      </c>
      <c r="V619" s="455" t="n">
        <v>0</v>
      </c>
      <c r="W619" s="455" t="n">
        <v>0</v>
      </c>
      <c r="X619" s="455" t="n">
        <v>0</v>
      </c>
      <c r="Y619" s="455" t="n">
        <v>0</v>
      </c>
      <c r="Z619" s="455" t="n">
        <v>0</v>
      </c>
      <c r="AA619" s="455" t="n">
        <v>0</v>
      </c>
      <c r="AB619" s="455" t="n">
        <v>0</v>
      </c>
      <c r="AC619" s="455" t="n">
        <v>0</v>
      </c>
      <c r="AD619" s="455" t="n">
        <v>0</v>
      </c>
      <c r="AE619" s="455" t="n">
        <v>0</v>
      </c>
      <c r="AF619" s="455" t="n">
        <v>0</v>
      </c>
    </row>
    <row r="620" customFormat="false" ht="12.75" hidden="false" customHeight="false" outlineLevel="0" collapsed="false">
      <c r="A620" s="518"/>
      <c r="B620" s="431"/>
      <c r="C620" s="431"/>
      <c r="D620" s="431"/>
      <c r="E620" s="640"/>
      <c r="F620" s="431"/>
      <c r="G620" s="431"/>
      <c r="H620" s="640"/>
      <c r="I620" s="431"/>
      <c r="J620" s="640" t="n">
        <f aca="false">YEAR(J621)</f>
        <v>2000</v>
      </c>
      <c r="K620" s="640" t="n">
        <f aca="false">YEAR(K621)</f>
        <v>2001</v>
      </c>
      <c r="L620" s="640" t="n">
        <f aca="false">YEAR(L621)</f>
        <v>2002</v>
      </c>
      <c r="M620" s="640" t="n">
        <f aca="false">YEAR(M621)</f>
        <v>2003</v>
      </c>
      <c r="N620" s="640" t="n">
        <f aca="false">YEAR(N621)</f>
        <v>2004</v>
      </c>
      <c r="O620" s="640" t="n">
        <f aca="false">YEAR(O621)</f>
        <v>2005</v>
      </c>
      <c r="P620" s="640" t="n">
        <f aca="false">YEAR(P621)</f>
        <v>2006</v>
      </c>
      <c r="Q620" s="640" t="n">
        <f aca="false">YEAR(Q621)</f>
        <v>2007</v>
      </c>
      <c r="R620" s="640" t="n">
        <f aca="false">YEAR(R621)</f>
        <v>2008</v>
      </c>
      <c r="S620" s="640" t="n">
        <f aca="false">YEAR(S621)</f>
        <v>2009</v>
      </c>
      <c r="T620" s="640" t="n">
        <f aca="false">YEAR(T621)</f>
        <v>2010</v>
      </c>
      <c r="U620" s="640" t="n">
        <f aca="false">YEAR(U621)</f>
        <v>2011</v>
      </c>
      <c r="V620" s="640" t="n">
        <f aca="false">YEAR(V621)</f>
        <v>2012</v>
      </c>
      <c r="W620" s="640" t="n">
        <f aca="false">YEAR(W621)</f>
        <v>2013</v>
      </c>
      <c r="X620" s="640" t="n">
        <f aca="false">YEAR(X621)</f>
        <v>2014</v>
      </c>
      <c r="Y620" s="640" t="n">
        <f aca="false">YEAR(Y621)</f>
        <v>2015</v>
      </c>
      <c r="Z620" s="640" t="n">
        <f aca="false">YEAR(Z621)</f>
        <v>2016</v>
      </c>
      <c r="AA620" s="640" t="n">
        <f aca="false">YEAR(AA621)</f>
        <v>2017</v>
      </c>
      <c r="AB620" s="640" t="n">
        <f aca="false">YEAR(AB621)</f>
        <v>2018</v>
      </c>
      <c r="AC620" s="640" t="n">
        <f aca="false">YEAR(AC621)</f>
        <v>2019</v>
      </c>
      <c r="AD620" s="640" t="n">
        <f aca="false">YEAR(AD621)</f>
        <v>2020</v>
      </c>
      <c r="AE620" s="640" t="n">
        <f aca="false">YEAR(AE621)</f>
        <v>2021</v>
      </c>
      <c r="AF620" s="640" t="n">
        <f aca="false">YEAR(AF621)</f>
        <v>2022</v>
      </c>
    </row>
    <row r="621" customFormat="false" ht="12" hidden="false" customHeight="false" outlineLevel="0" collapsed="false">
      <c r="A621" s="341" t="s">
        <v>633</v>
      </c>
      <c r="B621" s="238"/>
      <c r="C621" s="238"/>
      <c r="D621" s="464"/>
      <c r="E621" s="641" t="n">
        <f aca="false">E$638</f>
        <v>35430</v>
      </c>
      <c r="F621" s="641" t="n">
        <f aca="false">F$638</f>
        <v>35795</v>
      </c>
      <c r="G621" s="641" t="n">
        <f aca="false">G$638</f>
        <v>36160</v>
      </c>
      <c r="H621" s="642" t="n">
        <f aca="false">H$638</f>
        <v>36373</v>
      </c>
      <c r="I621" s="643" t="n">
        <f aca="false">I$638</f>
        <v>36525</v>
      </c>
      <c r="J621" s="644" t="n">
        <f aca="false">J$638</f>
        <v>36891</v>
      </c>
      <c r="K621" s="644" t="n">
        <f aca="false">K$638</f>
        <v>37256</v>
      </c>
      <c r="L621" s="644" t="n">
        <f aca="false">L$638</f>
        <v>37621</v>
      </c>
      <c r="M621" s="644" t="n">
        <f aca="false">M$638</f>
        <v>37986</v>
      </c>
      <c r="N621" s="644" t="n">
        <f aca="false">N$638</f>
        <v>38352</v>
      </c>
      <c r="O621" s="644" t="n">
        <f aca="false">O$638</f>
        <v>38717</v>
      </c>
      <c r="P621" s="644" t="n">
        <f aca="false">P$638</f>
        <v>39082</v>
      </c>
      <c r="Q621" s="644" t="n">
        <f aca="false">Q$638</f>
        <v>39447</v>
      </c>
      <c r="R621" s="644" t="n">
        <f aca="false">R$638</f>
        <v>39813</v>
      </c>
      <c r="S621" s="644" t="n">
        <f aca="false">S$638</f>
        <v>40178</v>
      </c>
      <c r="T621" s="644" t="n">
        <f aca="false">T$638</f>
        <v>40543</v>
      </c>
      <c r="U621" s="644" t="n">
        <f aca="false">U$638</f>
        <v>40908</v>
      </c>
      <c r="V621" s="644" t="n">
        <f aca="false">V$638</f>
        <v>41274</v>
      </c>
      <c r="W621" s="644" t="n">
        <f aca="false">W$638</f>
        <v>41639</v>
      </c>
      <c r="X621" s="644" t="n">
        <f aca="false">X$638</f>
        <v>42004</v>
      </c>
      <c r="Y621" s="644" t="n">
        <f aca="false">Y$638</f>
        <v>42369</v>
      </c>
      <c r="Z621" s="644" t="n">
        <f aca="false">Z$638</f>
        <v>42735</v>
      </c>
      <c r="AA621" s="644" t="n">
        <f aca="false">AA$638</f>
        <v>43100</v>
      </c>
      <c r="AB621" s="644" t="n">
        <f aca="false">AB$638</f>
        <v>43465</v>
      </c>
      <c r="AC621" s="644" t="n">
        <f aca="false">AC$638</f>
        <v>43830</v>
      </c>
      <c r="AD621" s="644" t="n">
        <f aca="false">AD$638</f>
        <v>44196</v>
      </c>
      <c r="AE621" s="644" t="n">
        <f aca="false">AE$638</f>
        <v>44561</v>
      </c>
      <c r="AF621" s="644" t="n">
        <f aca="false">AF$638</f>
        <v>44926</v>
      </c>
    </row>
    <row r="622" customFormat="false" ht="12" hidden="false" customHeight="false" outlineLevel="0" collapsed="false">
      <c r="A622" s="341" t="s">
        <v>634</v>
      </c>
      <c r="B622" s="238"/>
      <c r="C622" s="238"/>
      <c r="D622" s="238"/>
      <c r="E622" s="540" t="s">
        <v>541</v>
      </c>
      <c r="F622" s="540" t="s">
        <v>541</v>
      </c>
      <c r="G622" s="540" t="s">
        <v>541</v>
      </c>
      <c r="H622" s="645" t="s">
        <v>541</v>
      </c>
      <c r="I622" s="646" t="s">
        <v>540</v>
      </c>
      <c r="J622" s="647" t="s">
        <v>540</v>
      </c>
      <c r="K622" s="647" t="s">
        <v>540</v>
      </c>
      <c r="L622" s="647" t="s">
        <v>540</v>
      </c>
      <c r="M622" s="647" t="s">
        <v>540</v>
      </c>
      <c r="N622" s="647" t="s">
        <v>540</v>
      </c>
      <c r="O622" s="647" t="s">
        <v>540</v>
      </c>
      <c r="P622" s="647" t="s">
        <v>540</v>
      </c>
      <c r="Q622" s="647" t="s">
        <v>540</v>
      </c>
      <c r="R622" s="647" t="s">
        <v>540</v>
      </c>
      <c r="S622" s="647" t="s">
        <v>540</v>
      </c>
      <c r="T622" s="647" t="s">
        <v>540</v>
      </c>
      <c r="U622" s="647" t="s">
        <v>540</v>
      </c>
      <c r="V622" s="647" t="s">
        <v>540</v>
      </c>
      <c r="W622" s="647" t="s">
        <v>540</v>
      </c>
      <c r="X622" s="647" t="s">
        <v>540</v>
      </c>
      <c r="Y622" s="647" t="s">
        <v>540</v>
      </c>
      <c r="Z622" s="647" t="s">
        <v>540</v>
      </c>
      <c r="AA622" s="647" t="s">
        <v>540</v>
      </c>
      <c r="AB622" s="647" t="s">
        <v>540</v>
      </c>
      <c r="AC622" s="647" t="s">
        <v>540</v>
      </c>
      <c r="AD622" s="647" t="s">
        <v>540</v>
      </c>
      <c r="AE622" s="647" t="s">
        <v>540</v>
      </c>
      <c r="AF622" s="647" t="s">
        <v>540</v>
      </c>
    </row>
    <row r="623" customFormat="false" ht="12" hidden="false" customHeight="false" outlineLevel="0" collapsed="false">
      <c r="A623" s="341"/>
      <c r="B623" s="238"/>
      <c r="C623" s="238"/>
      <c r="D623" s="238"/>
      <c r="E623" s="648"/>
      <c r="F623" s="648"/>
      <c r="G623" s="648"/>
      <c r="H623" s="649"/>
      <c r="I623" s="649"/>
      <c r="J623" s="649"/>
      <c r="K623" s="649"/>
      <c r="L623" s="649"/>
      <c r="M623" s="649"/>
      <c r="N623" s="649"/>
      <c r="O623" s="649"/>
      <c r="P623" s="649"/>
      <c r="Q623" s="649"/>
      <c r="R623" s="649"/>
      <c r="S623" s="649"/>
      <c r="T623" s="649"/>
      <c r="U623" s="649"/>
      <c r="V623" s="649"/>
      <c r="W623" s="649"/>
      <c r="X623" s="649"/>
      <c r="Y623" s="649"/>
      <c r="Z623" s="649"/>
      <c r="AA623" s="649"/>
      <c r="AB623" s="649"/>
      <c r="AC623" s="649"/>
      <c r="AD623" s="649"/>
      <c r="AE623" s="649"/>
      <c r="AF623" s="649"/>
    </row>
    <row r="624" customFormat="false" ht="11.25" hidden="false" customHeight="false" outlineLevel="0" collapsed="false">
      <c r="A624" s="450" t="s">
        <v>635</v>
      </c>
      <c r="B624" s="238"/>
      <c r="C624" s="238"/>
      <c r="D624" s="238"/>
      <c r="E624" s="455" t="n">
        <v>0</v>
      </c>
      <c r="F624" s="455" t="n">
        <v>0</v>
      </c>
      <c r="G624" s="455" t="n">
        <v>0</v>
      </c>
      <c r="H624" s="455" t="n">
        <v>0</v>
      </c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238"/>
      <c r="W624" s="238"/>
      <c r="X624" s="238"/>
      <c r="Y624" s="238"/>
      <c r="Z624" s="238"/>
      <c r="AA624" s="238"/>
      <c r="AB624" s="238"/>
      <c r="AC624" s="238"/>
      <c r="AD624" s="238"/>
      <c r="AE624" s="238"/>
      <c r="AF624" s="238"/>
    </row>
    <row r="625" customFormat="false" ht="11.25" hidden="false" customHeight="false" outlineLevel="0" collapsed="false">
      <c r="A625" s="238"/>
      <c r="B625" s="238"/>
      <c r="C625" s="238"/>
      <c r="D625" s="238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238"/>
      <c r="W625" s="238"/>
      <c r="X625" s="238"/>
      <c r="Y625" s="238"/>
      <c r="Z625" s="238"/>
      <c r="AA625" s="238"/>
      <c r="AB625" s="238"/>
      <c r="AC625" s="238"/>
      <c r="AD625" s="238"/>
      <c r="AE625" s="238"/>
      <c r="AF625" s="238"/>
    </row>
    <row r="626" customFormat="false" ht="11.25" hidden="false" customHeight="false" outlineLevel="0" collapsed="false">
      <c r="A626" s="450" t="s">
        <v>462</v>
      </c>
      <c r="B626" s="238"/>
      <c r="C626" s="238"/>
      <c r="D626" s="238"/>
      <c r="E626" s="650"/>
      <c r="F626" s="238"/>
      <c r="G626" s="238"/>
      <c r="H626" s="238"/>
      <c r="I626" s="637" t="n">
        <v>0.1</v>
      </c>
      <c r="J626" s="637" t="n">
        <f aca="false">I626</f>
        <v>0.1</v>
      </c>
      <c r="K626" s="637" t="n">
        <f aca="false">J626</f>
        <v>0.1</v>
      </c>
      <c r="L626" s="637" t="n">
        <f aca="false">K626</f>
        <v>0.1</v>
      </c>
      <c r="M626" s="637" t="n">
        <f aca="false">L626</f>
        <v>0.1</v>
      </c>
      <c r="N626" s="637" t="n">
        <f aca="false">M626</f>
        <v>0.1</v>
      </c>
      <c r="O626" s="637" t="n">
        <f aca="false">N626</f>
        <v>0.1</v>
      </c>
      <c r="P626" s="637" t="n">
        <f aca="false">O626</f>
        <v>0.1</v>
      </c>
      <c r="Q626" s="637" t="n">
        <f aca="false">P626</f>
        <v>0.1</v>
      </c>
      <c r="R626" s="637" t="n">
        <f aca="false">Q626</f>
        <v>0.1</v>
      </c>
      <c r="S626" s="637" t="n">
        <f aca="false">R626</f>
        <v>0.1</v>
      </c>
      <c r="T626" s="637" t="n">
        <f aca="false">S626</f>
        <v>0.1</v>
      </c>
      <c r="U626" s="637" t="n">
        <f aca="false">T626</f>
        <v>0.1</v>
      </c>
      <c r="V626" s="637" t="n">
        <f aca="false">U626</f>
        <v>0.1</v>
      </c>
      <c r="W626" s="637" t="n">
        <f aca="false">V626</f>
        <v>0.1</v>
      </c>
      <c r="X626" s="637" t="n">
        <f aca="false">W626</f>
        <v>0.1</v>
      </c>
      <c r="Y626" s="637" t="n">
        <f aca="false">X626</f>
        <v>0.1</v>
      </c>
      <c r="Z626" s="637" t="n">
        <f aca="false">Y626</f>
        <v>0.1</v>
      </c>
      <c r="AA626" s="637" t="n">
        <f aca="false">Z626</f>
        <v>0.1</v>
      </c>
      <c r="AB626" s="637" t="n">
        <f aca="false">AA626</f>
        <v>0.1</v>
      </c>
      <c r="AC626" s="637" t="n">
        <f aca="false">AB626</f>
        <v>0.1</v>
      </c>
      <c r="AD626" s="637" t="n">
        <f aca="false">AC626</f>
        <v>0.1</v>
      </c>
      <c r="AE626" s="637" t="n">
        <f aca="false">AD626</f>
        <v>0.1</v>
      </c>
      <c r="AF626" s="637" t="n">
        <f aca="false">AE626</f>
        <v>0.1</v>
      </c>
    </row>
    <row r="627" customFormat="false" ht="11.25" hidden="false" customHeight="false" outlineLevel="0" collapsed="false">
      <c r="A627" s="450" t="str">
        <f aca="false">B481</f>
        <v>Purchase Term Loan</v>
      </c>
      <c r="B627" s="238"/>
      <c r="C627" s="238"/>
      <c r="D627" s="637"/>
      <c r="E627" s="467"/>
      <c r="F627" s="467"/>
      <c r="G627" s="467"/>
      <c r="H627" s="467"/>
      <c r="I627" s="638" t="n">
        <f aca="false">Summary!$E$107</f>
        <v>0.0775</v>
      </c>
      <c r="J627" s="638" t="n">
        <f aca="false">Summary!$E$107</f>
        <v>0.0775</v>
      </c>
      <c r="K627" s="638" t="n">
        <f aca="false">IF(Summary!$E$102=1,Summary!$E$107,HLOOKUP(K620,#REF!,#REF!))</f>
        <v>0.0775</v>
      </c>
      <c r="L627" s="638" t="n">
        <f aca="false">IF(Summary!$E$102=1,Summary!$E$108,HLOOKUP(L620,#REF!,#REF!))</f>
        <v>0.07875</v>
      </c>
      <c r="M627" s="638" t="n">
        <f aca="false">IF(Summary!$E$102=1,Summary!$E$108,HLOOKUP(M620,#REF!,#REF!))</f>
        <v>0.07875</v>
      </c>
      <c r="N627" s="638" t="n">
        <f aca="false">IF(Summary!$E$102=1,Summary!$E$108,HLOOKUP(N620,#REF!,#REF!))</f>
        <v>0.07875</v>
      </c>
      <c r="O627" s="638" t="n">
        <f aca="false">IF(Summary!$E$102=1,Summary!$E$109,HLOOKUP(O620,#REF!,#REF!))</f>
        <v>0.08125</v>
      </c>
      <c r="P627" s="638" t="n">
        <f aca="false">IF(Summary!$E$102=1,Summary!$E$109,HLOOKUP(P620,#REF!,#REF!))</f>
        <v>0.08125</v>
      </c>
      <c r="Q627" s="638" t="n">
        <f aca="false">IF(Summary!$E$102=1,Summary!$E$109,HLOOKUP(Q620,#REF!,#REF!))</f>
        <v>0.08125</v>
      </c>
      <c r="R627" s="638" t="n">
        <f aca="false">IF(Summary!$E$102=1,Summary!$E$110,HLOOKUP(R620,#REF!,#REF!))</f>
        <v>0.0825</v>
      </c>
      <c r="S627" s="638" t="n">
        <f aca="false">IF(Summary!$E$102=1,Summary!$E$110,HLOOKUP(S620,#REF!,#REF!))</f>
        <v>0.0825</v>
      </c>
      <c r="T627" s="638" t="n">
        <f aca="false">IF(Summary!$E$102=1,Summary!$E$110,HLOOKUP(T620,#REF!,#REF!))</f>
        <v>0.0825</v>
      </c>
      <c r="U627" s="638" t="n">
        <f aca="false">IF(Summary!$E$102=1,Summary!$E$110,HLOOKUP(U620,#REF!,#REF!))</f>
        <v>0.0825</v>
      </c>
      <c r="V627" s="638" t="n">
        <f aca="false">IF(Summary!$E$102=1,Summary!$E$111,HLOOKUP(V620,#REF!,#REF!))</f>
        <v>0.08375</v>
      </c>
      <c r="W627" s="638" t="n">
        <f aca="false">IF(Summary!$E$102=1,Summary!$E$111,HLOOKUP(W620,#REF!,#REF!))</f>
        <v>0.08375</v>
      </c>
      <c r="X627" s="638" t="n">
        <f aca="false">IF(Summary!$E$102=1,Summary!$E$111,HLOOKUP(X620,#REF!,#REF!))</f>
        <v>0.08375</v>
      </c>
      <c r="Y627" s="638" t="n">
        <f aca="false">IF(Summary!$E$102=1,Summary!$E$111,HLOOKUP(Y620,#REF!,#REF!))</f>
        <v>0.08375</v>
      </c>
      <c r="Z627" s="638" t="n">
        <f aca="false">IF(Summary!$E$102=1,Summary!$E$111,HLOOKUP(Z620,#REF!,#REF!))</f>
        <v>0.08375</v>
      </c>
      <c r="AA627" s="638" t="n">
        <f aca="false">IF(Summary!$E$102=1,Summary!$E$111,HLOOKUP(AA620,#REF!,#REF!))</f>
        <v>0.08375</v>
      </c>
      <c r="AB627" s="638" t="n">
        <f aca="false">IF(Summary!$E$102=1,Summary!$E$111,HLOOKUP(AB620,#REF!,#REF!))</f>
        <v>0.08375</v>
      </c>
      <c r="AC627" s="638" t="n">
        <f aca="false">IF(Summary!$E$102=1,Summary!$E$111,HLOOKUP(AC620,#REF!,#REF!))</f>
        <v>0.08375</v>
      </c>
      <c r="AD627" s="638" t="n">
        <f aca="false">IF(Summary!$E$102=1,Summary!$E$111,HLOOKUP(AD620,#REF!,#REF!))</f>
        <v>0.08375</v>
      </c>
      <c r="AE627" s="638" t="n">
        <f aca="false">IF(Summary!$E$102=1,Summary!$E$111,HLOOKUP(AE620,#REF!,#REF!))</f>
        <v>0.08375</v>
      </c>
      <c r="AF627" s="638" t="n">
        <f aca="false">IF(Summary!$E$102=1,Summary!$E$111,HLOOKUP(AF620,#REF!,#REF!))</f>
        <v>0.08375</v>
      </c>
    </row>
    <row r="628" customFormat="false" ht="11.25" hidden="false" customHeight="false" outlineLevel="0" collapsed="false">
      <c r="A628" s="450" t="str">
        <f aca="false">B482</f>
        <v>Other Term Loan</v>
      </c>
      <c r="B628" s="238"/>
      <c r="C628" s="238"/>
      <c r="D628" s="637"/>
      <c r="E628" s="467"/>
      <c r="F628" s="467"/>
      <c r="G628" s="467"/>
      <c r="H628" s="467"/>
      <c r="I628" s="638" t="n">
        <v>0</v>
      </c>
      <c r="J628" s="638" t="n">
        <v>0</v>
      </c>
      <c r="K628" s="638" t="n">
        <v>0</v>
      </c>
      <c r="L628" s="638" t="n">
        <v>0</v>
      </c>
      <c r="M628" s="638" t="n">
        <v>0</v>
      </c>
      <c r="N628" s="638" t="n">
        <v>0</v>
      </c>
      <c r="O628" s="638" t="n">
        <v>0</v>
      </c>
      <c r="P628" s="638" t="n">
        <v>0</v>
      </c>
      <c r="Q628" s="638" t="n">
        <v>0</v>
      </c>
      <c r="R628" s="638" t="n">
        <v>0</v>
      </c>
      <c r="S628" s="638" t="n">
        <v>0</v>
      </c>
      <c r="T628" s="638" t="n">
        <v>0</v>
      </c>
      <c r="U628" s="638" t="n">
        <v>0</v>
      </c>
      <c r="V628" s="638" t="n">
        <v>0</v>
      </c>
      <c r="W628" s="638" t="n">
        <v>0</v>
      </c>
      <c r="X628" s="638" t="n">
        <v>0</v>
      </c>
      <c r="Y628" s="638" t="n">
        <v>0</v>
      </c>
      <c r="Z628" s="638" t="n">
        <v>0</v>
      </c>
      <c r="AA628" s="638" t="n">
        <v>0</v>
      </c>
      <c r="AB628" s="638" t="n">
        <v>0</v>
      </c>
      <c r="AC628" s="638" t="n">
        <v>0</v>
      </c>
      <c r="AD628" s="638" t="n">
        <v>0</v>
      </c>
      <c r="AE628" s="638" t="n">
        <v>0</v>
      </c>
      <c r="AF628" s="638" t="n">
        <v>0</v>
      </c>
    </row>
    <row r="629" customFormat="false" ht="11.25" hidden="false" customHeight="false" outlineLevel="0" collapsed="false">
      <c r="A629" s="450" t="s">
        <v>636</v>
      </c>
      <c r="B629" s="238"/>
      <c r="C629" s="238"/>
      <c r="D629" s="238"/>
      <c r="E629" s="467"/>
      <c r="F629" s="467"/>
      <c r="G629" s="467"/>
      <c r="H629" s="467"/>
      <c r="I629" s="637" t="n">
        <v>0</v>
      </c>
      <c r="J629" s="637" t="n">
        <f aca="false">I629</f>
        <v>0</v>
      </c>
      <c r="K629" s="637" t="n">
        <f aca="false">J629</f>
        <v>0</v>
      </c>
      <c r="L629" s="637" t="n">
        <f aca="false">K629</f>
        <v>0</v>
      </c>
      <c r="M629" s="637" t="n">
        <f aca="false">L629</f>
        <v>0</v>
      </c>
      <c r="N629" s="637" t="n">
        <f aca="false">M629</f>
        <v>0</v>
      </c>
      <c r="O629" s="637" t="n">
        <f aca="false">N629</f>
        <v>0</v>
      </c>
      <c r="P629" s="637" t="n">
        <f aca="false">O629</f>
        <v>0</v>
      </c>
      <c r="Q629" s="637" t="n">
        <f aca="false">P629</f>
        <v>0</v>
      </c>
      <c r="R629" s="637" t="n">
        <f aca="false">Q629</f>
        <v>0</v>
      </c>
      <c r="S629" s="637" t="n">
        <f aca="false">R629</f>
        <v>0</v>
      </c>
      <c r="T629" s="637" t="n">
        <f aca="false">S629</f>
        <v>0</v>
      </c>
      <c r="U629" s="637" t="n">
        <f aca="false">T629</f>
        <v>0</v>
      </c>
      <c r="V629" s="637" t="n">
        <f aca="false">U629</f>
        <v>0</v>
      </c>
      <c r="W629" s="637" t="n">
        <f aca="false">V629</f>
        <v>0</v>
      </c>
      <c r="X629" s="637" t="n">
        <f aca="false">W629</f>
        <v>0</v>
      </c>
      <c r="Y629" s="637" t="n">
        <f aca="false">X629</f>
        <v>0</v>
      </c>
      <c r="Z629" s="637" t="n">
        <f aca="false">Y629</f>
        <v>0</v>
      </c>
      <c r="AA629" s="637" t="n">
        <f aca="false">Z629</f>
        <v>0</v>
      </c>
      <c r="AB629" s="637" t="n">
        <f aca="false">AA629</f>
        <v>0</v>
      </c>
      <c r="AC629" s="637" t="n">
        <f aca="false">AB629</f>
        <v>0</v>
      </c>
      <c r="AD629" s="637" t="n">
        <f aca="false">AC629</f>
        <v>0</v>
      </c>
      <c r="AE629" s="637" t="n">
        <f aca="false">AD629</f>
        <v>0</v>
      </c>
      <c r="AF629" s="637" t="n">
        <f aca="false">AE629</f>
        <v>0</v>
      </c>
    </row>
    <row r="630" customFormat="false" ht="11.25" hidden="false" customHeight="false" outlineLevel="0" collapsed="false">
      <c r="A630" s="450"/>
      <c r="B630" s="238"/>
      <c r="C630" s="238"/>
      <c r="D630" s="238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238"/>
      <c r="W630" s="238"/>
      <c r="X630" s="238"/>
      <c r="Y630" s="238"/>
      <c r="Z630" s="238"/>
      <c r="AA630" s="238"/>
      <c r="AB630" s="238"/>
      <c r="AC630" s="238"/>
      <c r="AD630" s="238"/>
      <c r="AE630" s="238"/>
      <c r="AF630" s="238"/>
    </row>
    <row r="631" customFormat="false" ht="11.25" hidden="false" customHeight="false" outlineLevel="0" collapsed="false">
      <c r="A631" s="651" t="s">
        <v>455</v>
      </c>
      <c r="B631" s="238"/>
      <c r="C631" s="238"/>
      <c r="D631" s="238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238"/>
      <c r="W631" s="238"/>
      <c r="X631" s="238"/>
      <c r="Y631" s="238"/>
      <c r="Z631" s="238"/>
      <c r="AA631" s="238"/>
      <c r="AB631" s="238"/>
      <c r="AC631" s="238"/>
      <c r="AD631" s="238"/>
      <c r="AE631" s="238"/>
      <c r="AF631" s="238"/>
    </row>
    <row r="632" customFormat="false" ht="11.25" hidden="false" customHeight="false" outlineLevel="0" collapsed="false">
      <c r="A632" s="450" t="s">
        <v>637</v>
      </c>
      <c r="B632" s="238"/>
      <c r="C632" s="238"/>
      <c r="D632" s="238"/>
      <c r="E632" s="652" t="str">
        <f aca="false">Summary!E75</f>
        <v>yes</v>
      </c>
      <c r="F632" s="238"/>
      <c r="G632" s="238"/>
      <c r="H632" s="238"/>
      <c r="I632" s="508" t="n">
        <f aca="false">+Summary!$E$76</f>
        <v>0.05</v>
      </c>
      <c r="J632" s="508" t="n">
        <f aca="false">+Summary!$E$76</f>
        <v>0.05</v>
      </c>
      <c r="K632" s="508" t="n">
        <f aca="false">+Summary!$E$76</f>
        <v>0.05</v>
      </c>
      <c r="L632" s="508" t="n">
        <f aca="false">+Summary!$E$76</f>
        <v>0.05</v>
      </c>
      <c r="M632" s="508" t="n">
        <f aca="false">+Summary!$E$76</f>
        <v>0.05</v>
      </c>
      <c r="N632" s="508" t="n">
        <f aca="false">+Summary!$E$76</f>
        <v>0.05</v>
      </c>
      <c r="O632" s="508" t="n">
        <f aca="false">+Summary!$E$76</f>
        <v>0.05</v>
      </c>
      <c r="P632" s="508" t="n">
        <f aca="false">+Summary!$E$76</f>
        <v>0.05</v>
      </c>
      <c r="Q632" s="508" t="n">
        <f aca="false">+Summary!$E$76</f>
        <v>0.05</v>
      </c>
      <c r="R632" s="508" t="n">
        <f aca="false">+Summary!$E$76</f>
        <v>0.05</v>
      </c>
      <c r="S632" s="508" t="n">
        <f aca="false">+Summary!$E$76</f>
        <v>0.05</v>
      </c>
      <c r="T632" s="508" t="n">
        <f aca="false">+Summary!$E$76</f>
        <v>0.05</v>
      </c>
      <c r="U632" s="508" t="n">
        <f aca="false">+Summary!$E$76</f>
        <v>0.05</v>
      </c>
      <c r="V632" s="508" t="n">
        <f aca="false">+Summary!$E$76</f>
        <v>0.05</v>
      </c>
      <c r="W632" s="508" t="n">
        <f aca="false">+Summary!$E$76</f>
        <v>0.05</v>
      </c>
      <c r="X632" s="508" t="n">
        <f aca="false">+Summary!$E$76</f>
        <v>0.05</v>
      </c>
      <c r="Y632" s="508" t="n">
        <f aca="false">+Summary!$E$76</f>
        <v>0.05</v>
      </c>
      <c r="Z632" s="508" t="n">
        <f aca="false">+Summary!$E$76</f>
        <v>0.05</v>
      </c>
      <c r="AA632" s="508" t="n">
        <f aca="false">+Summary!$E$76</f>
        <v>0.05</v>
      </c>
      <c r="AB632" s="508" t="n">
        <f aca="false">+Summary!$E$76</f>
        <v>0.05</v>
      </c>
      <c r="AC632" s="508" t="n">
        <f aca="false">+Summary!$E$76</f>
        <v>0.05</v>
      </c>
      <c r="AD632" s="508" t="n">
        <f aca="false">+Summary!$E$76</f>
        <v>0.05</v>
      </c>
      <c r="AE632" s="508" t="n">
        <f aca="false">+Summary!$E$76</f>
        <v>0.05</v>
      </c>
      <c r="AF632" s="508" t="n">
        <f aca="false">+Summary!$E$76</f>
        <v>0.05</v>
      </c>
    </row>
    <row r="633" customFormat="false" ht="11.25" hidden="false" customHeight="false" outlineLevel="0" collapsed="false">
      <c r="A633" s="450" t="s">
        <v>638</v>
      </c>
      <c r="B633" s="238"/>
      <c r="C633" s="238"/>
      <c r="D633" s="637"/>
      <c r="E633" s="467" t="n">
        <v>0</v>
      </c>
      <c r="F633" s="467" t="n">
        <v>0</v>
      </c>
      <c r="G633" s="467" t="n">
        <v>0</v>
      </c>
      <c r="H633" s="467" t="n">
        <v>0</v>
      </c>
      <c r="I633" s="637" t="n">
        <f aca="false">Summary!E76</f>
        <v>0.05</v>
      </c>
      <c r="J633" s="637" t="n">
        <f aca="false">I633</f>
        <v>0.05</v>
      </c>
      <c r="K633" s="637" t="n">
        <f aca="false">J633</f>
        <v>0.05</v>
      </c>
      <c r="L633" s="637" t="n">
        <f aca="false">K633</f>
        <v>0.05</v>
      </c>
      <c r="M633" s="637" t="n">
        <f aca="false">L633</f>
        <v>0.05</v>
      </c>
      <c r="N633" s="637" t="n">
        <f aca="false">M633</f>
        <v>0.05</v>
      </c>
      <c r="O633" s="637" t="n">
        <f aca="false">N633</f>
        <v>0.05</v>
      </c>
      <c r="P633" s="637" t="n">
        <f aca="false">O633</f>
        <v>0.05</v>
      </c>
      <c r="Q633" s="637" t="n">
        <f aca="false">P633</f>
        <v>0.05</v>
      </c>
      <c r="R633" s="637" t="n">
        <f aca="false">Q633</f>
        <v>0.05</v>
      </c>
      <c r="S633" s="637" t="n">
        <f aca="false">R633</f>
        <v>0.05</v>
      </c>
      <c r="T633" s="637" t="n">
        <f aca="false">S633</f>
        <v>0.05</v>
      </c>
      <c r="U633" s="637" t="n">
        <f aca="false">T633</f>
        <v>0.05</v>
      </c>
      <c r="V633" s="637" t="n">
        <f aca="false">U633</f>
        <v>0.05</v>
      </c>
      <c r="W633" s="637" t="n">
        <f aca="false">V633</f>
        <v>0.05</v>
      </c>
      <c r="X633" s="637" t="n">
        <f aca="false">W633</f>
        <v>0.05</v>
      </c>
      <c r="Y633" s="637" t="n">
        <f aca="false">X633</f>
        <v>0.05</v>
      </c>
      <c r="Z633" s="637" t="n">
        <f aca="false">Y633</f>
        <v>0.05</v>
      </c>
      <c r="AA633" s="637" t="n">
        <f aca="false">Z633</f>
        <v>0.05</v>
      </c>
      <c r="AB633" s="637" t="n">
        <f aca="false">AA633</f>
        <v>0.05</v>
      </c>
      <c r="AC633" s="637" t="n">
        <f aca="false">AB633</f>
        <v>0.05</v>
      </c>
      <c r="AD633" s="637" t="n">
        <f aca="false">AC633</f>
        <v>0.05</v>
      </c>
      <c r="AE633" s="637" t="n">
        <f aca="false">AD633</f>
        <v>0.05</v>
      </c>
      <c r="AF633" s="637" t="n">
        <f aca="false">AE633</f>
        <v>0.05</v>
      </c>
    </row>
    <row r="634" customFormat="false" ht="11.25" hidden="false" customHeight="false" outlineLevel="0" collapsed="false">
      <c r="A634" s="450"/>
      <c r="B634" s="238"/>
      <c r="C634" s="238"/>
      <c r="D634" s="238"/>
      <c r="E634" s="468"/>
      <c r="F634" s="468"/>
      <c r="G634" s="468"/>
      <c r="H634" s="46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238"/>
      <c r="W634" s="238"/>
      <c r="X634" s="238"/>
      <c r="Y634" s="238"/>
      <c r="Z634" s="238"/>
      <c r="AA634" s="238"/>
      <c r="AB634" s="238"/>
      <c r="AC634" s="238"/>
      <c r="AD634" s="238"/>
      <c r="AE634" s="238"/>
      <c r="AF634" s="238"/>
    </row>
    <row r="635" customFormat="false" ht="12" hidden="false" customHeight="false" outlineLevel="0" collapsed="false">
      <c r="A635" s="450"/>
      <c r="B635" s="238"/>
      <c r="C635" s="238"/>
      <c r="D635" s="238"/>
      <c r="E635" s="468"/>
      <c r="F635" s="468"/>
      <c r="G635" s="468"/>
      <c r="H635" s="468"/>
      <c r="I635" s="238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238"/>
      <c r="W635" s="238"/>
      <c r="X635" s="238"/>
      <c r="Y635" s="238"/>
      <c r="Z635" s="238"/>
      <c r="AA635" s="238"/>
      <c r="AB635" s="238"/>
      <c r="AC635" s="238"/>
      <c r="AD635" s="238"/>
      <c r="AE635" s="238"/>
      <c r="AF635" s="238"/>
    </row>
    <row r="636" customFormat="false" ht="12.75" hidden="false" customHeight="false" outlineLevel="0" collapsed="false">
      <c r="A636" s="518"/>
      <c r="B636" s="431"/>
      <c r="C636" s="431"/>
      <c r="D636" s="431"/>
      <c r="E636" s="640"/>
      <c r="F636" s="640"/>
      <c r="G636" s="640"/>
      <c r="H636" s="640"/>
      <c r="I636" s="431"/>
      <c r="J636" s="431"/>
      <c r="K636" s="431"/>
      <c r="L636" s="431"/>
      <c r="M636" s="431"/>
      <c r="N636" s="431"/>
      <c r="O636" s="431"/>
      <c r="P636" s="431"/>
      <c r="Q636" s="431"/>
      <c r="R636" s="431"/>
      <c r="S636" s="431"/>
      <c r="T636" s="431"/>
      <c r="U636" s="431"/>
      <c r="V636" s="431"/>
      <c r="W636" s="431"/>
      <c r="X636" s="431"/>
      <c r="Y636" s="431"/>
      <c r="Z636" s="431"/>
      <c r="AA636" s="431"/>
      <c r="AB636" s="431"/>
      <c r="AC636" s="431"/>
      <c r="AD636" s="431"/>
      <c r="AE636" s="431"/>
      <c r="AF636" s="431"/>
    </row>
    <row r="637" customFormat="false" ht="12.75" hidden="false" customHeight="false" outlineLevel="0" collapsed="false">
      <c r="A637" s="341" t="s">
        <v>639</v>
      </c>
      <c r="B637" s="238"/>
      <c r="C637" s="238"/>
      <c r="D637" s="238"/>
      <c r="E637" s="341"/>
      <c r="F637" s="238"/>
      <c r="G637" s="238"/>
      <c r="H637" s="548" t="str">
        <f aca="false">TEXT(C470,"0")&amp;" M"</f>
        <v>8 M</v>
      </c>
      <c r="I637" s="653" t="str">
        <f aca="false">TEXT(C473,"0")&amp;" M"</f>
        <v>4 M</v>
      </c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238"/>
      <c r="W637" s="238"/>
      <c r="X637" s="238"/>
      <c r="Y637" s="238"/>
      <c r="Z637" s="238"/>
      <c r="AA637" s="238"/>
      <c r="AB637" s="238"/>
      <c r="AC637" s="238"/>
      <c r="AD637" s="238"/>
      <c r="AE637" s="238"/>
      <c r="AF637" s="238"/>
    </row>
    <row r="638" customFormat="false" ht="12.75" hidden="false" customHeight="false" outlineLevel="0" collapsed="false">
      <c r="A638" s="460" t="s">
        <v>640</v>
      </c>
      <c r="B638" s="654" t="n">
        <f aca="false">E475</f>
        <v>36525</v>
      </c>
      <c r="C638" s="241"/>
      <c r="D638" s="238"/>
      <c r="E638" s="546" t="n">
        <f aca="false">DATE(YEAR(F638)-1,12,31)</f>
        <v>35430</v>
      </c>
      <c r="F638" s="546" t="n">
        <f aca="false">DATE(YEAR(G638)-1,12,31)</f>
        <v>35795</v>
      </c>
      <c r="G638" s="546" t="n">
        <f aca="false">DATE(YEAR(H638)-1,12,31)</f>
        <v>36160</v>
      </c>
      <c r="H638" s="564" t="n">
        <f aca="false">C467</f>
        <v>36373</v>
      </c>
      <c r="I638" s="655" t="n">
        <f aca="false">E475</f>
        <v>36525</v>
      </c>
      <c r="J638" s="656" t="n">
        <f aca="false">DATE(YEAR(I638)+1,12,31)</f>
        <v>36891</v>
      </c>
      <c r="K638" s="656" t="n">
        <f aca="false">DATE(YEAR(J638)+1,12,31)</f>
        <v>37256</v>
      </c>
      <c r="L638" s="656" t="n">
        <f aca="false">DATE(YEAR(K638)+1,12,31)</f>
        <v>37621</v>
      </c>
      <c r="M638" s="656" t="n">
        <f aca="false">DATE(YEAR(L638)+1,12,31)</f>
        <v>37986</v>
      </c>
      <c r="N638" s="656" t="n">
        <f aca="false">DATE(YEAR(M638)+1,12,31)</f>
        <v>38352</v>
      </c>
      <c r="O638" s="656" t="n">
        <f aca="false">DATE(YEAR(N638)+1,12,31)</f>
        <v>38717</v>
      </c>
      <c r="P638" s="656" t="n">
        <f aca="false">DATE(YEAR(O638)+1,12,31)</f>
        <v>39082</v>
      </c>
      <c r="Q638" s="656" t="n">
        <f aca="false">DATE(YEAR(P638)+1,12,31)</f>
        <v>39447</v>
      </c>
      <c r="R638" s="656" t="n">
        <f aca="false">DATE(YEAR(Q638)+1,12,31)</f>
        <v>39813</v>
      </c>
      <c r="S638" s="656" t="n">
        <f aca="false">DATE(YEAR(R638)+1,12,31)</f>
        <v>40178</v>
      </c>
      <c r="T638" s="656" t="n">
        <f aca="false">DATE(YEAR(S638)+1,12,31)</f>
        <v>40543</v>
      </c>
      <c r="U638" s="656" t="n">
        <f aca="false">DATE(YEAR(T638)+1,12,31)</f>
        <v>40908</v>
      </c>
      <c r="V638" s="656" t="n">
        <f aca="false">DATE(YEAR(U638)+1,12,31)</f>
        <v>41274</v>
      </c>
      <c r="W638" s="656" t="n">
        <f aca="false">DATE(YEAR(V638)+1,12,31)</f>
        <v>41639</v>
      </c>
      <c r="X638" s="656" t="n">
        <f aca="false">DATE(YEAR(W638)+1,12,31)</f>
        <v>42004</v>
      </c>
      <c r="Y638" s="656" t="n">
        <f aca="false">DATE(YEAR(X638)+1,12,31)</f>
        <v>42369</v>
      </c>
      <c r="Z638" s="656" t="n">
        <f aca="false">DATE(YEAR(Y638)+1,12,31)</f>
        <v>42735</v>
      </c>
      <c r="AA638" s="656" t="n">
        <f aca="false">DATE(YEAR(Z638)+1,12,31)</f>
        <v>43100</v>
      </c>
      <c r="AB638" s="656" t="n">
        <f aca="false">DATE(YEAR(AA638)+1,12,31)</f>
        <v>43465</v>
      </c>
      <c r="AC638" s="656" t="n">
        <f aca="false">DATE(YEAR(AB638)+1,12,31)</f>
        <v>43830</v>
      </c>
      <c r="AD638" s="656" t="n">
        <f aca="false">DATE(YEAR(AC638)+1,12,31)</f>
        <v>44196</v>
      </c>
      <c r="AE638" s="656" t="n">
        <f aca="false">DATE(YEAR(AD638)+1,12,31)</f>
        <v>44561</v>
      </c>
      <c r="AF638" s="656" t="n">
        <f aca="false">DATE(YEAR(AE638)+1,12,31)</f>
        <v>44926</v>
      </c>
    </row>
    <row r="639" customFormat="false" ht="12" hidden="false" customHeight="false" outlineLevel="0" collapsed="false">
      <c r="A639" s="341" t="s">
        <v>641</v>
      </c>
      <c r="B639" s="238"/>
      <c r="C639" s="238"/>
      <c r="D639" s="238"/>
      <c r="E639" s="238"/>
      <c r="F639" s="238"/>
      <c r="G639" s="467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238"/>
      <c r="W639" s="238"/>
      <c r="X639" s="238"/>
      <c r="Y639" s="238"/>
      <c r="Z639" s="238"/>
      <c r="AA639" s="238"/>
      <c r="AB639" s="238"/>
      <c r="AC639" s="238"/>
      <c r="AD639" s="238"/>
      <c r="AE639" s="238"/>
      <c r="AF639" s="238"/>
    </row>
    <row r="640" customFormat="false" ht="11.25" hidden="false" customHeight="false" outlineLevel="0" collapsed="false">
      <c r="A640" s="450" t="s">
        <v>642</v>
      </c>
      <c r="B640" s="238"/>
      <c r="C640" s="238"/>
      <c r="D640" s="467"/>
      <c r="E640" s="467"/>
      <c r="F640" s="467"/>
      <c r="G640" s="467"/>
      <c r="H640" s="467"/>
      <c r="I640" s="468" t="n">
        <f aca="false">I509</f>
        <v>51.629632</v>
      </c>
      <c r="J640" s="468" t="n">
        <f aca="false">J509</f>
        <v>51.629632</v>
      </c>
      <c r="K640" s="468" t="n">
        <f aca="false">K509</f>
        <v>51.629632</v>
      </c>
      <c r="L640" s="468" t="n">
        <f aca="false">L509</f>
        <v>51.629632</v>
      </c>
      <c r="M640" s="468" t="n">
        <f aca="false">M509</f>
        <v>51.629632</v>
      </c>
      <c r="N640" s="468" t="n">
        <f aca="false">N509</f>
        <v>51.629632</v>
      </c>
      <c r="O640" s="468" t="n">
        <f aca="false">O509</f>
        <v>51.629632</v>
      </c>
      <c r="P640" s="468" t="n">
        <f aca="false">P509</f>
        <v>51.629632</v>
      </c>
      <c r="Q640" s="468" t="n">
        <f aca="false">Q509</f>
        <v>51.629632</v>
      </c>
      <c r="R640" s="468" t="n">
        <f aca="false">R509</f>
        <v>51.629632</v>
      </c>
      <c r="S640" s="468" t="n">
        <f aca="false">S509</f>
        <v>51.629632</v>
      </c>
      <c r="T640" s="468" t="n">
        <f aca="false">T509</f>
        <v>51.629632</v>
      </c>
      <c r="U640" s="468" t="n">
        <f aca="false">U509</f>
        <v>51.629632</v>
      </c>
      <c r="V640" s="468" t="n">
        <f aca="false">V509</f>
        <v>51.629632</v>
      </c>
      <c r="W640" s="468" t="n">
        <f aca="false">W509</f>
        <v>51.629632</v>
      </c>
      <c r="X640" s="468" t="n">
        <f aca="false">X509</f>
        <v>0</v>
      </c>
      <c r="Y640" s="468" t="n">
        <f aca="false">Y509</f>
        <v>0</v>
      </c>
      <c r="Z640" s="468" t="n">
        <f aca="false">Z509</f>
        <v>0</v>
      </c>
      <c r="AA640" s="468" t="n">
        <f aca="false">AA509</f>
        <v>0</v>
      </c>
      <c r="AB640" s="468" t="n">
        <f aca="false">AB509</f>
        <v>0</v>
      </c>
      <c r="AC640" s="468" t="n">
        <f aca="false">AC509</f>
        <v>0</v>
      </c>
      <c r="AD640" s="468" t="n">
        <f aca="false">AD509</f>
        <v>0</v>
      </c>
      <c r="AE640" s="468" t="n">
        <f aca="false">AE509</f>
        <v>0</v>
      </c>
      <c r="AF640" s="468" t="n">
        <f aca="false">AF509</f>
        <v>0</v>
      </c>
    </row>
    <row r="641" customFormat="false" ht="11.25" hidden="false" customHeight="false" outlineLevel="0" collapsed="false">
      <c r="A641" s="450" t="s">
        <v>643</v>
      </c>
      <c r="B641" s="238"/>
      <c r="C641" s="238"/>
      <c r="D641" s="634"/>
      <c r="E641" s="555" t="n">
        <f aca="false">E780</f>
        <v>0</v>
      </c>
      <c r="F641" s="555" t="n">
        <f aca="false">F780</f>
        <v>0</v>
      </c>
      <c r="G641" s="555" t="n">
        <f aca="false">G780</f>
        <v>0</v>
      </c>
      <c r="H641" s="555" t="n">
        <f aca="false">H780</f>
        <v>0</v>
      </c>
      <c r="I641" s="555" t="n">
        <f aca="false">I780</f>
        <v>0</v>
      </c>
      <c r="J641" s="555" t="n">
        <f aca="false">J780</f>
        <v>0</v>
      </c>
      <c r="K641" s="555" t="n">
        <f aca="false">K780</f>
        <v>0</v>
      </c>
      <c r="L641" s="555" t="n">
        <f aca="false">L780</f>
        <v>0</v>
      </c>
      <c r="M641" s="555" t="n">
        <f aca="false">M780</f>
        <v>0</v>
      </c>
      <c r="N641" s="555" t="n">
        <f aca="false">N780</f>
        <v>0</v>
      </c>
      <c r="O641" s="555" t="n">
        <f aca="false">O780</f>
        <v>0</v>
      </c>
      <c r="P641" s="555" t="n">
        <f aca="false">P780</f>
        <v>0</v>
      </c>
      <c r="Q641" s="555" t="n">
        <f aca="false">Q780</f>
        <v>0</v>
      </c>
      <c r="R641" s="555" t="n">
        <f aca="false">R780</f>
        <v>0</v>
      </c>
      <c r="S641" s="555" t="n">
        <f aca="false">S780</f>
        <v>0</v>
      </c>
      <c r="T641" s="555" t="n">
        <f aca="false">T780</f>
        <v>0</v>
      </c>
      <c r="U641" s="555" t="n">
        <f aca="false">U780</f>
        <v>0</v>
      </c>
      <c r="V641" s="555" t="n">
        <f aca="false">V780</f>
        <v>0</v>
      </c>
      <c r="W641" s="555" t="n">
        <f aca="false">W780</f>
        <v>0</v>
      </c>
      <c r="X641" s="555" t="n">
        <f aca="false">X780</f>
        <v>0</v>
      </c>
      <c r="Y641" s="555" t="n">
        <f aca="false">Y780</f>
        <v>0</v>
      </c>
      <c r="Z641" s="555" t="n">
        <f aca="false">Z780</f>
        <v>0</v>
      </c>
      <c r="AA641" s="555" t="n">
        <f aca="false">AA780</f>
        <v>0</v>
      </c>
      <c r="AB641" s="555" t="n">
        <f aca="false">AB780</f>
        <v>0</v>
      </c>
      <c r="AC641" s="555" t="n">
        <f aca="false">AC780</f>
        <v>0</v>
      </c>
      <c r="AD641" s="555" t="n">
        <f aca="false">AD780</f>
        <v>0</v>
      </c>
      <c r="AE641" s="555" t="n">
        <f aca="false">AE780</f>
        <v>0</v>
      </c>
      <c r="AF641" s="555" t="n">
        <f aca="false">AF780</f>
        <v>0</v>
      </c>
    </row>
    <row r="642" customFormat="false" ht="12" hidden="false" customHeight="false" outlineLevel="0" collapsed="false">
      <c r="A642" s="450" t="s">
        <v>644</v>
      </c>
      <c r="B642" s="238"/>
      <c r="C642" s="238"/>
      <c r="D642" s="467"/>
      <c r="E642" s="657" t="n">
        <f aca="false">SUM(E640:E641)</f>
        <v>0</v>
      </c>
      <c r="F642" s="657" t="n">
        <f aca="false">SUM(F640:F641)</f>
        <v>0</v>
      </c>
      <c r="G642" s="657" t="n">
        <f aca="false">SUM(G640:G641)</f>
        <v>0</v>
      </c>
      <c r="H642" s="657" t="n">
        <f aca="false">SUM(H640:H641)</f>
        <v>0</v>
      </c>
      <c r="I642" s="657" t="n">
        <f aca="false">SUM(I640:I641)</f>
        <v>51.629632</v>
      </c>
      <c r="J642" s="657" t="n">
        <f aca="false">SUM(J640:J641)</f>
        <v>51.629632</v>
      </c>
      <c r="K642" s="657" t="n">
        <f aca="false">SUM(K640:K641)</f>
        <v>51.629632</v>
      </c>
      <c r="L642" s="657" t="n">
        <f aca="false">SUM(L640:L641)</f>
        <v>51.629632</v>
      </c>
      <c r="M642" s="657" t="n">
        <f aca="false">SUM(M640:M641)</f>
        <v>51.629632</v>
      </c>
      <c r="N642" s="657" t="n">
        <f aca="false">SUM(N640:N641)</f>
        <v>51.629632</v>
      </c>
      <c r="O642" s="657" t="n">
        <f aca="false">SUM(O640:O641)</f>
        <v>51.629632</v>
      </c>
      <c r="P642" s="657" t="n">
        <f aca="false">SUM(P640:P641)</f>
        <v>51.629632</v>
      </c>
      <c r="Q642" s="657" t="n">
        <f aca="false">SUM(Q640:Q641)</f>
        <v>51.629632</v>
      </c>
      <c r="R642" s="657" t="n">
        <f aca="false">SUM(R640:R641)</f>
        <v>51.629632</v>
      </c>
      <c r="S642" s="657" t="n">
        <f aca="false">SUM(S640:S641)</f>
        <v>51.629632</v>
      </c>
      <c r="T642" s="657" t="n">
        <f aca="false">SUM(T640:T641)</f>
        <v>51.629632</v>
      </c>
      <c r="U642" s="657" t="n">
        <f aca="false">SUM(U640:U641)</f>
        <v>51.629632</v>
      </c>
      <c r="V642" s="657" t="n">
        <f aca="false">SUM(V640:V641)</f>
        <v>51.629632</v>
      </c>
      <c r="W642" s="657" t="n">
        <f aca="false">SUM(W640:W641)</f>
        <v>51.629632</v>
      </c>
      <c r="X642" s="657" t="n">
        <f aca="false">SUM(X640:X641)</f>
        <v>0</v>
      </c>
      <c r="Y642" s="657" t="n">
        <f aca="false">SUM(Y640:Y641)</f>
        <v>0</v>
      </c>
      <c r="Z642" s="657" t="n">
        <f aca="false">SUM(Z640:Z641)</f>
        <v>0</v>
      </c>
      <c r="AA642" s="657" t="n">
        <f aca="false">SUM(AA640:AA641)</f>
        <v>0</v>
      </c>
      <c r="AB642" s="657" t="n">
        <f aca="false">SUM(AB640:AB641)</f>
        <v>0</v>
      </c>
      <c r="AC642" s="657" t="n">
        <f aca="false">SUM(AC640:AC641)</f>
        <v>0</v>
      </c>
      <c r="AD642" s="657" t="n">
        <f aca="false">SUM(AD640:AD641)</f>
        <v>0</v>
      </c>
      <c r="AE642" s="657" t="n">
        <f aca="false">SUM(AE640:AE641)</f>
        <v>0</v>
      </c>
      <c r="AF642" s="657" t="n">
        <f aca="false">SUM(AF640:AF641)</f>
        <v>0</v>
      </c>
    </row>
    <row r="643" customFormat="false" ht="12" hidden="false" customHeight="false" outlineLevel="0" collapsed="false">
      <c r="A643" s="450"/>
      <c r="B643" s="238"/>
      <c r="C643" s="238"/>
      <c r="D643" s="467"/>
      <c r="E643" s="467"/>
      <c r="F643" s="467"/>
      <c r="G643" s="467"/>
      <c r="H643" s="467"/>
      <c r="I643" s="468"/>
      <c r="J643" s="468"/>
      <c r="K643" s="468"/>
      <c r="L643" s="468"/>
      <c r="M643" s="468"/>
      <c r="N643" s="468"/>
      <c r="O643" s="468"/>
      <c r="P643" s="468"/>
      <c r="Q643" s="468"/>
      <c r="R643" s="468"/>
      <c r="S643" s="468"/>
      <c r="T643" s="468"/>
      <c r="U643" s="468"/>
      <c r="V643" s="468"/>
      <c r="W643" s="468"/>
      <c r="X643" s="468"/>
      <c r="Y643" s="468"/>
      <c r="Z643" s="468"/>
      <c r="AA643" s="468"/>
      <c r="AB643" s="468"/>
      <c r="AC643" s="468"/>
      <c r="AD643" s="468"/>
      <c r="AE643" s="468"/>
      <c r="AF643" s="468"/>
    </row>
    <row r="644" customFormat="false" ht="11.25" hidden="false" customHeight="false" outlineLevel="0" collapsed="false">
      <c r="A644" s="341" t="s">
        <v>454</v>
      </c>
      <c r="B644" s="238"/>
      <c r="C644" s="238"/>
      <c r="D644" s="238"/>
      <c r="E644" s="238"/>
      <c r="F644" s="238"/>
      <c r="G644" s="238"/>
      <c r="H644" s="238"/>
      <c r="I644" s="467"/>
      <c r="J644" s="467"/>
      <c r="K644" s="467"/>
      <c r="L644" s="467"/>
      <c r="M644" s="467"/>
      <c r="N644" s="467"/>
      <c r="O644" s="467"/>
      <c r="P644" s="467"/>
      <c r="Q644" s="467"/>
      <c r="R644" s="467"/>
      <c r="S644" s="467"/>
      <c r="T644" s="467"/>
      <c r="U644" s="467"/>
      <c r="V644" s="467"/>
      <c r="W644" s="467"/>
      <c r="X644" s="467"/>
      <c r="Y644" s="467"/>
      <c r="Z644" s="467"/>
      <c r="AA644" s="467"/>
      <c r="AB644" s="467"/>
      <c r="AC644" s="467"/>
      <c r="AD644" s="467"/>
      <c r="AE644" s="467"/>
      <c r="AF644" s="467"/>
    </row>
    <row r="645" customFormat="false" ht="11.25" hidden="false" customHeight="false" outlineLevel="0" collapsed="false">
      <c r="A645" s="450" t="s">
        <v>645</v>
      </c>
      <c r="B645" s="450"/>
      <c r="C645" s="238"/>
      <c r="D645" s="238"/>
      <c r="E645" s="455" t="n">
        <v>0</v>
      </c>
      <c r="F645" s="455" t="n">
        <v>0</v>
      </c>
      <c r="G645" s="455" t="n">
        <v>0</v>
      </c>
      <c r="H645" s="455" t="n">
        <v>0</v>
      </c>
      <c r="I645" s="455" t="n">
        <v>0</v>
      </c>
      <c r="J645" s="455" t="n">
        <v>0</v>
      </c>
      <c r="K645" s="455" t="n">
        <v>0</v>
      </c>
      <c r="L645" s="455" t="n">
        <v>0</v>
      </c>
      <c r="M645" s="455" t="n">
        <v>0</v>
      </c>
      <c r="N645" s="455" t="n">
        <v>0</v>
      </c>
      <c r="O645" s="455" t="n">
        <v>0</v>
      </c>
      <c r="P645" s="455" t="n">
        <v>0</v>
      </c>
      <c r="Q645" s="455" t="n">
        <v>0</v>
      </c>
      <c r="R645" s="455" t="n">
        <v>0</v>
      </c>
      <c r="S645" s="455" t="n">
        <v>0</v>
      </c>
      <c r="T645" s="455" t="n">
        <v>0</v>
      </c>
      <c r="U645" s="455" t="n">
        <v>0</v>
      </c>
      <c r="V645" s="455" t="n">
        <v>0</v>
      </c>
      <c r="W645" s="455" t="n">
        <v>0</v>
      </c>
      <c r="X645" s="455" t="n">
        <v>0</v>
      </c>
      <c r="Y645" s="455" t="n">
        <v>0</v>
      </c>
      <c r="Z645" s="455" t="n">
        <v>0</v>
      </c>
      <c r="AA645" s="455" t="n">
        <v>0</v>
      </c>
      <c r="AB645" s="455" t="n">
        <v>0</v>
      </c>
      <c r="AC645" s="455" t="n">
        <v>0</v>
      </c>
      <c r="AD645" s="455" t="n">
        <v>0</v>
      </c>
      <c r="AE645" s="455" t="n">
        <v>0</v>
      </c>
      <c r="AF645" s="455" t="n">
        <v>0</v>
      </c>
    </row>
    <row r="646" customFormat="false" ht="12" hidden="false" customHeight="false" outlineLevel="0" collapsed="false">
      <c r="A646" s="450"/>
      <c r="B646" s="238"/>
      <c r="C646" s="238"/>
      <c r="D646" s="238"/>
      <c r="E646" s="468"/>
      <c r="F646" s="468"/>
      <c r="G646" s="468"/>
      <c r="H646" s="468"/>
      <c r="I646" s="238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238"/>
      <c r="W646" s="238"/>
      <c r="X646" s="238"/>
      <c r="Y646" s="238"/>
      <c r="Z646" s="238"/>
      <c r="AA646" s="238"/>
      <c r="AB646" s="238"/>
      <c r="AC646" s="238"/>
      <c r="AD646" s="238"/>
      <c r="AE646" s="238"/>
      <c r="AF646" s="238"/>
    </row>
    <row r="647" customFormat="false" ht="12.75" hidden="false" customHeight="false" outlineLevel="0" collapsed="false">
      <c r="A647" s="431"/>
      <c r="B647" s="431"/>
      <c r="C647" s="431"/>
      <c r="D647" s="431"/>
      <c r="E647" s="431"/>
      <c r="F647" s="431"/>
      <c r="G647" s="431"/>
      <c r="H647" s="431"/>
      <c r="I647" s="431"/>
      <c r="J647" s="431"/>
      <c r="K647" s="431"/>
      <c r="L647" s="431"/>
      <c r="M647" s="431"/>
      <c r="N647" s="431"/>
      <c r="O647" s="431"/>
      <c r="P647" s="431"/>
      <c r="Q647" s="431"/>
      <c r="R647" s="431"/>
      <c r="S647" s="431"/>
      <c r="T647" s="431"/>
      <c r="U647" s="431"/>
      <c r="V647" s="431"/>
      <c r="W647" s="431"/>
      <c r="X647" s="431"/>
      <c r="Y647" s="431"/>
      <c r="Z647" s="431"/>
      <c r="AA647" s="431"/>
      <c r="AB647" s="431"/>
      <c r="AC647" s="431"/>
      <c r="AD647" s="431"/>
      <c r="AE647" s="431"/>
      <c r="AF647" s="431"/>
    </row>
    <row r="648" customFormat="false" ht="12.75" hidden="false" customHeight="false" outlineLevel="0" collapsed="false">
      <c r="A648" s="658" t="s">
        <v>646</v>
      </c>
      <c r="B648" s="238"/>
      <c r="C648" s="238"/>
      <c r="D648" s="238"/>
      <c r="E648" s="546" t="n">
        <f aca="false">E$638</f>
        <v>35430</v>
      </c>
      <c r="F648" s="546" t="n">
        <f aca="false">F$638</f>
        <v>35795</v>
      </c>
      <c r="G648" s="546" t="n">
        <f aca="false">G$638</f>
        <v>36160</v>
      </c>
      <c r="H648" s="564" t="n">
        <f aca="false">H$638</f>
        <v>36373</v>
      </c>
      <c r="I648" s="505" t="n">
        <f aca="false">I$638</f>
        <v>36525</v>
      </c>
      <c r="J648" s="506" t="n">
        <f aca="false">J$638</f>
        <v>36891</v>
      </c>
      <c r="K648" s="506" t="n">
        <f aca="false">K$638</f>
        <v>37256</v>
      </c>
      <c r="L648" s="506" t="n">
        <f aca="false">L$638</f>
        <v>37621</v>
      </c>
      <c r="M648" s="506" t="n">
        <f aca="false">M$638</f>
        <v>37986</v>
      </c>
      <c r="N648" s="506" t="n">
        <f aca="false">N$638</f>
        <v>38352</v>
      </c>
      <c r="O648" s="506" t="n">
        <f aca="false">O$638</f>
        <v>38717</v>
      </c>
      <c r="P648" s="506" t="n">
        <f aca="false">P$638</f>
        <v>39082</v>
      </c>
      <c r="Q648" s="506" t="n">
        <f aca="false">Q$638</f>
        <v>39447</v>
      </c>
      <c r="R648" s="506" t="n">
        <f aca="false">R$638</f>
        <v>39813</v>
      </c>
      <c r="S648" s="506" t="n">
        <f aca="false">S$638</f>
        <v>40178</v>
      </c>
      <c r="T648" s="506" t="n">
        <f aca="false">T$638</f>
        <v>40543</v>
      </c>
      <c r="U648" s="506" t="n">
        <f aca="false">U$638</f>
        <v>40908</v>
      </c>
      <c r="V648" s="506" t="n">
        <f aca="false">V$638</f>
        <v>41274</v>
      </c>
      <c r="W648" s="506" t="n">
        <f aca="false">W$638</f>
        <v>41639</v>
      </c>
      <c r="X648" s="506" t="n">
        <f aca="false">X$638</f>
        <v>42004</v>
      </c>
      <c r="Y648" s="506" t="n">
        <f aca="false">Y$638</f>
        <v>42369</v>
      </c>
      <c r="Z648" s="506" t="n">
        <f aca="false">Z$638</f>
        <v>42735</v>
      </c>
      <c r="AA648" s="506" t="n">
        <f aca="false">AA$638</f>
        <v>43100</v>
      </c>
      <c r="AB648" s="506" t="n">
        <f aca="false">AB$638</f>
        <v>43465</v>
      </c>
      <c r="AC648" s="506" t="n">
        <f aca="false">AC$638</f>
        <v>43830</v>
      </c>
      <c r="AD648" s="506" t="n">
        <f aca="false">AD$638</f>
        <v>44196</v>
      </c>
      <c r="AE648" s="506" t="n">
        <f aca="false">AE$638</f>
        <v>44561</v>
      </c>
      <c r="AF648" s="506" t="n">
        <f aca="false">AF$638</f>
        <v>44926</v>
      </c>
    </row>
    <row r="649" customFormat="false" ht="12" hidden="false" customHeight="false" outlineLevel="0" collapsed="false">
      <c r="A649" s="450" t="s">
        <v>647</v>
      </c>
      <c r="B649" s="238"/>
      <c r="C649" s="238"/>
      <c r="D649" s="238"/>
      <c r="E649" s="238"/>
      <c r="F649" s="238"/>
      <c r="G649" s="238"/>
      <c r="H649" s="238"/>
      <c r="I649" s="455" t="n">
        <f aca="false">Summary!$J$74</f>
        <v>0</v>
      </c>
      <c r="J649" s="659" t="n">
        <f aca="false">IF(AND(YEAR(J598)=YEAR(Summary!$O$111),Summary!$O$109=1),+Summary!$J$77,0)</f>
        <v>0</v>
      </c>
      <c r="K649" s="455" t="n">
        <v>0</v>
      </c>
      <c r="L649" s="455" t="n">
        <v>0</v>
      </c>
      <c r="M649" s="455" t="n">
        <v>0</v>
      </c>
      <c r="N649" s="455" t="n">
        <v>0</v>
      </c>
      <c r="O649" s="455" t="n">
        <v>0</v>
      </c>
      <c r="P649" s="455" t="n">
        <v>0</v>
      </c>
      <c r="Q649" s="455" t="n">
        <v>0</v>
      </c>
      <c r="R649" s="455" t="n">
        <v>0</v>
      </c>
      <c r="S649" s="455" t="n">
        <v>0</v>
      </c>
      <c r="T649" s="455" t="n">
        <v>0</v>
      </c>
      <c r="U649" s="455" t="n">
        <v>0</v>
      </c>
      <c r="V649" s="455" t="n">
        <v>0</v>
      </c>
      <c r="W649" s="455" t="n">
        <v>0</v>
      </c>
      <c r="X649" s="455" t="n">
        <v>0</v>
      </c>
      <c r="Y649" s="455" t="n">
        <v>0</v>
      </c>
      <c r="Z649" s="455" t="n">
        <v>0</v>
      </c>
      <c r="AA649" s="455" t="n">
        <v>0</v>
      </c>
      <c r="AB649" s="455" t="n">
        <v>0</v>
      </c>
      <c r="AC649" s="455" t="n">
        <v>0</v>
      </c>
      <c r="AD649" s="455" t="n">
        <v>0</v>
      </c>
      <c r="AE649" s="455" t="n">
        <v>0</v>
      </c>
      <c r="AF649" s="455" t="n">
        <v>0</v>
      </c>
    </row>
    <row r="650" customFormat="false" ht="11.25" hidden="false" customHeight="false" outlineLevel="0" collapsed="false">
      <c r="A650" s="450"/>
      <c r="B650" s="238"/>
      <c r="C650" s="238"/>
      <c r="D650" s="238"/>
      <c r="E650" s="238"/>
      <c r="F650" s="238"/>
      <c r="G650" s="238"/>
      <c r="H650" s="238"/>
      <c r="I650" s="455"/>
      <c r="J650" s="660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455"/>
      <c r="X650" s="455"/>
      <c r="Y650" s="455"/>
      <c r="Z650" s="455"/>
      <c r="AA650" s="455"/>
      <c r="AB650" s="455"/>
      <c r="AC650" s="455"/>
      <c r="AD650" s="455"/>
      <c r="AE650" s="455"/>
      <c r="AF650" s="455"/>
    </row>
    <row r="651" customFormat="false" ht="11.25" hidden="false" customHeight="false" outlineLevel="0" collapsed="false">
      <c r="A651" s="450" t="s">
        <v>648</v>
      </c>
      <c r="B651" s="238"/>
      <c r="C651" s="238"/>
      <c r="D651" s="238"/>
      <c r="E651" s="238"/>
      <c r="F651" s="238"/>
      <c r="G651" s="238"/>
      <c r="H651" s="238"/>
      <c r="I651" s="455" t="n">
        <f aca="false">I649</f>
        <v>0</v>
      </c>
      <c r="J651" s="659" t="n">
        <f aca="false">IF(J649=0,0,J649)</f>
        <v>0</v>
      </c>
      <c r="K651" s="455" t="n">
        <v>0</v>
      </c>
      <c r="L651" s="455" t="n">
        <v>0</v>
      </c>
      <c r="M651" s="455" t="n">
        <v>0</v>
      </c>
      <c r="N651" s="455" t="n">
        <v>0</v>
      </c>
      <c r="O651" s="455" t="n">
        <v>0</v>
      </c>
      <c r="P651" s="455" t="n">
        <v>0</v>
      </c>
      <c r="Q651" s="455" t="n">
        <v>0</v>
      </c>
      <c r="R651" s="455" t="n">
        <v>0</v>
      </c>
      <c r="S651" s="455" t="n">
        <v>0</v>
      </c>
      <c r="T651" s="455" t="n">
        <v>0</v>
      </c>
      <c r="U651" s="455" t="n">
        <v>0</v>
      </c>
      <c r="V651" s="455" t="n">
        <v>0</v>
      </c>
      <c r="W651" s="455" t="n">
        <v>0</v>
      </c>
      <c r="X651" s="455" t="n">
        <v>0</v>
      </c>
      <c r="Y651" s="455" t="n">
        <v>0</v>
      </c>
      <c r="Z651" s="455" t="n">
        <v>0</v>
      </c>
      <c r="AA651" s="455" t="n">
        <v>0</v>
      </c>
      <c r="AB651" s="455" t="n">
        <v>0</v>
      </c>
      <c r="AC651" s="455" t="n">
        <v>0</v>
      </c>
      <c r="AD651" s="455" t="n">
        <v>0</v>
      </c>
      <c r="AE651" s="455" t="n">
        <v>0</v>
      </c>
      <c r="AF651" s="455" t="n">
        <v>0</v>
      </c>
    </row>
    <row r="652" customFormat="false" ht="11.25" hidden="false" customHeight="false" outlineLevel="0" collapsed="false">
      <c r="A652" s="450" t="s">
        <v>649</v>
      </c>
      <c r="B652" s="238"/>
      <c r="C652" s="238"/>
      <c r="D652" s="238"/>
      <c r="E652" s="238"/>
      <c r="F652" s="238"/>
      <c r="G652" s="238"/>
      <c r="H652" s="238"/>
      <c r="I652" s="455" t="n">
        <v>0</v>
      </c>
      <c r="J652" s="660" t="n">
        <f aca="false">IF(J649=0,0,J649-D46)</f>
        <v>0</v>
      </c>
      <c r="K652" s="455" t="n">
        <v>0</v>
      </c>
      <c r="L652" s="455" t="n">
        <v>0</v>
      </c>
      <c r="M652" s="455" t="n">
        <v>0</v>
      </c>
      <c r="N652" s="455" t="n">
        <v>0</v>
      </c>
      <c r="O652" s="455" t="n">
        <v>0</v>
      </c>
      <c r="P652" s="455" t="n">
        <v>0</v>
      </c>
      <c r="Q652" s="455" t="n">
        <v>0</v>
      </c>
      <c r="R652" s="455" t="n">
        <v>0</v>
      </c>
      <c r="S652" s="455" t="n">
        <v>0</v>
      </c>
      <c r="T652" s="455" t="n">
        <v>0</v>
      </c>
      <c r="U652" s="455" t="n">
        <v>0</v>
      </c>
      <c r="V652" s="455" t="n">
        <v>0</v>
      </c>
      <c r="W652" s="455" t="n">
        <v>0</v>
      </c>
      <c r="X652" s="455" t="n">
        <v>0</v>
      </c>
      <c r="Y652" s="455" t="n">
        <v>0</v>
      </c>
      <c r="Z652" s="455" t="n">
        <v>0</v>
      </c>
      <c r="AA652" s="455" t="n">
        <v>0</v>
      </c>
      <c r="AB652" s="455" t="n">
        <v>0</v>
      </c>
      <c r="AC652" s="455" t="n">
        <v>0</v>
      </c>
      <c r="AD652" s="455" t="n">
        <v>0</v>
      </c>
      <c r="AE652" s="455" t="n">
        <v>0</v>
      </c>
      <c r="AF652" s="455" t="n">
        <v>0</v>
      </c>
    </row>
    <row r="653" customFormat="false" ht="11.25" hidden="false" customHeight="false" outlineLevel="0" collapsed="false">
      <c r="A653" s="450" t="s">
        <v>650</v>
      </c>
      <c r="B653" s="238"/>
      <c r="C653" s="238"/>
      <c r="D653" s="238"/>
      <c r="E653" s="238"/>
      <c r="F653" s="238"/>
      <c r="G653" s="238"/>
      <c r="H653" s="238"/>
      <c r="I653" s="481" t="n">
        <f aca="false">I651-I652</f>
        <v>0</v>
      </c>
      <c r="J653" s="661" t="n">
        <f aca="false">J651-J652</f>
        <v>0</v>
      </c>
      <c r="K653" s="481" t="n">
        <f aca="false">K651-K652</f>
        <v>0</v>
      </c>
      <c r="L653" s="481" t="n">
        <f aca="false">L651-L652</f>
        <v>0</v>
      </c>
      <c r="M653" s="481" t="n">
        <f aca="false">M651-M652</f>
        <v>0</v>
      </c>
      <c r="N653" s="481" t="n">
        <f aca="false">N651-N652</f>
        <v>0</v>
      </c>
      <c r="O653" s="481" t="n">
        <f aca="false">O651-O652</f>
        <v>0</v>
      </c>
      <c r="P653" s="481" t="n">
        <f aca="false">P651-P652</f>
        <v>0</v>
      </c>
      <c r="Q653" s="481" t="n">
        <f aca="false">Q651-Q652</f>
        <v>0</v>
      </c>
      <c r="R653" s="481" t="n">
        <f aca="false">R651-R652</f>
        <v>0</v>
      </c>
      <c r="S653" s="481" t="n">
        <f aca="false">S651-S652</f>
        <v>0</v>
      </c>
      <c r="T653" s="481" t="n">
        <f aca="false">T651-T652</f>
        <v>0</v>
      </c>
      <c r="U653" s="481" t="n">
        <f aca="false">U651-U652</f>
        <v>0</v>
      </c>
      <c r="V653" s="481" t="n">
        <f aca="false">V651-V652</f>
        <v>0</v>
      </c>
      <c r="W653" s="481" t="n">
        <f aca="false">W651-W652</f>
        <v>0</v>
      </c>
      <c r="X653" s="481" t="n">
        <f aca="false">X651-X652</f>
        <v>0</v>
      </c>
      <c r="Y653" s="481" t="n">
        <f aca="false">Y651-Y652</f>
        <v>0</v>
      </c>
      <c r="Z653" s="481" t="n">
        <f aca="false">Z651-Z652</f>
        <v>0</v>
      </c>
      <c r="AA653" s="481" t="n">
        <f aca="false">AA651-AA652</f>
        <v>0</v>
      </c>
      <c r="AB653" s="481" t="n">
        <f aca="false">AB651-AB652</f>
        <v>0</v>
      </c>
      <c r="AC653" s="481" t="n">
        <f aca="false">AC651-AC652</f>
        <v>0</v>
      </c>
      <c r="AD653" s="481" t="n">
        <f aca="false">AD651-AD652</f>
        <v>0</v>
      </c>
      <c r="AE653" s="481" t="n">
        <f aca="false">AE651-AE652</f>
        <v>0</v>
      </c>
      <c r="AF653" s="481" t="n">
        <f aca="false">AF651-AF652</f>
        <v>0</v>
      </c>
    </row>
    <row r="654" customFormat="false" ht="11.25" hidden="false" customHeight="false" outlineLevel="0" collapsed="false">
      <c r="A654" s="473" t="s">
        <v>651</v>
      </c>
      <c r="B654" s="238"/>
      <c r="C654" s="238"/>
      <c r="D654" s="238"/>
      <c r="E654" s="596" t="n">
        <v>0</v>
      </c>
      <c r="F654" s="596" t="n">
        <v>0</v>
      </c>
      <c r="G654" s="596" t="n">
        <v>0</v>
      </c>
      <c r="H654" s="596" t="n">
        <v>0</v>
      </c>
      <c r="I654" s="481" t="n">
        <f aca="false">I649-I653</f>
        <v>0</v>
      </c>
      <c r="J654" s="662" t="n">
        <f aca="false">J649-J653</f>
        <v>0</v>
      </c>
      <c r="K654" s="481" t="n">
        <f aca="false">K649-K653</f>
        <v>0</v>
      </c>
      <c r="L654" s="481" t="n">
        <f aca="false">L649-L653</f>
        <v>0</v>
      </c>
      <c r="M654" s="481" t="n">
        <f aca="false">M649-M653</f>
        <v>0</v>
      </c>
      <c r="N654" s="481" t="n">
        <f aca="false">N649-N653</f>
        <v>0</v>
      </c>
      <c r="O654" s="481" t="n">
        <f aca="false">O649-O653</f>
        <v>0</v>
      </c>
      <c r="P654" s="481" t="n">
        <f aca="false">P649-P653</f>
        <v>0</v>
      </c>
      <c r="Q654" s="481" t="n">
        <f aca="false">Q649-Q653</f>
        <v>0</v>
      </c>
      <c r="R654" s="481" t="n">
        <f aca="false">R649-R653</f>
        <v>0</v>
      </c>
      <c r="S654" s="481" t="n">
        <f aca="false">S649-S653</f>
        <v>0</v>
      </c>
      <c r="T654" s="481" t="n">
        <f aca="false">T649-T653</f>
        <v>0</v>
      </c>
      <c r="U654" s="481" t="n">
        <f aca="false">U649-U653</f>
        <v>0</v>
      </c>
      <c r="V654" s="481" t="n">
        <f aca="false">V649-V653</f>
        <v>0</v>
      </c>
      <c r="W654" s="481" t="n">
        <f aca="false">W649-W653</f>
        <v>0</v>
      </c>
      <c r="X654" s="481" t="n">
        <f aca="false">X649-X653</f>
        <v>0</v>
      </c>
      <c r="Y654" s="481" t="n">
        <f aca="false">Y649-Y653</f>
        <v>0</v>
      </c>
      <c r="Z654" s="481" t="n">
        <f aca="false">Z649-Z653</f>
        <v>0</v>
      </c>
      <c r="AA654" s="481" t="n">
        <f aca="false">AA649-AA653</f>
        <v>0</v>
      </c>
      <c r="AB654" s="481" t="n">
        <f aca="false">AB649-AB653</f>
        <v>0</v>
      </c>
      <c r="AC654" s="481" t="n">
        <f aca="false">AC649-AC653</f>
        <v>0</v>
      </c>
      <c r="AD654" s="481" t="n">
        <f aca="false">AD649-AD653</f>
        <v>0</v>
      </c>
      <c r="AE654" s="481" t="n">
        <f aca="false">AE649-AE653</f>
        <v>0</v>
      </c>
      <c r="AF654" s="481" t="n">
        <f aca="false">AF649-AF653</f>
        <v>0</v>
      </c>
    </row>
    <row r="655" customFormat="false" ht="11.25" hidden="false" customHeight="false" outlineLevel="0" collapsed="false">
      <c r="A655" s="450" t="s">
        <v>652</v>
      </c>
      <c r="B655" s="238"/>
      <c r="C655" s="238"/>
      <c r="D655" s="238"/>
      <c r="E655" s="238"/>
      <c r="F655" s="238"/>
      <c r="G655" s="238"/>
      <c r="H655" s="238"/>
      <c r="I655" s="455" t="n">
        <v>0</v>
      </c>
      <c r="J655" s="660" t="n">
        <v>0</v>
      </c>
      <c r="K655" s="455" t="n">
        <v>0</v>
      </c>
      <c r="L655" s="455" t="n">
        <v>0</v>
      </c>
      <c r="M655" s="455" t="n">
        <v>0</v>
      </c>
      <c r="N655" s="455" t="n">
        <v>0</v>
      </c>
      <c r="O655" s="455" t="n">
        <v>0</v>
      </c>
      <c r="P655" s="455" t="n">
        <v>0</v>
      </c>
      <c r="Q655" s="455" t="n">
        <v>0</v>
      </c>
      <c r="R655" s="455" t="n">
        <v>0</v>
      </c>
      <c r="S655" s="455" t="n">
        <v>0</v>
      </c>
      <c r="T655" s="455" t="n">
        <v>0</v>
      </c>
      <c r="U655" s="455" t="n">
        <v>0</v>
      </c>
      <c r="V655" s="455" t="n">
        <v>0</v>
      </c>
      <c r="W655" s="455" t="n">
        <v>0</v>
      </c>
      <c r="X655" s="455" t="n">
        <v>0</v>
      </c>
      <c r="Y655" s="455" t="n">
        <v>0</v>
      </c>
      <c r="Z655" s="455" t="n">
        <v>0</v>
      </c>
      <c r="AA655" s="455" t="n">
        <v>0</v>
      </c>
      <c r="AB655" s="455" t="n">
        <v>0</v>
      </c>
      <c r="AC655" s="455" t="n">
        <v>0</v>
      </c>
      <c r="AD655" s="455" t="n">
        <v>0</v>
      </c>
      <c r="AE655" s="455" t="n">
        <v>0</v>
      </c>
      <c r="AF655" s="455" t="n">
        <v>0</v>
      </c>
    </row>
    <row r="656" customFormat="false" ht="11.25" hidden="false" customHeight="false" outlineLevel="0" collapsed="false">
      <c r="A656" s="450"/>
      <c r="B656" s="238"/>
      <c r="C656" s="238"/>
      <c r="D656" s="238"/>
      <c r="E656" s="238"/>
      <c r="F656" s="238"/>
      <c r="G656" s="238"/>
      <c r="H656" s="238"/>
      <c r="I656" s="238"/>
      <c r="J656" s="663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238"/>
      <c r="W656" s="238"/>
      <c r="X656" s="238"/>
      <c r="Y656" s="238"/>
      <c r="Z656" s="238"/>
      <c r="AA656" s="238"/>
      <c r="AB656" s="238"/>
      <c r="AC656" s="238"/>
      <c r="AD656" s="238"/>
      <c r="AE656" s="238"/>
      <c r="AF656" s="238"/>
    </row>
    <row r="657" customFormat="false" ht="11.25" hidden="false" customHeight="false" outlineLevel="0" collapsed="false">
      <c r="A657" s="450" t="s">
        <v>653</v>
      </c>
      <c r="B657" s="238"/>
      <c r="C657" s="238"/>
      <c r="D657" s="238"/>
      <c r="E657" s="238"/>
      <c r="F657" s="238"/>
      <c r="G657" s="238"/>
      <c r="H657" s="238"/>
      <c r="I657" s="455" t="n">
        <f aca="false">I653</f>
        <v>0</v>
      </c>
      <c r="J657" s="659" t="n">
        <f aca="false">+J651</f>
        <v>0</v>
      </c>
      <c r="K657" s="455" t="n">
        <v>0</v>
      </c>
      <c r="L657" s="455" t="n">
        <v>0</v>
      </c>
      <c r="M657" s="455" t="n">
        <v>0</v>
      </c>
      <c r="N657" s="455" t="n">
        <v>0</v>
      </c>
      <c r="O657" s="455" t="n">
        <v>0</v>
      </c>
      <c r="P657" s="455" t="n">
        <v>0</v>
      </c>
      <c r="Q657" s="455" t="n">
        <v>0</v>
      </c>
      <c r="R657" s="455" t="n">
        <v>0</v>
      </c>
      <c r="S657" s="455" t="n">
        <v>0</v>
      </c>
      <c r="T657" s="455" t="n">
        <v>0</v>
      </c>
      <c r="U657" s="455" t="n">
        <v>0</v>
      </c>
      <c r="V657" s="455" t="n">
        <v>0</v>
      </c>
      <c r="W657" s="455" t="n">
        <v>0</v>
      </c>
      <c r="X657" s="455" t="n">
        <v>0</v>
      </c>
      <c r="Y657" s="455" t="n">
        <v>0</v>
      </c>
      <c r="Z657" s="455" t="n">
        <v>0</v>
      </c>
      <c r="AA657" s="455" t="n">
        <v>0</v>
      </c>
      <c r="AB657" s="455" t="n">
        <v>0</v>
      </c>
      <c r="AC657" s="455" t="n">
        <v>0</v>
      </c>
      <c r="AD657" s="455" t="n">
        <v>0</v>
      </c>
      <c r="AE657" s="455" t="n">
        <v>0</v>
      </c>
      <c r="AF657" s="455" t="n">
        <v>0</v>
      </c>
    </row>
    <row r="658" customFormat="false" ht="11.25" hidden="false" customHeight="false" outlineLevel="0" collapsed="false">
      <c r="A658" s="473" t="s">
        <v>654</v>
      </c>
      <c r="B658" s="238"/>
      <c r="C658" s="238"/>
      <c r="D658" s="238"/>
      <c r="E658" s="238"/>
      <c r="F658" s="238"/>
      <c r="G658" s="238"/>
      <c r="H658" s="238"/>
      <c r="I658" s="238" t="n">
        <f aca="false">I649-I657</f>
        <v>0</v>
      </c>
      <c r="J658" s="238" t="n">
        <v>0</v>
      </c>
      <c r="K658" s="238" t="n">
        <f aca="false">K649-K657</f>
        <v>0</v>
      </c>
      <c r="L658" s="238" t="n">
        <f aca="false">L649-L657</f>
        <v>0</v>
      </c>
      <c r="M658" s="238" t="n">
        <f aca="false">M649-M657</f>
        <v>0</v>
      </c>
      <c r="N658" s="238" t="n">
        <f aca="false">N649-N657</f>
        <v>0</v>
      </c>
      <c r="O658" s="238" t="n">
        <f aca="false">O649-O657</f>
        <v>0</v>
      </c>
      <c r="P658" s="238" t="n">
        <f aca="false">P649-P657</f>
        <v>0</v>
      </c>
      <c r="Q658" s="238" t="n">
        <f aca="false">Q649-Q657</f>
        <v>0</v>
      </c>
      <c r="R658" s="238" t="n">
        <f aca="false">R649-R657</f>
        <v>0</v>
      </c>
      <c r="S658" s="238" t="n">
        <f aca="false">S649-S657</f>
        <v>0</v>
      </c>
      <c r="T658" s="238" t="n">
        <f aca="false">T649-T657</f>
        <v>0</v>
      </c>
      <c r="U658" s="238" t="n">
        <f aca="false">U649-U657</f>
        <v>0</v>
      </c>
      <c r="V658" s="238" t="n">
        <f aca="false">V649-V657</f>
        <v>0</v>
      </c>
      <c r="W658" s="238" t="n">
        <f aca="false">W649-W657</f>
        <v>0</v>
      </c>
      <c r="X658" s="238" t="n">
        <f aca="false">X649-X657</f>
        <v>0</v>
      </c>
      <c r="Y658" s="238" t="n">
        <f aca="false">Y649-Y657</f>
        <v>0</v>
      </c>
      <c r="Z658" s="238" t="n">
        <f aca="false">Z649-Z657</f>
        <v>0</v>
      </c>
      <c r="AA658" s="238" t="n">
        <f aca="false">AA649-AA657</f>
        <v>0</v>
      </c>
      <c r="AB658" s="238" t="n">
        <f aca="false">AB649-AB657</f>
        <v>0</v>
      </c>
      <c r="AC658" s="238" t="n">
        <f aca="false">AC649-AC657</f>
        <v>0</v>
      </c>
      <c r="AD658" s="238" t="n">
        <f aca="false">AD649-AD657</f>
        <v>0</v>
      </c>
      <c r="AE658" s="238" t="n">
        <f aca="false">AE649-AE657</f>
        <v>0</v>
      </c>
      <c r="AF658" s="238" t="n">
        <f aca="false">AF649-AF657</f>
        <v>0</v>
      </c>
    </row>
    <row r="659" customFormat="false" ht="11.25" hidden="false" customHeight="false" outlineLevel="0" collapsed="false">
      <c r="A659" s="450" t="s">
        <v>655</v>
      </c>
      <c r="B659" s="238"/>
      <c r="C659" s="238"/>
      <c r="D659" s="238"/>
      <c r="E659" s="238"/>
      <c r="F659" s="238"/>
      <c r="G659" s="238"/>
      <c r="H659" s="238"/>
      <c r="I659" s="455" t="n">
        <v>0</v>
      </c>
      <c r="J659" s="455" t="n">
        <v>0</v>
      </c>
      <c r="K659" s="455" t="n">
        <v>0</v>
      </c>
      <c r="L659" s="455" t="n">
        <v>0</v>
      </c>
      <c r="M659" s="455" t="n">
        <v>0</v>
      </c>
      <c r="N659" s="455" t="n">
        <v>0</v>
      </c>
      <c r="O659" s="455" t="n">
        <v>0</v>
      </c>
      <c r="P659" s="455" t="n">
        <v>0</v>
      </c>
      <c r="Q659" s="455" t="n">
        <v>0</v>
      </c>
      <c r="R659" s="455" t="n">
        <v>0</v>
      </c>
      <c r="S659" s="455" t="n">
        <v>0</v>
      </c>
      <c r="T659" s="455" t="n">
        <v>0</v>
      </c>
      <c r="U659" s="455" t="n">
        <v>0</v>
      </c>
      <c r="V659" s="455" t="n">
        <v>0</v>
      </c>
      <c r="W659" s="455" t="n">
        <v>0</v>
      </c>
      <c r="X659" s="455" t="n">
        <v>0</v>
      </c>
      <c r="Y659" s="455" t="n">
        <v>0</v>
      </c>
      <c r="Z659" s="455" t="n">
        <v>0</v>
      </c>
      <c r="AA659" s="455" t="n">
        <v>0</v>
      </c>
      <c r="AB659" s="455" t="n">
        <v>0</v>
      </c>
      <c r="AC659" s="455" t="n">
        <v>0</v>
      </c>
      <c r="AD659" s="455" t="n">
        <v>0</v>
      </c>
      <c r="AE659" s="455" t="n">
        <v>0</v>
      </c>
      <c r="AF659" s="455" t="n">
        <v>0</v>
      </c>
    </row>
    <row r="660" customFormat="false" ht="11.25" hidden="false" customHeight="false" outlineLevel="0" collapsed="false">
      <c r="A660" s="450"/>
      <c r="B660" s="238"/>
      <c r="C660" s="238"/>
      <c r="D660" s="238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  <c r="U660" s="238"/>
      <c r="V660" s="238"/>
      <c r="W660" s="238"/>
      <c r="X660" s="238"/>
      <c r="Y660" s="238"/>
      <c r="Z660" s="238"/>
      <c r="AA660" s="238"/>
      <c r="AB660" s="238"/>
      <c r="AC660" s="238"/>
      <c r="AD660" s="238"/>
      <c r="AE660" s="238"/>
      <c r="AF660" s="238"/>
    </row>
    <row r="661" customFormat="false" ht="11.25" hidden="false" customHeight="false" outlineLevel="0" collapsed="false">
      <c r="A661" s="450" t="s">
        <v>656</v>
      </c>
      <c r="B661" s="238"/>
      <c r="C661" s="238"/>
      <c r="D661" s="238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</row>
    <row r="662" customFormat="false" ht="12" hidden="false" customHeight="false" outlineLevel="0" collapsed="false">
      <c r="A662" s="450"/>
      <c r="B662" s="238"/>
      <c r="C662" s="238"/>
      <c r="D662" s="238"/>
      <c r="E662" s="468"/>
      <c r="F662" s="468"/>
      <c r="G662" s="468"/>
      <c r="H662" s="468"/>
      <c r="I662" s="238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238"/>
      <c r="W662" s="238"/>
      <c r="X662" s="238"/>
      <c r="Y662" s="238"/>
      <c r="Z662" s="238"/>
      <c r="AA662" s="238"/>
      <c r="AB662" s="238"/>
      <c r="AC662" s="238"/>
      <c r="AD662" s="238"/>
      <c r="AE662" s="238"/>
      <c r="AF662" s="238"/>
    </row>
    <row r="663" customFormat="false" ht="12.75" hidden="false" customHeight="false" outlineLevel="0" collapsed="false">
      <c r="A663" s="431"/>
      <c r="B663" s="431"/>
      <c r="C663" s="431"/>
      <c r="D663" s="431"/>
      <c r="E663" s="431"/>
      <c r="F663" s="431"/>
      <c r="G663" s="431"/>
      <c r="H663" s="431"/>
      <c r="I663" s="431"/>
      <c r="J663" s="431"/>
      <c r="K663" s="431"/>
      <c r="L663" s="431"/>
      <c r="M663" s="431"/>
      <c r="N663" s="431"/>
      <c r="O663" s="431"/>
      <c r="P663" s="431"/>
      <c r="Q663" s="431"/>
      <c r="R663" s="431"/>
      <c r="S663" s="431"/>
      <c r="T663" s="431"/>
      <c r="U663" s="431"/>
      <c r="V663" s="431"/>
      <c r="W663" s="431"/>
      <c r="X663" s="431"/>
      <c r="Y663" s="431"/>
      <c r="Z663" s="431"/>
      <c r="AA663" s="431"/>
      <c r="AB663" s="431"/>
      <c r="AC663" s="431"/>
      <c r="AD663" s="431"/>
      <c r="AE663" s="431"/>
      <c r="AF663" s="431"/>
    </row>
    <row r="664" customFormat="false" ht="12" hidden="false" customHeight="false" outlineLevel="0" collapsed="false">
      <c r="A664" s="341" t="s">
        <v>657</v>
      </c>
      <c r="B664" s="238"/>
      <c r="C664" s="238"/>
      <c r="D664" s="238"/>
      <c r="E664" s="641" t="n">
        <f aca="false">E$638</f>
        <v>35430</v>
      </c>
      <c r="F664" s="641" t="n">
        <f aca="false">F$638</f>
        <v>35795</v>
      </c>
      <c r="G664" s="641" t="n">
        <f aca="false">G$638</f>
        <v>36160</v>
      </c>
      <c r="H664" s="642" t="n">
        <f aca="false">H$638</f>
        <v>36373</v>
      </c>
      <c r="I664" s="643" t="n">
        <f aca="false">I$638</f>
        <v>36525</v>
      </c>
      <c r="J664" s="644" t="n">
        <f aca="false">J$638</f>
        <v>36891</v>
      </c>
      <c r="K664" s="644" t="n">
        <f aca="false">K$638</f>
        <v>37256</v>
      </c>
      <c r="L664" s="644" t="n">
        <f aca="false">L$638</f>
        <v>37621</v>
      </c>
      <c r="M664" s="644" t="n">
        <f aca="false">M$638</f>
        <v>37986</v>
      </c>
      <c r="N664" s="644" t="n">
        <f aca="false">N$638</f>
        <v>38352</v>
      </c>
      <c r="O664" s="644" t="n">
        <f aca="false">O$638</f>
        <v>38717</v>
      </c>
      <c r="P664" s="644" t="n">
        <f aca="false">P$638</f>
        <v>39082</v>
      </c>
      <c r="Q664" s="644" t="n">
        <f aca="false">Q$638</f>
        <v>39447</v>
      </c>
      <c r="R664" s="644" t="n">
        <f aca="false">R$638</f>
        <v>39813</v>
      </c>
      <c r="S664" s="644" t="n">
        <f aca="false">S$638</f>
        <v>40178</v>
      </c>
      <c r="T664" s="644" t="n">
        <f aca="false">T$638</f>
        <v>40543</v>
      </c>
      <c r="U664" s="644" t="n">
        <f aca="false">U$638</f>
        <v>40908</v>
      </c>
      <c r="V664" s="644" t="n">
        <f aca="false">V$638</f>
        <v>41274</v>
      </c>
      <c r="W664" s="644" t="n">
        <f aca="false">W$638</f>
        <v>41639</v>
      </c>
      <c r="X664" s="644" t="n">
        <f aca="false">X$638</f>
        <v>42004</v>
      </c>
      <c r="Y664" s="644" t="n">
        <f aca="false">Y$638</f>
        <v>42369</v>
      </c>
      <c r="Z664" s="644" t="n">
        <f aca="false">Z$638</f>
        <v>42735</v>
      </c>
      <c r="AA664" s="644" t="n">
        <f aca="false">AA$638</f>
        <v>43100</v>
      </c>
      <c r="AB664" s="644" t="n">
        <f aca="false">AB$638</f>
        <v>43465</v>
      </c>
      <c r="AC664" s="644" t="n">
        <f aca="false">AC$638</f>
        <v>43830</v>
      </c>
      <c r="AD664" s="644" t="n">
        <f aca="false">AD$638</f>
        <v>44196</v>
      </c>
      <c r="AE664" s="644" t="n">
        <f aca="false">AE$638</f>
        <v>44561</v>
      </c>
      <c r="AF664" s="644" t="n">
        <f aca="false">AF$638</f>
        <v>44926</v>
      </c>
    </row>
    <row r="665" customFormat="false" ht="12" hidden="false" customHeight="false" outlineLevel="0" collapsed="false">
      <c r="A665" s="238"/>
      <c r="B665" s="238"/>
      <c r="C665" s="238"/>
      <c r="D665" s="238"/>
      <c r="E665" s="540" t="s">
        <v>658</v>
      </c>
      <c r="F665" s="540" t="s">
        <v>658</v>
      </c>
      <c r="G665" s="540" t="s">
        <v>658</v>
      </c>
      <c r="H665" s="645" t="s">
        <v>658</v>
      </c>
      <c r="I665" s="646" t="s">
        <v>659</v>
      </c>
      <c r="J665" s="647" t="s">
        <v>659</v>
      </c>
      <c r="K665" s="647" t="s">
        <v>659</v>
      </c>
      <c r="L665" s="647" t="s">
        <v>659</v>
      </c>
      <c r="M665" s="647" t="s">
        <v>659</v>
      </c>
      <c r="N665" s="647" t="s">
        <v>659</v>
      </c>
      <c r="O665" s="647" t="s">
        <v>659</v>
      </c>
      <c r="P665" s="647" t="s">
        <v>659</v>
      </c>
      <c r="Q665" s="647" t="s">
        <v>659</v>
      </c>
      <c r="R665" s="647" t="s">
        <v>659</v>
      </c>
      <c r="S665" s="647" t="s">
        <v>659</v>
      </c>
      <c r="T665" s="647" t="s">
        <v>659</v>
      </c>
      <c r="U665" s="647" t="s">
        <v>659</v>
      </c>
      <c r="V665" s="647" t="s">
        <v>659</v>
      </c>
      <c r="W665" s="647" t="s">
        <v>659</v>
      </c>
      <c r="X665" s="647" t="s">
        <v>659</v>
      </c>
      <c r="Y665" s="647" t="s">
        <v>659</v>
      </c>
      <c r="Z665" s="647" t="s">
        <v>659</v>
      </c>
      <c r="AA665" s="647" t="s">
        <v>659</v>
      </c>
      <c r="AB665" s="647" t="s">
        <v>659</v>
      </c>
      <c r="AC665" s="647" t="s">
        <v>659</v>
      </c>
      <c r="AD665" s="647" t="s">
        <v>659</v>
      </c>
      <c r="AE665" s="647" t="s">
        <v>659</v>
      </c>
      <c r="AF665" s="647" t="s">
        <v>659</v>
      </c>
    </row>
    <row r="666" customFormat="false" ht="12" hidden="false" customHeight="false" outlineLevel="0" collapsed="false">
      <c r="A666" s="450" t="s">
        <v>660</v>
      </c>
      <c r="B666" s="238"/>
      <c r="C666" s="238"/>
      <c r="D666" s="238"/>
      <c r="E666" s="467" t="n">
        <v>0</v>
      </c>
      <c r="F666" s="467" t="n">
        <v>0</v>
      </c>
      <c r="G666" s="467" t="n">
        <v>0</v>
      </c>
      <c r="H666" s="467" t="n">
        <v>0</v>
      </c>
      <c r="I666" s="238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</row>
    <row r="667" customFormat="false" ht="11.25" hidden="false" customHeight="false" outlineLevel="0" collapsed="false">
      <c r="A667" s="450" t="s">
        <v>82</v>
      </c>
      <c r="B667" s="238"/>
      <c r="C667" s="238"/>
      <c r="D667" s="238"/>
      <c r="E667" s="238"/>
      <c r="F667" s="238"/>
      <c r="G667" s="238"/>
      <c r="H667" s="238"/>
      <c r="I667" s="664" t="n">
        <f aca="false">Summary!E32</f>
        <v>0</v>
      </c>
      <c r="J667" s="664" t="n">
        <f aca="false">I667</f>
        <v>0</v>
      </c>
      <c r="K667" s="664" t="n">
        <f aca="false">J667</f>
        <v>0</v>
      </c>
      <c r="L667" s="664" t="n">
        <f aca="false">K667</f>
        <v>0</v>
      </c>
      <c r="M667" s="664" t="n">
        <f aca="false">L667</f>
        <v>0</v>
      </c>
      <c r="N667" s="664" t="n">
        <f aca="false">M667</f>
        <v>0</v>
      </c>
      <c r="O667" s="664" t="n">
        <f aca="false">N667</f>
        <v>0</v>
      </c>
      <c r="P667" s="664" t="n">
        <f aca="false">O667</f>
        <v>0</v>
      </c>
      <c r="Q667" s="664" t="n">
        <f aca="false">P667</f>
        <v>0</v>
      </c>
      <c r="R667" s="664" t="n">
        <f aca="false">Q667</f>
        <v>0</v>
      </c>
      <c r="S667" s="664" t="n">
        <f aca="false">R667</f>
        <v>0</v>
      </c>
      <c r="T667" s="664" t="n">
        <f aca="false">S667</f>
        <v>0</v>
      </c>
      <c r="U667" s="664" t="n">
        <f aca="false">T667</f>
        <v>0</v>
      </c>
      <c r="V667" s="664" t="n">
        <f aca="false">U667</f>
        <v>0</v>
      </c>
      <c r="W667" s="664" t="n">
        <f aca="false">V667</f>
        <v>0</v>
      </c>
      <c r="X667" s="664" t="n">
        <f aca="false">W667</f>
        <v>0</v>
      </c>
      <c r="Y667" s="664" t="n">
        <f aca="false">X667</f>
        <v>0</v>
      </c>
      <c r="Z667" s="664" t="n">
        <f aca="false">Y667</f>
        <v>0</v>
      </c>
      <c r="AA667" s="664" t="n">
        <f aca="false">Z667</f>
        <v>0</v>
      </c>
      <c r="AB667" s="664" t="n">
        <f aca="false">AA667</f>
        <v>0</v>
      </c>
      <c r="AC667" s="664" t="n">
        <f aca="false">AB667</f>
        <v>0</v>
      </c>
      <c r="AD667" s="664" t="n">
        <f aca="false">AC667</f>
        <v>0</v>
      </c>
      <c r="AE667" s="664" t="n">
        <f aca="false">AD667</f>
        <v>0</v>
      </c>
      <c r="AF667" s="664" t="n">
        <f aca="false">AE667</f>
        <v>0</v>
      </c>
    </row>
    <row r="668" customFormat="false" ht="11.25" hidden="false" customHeight="false" outlineLevel="0" collapsed="false">
      <c r="A668" s="450" t="s">
        <v>85</v>
      </c>
      <c r="B668" s="238"/>
      <c r="C668" s="238"/>
      <c r="D668" s="238"/>
      <c r="E668" s="238"/>
      <c r="F668" s="238"/>
      <c r="G668" s="238"/>
      <c r="H668" s="238"/>
      <c r="I668" s="637" t="n">
        <f aca="false">Summary!E33</f>
        <v>0</v>
      </c>
      <c r="J668" s="637" t="n">
        <f aca="false">I668</f>
        <v>0</v>
      </c>
      <c r="K668" s="637" t="n">
        <f aca="false">J668</f>
        <v>0</v>
      </c>
      <c r="L668" s="637" t="n">
        <f aca="false">K668</f>
        <v>0</v>
      </c>
      <c r="M668" s="637" t="n">
        <f aca="false">L668</f>
        <v>0</v>
      </c>
      <c r="N668" s="637" t="n">
        <f aca="false">M668</f>
        <v>0</v>
      </c>
      <c r="O668" s="637" t="n">
        <f aca="false">N668</f>
        <v>0</v>
      </c>
      <c r="P668" s="637" t="n">
        <f aca="false">O668</f>
        <v>0</v>
      </c>
      <c r="Q668" s="637" t="n">
        <f aca="false">P668</f>
        <v>0</v>
      </c>
      <c r="R668" s="637" t="n">
        <f aca="false">Q668</f>
        <v>0</v>
      </c>
      <c r="S668" s="637" t="n">
        <f aca="false">R668</f>
        <v>0</v>
      </c>
      <c r="T668" s="637" t="n">
        <f aca="false">S668</f>
        <v>0</v>
      </c>
      <c r="U668" s="637" t="n">
        <f aca="false">T668</f>
        <v>0</v>
      </c>
      <c r="V668" s="637" t="n">
        <f aca="false">U668</f>
        <v>0</v>
      </c>
      <c r="W668" s="637" t="n">
        <f aca="false">V668</f>
        <v>0</v>
      </c>
      <c r="X668" s="637" t="n">
        <f aca="false">W668</f>
        <v>0</v>
      </c>
      <c r="Y668" s="637" t="n">
        <f aca="false">X668</f>
        <v>0</v>
      </c>
      <c r="Z668" s="637" t="n">
        <f aca="false">Y668</f>
        <v>0</v>
      </c>
      <c r="AA668" s="637" t="n">
        <f aca="false">Z668</f>
        <v>0</v>
      </c>
      <c r="AB668" s="637" t="n">
        <f aca="false">AA668</f>
        <v>0</v>
      </c>
      <c r="AC668" s="637" t="n">
        <f aca="false">AB668</f>
        <v>0</v>
      </c>
      <c r="AD668" s="637" t="n">
        <f aca="false">AC668</f>
        <v>0</v>
      </c>
      <c r="AE668" s="637" t="n">
        <f aca="false">AD668</f>
        <v>0</v>
      </c>
      <c r="AF668" s="637" t="n">
        <f aca="false">AE668</f>
        <v>0</v>
      </c>
    </row>
    <row r="669" customFormat="false" ht="11.25" hidden="false" customHeight="false" outlineLevel="0" collapsed="false">
      <c r="A669" s="665" t="s">
        <v>661</v>
      </c>
      <c r="B669" s="241"/>
      <c r="C669" s="241"/>
      <c r="D669" s="241"/>
      <c r="E669" s="241"/>
      <c r="F669" s="241"/>
      <c r="G669" s="241"/>
      <c r="H669" s="241"/>
      <c r="I669" s="637" t="n">
        <v>0</v>
      </c>
      <c r="J669" s="637" t="n">
        <v>0</v>
      </c>
      <c r="K669" s="637" t="n">
        <v>0</v>
      </c>
      <c r="L669" s="637" t="n">
        <v>0</v>
      </c>
      <c r="M669" s="637" t="n">
        <v>0</v>
      </c>
      <c r="N669" s="637" t="n">
        <v>0</v>
      </c>
      <c r="O669" s="637" t="n">
        <v>0</v>
      </c>
      <c r="P669" s="637" t="n">
        <v>0</v>
      </c>
      <c r="Q669" s="637" t="n">
        <v>0</v>
      </c>
      <c r="R669" s="637" t="n">
        <v>0</v>
      </c>
      <c r="S669" s="637" t="n">
        <v>0</v>
      </c>
      <c r="T669" s="637" t="n">
        <v>0</v>
      </c>
      <c r="U669" s="637" t="n">
        <v>0</v>
      </c>
      <c r="V669" s="637" t="n">
        <v>0</v>
      </c>
      <c r="W669" s="637" t="n">
        <v>0</v>
      </c>
      <c r="X669" s="637" t="n">
        <v>0</v>
      </c>
      <c r="Y669" s="637" t="n">
        <v>0</v>
      </c>
      <c r="Z669" s="637" t="n">
        <v>0</v>
      </c>
      <c r="AA669" s="637" t="n">
        <v>0</v>
      </c>
      <c r="AB669" s="637" t="n">
        <v>0</v>
      </c>
      <c r="AC669" s="637" t="n">
        <v>0</v>
      </c>
      <c r="AD669" s="637" t="n">
        <v>0</v>
      </c>
      <c r="AE669" s="637" t="n">
        <v>0</v>
      </c>
      <c r="AF669" s="637" t="n">
        <v>0</v>
      </c>
    </row>
    <row r="670" customFormat="false" ht="11.25" hidden="false" customHeight="false" outlineLevel="0" collapsed="false">
      <c r="A670" s="450"/>
      <c r="B670" s="238"/>
      <c r="C670" s="238"/>
      <c r="D670" s="238"/>
      <c r="E670" s="238"/>
      <c r="F670" s="238"/>
      <c r="G670" s="238"/>
      <c r="H670" s="238"/>
      <c r="I670" s="637"/>
      <c r="J670" s="637"/>
      <c r="K670" s="637"/>
      <c r="L670" s="637"/>
      <c r="M670" s="637"/>
      <c r="N670" s="637"/>
      <c r="O670" s="637"/>
      <c r="P670" s="637"/>
      <c r="Q670" s="637"/>
      <c r="R670" s="637"/>
      <c r="S670" s="637"/>
      <c r="T670" s="637"/>
      <c r="U670" s="637"/>
      <c r="V670" s="637"/>
      <c r="W670" s="637"/>
      <c r="X670" s="637"/>
      <c r="Y670" s="637"/>
      <c r="Z670" s="637"/>
      <c r="AA670" s="637"/>
      <c r="AB670" s="637"/>
      <c r="AC670" s="637"/>
      <c r="AD670" s="637"/>
      <c r="AE670" s="637"/>
      <c r="AF670" s="637"/>
    </row>
    <row r="671" customFormat="false" ht="12" hidden="false" customHeight="false" outlineLevel="0" collapsed="false">
      <c r="A671" s="666"/>
      <c r="B671" s="667"/>
      <c r="C671" s="668"/>
      <c r="D671" s="667"/>
      <c r="E671" s="667"/>
      <c r="F671" s="667"/>
      <c r="G671" s="668"/>
      <c r="H671" s="669"/>
      <c r="I671" s="670"/>
      <c r="J671" s="667"/>
      <c r="K671" s="667"/>
      <c r="L671" s="671"/>
      <c r="M671" s="671"/>
      <c r="N671" s="671"/>
      <c r="O671" s="671"/>
      <c r="P671" s="671"/>
      <c r="Q671" s="671"/>
      <c r="R671" s="671"/>
      <c r="S671" s="671"/>
      <c r="T671" s="671"/>
      <c r="U671" s="671"/>
      <c r="V671" s="671"/>
      <c r="W671" s="671"/>
      <c r="X671" s="671"/>
      <c r="Y671" s="671"/>
      <c r="Z671" s="671"/>
      <c r="AA671" s="671"/>
      <c r="AB671" s="671"/>
      <c r="AC671" s="671"/>
      <c r="AD671" s="671"/>
      <c r="AE671" s="671"/>
      <c r="AF671" s="671"/>
    </row>
    <row r="672" customFormat="false" ht="12.75" hidden="false" customHeight="false" outlineLevel="0" collapsed="false">
      <c r="A672" s="450"/>
      <c r="B672" s="238"/>
      <c r="C672" s="238"/>
      <c r="D672" s="238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238"/>
      <c r="W672" s="238"/>
      <c r="X672" s="238"/>
      <c r="Y672" s="238"/>
      <c r="Z672" s="238"/>
      <c r="AA672" s="238"/>
      <c r="AB672" s="238"/>
      <c r="AC672" s="238"/>
      <c r="AD672" s="238"/>
      <c r="AE672" s="238"/>
      <c r="AF672" s="238"/>
    </row>
    <row r="673" customFormat="false" ht="17.25" hidden="false" customHeight="false" outlineLevel="0" collapsed="false">
      <c r="A673" s="672" t="s">
        <v>662</v>
      </c>
      <c r="B673" s="238"/>
      <c r="C673" s="238"/>
      <c r="D673" s="468"/>
      <c r="E673" s="464"/>
      <c r="F673" s="464"/>
      <c r="G673" s="464"/>
      <c r="H673" s="263" t="n">
        <f aca="false">H$638</f>
        <v>36373</v>
      </c>
      <c r="I673" s="505" t="n">
        <f aca="false">I$638</f>
        <v>36525</v>
      </c>
      <c r="J673" s="506" t="n">
        <f aca="false">J$638</f>
        <v>36891</v>
      </c>
      <c r="K673" s="506" t="n">
        <f aca="false">K$638</f>
        <v>37256</v>
      </c>
      <c r="L673" s="506" t="n">
        <f aca="false">L$638</f>
        <v>37621</v>
      </c>
      <c r="M673" s="506" t="n">
        <f aca="false">M$638</f>
        <v>37986</v>
      </c>
      <c r="N673" s="506" t="n">
        <f aca="false">N$638</f>
        <v>38352</v>
      </c>
      <c r="O673" s="506" t="n">
        <f aca="false">O$638</f>
        <v>38717</v>
      </c>
      <c r="P673" s="506" t="n">
        <f aca="false">P$638</f>
        <v>39082</v>
      </c>
      <c r="Q673" s="506" t="n">
        <f aca="false">Q$638</f>
        <v>39447</v>
      </c>
      <c r="R673" s="506" t="n">
        <f aca="false">R$638</f>
        <v>39813</v>
      </c>
      <c r="S673" s="506" t="n">
        <f aca="false">S$638</f>
        <v>40178</v>
      </c>
      <c r="T673" s="506" t="n">
        <f aca="false">T$638</f>
        <v>40543</v>
      </c>
      <c r="U673" s="506" t="n">
        <f aca="false">U$638</f>
        <v>40908</v>
      </c>
      <c r="V673" s="506" t="n">
        <f aca="false">V$638</f>
        <v>41274</v>
      </c>
      <c r="W673" s="506" t="n">
        <f aca="false">W$638</f>
        <v>41639</v>
      </c>
      <c r="X673" s="506" t="n">
        <f aca="false">X$638</f>
        <v>42004</v>
      </c>
      <c r="Y673" s="506" t="n">
        <f aca="false">Y$638</f>
        <v>42369</v>
      </c>
      <c r="Z673" s="506" t="n">
        <f aca="false">Z$638</f>
        <v>42735</v>
      </c>
      <c r="AA673" s="506" t="n">
        <f aca="false">AA$638</f>
        <v>43100</v>
      </c>
      <c r="AB673" s="506" t="n">
        <f aca="false">AB$638</f>
        <v>43465</v>
      </c>
      <c r="AC673" s="506" t="n">
        <f aca="false">AC$638</f>
        <v>43830</v>
      </c>
      <c r="AD673" s="506" t="n">
        <f aca="false">AD$638</f>
        <v>44196</v>
      </c>
      <c r="AE673" s="506" t="n">
        <f aca="false">AE$638</f>
        <v>44561</v>
      </c>
      <c r="AF673" s="506" t="n">
        <f aca="false">AF$638</f>
        <v>44926</v>
      </c>
    </row>
    <row r="674" customFormat="false" ht="12" hidden="false" customHeight="false" outlineLevel="0" collapsed="false">
      <c r="A674" s="673" t="s">
        <v>663</v>
      </c>
      <c r="B674" s="238"/>
      <c r="C674" s="238"/>
      <c r="D674" s="468"/>
      <c r="E674" s="468"/>
      <c r="F674" s="468"/>
      <c r="G674" s="468"/>
      <c r="H674" s="468"/>
      <c r="I674" s="430"/>
      <c r="J674" s="674"/>
      <c r="K674" s="468"/>
      <c r="L674" s="468"/>
      <c r="M674" s="468"/>
      <c r="N674" s="468"/>
      <c r="O674" s="468"/>
      <c r="P674" s="468"/>
      <c r="Q674" s="468"/>
      <c r="R674" s="468"/>
      <c r="S674" s="468"/>
      <c r="T674" s="468"/>
      <c r="U674" s="468"/>
      <c r="V674" s="468"/>
      <c r="W674" s="468"/>
      <c r="X674" s="468"/>
      <c r="Y674" s="468"/>
      <c r="Z674" s="468"/>
      <c r="AA674" s="468"/>
      <c r="AB674" s="468"/>
      <c r="AC674" s="468"/>
      <c r="AD674" s="468"/>
      <c r="AE674" s="468"/>
      <c r="AF674" s="468"/>
    </row>
    <row r="675" customFormat="false" ht="11.25" hidden="false" customHeight="false" outlineLevel="0" collapsed="false">
      <c r="A675" s="675" t="s">
        <v>664</v>
      </c>
      <c r="B675" s="238"/>
      <c r="C675" s="468"/>
      <c r="D675" s="468"/>
      <c r="E675" s="468"/>
      <c r="F675" s="468"/>
      <c r="G675" s="468"/>
      <c r="H675" s="676" t="n">
        <f aca="false">H345</f>
        <v>0</v>
      </c>
      <c r="I675" s="676" t="n">
        <f aca="false">I345</f>
        <v>-1847.14506211111</v>
      </c>
      <c r="J675" s="677" t="e">
        <f aca="false">J345</f>
        <v>#VALUE!</v>
      </c>
      <c r="K675" s="678" t="e">
        <f aca="false">K345</f>
        <v>#VALUE!</v>
      </c>
      <c r="L675" s="678" t="e">
        <f aca="false">L345</f>
        <v>#VALUE!</v>
      </c>
      <c r="M675" s="678" t="e">
        <f aca="false">M345</f>
        <v>#VALUE!</v>
      </c>
      <c r="N675" s="678" t="e">
        <f aca="false">N345</f>
        <v>#VALUE!</v>
      </c>
      <c r="O675" s="678" t="e">
        <f aca="false">O345</f>
        <v>#VALUE!</v>
      </c>
      <c r="P675" s="678" t="e">
        <f aca="false">P345</f>
        <v>#VALUE!</v>
      </c>
      <c r="Q675" s="678" t="e">
        <f aca="false">Q345</f>
        <v>#VALUE!</v>
      </c>
      <c r="R675" s="678" t="e">
        <f aca="false">R345</f>
        <v>#VALUE!</v>
      </c>
      <c r="S675" s="678" t="e">
        <f aca="false">S345</f>
        <v>#VALUE!</v>
      </c>
      <c r="T675" s="678" t="e">
        <f aca="false">T345</f>
        <v>#VALUE!</v>
      </c>
      <c r="U675" s="678" t="e">
        <f aca="false">U345</f>
        <v>#VALUE!</v>
      </c>
      <c r="V675" s="678" t="e">
        <f aca="false">V345</f>
        <v>#VALUE!</v>
      </c>
      <c r="W675" s="678" t="e">
        <f aca="false">W345</f>
        <v>#VALUE!</v>
      </c>
      <c r="X675" s="678" t="e">
        <f aca="false">X345</f>
        <v>#VALUE!</v>
      </c>
      <c r="Y675" s="678" t="e">
        <f aca="false">Y345</f>
        <v>#VALUE!</v>
      </c>
      <c r="Z675" s="678" t="e">
        <f aca="false">Z345</f>
        <v>#VALUE!</v>
      </c>
      <c r="AA675" s="678" t="e">
        <f aca="false">AA345</f>
        <v>#VALUE!</v>
      </c>
      <c r="AB675" s="678" t="e">
        <f aca="false">AB345</f>
        <v>#VALUE!</v>
      </c>
      <c r="AC675" s="678" t="e">
        <f aca="false">AC345</f>
        <v>#VALUE!</v>
      </c>
      <c r="AD675" s="678" t="e">
        <f aca="false">AD345</f>
        <v>#VALUE!</v>
      </c>
      <c r="AE675" s="678" t="e">
        <f aca="false">AE345</f>
        <v>#VALUE!</v>
      </c>
      <c r="AF675" s="678" t="e">
        <f aca="false">AF345</f>
        <v>#VALUE!</v>
      </c>
    </row>
    <row r="676" customFormat="false" ht="11.25" hidden="false" customHeight="false" outlineLevel="0" collapsed="false">
      <c r="A676" s="675" t="s">
        <v>665</v>
      </c>
      <c r="B676" s="675" t="s">
        <v>666</v>
      </c>
      <c r="C676" s="468"/>
      <c r="D676" s="468"/>
      <c r="E676" s="468"/>
      <c r="F676" s="468"/>
      <c r="G676" s="468"/>
      <c r="H676" s="676" t="n">
        <f aca="false">H778+H655</f>
        <v>0</v>
      </c>
      <c r="I676" s="676" t="n">
        <f aca="false">I778+I655</f>
        <v>2186.51543111111</v>
      </c>
      <c r="J676" s="677" t="n">
        <f aca="false">J778+J655</f>
        <v>5247.63703466667</v>
      </c>
      <c r="K676" s="676" t="n">
        <f aca="false">K778+K655</f>
        <v>5247.63703466667</v>
      </c>
      <c r="L676" s="676" t="n">
        <f aca="false">L778+L655</f>
        <v>5247.63703466667</v>
      </c>
      <c r="M676" s="676" t="n">
        <f aca="false">M778+M655</f>
        <v>5317.00706672801</v>
      </c>
      <c r="N676" s="676" t="n">
        <f aca="false">N778+N655</f>
        <v>5414.12511161389</v>
      </c>
      <c r="O676" s="676" t="n">
        <f aca="false">O778+O655</f>
        <v>5414.12511161389</v>
      </c>
      <c r="P676" s="676" t="n">
        <f aca="false">P778+P655</f>
        <v>5414.12511161389</v>
      </c>
      <c r="Q676" s="676" t="n">
        <f aca="false">Q778+Q655</f>
        <v>5414.12511161389</v>
      </c>
      <c r="R676" s="676" t="n">
        <f aca="false">R778+R655</f>
        <v>5414.12511161389</v>
      </c>
      <c r="S676" s="676" t="n">
        <f aca="false">S778+S655</f>
        <v>5414.12511161389</v>
      </c>
      <c r="T676" s="676" t="n">
        <f aca="false">T778+T655</f>
        <v>5414.12511161389</v>
      </c>
      <c r="U676" s="676" t="n">
        <f aca="false">U778+U655</f>
        <v>5442.18504382222</v>
      </c>
      <c r="V676" s="676" t="n">
        <f aca="false">V778+V655</f>
        <v>5481.46894891387</v>
      </c>
      <c r="W676" s="676" t="n">
        <f aca="false">W778+W655</f>
        <v>5481.46894891387</v>
      </c>
      <c r="X676" s="676" t="n">
        <f aca="false">X778+X655</f>
        <v>3294.95351780276</v>
      </c>
      <c r="Y676" s="676" t="n">
        <f aca="false">Y778+Y655</f>
        <v>570.485952616474</v>
      </c>
      <c r="Z676" s="676" t="n">
        <f aca="false">Z778+Z655</f>
        <v>1041.80160633345</v>
      </c>
      <c r="AA676" s="676" t="n">
        <f aca="false">AA778+AA655</f>
        <v>1041.80160633345</v>
      </c>
      <c r="AB676" s="676" t="n">
        <f aca="false">AB778+AB655</f>
        <v>1041.80160633345</v>
      </c>
      <c r="AC676" s="676" t="n">
        <f aca="false">AC778+AC655</f>
        <v>944.371642063778</v>
      </c>
      <c r="AD676" s="676" t="n">
        <f aca="false">AD778+AD655</f>
        <v>807.96969208624</v>
      </c>
      <c r="AE676" s="676" t="n">
        <f aca="false">AE778+AE655</f>
        <v>807.96969208624</v>
      </c>
      <c r="AF676" s="676" t="n">
        <f aca="false">AF778+AF655</f>
        <v>807.96969208624</v>
      </c>
    </row>
    <row r="677" customFormat="false" ht="11.25" hidden="false" customHeight="false" outlineLevel="0" collapsed="false">
      <c r="A677" s="454"/>
      <c r="B677" s="679" t="s">
        <v>667</v>
      </c>
      <c r="C677" s="238"/>
      <c r="D677" s="238"/>
      <c r="E677" s="238"/>
      <c r="F677" s="238"/>
      <c r="G677" s="238"/>
      <c r="H677" s="680" t="n">
        <f aca="false">-H343</f>
        <v>-0</v>
      </c>
      <c r="I677" s="680" t="n">
        <f aca="false">-I343</f>
        <v>-0</v>
      </c>
      <c r="J677" s="681" t="n">
        <f aca="false">-J343</f>
        <v>-0</v>
      </c>
      <c r="K677" s="680" t="n">
        <f aca="false">-K343</f>
        <v>-0</v>
      </c>
      <c r="L677" s="680" t="n">
        <f aca="false">-L343</f>
        <v>-0</v>
      </c>
      <c r="M677" s="680" t="n">
        <f aca="false">-M343</f>
        <v>-0</v>
      </c>
      <c r="N677" s="680" t="n">
        <f aca="false">-N343</f>
        <v>-0</v>
      </c>
      <c r="O677" s="680" t="n">
        <f aca="false">-O343</f>
        <v>-0</v>
      </c>
      <c r="P677" s="680" t="n">
        <f aca="false">-P343</f>
        <v>-0</v>
      </c>
      <c r="Q677" s="680" t="n">
        <f aca="false">-Q343</f>
        <v>-0</v>
      </c>
      <c r="R677" s="680" t="n">
        <f aca="false">-R343</f>
        <v>-0</v>
      </c>
      <c r="S677" s="680" t="n">
        <f aca="false">-S343</f>
        <v>-0</v>
      </c>
      <c r="T677" s="680" t="n">
        <f aca="false">-T343</f>
        <v>-0</v>
      </c>
      <c r="U677" s="680" t="n">
        <f aca="false">-U343</f>
        <v>-0</v>
      </c>
      <c r="V677" s="680" t="n">
        <f aca="false">-V343</f>
        <v>-0</v>
      </c>
      <c r="W677" s="680" t="n">
        <f aca="false">-W343</f>
        <v>-0</v>
      </c>
      <c r="X677" s="680" t="n">
        <f aca="false">-X343</f>
        <v>-0</v>
      </c>
      <c r="Y677" s="680" t="n">
        <f aca="false">-Y343</f>
        <v>-0</v>
      </c>
      <c r="Z677" s="680" t="n">
        <f aca="false">-Z343</f>
        <v>-0</v>
      </c>
      <c r="AA677" s="680" t="n">
        <f aca="false">-AA343</f>
        <v>-0</v>
      </c>
      <c r="AB677" s="680" t="n">
        <f aca="false">-AB343</f>
        <v>-0</v>
      </c>
      <c r="AC677" s="680" t="n">
        <f aca="false">-AC343</f>
        <v>-0</v>
      </c>
      <c r="AD677" s="680" t="n">
        <f aca="false">-AD343</f>
        <v>-0</v>
      </c>
      <c r="AE677" s="680" t="n">
        <f aca="false">-AE343</f>
        <v>-0</v>
      </c>
      <c r="AF677" s="680" t="n">
        <f aca="false">-AF343</f>
        <v>-0</v>
      </c>
    </row>
    <row r="678" customFormat="false" ht="11.25" hidden="false" customHeight="false" outlineLevel="0" collapsed="false">
      <c r="A678" s="675" t="s">
        <v>668</v>
      </c>
      <c r="B678" s="507" t="s">
        <v>669</v>
      </c>
      <c r="C678" s="468"/>
      <c r="D678" s="467"/>
      <c r="E678" s="467"/>
      <c r="F678" s="467"/>
      <c r="G678" s="467"/>
      <c r="H678" s="676" t="n">
        <f aca="false">-(H779+H659)</f>
        <v>-0</v>
      </c>
      <c r="I678" s="676" t="n">
        <f aca="false">-(I779+I659)</f>
        <v>-3277.97601069589</v>
      </c>
      <c r="J678" s="677" t="n">
        <f aca="false">-(J779+J659)</f>
        <v>-7541.50138776548</v>
      </c>
      <c r="K678" s="676" t="n">
        <f aca="false">-(K779+K659)</f>
        <v>-6767.94218050455</v>
      </c>
      <c r="L678" s="676" t="n">
        <f aca="false">-(L779+L659)</f>
        <v>-6091.14796245409</v>
      </c>
      <c r="M678" s="676" t="n">
        <f aca="false">-(M779+M659)</f>
        <v>-5586.03119783599</v>
      </c>
      <c r="N678" s="676" t="n">
        <f aca="false">-(N779+N659)</f>
        <v>-5176.66833686555</v>
      </c>
      <c r="O678" s="676" t="n">
        <f aca="false">-(O779+O659)</f>
        <v>-4821.68524896114</v>
      </c>
      <c r="P678" s="676" t="n">
        <f aca="false">-(P779+P659)</f>
        <v>-4790.4778215326</v>
      </c>
      <c r="Q678" s="676" t="n">
        <f aca="false">-(Q779+Q659)</f>
        <v>-5137.86538636625</v>
      </c>
      <c r="R678" s="676" t="n">
        <f aca="false">-(R779+R659)</f>
        <v>-5587.63563099592</v>
      </c>
      <c r="S678" s="676" t="n">
        <f aca="false">-(S779+S659)</f>
        <v>-5423.19642874056</v>
      </c>
      <c r="T678" s="676" t="n">
        <f aca="false">-(T779+T659)</f>
        <v>-5315.14024058541</v>
      </c>
      <c r="U678" s="676" t="n">
        <f aca="false">-(U779+U659)</f>
        <v>-5356.92241221546</v>
      </c>
      <c r="V678" s="676" t="n">
        <f aca="false">-(V779+V659)</f>
        <v>-5465.92250964061</v>
      </c>
      <c r="W678" s="676" t="n">
        <f aca="false">-(W779+W659)</f>
        <v>-5390.45568182014</v>
      </c>
      <c r="X678" s="676" t="n">
        <f aca="false">-(X779+X659)</f>
        <v>-3360.07574667055</v>
      </c>
      <c r="Y678" s="676" t="n">
        <f aca="false">-(Y779+Y659)</f>
        <v>-989.466826239399</v>
      </c>
      <c r="Z678" s="676" t="n">
        <f aca="false">-(Z779+Z659)</f>
        <v>-1317.37517159917</v>
      </c>
      <c r="AA678" s="676" t="n">
        <f aca="false">-(AA779+AA659)</f>
        <v>-1104.74630254402</v>
      </c>
      <c r="AB678" s="676" t="n">
        <f aca="false">-(AB779+AB659)</f>
        <v>-953.296084651023</v>
      </c>
      <c r="AC678" s="676" t="n">
        <f aca="false">-(AC779+AC659)</f>
        <v>-806.959392974248</v>
      </c>
      <c r="AD678" s="676" t="n">
        <f aca="false">-(AD779+AD659)</f>
        <v>-693.402114653699</v>
      </c>
      <c r="AE678" s="676" t="n">
        <f aca="false">-(AE779+AE659)</f>
        <v>-691.50238283273</v>
      </c>
      <c r="AF678" s="676" t="n">
        <f aca="false">-(AF779+AF659)</f>
        <v>-691.50238283273</v>
      </c>
    </row>
    <row r="679" customFormat="false" ht="11.25" hidden="false" customHeight="false" outlineLevel="0" collapsed="false">
      <c r="A679" s="454"/>
      <c r="B679" s="679" t="s">
        <v>670</v>
      </c>
      <c r="C679" s="238"/>
      <c r="D679" s="238"/>
      <c r="E679" s="238"/>
      <c r="F679" s="238"/>
      <c r="G679" s="238"/>
      <c r="H679" s="680" t="n">
        <f aca="false">H658</f>
        <v>0</v>
      </c>
      <c r="I679" s="680" t="n">
        <f aca="false">I658</f>
        <v>0</v>
      </c>
      <c r="J679" s="681" t="n">
        <f aca="false">J658</f>
        <v>0</v>
      </c>
      <c r="K679" s="682" t="n">
        <f aca="false">K658</f>
        <v>0</v>
      </c>
      <c r="L679" s="682" t="n">
        <f aca="false">L658</f>
        <v>0</v>
      </c>
      <c r="M679" s="682" t="n">
        <f aca="false">M658</f>
        <v>0</v>
      </c>
      <c r="N679" s="682" t="n">
        <f aca="false">N658</f>
        <v>0</v>
      </c>
      <c r="O679" s="682" t="n">
        <f aca="false">O658</f>
        <v>0</v>
      </c>
      <c r="P679" s="682" t="n">
        <f aca="false">P658</f>
        <v>0</v>
      </c>
      <c r="Q679" s="682" t="n">
        <f aca="false">Q658</f>
        <v>0</v>
      </c>
      <c r="R679" s="682" t="n">
        <f aca="false">R658</f>
        <v>0</v>
      </c>
      <c r="S679" s="682" t="n">
        <f aca="false">S658</f>
        <v>0</v>
      </c>
      <c r="T679" s="682" t="n">
        <f aca="false">T658</f>
        <v>0</v>
      </c>
      <c r="U679" s="682" t="n">
        <f aca="false">U658</f>
        <v>0</v>
      </c>
      <c r="V679" s="682" t="n">
        <f aca="false">V658</f>
        <v>0</v>
      </c>
      <c r="W679" s="682" t="n">
        <f aca="false">W658</f>
        <v>0</v>
      </c>
      <c r="X679" s="682" t="n">
        <f aca="false">X658</f>
        <v>0</v>
      </c>
      <c r="Y679" s="682" t="n">
        <f aca="false">Y658</f>
        <v>0</v>
      </c>
      <c r="Z679" s="682" t="n">
        <f aca="false">Z658</f>
        <v>0</v>
      </c>
      <c r="AA679" s="682" t="n">
        <f aca="false">AA658</f>
        <v>0</v>
      </c>
      <c r="AB679" s="682" t="n">
        <f aca="false">AB658</f>
        <v>0</v>
      </c>
      <c r="AC679" s="682" t="n">
        <f aca="false">AC658</f>
        <v>0</v>
      </c>
      <c r="AD679" s="682" t="n">
        <f aca="false">AD658</f>
        <v>0</v>
      </c>
      <c r="AE679" s="682" t="n">
        <f aca="false">AE658</f>
        <v>0</v>
      </c>
      <c r="AF679" s="682" t="n">
        <f aca="false">AF658</f>
        <v>0</v>
      </c>
    </row>
    <row r="680" customFormat="false" ht="11.25" hidden="false" customHeight="false" outlineLevel="0" collapsed="false">
      <c r="A680" s="675" t="s">
        <v>671</v>
      </c>
      <c r="B680" s="238"/>
      <c r="C680" s="468"/>
      <c r="D680" s="468"/>
      <c r="E680" s="468"/>
      <c r="F680" s="468"/>
      <c r="G680" s="468"/>
      <c r="H680" s="683" t="n">
        <f aca="false">SUM(H675:H679)</f>
        <v>0</v>
      </c>
      <c r="I680" s="683" t="n">
        <f aca="false">SUM(I675:I679)</f>
        <v>-2938.60564169589</v>
      </c>
      <c r="J680" s="684" t="e">
        <f aca="false">SUM(J675:J679)</f>
        <v>#VALUE!</v>
      </c>
      <c r="K680" s="683" t="e">
        <f aca="false">SUM(K675:K679)</f>
        <v>#VALUE!</v>
      </c>
      <c r="L680" s="683" t="e">
        <f aca="false">SUM(L675:L679)</f>
        <v>#VALUE!</v>
      </c>
      <c r="M680" s="683" t="e">
        <f aca="false">SUM(M675:M679)</f>
        <v>#VALUE!</v>
      </c>
      <c r="N680" s="683" t="e">
        <f aca="false">SUM(N675:N679)</f>
        <v>#VALUE!</v>
      </c>
      <c r="O680" s="683" t="e">
        <f aca="false">SUM(O675:O679)</f>
        <v>#VALUE!</v>
      </c>
      <c r="P680" s="683" t="e">
        <f aca="false">SUM(P675:P679)</f>
        <v>#VALUE!</v>
      </c>
      <c r="Q680" s="683" t="e">
        <f aca="false">SUM(Q675:Q679)</f>
        <v>#VALUE!</v>
      </c>
      <c r="R680" s="683" t="e">
        <f aca="false">SUM(R675:R679)</f>
        <v>#VALUE!</v>
      </c>
      <c r="S680" s="683" t="e">
        <f aca="false">SUM(S675:S679)</f>
        <v>#VALUE!</v>
      </c>
      <c r="T680" s="683" t="e">
        <f aca="false">SUM(T675:T679)</f>
        <v>#VALUE!</v>
      </c>
      <c r="U680" s="683" t="e">
        <f aca="false">SUM(U675:U679)</f>
        <v>#VALUE!</v>
      </c>
      <c r="V680" s="683" t="e">
        <f aca="false">SUM(V675:V679)</f>
        <v>#VALUE!</v>
      </c>
      <c r="W680" s="683" t="e">
        <f aca="false">SUM(W675:W679)</f>
        <v>#VALUE!</v>
      </c>
      <c r="X680" s="683" t="e">
        <f aca="false">SUM(X675:X679)</f>
        <v>#VALUE!</v>
      </c>
      <c r="Y680" s="683" t="e">
        <f aca="false">SUM(Y675:Y679)</f>
        <v>#VALUE!</v>
      </c>
      <c r="Z680" s="683" t="e">
        <f aca="false">SUM(Z675:Z679)</f>
        <v>#VALUE!</v>
      </c>
      <c r="AA680" s="683" t="e">
        <f aca="false">SUM(AA675:AA679)</f>
        <v>#VALUE!</v>
      </c>
      <c r="AB680" s="683" t="e">
        <f aca="false">SUM(AB675:AB679)</f>
        <v>#VALUE!</v>
      </c>
      <c r="AC680" s="683" t="e">
        <f aca="false">SUM(AC675:AC679)</f>
        <v>#VALUE!</v>
      </c>
      <c r="AD680" s="683" t="e">
        <f aca="false">SUM(AD675:AD679)</f>
        <v>#VALUE!</v>
      </c>
      <c r="AE680" s="683" t="e">
        <f aca="false">SUM(AE675:AE679)</f>
        <v>#VALUE!</v>
      </c>
      <c r="AF680" s="683" t="e">
        <f aca="false">SUM(AF675:AF679)</f>
        <v>#VALUE!</v>
      </c>
    </row>
    <row r="681" customFormat="false" ht="11.25" hidden="false" customHeight="false" outlineLevel="0" collapsed="false">
      <c r="A681" s="675"/>
      <c r="B681" s="238"/>
      <c r="C681" s="238"/>
      <c r="D681" s="238"/>
      <c r="E681" s="238"/>
      <c r="F681" s="238"/>
      <c r="G681" s="238"/>
      <c r="H681" s="682"/>
      <c r="I681" s="680"/>
      <c r="J681" s="681"/>
      <c r="K681" s="682"/>
      <c r="L681" s="682"/>
      <c r="M681" s="682"/>
      <c r="N681" s="682"/>
      <c r="O681" s="682"/>
      <c r="P681" s="682"/>
      <c r="Q681" s="682"/>
      <c r="R681" s="682"/>
      <c r="S681" s="682"/>
      <c r="T681" s="682"/>
      <c r="U681" s="682"/>
      <c r="V681" s="682"/>
      <c r="W681" s="682"/>
      <c r="X681" s="682"/>
      <c r="Y681" s="682"/>
      <c r="Z681" s="682"/>
      <c r="AA681" s="682"/>
      <c r="AB681" s="682"/>
      <c r="AC681" s="682"/>
      <c r="AD681" s="682"/>
      <c r="AE681" s="682"/>
      <c r="AF681" s="682"/>
    </row>
    <row r="682" customFormat="false" ht="11.25" hidden="false" customHeight="false" outlineLevel="0" collapsed="false">
      <c r="A682" s="241" t="s">
        <v>672</v>
      </c>
      <c r="B682" s="241"/>
      <c r="C682" s="241"/>
      <c r="D682" s="241"/>
      <c r="E682" s="241"/>
      <c r="F682" s="241"/>
      <c r="G682" s="241"/>
      <c r="H682" s="685" t="n">
        <f aca="false">G659</f>
        <v>0</v>
      </c>
      <c r="I682" s="685" t="n">
        <f aca="false">H687</f>
        <v>0</v>
      </c>
      <c r="J682" s="686" t="n">
        <f aca="false">I687</f>
        <v>2938.60564169589</v>
      </c>
      <c r="K682" s="687" t="e">
        <f aca="false">J687</f>
        <v>#VALUE!</v>
      </c>
      <c r="L682" s="687" t="e">
        <f aca="false">K687</f>
        <v>#VALUE!</v>
      </c>
      <c r="M682" s="687" t="e">
        <f aca="false">L687</f>
        <v>#VALUE!</v>
      </c>
      <c r="N682" s="687" t="e">
        <f aca="false">M687</f>
        <v>#VALUE!</v>
      </c>
      <c r="O682" s="687" t="e">
        <f aca="false">N687</f>
        <v>#VALUE!</v>
      </c>
      <c r="P682" s="687" t="e">
        <f aca="false">O687</f>
        <v>#VALUE!</v>
      </c>
      <c r="Q682" s="687" t="e">
        <f aca="false">P687</f>
        <v>#VALUE!</v>
      </c>
      <c r="R682" s="687" t="e">
        <f aca="false">Q687</f>
        <v>#VALUE!</v>
      </c>
      <c r="S682" s="687" t="e">
        <f aca="false">R687</f>
        <v>#VALUE!</v>
      </c>
      <c r="T682" s="687" t="e">
        <f aca="false">S687</f>
        <v>#VALUE!</v>
      </c>
      <c r="U682" s="687" t="e">
        <f aca="false">T687</f>
        <v>#VALUE!</v>
      </c>
      <c r="V682" s="687" t="e">
        <f aca="false">U687</f>
        <v>#VALUE!</v>
      </c>
      <c r="W682" s="687" t="e">
        <f aca="false">V687</f>
        <v>#VALUE!</v>
      </c>
      <c r="X682" s="687" t="e">
        <f aca="false">W687</f>
        <v>#VALUE!</v>
      </c>
      <c r="Y682" s="687" t="e">
        <f aca="false">X687</f>
        <v>#VALUE!</v>
      </c>
      <c r="Z682" s="687" t="e">
        <f aca="false">Y687</f>
        <v>#VALUE!</v>
      </c>
      <c r="AA682" s="687" t="e">
        <f aca="false">Z687</f>
        <v>#VALUE!</v>
      </c>
      <c r="AB682" s="687" t="e">
        <f aca="false">AA687</f>
        <v>#VALUE!</v>
      </c>
      <c r="AC682" s="687" t="e">
        <f aca="false">AB687</f>
        <v>#VALUE!</v>
      </c>
      <c r="AD682" s="687" t="e">
        <f aca="false">AC687</f>
        <v>#VALUE!</v>
      </c>
      <c r="AE682" s="687" t="e">
        <f aca="false">AD687</f>
        <v>#VALUE!</v>
      </c>
      <c r="AF682" s="687" t="e">
        <f aca="false">AE687</f>
        <v>#VALUE!</v>
      </c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</row>
    <row r="683" customFormat="false" ht="11.25" hidden="false" customHeight="false" outlineLevel="0" collapsed="false">
      <c r="A683" s="394" t="s">
        <v>673</v>
      </c>
      <c r="B683" s="241"/>
      <c r="C683" s="241"/>
      <c r="D683" s="241"/>
      <c r="E683" s="241"/>
      <c r="F683" s="241"/>
      <c r="G683" s="241"/>
      <c r="H683" s="688" t="n">
        <v>0</v>
      </c>
      <c r="I683" s="688" t="n">
        <v>0</v>
      </c>
      <c r="J683" s="689" t="n">
        <v>0</v>
      </c>
      <c r="K683" s="690" t="n">
        <v>0</v>
      </c>
      <c r="L683" s="690" t="n">
        <v>0</v>
      </c>
      <c r="M683" s="690" t="n">
        <v>0</v>
      </c>
      <c r="N683" s="690" t="n">
        <v>0</v>
      </c>
      <c r="O683" s="690" t="n">
        <v>0</v>
      </c>
      <c r="P683" s="690" t="n">
        <v>0</v>
      </c>
      <c r="Q683" s="690" t="n">
        <v>0</v>
      </c>
      <c r="R683" s="690" t="n">
        <v>0</v>
      </c>
      <c r="S683" s="690" t="n">
        <v>0</v>
      </c>
      <c r="T683" s="690" t="n">
        <v>0</v>
      </c>
      <c r="U683" s="690" t="n">
        <v>0</v>
      </c>
      <c r="V683" s="690" t="n">
        <v>0</v>
      </c>
      <c r="W683" s="690" t="n">
        <v>0</v>
      </c>
      <c r="X683" s="690" t="n">
        <v>0</v>
      </c>
      <c r="Y683" s="690" t="n">
        <v>0</v>
      </c>
      <c r="Z683" s="690" t="n">
        <v>0</v>
      </c>
      <c r="AA683" s="690" t="n">
        <v>0</v>
      </c>
      <c r="AB683" s="690" t="n">
        <v>0</v>
      </c>
      <c r="AC683" s="690" t="n">
        <v>0</v>
      </c>
      <c r="AD683" s="690" t="n">
        <v>0</v>
      </c>
      <c r="AE683" s="690" t="n">
        <v>0</v>
      </c>
      <c r="AF683" s="690" t="n">
        <v>0</v>
      </c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</row>
    <row r="684" customFormat="false" ht="11.25" hidden="false" customHeight="false" outlineLevel="0" collapsed="false">
      <c r="A684" s="394" t="s">
        <v>674</v>
      </c>
      <c r="B684" s="241"/>
      <c r="C684" s="241"/>
      <c r="D684" s="241"/>
      <c r="E684" s="241"/>
      <c r="F684" s="241"/>
      <c r="G684" s="241"/>
      <c r="H684" s="685" t="n">
        <f aca="false">IF(H682-H683&lt;0,0,H682-H683)</f>
        <v>0</v>
      </c>
      <c r="I684" s="685" t="n">
        <f aca="false">IF(I682-I683&lt;0,0,I682-I683)</f>
        <v>0</v>
      </c>
      <c r="J684" s="686" t="n">
        <f aca="false">IF(J682-J683&lt;0,0,J682-J683)</f>
        <v>2938.60564169589</v>
      </c>
      <c r="K684" s="685" t="e">
        <f aca="false">IF(K682-K683&lt;0,0,K682-K683)</f>
        <v>#VALUE!</v>
      </c>
      <c r="L684" s="685" t="e">
        <f aca="false">IF(L682-L683&lt;0,0,L682-L683)</f>
        <v>#VALUE!</v>
      </c>
      <c r="M684" s="685" t="e">
        <f aca="false">IF(M682-M683&lt;0,0,M682-M683)</f>
        <v>#VALUE!</v>
      </c>
      <c r="N684" s="685" t="e">
        <f aca="false">IF(N682-N683&lt;0,0,N682-N683)</f>
        <v>#VALUE!</v>
      </c>
      <c r="O684" s="685" t="e">
        <f aca="false">IF(O682-O683&lt;0,0,O682-O683)</f>
        <v>#VALUE!</v>
      </c>
      <c r="P684" s="685" t="e">
        <f aca="false">IF(P682-P683&lt;0,0,P682-P683)</f>
        <v>#VALUE!</v>
      </c>
      <c r="Q684" s="685" t="e">
        <f aca="false">IF(Q682-Q683&lt;0,0,Q682-Q683)</f>
        <v>#VALUE!</v>
      </c>
      <c r="R684" s="685" t="e">
        <f aca="false">IF(R682-R683&lt;0,0,R682-R683)</f>
        <v>#VALUE!</v>
      </c>
      <c r="S684" s="685" t="e">
        <f aca="false">IF(S682-S683&lt;0,0,S682-S683)</f>
        <v>#VALUE!</v>
      </c>
      <c r="T684" s="685" t="e">
        <f aca="false">IF(T682-T683&lt;0,0,T682-T683)</f>
        <v>#VALUE!</v>
      </c>
      <c r="U684" s="685" t="e">
        <f aca="false">IF(U682-U683&lt;0,0,U682-U683)</f>
        <v>#VALUE!</v>
      </c>
      <c r="V684" s="685" t="e">
        <f aca="false">IF(V682-V683&lt;0,0,V682-V683)</f>
        <v>#VALUE!</v>
      </c>
      <c r="W684" s="685" t="e">
        <f aca="false">IF(W682-W683&lt;0,0,W682-W683)</f>
        <v>#VALUE!</v>
      </c>
      <c r="X684" s="685" t="e">
        <f aca="false">IF(X682-X683&lt;0,0,X682-X683)</f>
        <v>#VALUE!</v>
      </c>
      <c r="Y684" s="685" t="e">
        <f aca="false">IF(Y682-Y683&lt;0,0,Y682-Y683)</f>
        <v>#VALUE!</v>
      </c>
      <c r="Z684" s="685" t="e">
        <f aca="false">IF(Z682-Z683&lt;0,0,Z682-Z683)</f>
        <v>#VALUE!</v>
      </c>
      <c r="AA684" s="685" t="e">
        <f aca="false">IF(AA682-AA683&lt;0,0,AA682-AA683)</f>
        <v>#VALUE!</v>
      </c>
      <c r="AB684" s="685" t="e">
        <f aca="false">IF(AB682-AB683&lt;0,0,AB682-AB683)</f>
        <v>#VALUE!</v>
      </c>
      <c r="AC684" s="685" t="e">
        <f aca="false">IF(AC682-AC683&lt;0,0,AC682-AC683)</f>
        <v>#VALUE!</v>
      </c>
      <c r="AD684" s="685" t="e">
        <f aca="false">IF(AD682-AD683&lt;0,0,AD682-AD683)</f>
        <v>#VALUE!</v>
      </c>
      <c r="AE684" s="685" t="e">
        <f aca="false">IF(AE682-AE683&lt;0,0,AE682-AE683)</f>
        <v>#VALUE!</v>
      </c>
      <c r="AF684" s="685" t="e">
        <f aca="false">IF(AF682-AF683&lt;0,0,AF682-AF683)</f>
        <v>#VALUE!</v>
      </c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</row>
    <row r="685" customFormat="false" ht="11.25" hidden="false" customHeight="false" outlineLevel="0" collapsed="false">
      <c r="A685" s="394" t="s">
        <v>675</v>
      </c>
      <c r="B685" s="241"/>
      <c r="C685" s="241"/>
      <c r="D685" s="241"/>
      <c r="E685" s="241"/>
      <c r="F685" s="241"/>
      <c r="G685" s="241"/>
      <c r="H685" s="685" t="n">
        <f aca="false">IF(H680&lt;=0,H680,0)</f>
        <v>0</v>
      </c>
      <c r="I685" s="685" t="n">
        <f aca="false">IF(I680&lt;=0,I680,0)</f>
        <v>-2938.60564169589</v>
      </c>
      <c r="J685" s="686" t="e">
        <f aca="false">IF(J680&lt;=0,J680,0)</f>
        <v>#VALUE!</v>
      </c>
      <c r="K685" s="685" t="e">
        <f aca="false">IF(K680&lt;=0,K680,0)</f>
        <v>#VALUE!</v>
      </c>
      <c r="L685" s="685" t="e">
        <f aca="false">IF(L680&lt;=0,L680,0)</f>
        <v>#VALUE!</v>
      </c>
      <c r="M685" s="685" t="e">
        <f aca="false">IF(M680&lt;=0,M680,0)</f>
        <v>#VALUE!</v>
      </c>
      <c r="N685" s="685" t="e">
        <f aca="false">IF(N680&lt;=0,N680,0)</f>
        <v>#VALUE!</v>
      </c>
      <c r="O685" s="685" t="e">
        <f aca="false">IF(O680&lt;=0,O680,0)</f>
        <v>#VALUE!</v>
      </c>
      <c r="P685" s="685" t="e">
        <f aca="false">IF(P680&lt;=0,P680,0)</f>
        <v>#VALUE!</v>
      </c>
      <c r="Q685" s="685" t="e">
        <f aca="false">IF(Q680&lt;=0,Q680,0)</f>
        <v>#VALUE!</v>
      </c>
      <c r="R685" s="685" t="e">
        <f aca="false">IF(R680&lt;=0,R680,0)</f>
        <v>#VALUE!</v>
      </c>
      <c r="S685" s="685" t="e">
        <f aca="false">IF(S680&lt;=0,S680,0)</f>
        <v>#VALUE!</v>
      </c>
      <c r="T685" s="685" t="e">
        <f aca="false">IF(T680&lt;=0,T680,0)</f>
        <v>#VALUE!</v>
      </c>
      <c r="U685" s="685" t="e">
        <f aca="false">IF(U680&lt;=0,U680,0)</f>
        <v>#VALUE!</v>
      </c>
      <c r="V685" s="685" t="e">
        <f aca="false">IF(V680&lt;=0,V680,0)</f>
        <v>#VALUE!</v>
      </c>
      <c r="W685" s="685" t="e">
        <f aca="false">IF(W680&lt;=0,W680,0)</f>
        <v>#VALUE!</v>
      </c>
      <c r="X685" s="685" t="e">
        <f aca="false">IF(X680&lt;=0,X680,0)</f>
        <v>#VALUE!</v>
      </c>
      <c r="Y685" s="685" t="e">
        <f aca="false">IF(Y680&lt;=0,Y680,0)</f>
        <v>#VALUE!</v>
      </c>
      <c r="Z685" s="685" t="e">
        <f aca="false">IF(Z680&lt;=0,Z680,0)</f>
        <v>#VALUE!</v>
      </c>
      <c r="AA685" s="685" t="e">
        <f aca="false">IF(AA680&lt;=0,AA680,0)</f>
        <v>#VALUE!</v>
      </c>
      <c r="AB685" s="685" t="e">
        <f aca="false">IF(AB680&lt;=0,AB680,0)</f>
        <v>#VALUE!</v>
      </c>
      <c r="AC685" s="685" t="e">
        <f aca="false">IF(AC680&lt;=0,AC680,0)</f>
        <v>#VALUE!</v>
      </c>
      <c r="AD685" s="685" t="e">
        <f aca="false">IF(AD680&lt;=0,AD680,0)</f>
        <v>#VALUE!</v>
      </c>
      <c r="AE685" s="685" t="e">
        <f aca="false">IF(AE680&lt;=0,AE680,0)</f>
        <v>#VALUE!</v>
      </c>
      <c r="AF685" s="685" t="e">
        <f aca="false">IF(AF680&lt;=0,AF680,0)</f>
        <v>#VALUE!</v>
      </c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</row>
    <row r="686" customFormat="false" ht="11.25" hidden="false" customHeight="false" outlineLevel="0" collapsed="false">
      <c r="A686" s="394" t="s">
        <v>676</v>
      </c>
      <c r="B686" s="241"/>
      <c r="C686" s="241"/>
      <c r="D686" s="241"/>
      <c r="E686" s="241"/>
      <c r="F686" s="241"/>
      <c r="G686" s="241"/>
      <c r="H686" s="685" t="n">
        <f aca="false">IF(H680&gt;0,IF(H684&lt;=H680,H684,H680),0)</f>
        <v>0</v>
      </c>
      <c r="I686" s="685" t="n">
        <f aca="false">IF(I680&gt;0,IF(I684&lt;=I680,I684,I680),0)</f>
        <v>0</v>
      </c>
      <c r="J686" s="686" t="e">
        <f aca="false">IF(J680&gt;0,IF(J684&lt;=J680,J684,J680),0)</f>
        <v>#VALUE!</v>
      </c>
      <c r="K686" s="685" t="e">
        <f aca="false">IF(K680&gt;0,IF(K684&lt;=K680,K684,K680),0)</f>
        <v>#VALUE!</v>
      </c>
      <c r="L686" s="685" t="e">
        <f aca="false">IF(L680&gt;0,IF(L684&lt;=L680,L684,L680),0)</f>
        <v>#VALUE!</v>
      </c>
      <c r="M686" s="685" t="e">
        <f aca="false">IF(M680&gt;0,IF(M684&lt;=M680,M684,M680),0)</f>
        <v>#VALUE!</v>
      </c>
      <c r="N686" s="685" t="e">
        <f aca="false">IF(N680&gt;0,IF(N684&lt;=N680,N684,N680),0)</f>
        <v>#VALUE!</v>
      </c>
      <c r="O686" s="685" t="e">
        <f aca="false">IF(O680&gt;0,IF(O684&lt;=O680,O684,O680),0)</f>
        <v>#VALUE!</v>
      </c>
      <c r="P686" s="685" t="e">
        <f aca="false">IF(P680&gt;0,IF(P684&lt;=P680,P684,P680),0)</f>
        <v>#VALUE!</v>
      </c>
      <c r="Q686" s="685" t="e">
        <f aca="false">IF(Q680&gt;0,IF(Q684&lt;=Q680,Q684,Q680),0)</f>
        <v>#VALUE!</v>
      </c>
      <c r="R686" s="685" t="e">
        <f aca="false">IF(R680&gt;0,IF(R684&lt;=R680,R684,R680),0)</f>
        <v>#VALUE!</v>
      </c>
      <c r="S686" s="685" t="e">
        <f aca="false">IF(S680&gt;0,IF(S684&lt;=S680,S684,S680),0)</f>
        <v>#VALUE!</v>
      </c>
      <c r="T686" s="685" t="e">
        <f aca="false">IF(T680&gt;0,IF(T684&lt;=T680,T684,T680),0)</f>
        <v>#VALUE!</v>
      </c>
      <c r="U686" s="685" t="e">
        <f aca="false">IF(U680&gt;0,IF(U684&lt;=U680,U684,U680),0)</f>
        <v>#VALUE!</v>
      </c>
      <c r="V686" s="685" t="e">
        <f aca="false">IF(V680&gt;0,IF(V684&lt;=V680,V684,V680),0)</f>
        <v>#VALUE!</v>
      </c>
      <c r="W686" s="685" t="e">
        <f aca="false">IF(W680&gt;0,IF(W684&lt;=W680,W684,W680),0)</f>
        <v>#VALUE!</v>
      </c>
      <c r="X686" s="685" t="e">
        <f aca="false">IF(X680&gt;0,IF(X684&lt;=X680,X684,X680),0)</f>
        <v>#VALUE!</v>
      </c>
      <c r="Y686" s="685" t="e">
        <f aca="false">IF(Y680&gt;0,IF(Y684&lt;=Y680,Y684,Y680),0)</f>
        <v>#VALUE!</v>
      </c>
      <c r="Z686" s="685" t="e">
        <f aca="false">IF(Z680&gt;0,IF(Z684&lt;=Z680,Z684,Z680),0)</f>
        <v>#VALUE!</v>
      </c>
      <c r="AA686" s="685" t="e">
        <f aca="false">IF(AA680&gt;0,IF(AA684&lt;=AA680,AA684,AA680),0)</f>
        <v>#VALUE!</v>
      </c>
      <c r="AB686" s="685" t="e">
        <f aca="false">IF(AB680&gt;0,IF(AB684&lt;=AB680,AB684,AB680),0)</f>
        <v>#VALUE!</v>
      </c>
      <c r="AC686" s="685" t="e">
        <f aca="false">IF(AC680&gt;0,IF(AC684&lt;=AC680,AC684,AC680),0)</f>
        <v>#VALUE!</v>
      </c>
      <c r="AD686" s="685" t="e">
        <f aca="false">IF(AD680&gt;0,IF(AD684&lt;=AD680,AD684,AD680),0)</f>
        <v>#VALUE!</v>
      </c>
      <c r="AE686" s="685" t="e">
        <f aca="false">IF(AE680&gt;0,IF(AE684&lt;=AE680,AE684,AE680),0)</f>
        <v>#VALUE!</v>
      </c>
      <c r="AF686" s="685" t="e">
        <f aca="false">IF(AF680&gt;0,IF(AF684&lt;=AF680,AF684,AF680),0)</f>
        <v>#VALUE!</v>
      </c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</row>
    <row r="687" customFormat="false" ht="11.25" hidden="false" customHeight="false" outlineLevel="0" collapsed="false">
      <c r="A687" s="394" t="s">
        <v>677</v>
      </c>
      <c r="B687" s="241"/>
      <c r="C687" s="241"/>
      <c r="D687" s="241"/>
      <c r="E687" s="241"/>
      <c r="F687" s="241"/>
      <c r="G687" s="241"/>
      <c r="H687" s="691" t="n">
        <f aca="false">IF(H684-H685-H686&lt;0,0,H684-H685-H686)</f>
        <v>0</v>
      </c>
      <c r="I687" s="691" t="n">
        <f aca="false">IF(I684-I685-I686&lt;0,0,I684-I685-I686)</f>
        <v>2938.60564169589</v>
      </c>
      <c r="J687" s="692" t="e">
        <f aca="false">IF(J684-J685-J686&lt;0,0,J684-J685-J686)</f>
        <v>#VALUE!</v>
      </c>
      <c r="K687" s="691" t="e">
        <f aca="false">IF(K684-K685-K686&lt;0,0,K684-K685-K686)</f>
        <v>#VALUE!</v>
      </c>
      <c r="L687" s="691" t="e">
        <f aca="false">IF(L684-L685-L686&lt;0,0,L684-L685-L686)</f>
        <v>#VALUE!</v>
      </c>
      <c r="M687" s="691" t="e">
        <f aca="false">IF(M684-M685-M686&lt;0,0,M684-M685-M686)</f>
        <v>#VALUE!</v>
      </c>
      <c r="N687" s="691" t="e">
        <f aca="false">IF(N684-N685-N686&lt;0,0,N684-N685-N686)</f>
        <v>#VALUE!</v>
      </c>
      <c r="O687" s="691" t="e">
        <f aca="false">IF(O684-O685-O686&lt;0,0,O684-O685-O686)</f>
        <v>#VALUE!</v>
      </c>
      <c r="P687" s="691" t="e">
        <f aca="false">IF(P684-P685-P686&lt;0,0,P684-P685-P686)</f>
        <v>#VALUE!</v>
      </c>
      <c r="Q687" s="691" t="e">
        <f aca="false">IF(Q684-Q685-Q686&lt;0,0,Q684-Q685-Q686)</f>
        <v>#VALUE!</v>
      </c>
      <c r="R687" s="691" t="e">
        <f aca="false">IF(R684-R685-R686&lt;0,0,R684-R685-R686)</f>
        <v>#VALUE!</v>
      </c>
      <c r="S687" s="691" t="e">
        <f aca="false">IF(S684-S685-S686&lt;0,0,S684-S685-S686)</f>
        <v>#VALUE!</v>
      </c>
      <c r="T687" s="691" t="e">
        <f aca="false">IF(T684-T685-T686&lt;0,0,T684-T685-T686)</f>
        <v>#VALUE!</v>
      </c>
      <c r="U687" s="691" t="e">
        <f aca="false">IF(U684-U685-U686&lt;0,0,U684-U685-U686)</f>
        <v>#VALUE!</v>
      </c>
      <c r="V687" s="691" t="e">
        <f aca="false">IF(V684-V685-V686&lt;0,0,V684-V685-V686)</f>
        <v>#VALUE!</v>
      </c>
      <c r="W687" s="691" t="e">
        <f aca="false">IF(W684-W685-W686&lt;0,0,W684-W685-W686)</f>
        <v>#VALUE!</v>
      </c>
      <c r="X687" s="691" t="e">
        <f aca="false">IF(X684-X685-X686&lt;0,0,X684-X685-X686)</f>
        <v>#VALUE!</v>
      </c>
      <c r="Y687" s="691" t="e">
        <f aca="false">IF(Y684-Y685-Y686&lt;0,0,Y684-Y685-Y686)</f>
        <v>#VALUE!</v>
      </c>
      <c r="Z687" s="691" t="e">
        <f aca="false">IF(Z684-Z685-Z686&lt;0,0,Z684-Z685-Z686)</f>
        <v>#VALUE!</v>
      </c>
      <c r="AA687" s="691" t="e">
        <f aca="false">IF(AA684-AA685-AA686&lt;0,0,AA684-AA685-AA686)</f>
        <v>#VALUE!</v>
      </c>
      <c r="AB687" s="691" t="e">
        <f aca="false">IF(AB684-AB685-AB686&lt;0,0,AB684-AB685-AB686)</f>
        <v>#VALUE!</v>
      </c>
      <c r="AC687" s="691" t="e">
        <f aca="false">IF(AC684-AC685-AC686&lt;0,0,AC684-AC685-AC686)</f>
        <v>#VALUE!</v>
      </c>
      <c r="AD687" s="691" t="e">
        <f aca="false">IF(AD684-AD685-AD686&lt;0,0,AD684-AD685-AD686)</f>
        <v>#VALUE!</v>
      </c>
      <c r="AE687" s="691" t="e">
        <f aca="false">IF(AE684-AE685-AE686&lt;0,0,AE684-AE685-AE686)</f>
        <v>#VALUE!</v>
      </c>
      <c r="AF687" s="691" t="e">
        <f aca="false">IF(AF684-AF685-AF686&lt;0,0,AF684-AF685-AF686)</f>
        <v>#VALUE!</v>
      </c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</row>
    <row r="688" customFormat="false" ht="11.25" hidden="false" customHeight="false" outlineLevel="0" collapsed="false">
      <c r="A688" s="693"/>
      <c r="B688" s="238"/>
      <c r="C688" s="238"/>
      <c r="D688" s="238"/>
      <c r="E688" s="238"/>
      <c r="F688" s="238"/>
      <c r="G688" s="238"/>
      <c r="H688" s="682"/>
      <c r="I688" s="680"/>
      <c r="J688" s="681"/>
      <c r="K688" s="682"/>
      <c r="L688" s="682"/>
      <c r="M688" s="682"/>
      <c r="N688" s="682"/>
      <c r="O688" s="682"/>
      <c r="P688" s="682"/>
      <c r="Q688" s="682"/>
      <c r="R688" s="682"/>
      <c r="S688" s="682"/>
      <c r="T688" s="682"/>
      <c r="U688" s="682"/>
      <c r="V688" s="682"/>
      <c r="W688" s="682"/>
      <c r="X688" s="682"/>
      <c r="Y688" s="682"/>
      <c r="Z688" s="682"/>
      <c r="AA688" s="682"/>
      <c r="AB688" s="682"/>
      <c r="AC688" s="682"/>
      <c r="AD688" s="682"/>
      <c r="AE688" s="682"/>
      <c r="AF688" s="682"/>
    </row>
    <row r="689" customFormat="false" ht="11.25" hidden="false" customHeight="false" outlineLevel="0" collapsed="false">
      <c r="A689" s="675" t="s">
        <v>678</v>
      </c>
      <c r="B689" s="238"/>
      <c r="C689" s="238"/>
      <c r="D689" s="238"/>
      <c r="E689" s="238"/>
      <c r="F689" s="238"/>
      <c r="G689" s="238"/>
      <c r="H689" s="680" t="n">
        <f aca="false">IF(H680&lt;=0,0,H680-H686)</f>
        <v>0</v>
      </c>
      <c r="I689" s="680" t="n">
        <f aca="false">IF(I680&lt;=0,0,I680-I686)</f>
        <v>0</v>
      </c>
      <c r="J689" s="681" t="e">
        <f aca="false">IF(J680&lt;=0,0,J680-J686)</f>
        <v>#VALUE!</v>
      </c>
      <c r="K689" s="680" t="e">
        <f aca="false">IF(K680&lt;=0,0,K680-K686)</f>
        <v>#VALUE!</v>
      </c>
      <c r="L689" s="680" t="e">
        <f aca="false">IF(L680&lt;=0,0,L680-L686)</f>
        <v>#VALUE!</v>
      </c>
      <c r="M689" s="680" t="e">
        <f aca="false">IF(M680&lt;=0,0,M680-M686)</f>
        <v>#VALUE!</v>
      </c>
      <c r="N689" s="680" t="e">
        <f aca="false">IF(N680&lt;=0,0,N680-N686)</f>
        <v>#VALUE!</v>
      </c>
      <c r="O689" s="680" t="e">
        <f aca="false">IF(O680&lt;=0,0,O680-O686)</f>
        <v>#VALUE!</v>
      </c>
      <c r="P689" s="680" t="e">
        <f aca="false">IF(P680&lt;=0,0,P680-P686)</f>
        <v>#VALUE!</v>
      </c>
      <c r="Q689" s="680" t="e">
        <f aca="false">IF(Q680&lt;=0,0,Q680-Q686)</f>
        <v>#VALUE!</v>
      </c>
      <c r="R689" s="680" t="e">
        <f aca="false">IF(R680&lt;=0,0,R680-R686)</f>
        <v>#VALUE!</v>
      </c>
      <c r="S689" s="680" t="e">
        <f aca="false">IF(S680&lt;=0,0,S680-S686)</f>
        <v>#VALUE!</v>
      </c>
      <c r="T689" s="680" t="e">
        <f aca="false">IF(T680&lt;=0,0,T680-T686)</f>
        <v>#VALUE!</v>
      </c>
      <c r="U689" s="680" t="e">
        <f aca="false">IF(U680&lt;=0,0,U680-U686)</f>
        <v>#VALUE!</v>
      </c>
      <c r="V689" s="680" t="e">
        <f aca="false">IF(V680&lt;=0,0,V680-V686)</f>
        <v>#VALUE!</v>
      </c>
      <c r="W689" s="680" t="e">
        <f aca="false">IF(W680&lt;=0,0,W680-W686)</f>
        <v>#VALUE!</v>
      </c>
      <c r="X689" s="680" t="e">
        <f aca="false">IF(X680&lt;=0,0,X680-X686)</f>
        <v>#VALUE!</v>
      </c>
      <c r="Y689" s="680" t="e">
        <f aca="false">IF(Y680&lt;=0,0,Y680-Y686)</f>
        <v>#VALUE!</v>
      </c>
      <c r="Z689" s="680" t="e">
        <f aca="false">IF(Z680&lt;=0,0,Z680-Z686)</f>
        <v>#VALUE!</v>
      </c>
      <c r="AA689" s="680" t="e">
        <f aca="false">IF(AA680&lt;=0,0,AA680-AA686)</f>
        <v>#VALUE!</v>
      </c>
      <c r="AB689" s="680" t="e">
        <f aca="false">IF(AB680&lt;=0,0,AB680-AB686)</f>
        <v>#VALUE!</v>
      </c>
      <c r="AC689" s="680" t="e">
        <f aca="false">IF(AC680&lt;=0,0,AC680-AC686)</f>
        <v>#VALUE!</v>
      </c>
      <c r="AD689" s="680" t="e">
        <f aca="false">IF(AD680&lt;=0,0,AD680-AD686)</f>
        <v>#VALUE!</v>
      </c>
      <c r="AE689" s="680" t="e">
        <f aca="false">IF(AE680&lt;=0,0,AE680-AE686)</f>
        <v>#VALUE!</v>
      </c>
      <c r="AF689" s="680" t="e">
        <f aca="false">IF(AF680&lt;=0,0,AF680-AF686)</f>
        <v>#VALUE!</v>
      </c>
    </row>
    <row r="690" customFormat="false" ht="11.25" hidden="false" customHeight="false" outlineLevel="0" collapsed="false">
      <c r="A690" s="675"/>
      <c r="B690" s="238"/>
      <c r="C690" s="238"/>
      <c r="D690" s="238"/>
      <c r="E690" s="238"/>
      <c r="F690" s="238"/>
      <c r="G690" s="238"/>
      <c r="H690" s="680"/>
      <c r="I690" s="680"/>
      <c r="J690" s="681"/>
      <c r="K690" s="682"/>
      <c r="L690" s="682"/>
      <c r="M690" s="682"/>
      <c r="N690" s="682"/>
      <c r="O690" s="682"/>
      <c r="P690" s="682"/>
      <c r="Q690" s="682"/>
      <c r="R690" s="682"/>
      <c r="S690" s="682"/>
      <c r="T690" s="682"/>
      <c r="U690" s="682"/>
      <c r="V690" s="682"/>
      <c r="W690" s="682"/>
      <c r="X690" s="682"/>
      <c r="Y690" s="682"/>
      <c r="Z690" s="682"/>
      <c r="AA690" s="682"/>
      <c r="AB690" s="682"/>
      <c r="AC690" s="682"/>
      <c r="AD690" s="682"/>
      <c r="AE690" s="682"/>
      <c r="AF690" s="682"/>
    </row>
    <row r="691" customFormat="false" ht="11.25" hidden="false" customHeight="false" outlineLevel="0" collapsed="false">
      <c r="A691" s="675" t="s">
        <v>679</v>
      </c>
      <c r="B691" s="241"/>
      <c r="C691" s="484" t="n">
        <f aca="false">I668</f>
        <v>0</v>
      </c>
      <c r="D691" s="238"/>
      <c r="E691" s="238"/>
      <c r="F691" s="238"/>
      <c r="G691" s="238"/>
      <c r="H691" s="676" t="n">
        <f aca="false">H689*H668</f>
        <v>0</v>
      </c>
      <c r="I691" s="676" t="n">
        <f aca="false">I689*I668</f>
        <v>0</v>
      </c>
      <c r="J691" s="677" t="e">
        <f aca="false">J689*J668</f>
        <v>#VALUE!</v>
      </c>
      <c r="K691" s="678" t="e">
        <f aca="false">K689*K668</f>
        <v>#VALUE!</v>
      </c>
      <c r="L691" s="678" t="e">
        <f aca="false">L689*L668</f>
        <v>#VALUE!</v>
      </c>
      <c r="M691" s="678" t="e">
        <f aca="false">M689*M668</f>
        <v>#VALUE!</v>
      </c>
      <c r="N691" s="678" t="e">
        <f aca="false">N689*N668</f>
        <v>#VALUE!</v>
      </c>
      <c r="O691" s="678" t="e">
        <f aca="false">O689*O668</f>
        <v>#VALUE!</v>
      </c>
      <c r="P691" s="678" t="e">
        <f aca="false">P689*P668</f>
        <v>#VALUE!</v>
      </c>
      <c r="Q691" s="678" t="e">
        <f aca="false">Q689*Q668</f>
        <v>#VALUE!</v>
      </c>
      <c r="R691" s="678" t="e">
        <f aca="false">R689*R668</f>
        <v>#VALUE!</v>
      </c>
      <c r="S691" s="678" t="e">
        <f aca="false">S689*S668</f>
        <v>#VALUE!</v>
      </c>
      <c r="T691" s="678" t="e">
        <f aca="false">T689*T668</f>
        <v>#VALUE!</v>
      </c>
      <c r="U691" s="678" t="e">
        <f aca="false">U689*U668</f>
        <v>#VALUE!</v>
      </c>
      <c r="V691" s="678" t="e">
        <f aca="false">V689*V668</f>
        <v>#VALUE!</v>
      </c>
      <c r="W691" s="678" t="e">
        <f aca="false">W689*W668</f>
        <v>#VALUE!</v>
      </c>
      <c r="X691" s="678" t="e">
        <f aca="false">X689*X668</f>
        <v>#VALUE!</v>
      </c>
      <c r="Y691" s="678" t="e">
        <f aca="false">Y689*Y668</f>
        <v>#VALUE!</v>
      </c>
      <c r="Z691" s="678" t="e">
        <f aca="false">Z689*Z668</f>
        <v>#VALUE!</v>
      </c>
      <c r="AA691" s="678" t="e">
        <f aca="false">AA689*AA668</f>
        <v>#VALUE!</v>
      </c>
      <c r="AB691" s="678" t="e">
        <f aca="false">AB689*AB668</f>
        <v>#VALUE!</v>
      </c>
      <c r="AC691" s="678" t="e">
        <f aca="false">AC689*AC668</f>
        <v>#VALUE!</v>
      </c>
      <c r="AD691" s="678" t="e">
        <f aca="false">AD689*AD668</f>
        <v>#VALUE!</v>
      </c>
      <c r="AE691" s="678" t="e">
        <f aca="false">AE689*AE668</f>
        <v>#VALUE!</v>
      </c>
      <c r="AF691" s="678" t="e">
        <f aca="false">AF689*AF668</f>
        <v>#VALUE!</v>
      </c>
    </row>
    <row r="692" customFormat="false" ht="11.25" hidden="false" customHeight="false" outlineLevel="0" collapsed="false">
      <c r="A692" s="675" t="s">
        <v>680</v>
      </c>
      <c r="B692" s="241"/>
      <c r="C692" s="484" t="n">
        <f aca="false">I667</f>
        <v>0</v>
      </c>
      <c r="D692" s="238"/>
      <c r="E692" s="238"/>
      <c r="F692" s="238"/>
      <c r="G692" s="238"/>
      <c r="H692" s="680" t="n">
        <f aca="false">(H689-H691)*H667</f>
        <v>0</v>
      </c>
      <c r="I692" s="680" t="n">
        <f aca="false">(I689-I691)*I667</f>
        <v>0</v>
      </c>
      <c r="J692" s="681" t="e">
        <f aca="false">(J689-J691)*J667</f>
        <v>#VALUE!</v>
      </c>
      <c r="K692" s="682" t="e">
        <f aca="false">(K689-K691)*K667</f>
        <v>#VALUE!</v>
      </c>
      <c r="L692" s="682" t="e">
        <f aca="false">(L689-L691)*L667</f>
        <v>#VALUE!</v>
      </c>
      <c r="M692" s="682" t="e">
        <f aca="false">(M689-M691)*M667</f>
        <v>#VALUE!</v>
      </c>
      <c r="N692" s="682" t="e">
        <f aca="false">(N689-N691)*N667</f>
        <v>#VALUE!</v>
      </c>
      <c r="O692" s="682" t="e">
        <f aca="false">(O689-O691)*O667</f>
        <v>#VALUE!</v>
      </c>
      <c r="P692" s="682" t="e">
        <f aca="false">(P689-P691)*P667</f>
        <v>#VALUE!</v>
      </c>
      <c r="Q692" s="682" t="e">
        <f aca="false">(Q689-Q691)*Q667</f>
        <v>#VALUE!</v>
      </c>
      <c r="R692" s="682" t="e">
        <f aca="false">(R689-R691)*R667</f>
        <v>#VALUE!</v>
      </c>
      <c r="S692" s="682" t="e">
        <f aca="false">(S689-S691)*S667</f>
        <v>#VALUE!</v>
      </c>
      <c r="T692" s="682" t="e">
        <f aca="false">(T689-T691)*T667</f>
        <v>#VALUE!</v>
      </c>
      <c r="U692" s="682" t="e">
        <f aca="false">(U689-U691)*U667</f>
        <v>#VALUE!</v>
      </c>
      <c r="V692" s="682" t="e">
        <f aca="false">(V689-V691)*V667</f>
        <v>#VALUE!</v>
      </c>
      <c r="W692" s="682" t="e">
        <f aca="false">(W689-W691)*W667</f>
        <v>#VALUE!</v>
      </c>
      <c r="X692" s="682" t="e">
        <f aca="false">(X689-X691)*X667</f>
        <v>#VALUE!</v>
      </c>
      <c r="Y692" s="682" t="e">
        <f aca="false">(Y689-Y691)*Y667</f>
        <v>#VALUE!</v>
      </c>
      <c r="Z692" s="682" t="e">
        <f aca="false">(Z689-Z691)*Z667</f>
        <v>#VALUE!</v>
      </c>
      <c r="AA692" s="682" t="e">
        <f aca="false">(AA689-AA691)*AA667</f>
        <v>#VALUE!</v>
      </c>
      <c r="AB692" s="682" t="e">
        <f aca="false">(AB689-AB691)*AB667</f>
        <v>#VALUE!</v>
      </c>
      <c r="AC692" s="682" t="e">
        <f aca="false">(AC689-AC691)*AC667</f>
        <v>#VALUE!</v>
      </c>
      <c r="AD692" s="682" t="e">
        <f aca="false">(AD689-AD691)*AD667</f>
        <v>#VALUE!</v>
      </c>
      <c r="AE692" s="682" t="e">
        <f aca="false">(AE689-AE691)*AE667</f>
        <v>#VALUE!</v>
      </c>
      <c r="AF692" s="682" t="e">
        <f aca="false">(AF689-AF691)*AF667</f>
        <v>#VALUE!</v>
      </c>
    </row>
    <row r="693" customFormat="false" ht="12" hidden="false" customHeight="false" outlineLevel="0" collapsed="false">
      <c r="A693" s="675" t="s">
        <v>681</v>
      </c>
      <c r="B693" s="238"/>
      <c r="C693" s="468"/>
      <c r="D693" s="468"/>
      <c r="E693" s="468"/>
      <c r="F693" s="468"/>
      <c r="G693" s="468"/>
      <c r="H693" s="694" t="n">
        <f aca="false">H691+H692</f>
        <v>0</v>
      </c>
      <c r="I693" s="694" t="n">
        <f aca="false">I691+I692</f>
        <v>0</v>
      </c>
      <c r="J693" s="695" t="e">
        <f aca="false">J691+J692</f>
        <v>#VALUE!</v>
      </c>
      <c r="K693" s="694" t="e">
        <f aca="false">K691+K692</f>
        <v>#VALUE!</v>
      </c>
      <c r="L693" s="694" t="e">
        <f aca="false">L691+L692</f>
        <v>#VALUE!</v>
      </c>
      <c r="M693" s="694" t="e">
        <f aca="false">M691+M692</f>
        <v>#VALUE!</v>
      </c>
      <c r="N693" s="694" t="e">
        <f aca="false">N691+N692</f>
        <v>#VALUE!</v>
      </c>
      <c r="O693" s="694" t="e">
        <f aca="false">O691+O692</f>
        <v>#VALUE!</v>
      </c>
      <c r="P693" s="694" t="e">
        <f aca="false">P691+P692</f>
        <v>#VALUE!</v>
      </c>
      <c r="Q693" s="694" t="e">
        <f aca="false">Q691+Q692</f>
        <v>#VALUE!</v>
      </c>
      <c r="R693" s="694" t="e">
        <f aca="false">R691+R692</f>
        <v>#VALUE!</v>
      </c>
      <c r="S693" s="694" t="e">
        <f aca="false">S691+S692</f>
        <v>#VALUE!</v>
      </c>
      <c r="T693" s="694" t="e">
        <f aca="false">T691+T692</f>
        <v>#VALUE!</v>
      </c>
      <c r="U693" s="694" t="e">
        <f aca="false">U691+U692</f>
        <v>#VALUE!</v>
      </c>
      <c r="V693" s="694" t="e">
        <f aca="false">V691+V692</f>
        <v>#VALUE!</v>
      </c>
      <c r="W693" s="694" t="e">
        <f aca="false">W691+W692</f>
        <v>#VALUE!</v>
      </c>
      <c r="X693" s="694" t="e">
        <f aca="false">X691+X692</f>
        <v>#VALUE!</v>
      </c>
      <c r="Y693" s="694" t="e">
        <f aca="false">Y691+Y692</f>
        <v>#VALUE!</v>
      </c>
      <c r="Z693" s="694" t="e">
        <f aca="false">Z691+Z692</f>
        <v>#VALUE!</v>
      </c>
      <c r="AA693" s="694" t="e">
        <f aca="false">AA691+AA692</f>
        <v>#VALUE!</v>
      </c>
      <c r="AB693" s="694" t="e">
        <f aca="false">AB691+AB692</f>
        <v>#VALUE!</v>
      </c>
      <c r="AC693" s="694" t="e">
        <f aca="false">AC691+AC692</f>
        <v>#VALUE!</v>
      </c>
      <c r="AD693" s="694" t="e">
        <f aca="false">AD691+AD692</f>
        <v>#VALUE!</v>
      </c>
      <c r="AE693" s="694" t="e">
        <f aca="false">AE691+AE692</f>
        <v>#VALUE!</v>
      </c>
      <c r="AF693" s="694" t="e">
        <f aca="false">AF691+AF692</f>
        <v>#VALUE!</v>
      </c>
    </row>
    <row r="694" customFormat="false" ht="12" hidden="false" customHeight="false" outlineLevel="0" collapsed="false">
      <c r="A694" s="675"/>
      <c r="B694" s="238"/>
      <c r="C694" s="238"/>
      <c r="D694" s="238"/>
      <c r="E694" s="238"/>
      <c r="F694" s="238"/>
      <c r="G694" s="238"/>
      <c r="H694" s="682"/>
      <c r="I694" s="682"/>
      <c r="J694" s="681"/>
      <c r="K694" s="682"/>
      <c r="L694" s="682"/>
      <c r="M694" s="682"/>
      <c r="N694" s="682"/>
      <c r="O694" s="682"/>
      <c r="P694" s="682"/>
      <c r="Q694" s="682"/>
      <c r="R694" s="682"/>
      <c r="S694" s="682"/>
      <c r="T694" s="682"/>
      <c r="U694" s="682"/>
      <c r="V694" s="682"/>
      <c r="W694" s="682"/>
      <c r="X694" s="682"/>
      <c r="Y694" s="682"/>
      <c r="Z694" s="682"/>
      <c r="AA694" s="682"/>
      <c r="AB694" s="682"/>
      <c r="AC694" s="682"/>
      <c r="AD694" s="682"/>
      <c r="AE694" s="682"/>
      <c r="AF694" s="682"/>
    </row>
    <row r="695" customFormat="false" ht="11.25" hidden="false" customHeight="false" outlineLevel="0" collapsed="false">
      <c r="A695" s="673" t="s">
        <v>682</v>
      </c>
      <c r="B695" s="238"/>
      <c r="C695" s="468"/>
      <c r="D695" s="468"/>
      <c r="E695" s="468"/>
      <c r="F695" s="468"/>
      <c r="G695" s="468"/>
      <c r="H695" s="687"/>
      <c r="I695" s="687"/>
      <c r="J695" s="686"/>
      <c r="K695" s="678"/>
      <c r="L695" s="678"/>
      <c r="M695" s="678"/>
      <c r="N695" s="678"/>
      <c r="O695" s="678"/>
      <c r="P695" s="678"/>
      <c r="Q695" s="678"/>
      <c r="R695" s="678"/>
      <c r="S695" s="678"/>
      <c r="T695" s="682"/>
      <c r="U695" s="682"/>
      <c r="V695" s="682"/>
      <c r="W695" s="682"/>
      <c r="X695" s="682"/>
      <c r="Y695" s="682"/>
      <c r="Z695" s="682"/>
      <c r="AA695" s="682"/>
      <c r="AB695" s="682"/>
      <c r="AC695" s="682"/>
      <c r="AD695" s="682"/>
      <c r="AE695" s="682"/>
      <c r="AF695" s="682"/>
    </row>
    <row r="696" customFormat="false" ht="11.25" hidden="false" customHeight="false" outlineLevel="0" collapsed="false">
      <c r="A696" s="675" t="str">
        <f aca="false">A675</f>
        <v>Income before Taxes</v>
      </c>
      <c r="B696" s="238"/>
      <c r="C696" s="468"/>
      <c r="D696" s="468"/>
      <c r="E696" s="468"/>
      <c r="F696" s="468"/>
      <c r="G696" s="468"/>
      <c r="H696" s="676" t="n">
        <f aca="false">H345</f>
        <v>0</v>
      </c>
      <c r="I696" s="676" t="n">
        <f aca="false">I345</f>
        <v>-1847.14506211111</v>
      </c>
      <c r="J696" s="686" t="e">
        <f aca="false">J345</f>
        <v>#VALUE!</v>
      </c>
      <c r="K696" s="676" t="e">
        <f aca="false">K345</f>
        <v>#VALUE!</v>
      </c>
      <c r="L696" s="676" t="e">
        <f aca="false">L345</f>
        <v>#VALUE!</v>
      </c>
      <c r="M696" s="676" t="e">
        <f aca="false">M345</f>
        <v>#VALUE!</v>
      </c>
      <c r="N696" s="676" t="e">
        <f aca="false">N345</f>
        <v>#VALUE!</v>
      </c>
      <c r="O696" s="676" t="e">
        <f aca="false">O345</f>
        <v>#VALUE!</v>
      </c>
      <c r="P696" s="676" t="e">
        <f aca="false">P345</f>
        <v>#VALUE!</v>
      </c>
      <c r="Q696" s="676" t="e">
        <f aca="false">Q345</f>
        <v>#VALUE!</v>
      </c>
      <c r="R696" s="676" t="e">
        <f aca="false">R345</f>
        <v>#VALUE!</v>
      </c>
      <c r="S696" s="676" t="e">
        <f aca="false">S345</f>
        <v>#VALUE!</v>
      </c>
      <c r="T696" s="676" t="e">
        <f aca="false">T345</f>
        <v>#VALUE!</v>
      </c>
      <c r="U696" s="676" t="e">
        <f aca="false">U345</f>
        <v>#VALUE!</v>
      </c>
      <c r="V696" s="676" t="e">
        <f aca="false">V345</f>
        <v>#VALUE!</v>
      </c>
      <c r="W696" s="676" t="e">
        <f aca="false">W345</f>
        <v>#VALUE!</v>
      </c>
      <c r="X696" s="676" t="e">
        <f aca="false">X345</f>
        <v>#VALUE!</v>
      </c>
      <c r="Y696" s="676" t="e">
        <f aca="false">Y345</f>
        <v>#VALUE!</v>
      </c>
      <c r="Z696" s="676" t="e">
        <f aca="false">Z345</f>
        <v>#VALUE!</v>
      </c>
      <c r="AA696" s="676" t="e">
        <f aca="false">AA345</f>
        <v>#VALUE!</v>
      </c>
      <c r="AB696" s="676" t="e">
        <f aca="false">AB345</f>
        <v>#VALUE!</v>
      </c>
      <c r="AC696" s="676" t="e">
        <f aca="false">AC345</f>
        <v>#VALUE!</v>
      </c>
      <c r="AD696" s="676" t="e">
        <f aca="false">AD345</f>
        <v>#VALUE!</v>
      </c>
      <c r="AE696" s="676" t="e">
        <f aca="false">AE345</f>
        <v>#VALUE!</v>
      </c>
      <c r="AF696" s="676" t="e">
        <f aca="false">AF345</f>
        <v>#VALUE!</v>
      </c>
    </row>
    <row r="697" customFormat="false" ht="11.25" hidden="false" customHeight="false" outlineLevel="0" collapsed="false">
      <c r="A697" s="675" t="s">
        <v>683</v>
      </c>
      <c r="B697" s="238"/>
      <c r="C697" s="468"/>
      <c r="D697" s="468"/>
      <c r="E697" s="468"/>
      <c r="F697" s="468"/>
      <c r="G697" s="468"/>
      <c r="H697" s="676" t="n">
        <f aca="false">H696</f>
        <v>0</v>
      </c>
      <c r="I697" s="676" t="n">
        <f aca="false">I696</f>
        <v>-1847.14506211111</v>
      </c>
      <c r="J697" s="677" t="e">
        <f aca="false">J696</f>
        <v>#VALUE!</v>
      </c>
      <c r="K697" s="676" t="e">
        <f aca="false">K696</f>
        <v>#VALUE!</v>
      </c>
      <c r="L697" s="676" t="e">
        <f aca="false">L696</f>
        <v>#VALUE!</v>
      </c>
      <c r="M697" s="676" t="e">
        <f aca="false">M696</f>
        <v>#VALUE!</v>
      </c>
      <c r="N697" s="676" t="e">
        <f aca="false">N696</f>
        <v>#VALUE!</v>
      </c>
      <c r="O697" s="676" t="e">
        <f aca="false">O696</f>
        <v>#VALUE!</v>
      </c>
      <c r="P697" s="676" t="e">
        <f aca="false">P696</f>
        <v>#VALUE!</v>
      </c>
      <c r="Q697" s="676" t="e">
        <f aca="false">Q696</f>
        <v>#VALUE!</v>
      </c>
      <c r="R697" s="676" t="e">
        <f aca="false">R696</f>
        <v>#VALUE!</v>
      </c>
      <c r="S697" s="676" t="e">
        <f aca="false">S696</f>
        <v>#VALUE!</v>
      </c>
      <c r="T697" s="676" t="e">
        <f aca="false">T696</f>
        <v>#VALUE!</v>
      </c>
      <c r="U697" s="676" t="e">
        <f aca="false">U696</f>
        <v>#VALUE!</v>
      </c>
      <c r="V697" s="676" t="e">
        <f aca="false">V696</f>
        <v>#VALUE!</v>
      </c>
      <c r="W697" s="676" t="e">
        <f aca="false">W696</f>
        <v>#VALUE!</v>
      </c>
      <c r="X697" s="676" t="e">
        <f aca="false">X696</f>
        <v>#VALUE!</v>
      </c>
      <c r="Y697" s="676" t="e">
        <f aca="false">Y696</f>
        <v>#VALUE!</v>
      </c>
      <c r="Z697" s="676" t="e">
        <f aca="false">Z696</f>
        <v>#VALUE!</v>
      </c>
      <c r="AA697" s="676" t="e">
        <f aca="false">AA696</f>
        <v>#VALUE!</v>
      </c>
      <c r="AB697" s="676" t="e">
        <f aca="false">AB696</f>
        <v>#VALUE!</v>
      </c>
      <c r="AC697" s="676" t="e">
        <f aca="false">AC696</f>
        <v>#VALUE!</v>
      </c>
      <c r="AD697" s="676" t="e">
        <f aca="false">AD696</f>
        <v>#VALUE!</v>
      </c>
      <c r="AE697" s="676" t="e">
        <f aca="false">AE696</f>
        <v>#VALUE!</v>
      </c>
      <c r="AF697" s="676" t="e">
        <f aca="false">AF696</f>
        <v>#VALUE!</v>
      </c>
    </row>
    <row r="698" customFormat="false" ht="11.25" hidden="false" customHeight="false" outlineLevel="0" collapsed="false">
      <c r="A698" s="675"/>
      <c r="B698" s="238"/>
      <c r="C698" s="468"/>
      <c r="D698" s="468"/>
      <c r="E698" s="468"/>
      <c r="F698" s="468"/>
      <c r="G698" s="468"/>
      <c r="H698" s="678"/>
      <c r="I698" s="676"/>
      <c r="J698" s="677"/>
      <c r="K698" s="678"/>
      <c r="L698" s="678"/>
      <c r="M698" s="678"/>
      <c r="N698" s="678"/>
      <c r="O698" s="678"/>
      <c r="P698" s="678"/>
      <c r="Q698" s="678"/>
      <c r="R698" s="678"/>
      <c r="S698" s="678"/>
      <c r="T698" s="678"/>
      <c r="U698" s="678"/>
      <c r="V698" s="678"/>
      <c r="W698" s="678"/>
      <c r="X698" s="678"/>
      <c r="Y698" s="678"/>
      <c r="Z698" s="678"/>
      <c r="AA698" s="678"/>
      <c r="AB698" s="678"/>
      <c r="AC698" s="678"/>
      <c r="AD698" s="678"/>
      <c r="AE698" s="678"/>
      <c r="AF698" s="678"/>
    </row>
    <row r="699" customFormat="false" ht="11.25" hidden="false" customHeight="false" outlineLevel="0" collapsed="false">
      <c r="A699" s="241" t="s">
        <v>672</v>
      </c>
      <c r="B699" s="241"/>
      <c r="C699" s="241"/>
      <c r="D699" s="241"/>
      <c r="E699" s="241"/>
      <c r="F699" s="241"/>
      <c r="G699" s="241"/>
      <c r="H699" s="685" t="n">
        <f aca="false">G675</f>
        <v>0</v>
      </c>
      <c r="I699" s="685" t="n">
        <f aca="false">H704</f>
        <v>0</v>
      </c>
      <c r="J699" s="686" t="n">
        <f aca="false">I704</f>
        <v>1847.14506211111</v>
      </c>
      <c r="K699" s="687" t="e">
        <f aca="false">J704</f>
        <v>#VALUE!</v>
      </c>
      <c r="L699" s="687" t="e">
        <f aca="false">K704</f>
        <v>#VALUE!</v>
      </c>
      <c r="M699" s="687" t="e">
        <f aca="false">L704</f>
        <v>#VALUE!</v>
      </c>
      <c r="N699" s="687" t="e">
        <f aca="false">M704</f>
        <v>#VALUE!</v>
      </c>
      <c r="O699" s="687" t="e">
        <f aca="false">N704</f>
        <v>#VALUE!</v>
      </c>
      <c r="P699" s="687" t="e">
        <f aca="false">O704</f>
        <v>#VALUE!</v>
      </c>
      <c r="Q699" s="687" t="e">
        <f aca="false">P704</f>
        <v>#VALUE!</v>
      </c>
      <c r="R699" s="687" t="e">
        <f aca="false">Q704</f>
        <v>#VALUE!</v>
      </c>
      <c r="S699" s="687" t="e">
        <f aca="false">R704</f>
        <v>#VALUE!</v>
      </c>
      <c r="T699" s="687" t="e">
        <f aca="false">S704</f>
        <v>#VALUE!</v>
      </c>
      <c r="U699" s="687" t="e">
        <f aca="false">T704</f>
        <v>#VALUE!</v>
      </c>
      <c r="V699" s="687" t="e">
        <f aca="false">U704</f>
        <v>#VALUE!</v>
      </c>
      <c r="W699" s="687" t="e">
        <f aca="false">V704</f>
        <v>#VALUE!</v>
      </c>
      <c r="X699" s="687" t="e">
        <f aca="false">W704</f>
        <v>#VALUE!</v>
      </c>
      <c r="Y699" s="687" t="e">
        <f aca="false">X704</f>
        <v>#VALUE!</v>
      </c>
      <c r="Z699" s="687" t="e">
        <f aca="false">Y704</f>
        <v>#VALUE!</v>
      </c>
      <c r="AA699" s="687" t="e">
        <f aca="false">Z704</f>
        <v>#VALUE!</v>
      </c>
      <c r="AB699" s="687" t="e">
        <f aca="false">AA704</f>
        <v>#VALUE!</v>
      </c>
      <c r="AC699" s="687" t="e">
        <f aca="false">AB704</f>
        <v>#VALUE!</v>
      </c>
      <c r="AD699" s="687" t="e">
        <f aca="false">AC704</f>
        <v>#VALUE!</v>
      </c>
      <c r="AE699" s="687" t="e">
        <f aca="false">AD704</f>
        <v>#VALUE!</v>
      </c>
      <c r="AF699" s="687" t="e">
        <f aca="false">AE704</f>
        <v>#VALUE!</v>
      </c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</row>
    <row r="700" customFormat="false" ht="11.25" hidden="false" customHeight="false" outlineLevel="0" collapsed="false">
      <c r="A700" s="394" t="s">
        <v>673</v>
      </c>
      <c r="B700" s="241"/>
      <c r="C700" s="241"/>
      <c r="D700" s="241"/>
      <c r="E700" s="241"/>
      <c r="F700" s="241"/>
      <c r="G700" s="241"/>
      <c r="H700" s="688" t="n">
        <v>0</v>
      </c>
      <c r="I700" s="688" t="n">
        <v>0</v>
      </c>
      <c r="J700" s="689" t="n">
        <v>0</v>
      </c>
      <c r="K700" s="690" t="n">
        <v>0</v>
      </c>
      <c r="L700" s="690" t="n">
        <v>0</v>
      </c>
      <c r="M700" s="690" t="n">
        <v>0</v>
      </c>
      <c r="N700" s="690" t="n">
        <v>0</v>
      </c>
      <c r="O700" s="690" t="n">
        <v>0</v>
      </c>
      <c r="P700" s="690" t="n">
        <v>0</v>
      </c>
      <c r="Q700" s="690" t="n">
        <v>0</v>
      </c>
      <c r="R700" s="690" t="n">
        <v>0</v>
      </c>
      <c r="S700" s="690" t="n">
        <v>0</v>
      </c>
      <c r="T700" s="690" t="n">
        <v>0</v>
      </c>
      <c r="U700" s="690" t="n">
        <v>0</v>
      </c>
      <c r="V700" s="690" t="n">
        <v>0</v>
      </c>
      <c r="W700" s="690" t="n">
        <v>0</v>
      </c>
      <c r="X700" s="690" t="n">
        <v>0</v>
      </c>
      <c r="Y700" s="690" t="n">
        <v>0</v>
      </c>
      <c r="Z700" s="690" t="n">
        <v>0</v>
      </c>
      <c r="AA700" s="690" t="n">
        <v>0</v>
      </c>
      <c r="AB700" s="690" t="n">
        <v>0</v>
      </c>
      <c r="AC700" s="690" t="n">
        <v>0</v>
      </c>
      <c r="AD700" s="690" t="n">
        <v>0</v>
      </c>
      <c r="AE700" s="690" t="n">
        <v>0</v>
      </c>
      <c r="AF700" s="690" t="n">
        <v>0</v>
      </c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</row>
    <row r="701" customFormat="false" ht="11.25" hidden="false" customHeight="false" outlineLevel="0" collapsed="false">
      <c r="A701" s="394" t="s">
        <v>674</v>
      </c>
      <c r="B701" s="241"/>
      <c r="C701" s="241"/>
      <c r="D701" s="241"/>
      <c r="E701" s="241"/>
      <c r="F701" s="241"/>
      <c r="G701" s="241"/>
      <c r="H701" s="685" t="n">
        <f aca="false">IF(H699-H700&lt;0,0,H699-H700)</f>
        <v>0</v>
      </c>
      <c r="I701" s="685" t="n">
        <f aca="false">IF(I699-I700&lt;0,0,I699-I700)</f>
        <v>0</v>
      </c>
      <c r="J701" s="686" t="n">
        <f aca="false">IF(J699-J700&lt;0,0,J699-J700)</f>
        <v>1847.14506211111</v>
      </c>
      <c r="K701" s="685" t="e">
        <f aca="false">IF(K699-K700&lt;0,0,K699-K700)</f>
        <v>#VALUE!</v>
      </c>
      <c r="L701" s="685" t="e">
        <f aca="false">IF(L699-L700&lt;0,0,L699-L700)</f>
        <v>#VALUE!</v>
      </c>
      <c r="M701" s="685" t="e">
        <f aca="false">IF(M699-M700&lt;0,0,M699-M700)</f>
        <v>#VALUE!</v>
      </c>
      <c r="N701" s="685" t="e">
        <f aca="false">IF(N699-N700&lt;0,0,N699-N700)</f>
        <v>#VALUE!</v>
      </c>
      <c r="O701" s="685" t="e">
        <f aca="false">IF(O699-O700&lt;0,0,O699-O700)</f>
        <v>#VALUE!</v>
      </c>
      <c r="P701" s="685" t="e">
        <f aca="false">IF(P699-P700&lt;0,0,P699-P700)</f>
        <v>#VALUE!</v>
      </c>
      <c r="Q701" s="685" t="e">
        <f aca="false">IF(Q699-Q700&lt;0,0,Q699-Q700)</f>
        <v>#VALUE!</v>
      </c>
      <c r="R701" s="685" t="e">
        <f aca="false">IF(R699-R700&lt;0,0,R699-R700)</f>
        <v>#VALUE!</v>
      </c>
      <c r="S701" s="685" t="e">
        <f aca="false">IF(S699-S700&lt;0,0,S699-S700)</f>
        <v>#VALUE!</v>
      </c>
      <c r="T701" s="685" t="e">
        <f aca="false">IF(T699-T700&lt;0,0,T699-T700)</f>
        <v>#VALUE!</v>
      </c>
      <c r="U701" s="685" t="e">
        <f aca="false">IF(U699-U700&lt;0,0,U699-U700)</f>
        <v>#VALUE!</v>
      </c>
      <c r="V701" s="685" t="e">
        <f aca="false">IF(V699-V700&lt;0,0,V699-V700)</f>
        <v>#VALUE!</v>
      </c>
      <c r="W701" s="685" t="e">
        <f aca="false">IF(W699-W700&lt;0,0,W699-W700)</f>
        <v>#VALUE!</v>
      </c>
      <c r="X701" s="685" t="e">
        <f aca="false">IF(X699-X700&lt;0,0,X699-X700)</f>
        <v>#VALUE!</v>
      </c>
      <c r="Y701" s="685" t="e">
        <f aca="false">IF(Y699-Y700&lt;0,0,Y699-Y700)</f>
        <v>#VALUE!</v>
      </c>
      <c r="Z701" s="685" t="e">
        <f aca="false">IF(Z699-Z700&lt;0,0,Z699-Z700)</f>
        <v>#VALUE!</v>
      </c>
      <c r="AA701" s="685" t="e">
        <f aca="false">IF(AA699-AA700&lt;0,0,AA699-AA700)</f>
        <v>#VALUE!</v>
      </c>
      <c r="AB701" s="685" t="e">
        <f aca="false">IF(AB699-AB700&lt;0,0,AB699-AB700)</f>
        <v>#VALUE!</v>
      </c>
      <c r="AC701" s="685" t="e">
        <f aca="false">IF(AC699-AC700&lt;0,0,AC699-AC700)</f>
        <v>#VALUE!</v>
      </c>
      <c r="AD701" s="685" t="e">
        <f aca="false">IF(AD699-AD700&lt;0,0,AD699-AD700)</f>
        <v>#VALUE!</v>
      </c>
      <c r="AE701" s="685" t="e">
        <f aca="false">IF(AE699-AE700&lt;0,0,AE699-AE700)</f>
        <v>#VALUE!</v>
      </c>
      <c r="AF701" s="685" t="e">
        <f aca="false">IF(AF699-AF700&lt;0,0,AF699-AF700)</f>
        <v>#VALUE!</v>
      </c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</row>
    <row r="702" customFormat="false" ht="11.25" hidden="false" customHeight="false" outlineLevel="0" collapsed="false">
      <c r="A702" s="394" t="s">
        <v>675</v>
      </c>
      <c r="B702" s="241"/>
      <c r="C702" s="241"/>
      <c r="D702" s="241"/>
      <c r="E702" s="241"/>
      <c r="F702" s="241"/>
      <c r="G702" s="241"/>
      <c r="H702" s="685" t="n">
        <f aca="false">IF(H697&lt;=0,H697,0)</f>
        <v>0</v>
      </c>
      <c r="I702" s="685" t="n">
        <f aca="false">IF(I697&lt;=0,I697,0)</f>
        <v>-1847.14506211111</v>
      </c>
      <c r="J702" s="686" t="e">
        <f aca="false">IF(J697&lt;=0,J697,0)</f>
        <v>#VALUE!</v>
      </c>
      <c r="K702" s="685" t="e">
        <f aca="false">IF(K697&lt;=0,K697,0)</f>
        <v>#VALUE!</v>
      </c>
      <c r="L702" s="685" t="e">
        <f aca="false">IF(L697&lt;=0,L697,0)</f>
        <v>#VALUE!</v>
      </c>
      <c r="M702" s="685" t="e">
        <f aca="false">IF(M697&lt;=0,M697,0)</f>
        <v>#VALUE!</v>
      </c>
      <c r="N702" s="685" t="e">
        <f aca="false">IF(N697&lt;=0,N697,0)</f>
        <v>#VALUE!</v>
      </c>
      <c r="O702" s="685" t="e">
        <f aca="false">IF(O697&lt;=0,O697,0)</f>
        <v>#VALUE!</v>
      </c>
      <c r="P702" s="685" t="e">
        <f aca="false">IF(P697&lt;=0,P697,0)</f>
        <v>#VALUE!</v>
      </c>
      <c r="Q702" s="685" t="e">
        <f aca="false">IF(Q697&lt;=0,Q697,0)</f>
        <v>#VALUE!</v>
      </c>
      <c r="R702" s="685" t="e">
        <f aca="false">IF(R697&lt;=0,R697,0)</f>
        <v>#VALUE!</v>
      </c>
      <c r="S702" s="685" t="e">
        <f aca="false">IF(S697&lt;=0,S697,0)</f>
        <v>#VALUE!</v>
      </c>
      <c r="T702" s="685" t="e">
        <f aca="false">IF(T697&lt;=0,T697,0)</f>
        <v>#VALUE!</v>
      </c>
      <c r="U702" s="685" t="e">
        <f aca="false">IF(U697&lt;=0,U697,0)</f>
        <v>#VALUE!</v>
      </c>
      <c r="V702" s="685" t="e">
        <f aca="false">IF(V697&lt;=0,V697,0)</f>
        <v>#VALUE!</v>
      </c>
      <c r="W702" s="685" t="e">
        <f aca="false">IF(W697&lt;=0,W697,0)</f>
        <v>#VALUE!</v>
      </c>
      <c r="X702" s="685" t="e">
        <f aca="false">IF(X697&lt;=0,X697,0)</f>
        <v>#VALUE!</v>
      </c>
      <c r="Y702" s="685" t="e">
        <f aca="false">IF(Y697&lt;=0,Y697,0)</f>
        <v>#VALUE!</v>
      </c>
      <c r="Z702" s="685" t="e">
        <f aca="false">IF(Z697&lt;=0,Z697,0)</f>
        <v>#VALUE!</v>
      </c>
      <c r="AA702" s="685" t="e">
        <f aca="false">IF(AA697&lt;=0,AA697,0)</f>
        <v>#VALUE!</v>
      </c>
      <c r="AB702" s="685" t="e">
        <f aca="false">IF(AB697&lt;=0,AB697,0)</f>
        <v>#VALUE!</v>
      </c>
      <c r="AC702" s="685" t="e">
        <f aca="false">IF(AC697&lt;=0,AC697,0)</f>
        <v>#VALUE!</v>
      </c>
      <c r="AD702" s="685" t="e">
        <f aca="false">IF(AD697&lt;=0,AD697,0)</f>
        <v>#VALUE!</v>
      </c>
      <c r="AE702" s="685" t="e">
        <f aca="false">IF(AE697&lt;=0,AE697,0)</f>
        <v>#VALUE!</v>
      </c>
      <c r="AF702" s="685" t="e">
        <f aca="false">IF(AF697&lt;=0,AF697,0)</f>
        <v>#VALUE!</v>
      </c>
      <c r="AG702" s="241"/>
      <c r="AH702" s="241"/>
      <c r="AI702" s="241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1"/>
      <c r="BN702" s="241"/>
      <c r="BO702" s="241"/>
      <c r="BP702" s="241"/>
      <c r="BQ702" s="241"/>
      <c r="BR702" s="241"/>
      <c r="BS702" s="241"/>
      <c r="BT702" s="241"/>
      <c r="BU702" s="241"/>
      <c r="BV702" s="241"/>
      <c r="BW702" s="241"/>
      <c r="BX702" s="241"/>
      <c r="BY702" s="241"/>
      <c r="BZ702" s="241"/>
      <c r="CA702" s="241"/>
      <c r="CB702" s="241"/>
      <c r="CC702" s="241"/>
      <c r="CD702" s="241"/>
      <c r="CE702" s="241"/>
      <c r="CF702" s="241"/>
      <c r="CG702" s="241"/>
      <c r="CH702" s="241"/>
      <c r="CI702" s="241"/>
      <c r="CJ702" s="241"/>
      <c r="CK702" s="241"/>
      <c r="CL702" s="241"/>
      <c r="CM702" s="241"/>
      <c r="CN702" s="241"/>
      <c r="CO702" s="241"/>
      <c r="CP702" s="241"/>
      <c r="CQ702" s="241"/>
      <c r="CR702" s="241"/>
      <c r="CS702" s="241"/>
      <c r="CT702" s="241"/>
      <c r="CU702" s="241"/>
      <c r="CV702" s="241"/>
      <c r="CW702" s="241"/>
      <c r="CX702" s="241"/>
      <c r="CY702" s="241"/>
      <c r="CZ702" s="241"/>
      <c r="DA702" s="241"/>
      <c r="DB702" s="241"/>
      <c r="DC702" s="241"/>
      <c r="DD702" s="241"/>
      <c r="DE702" s="241"/>
      <c r="DF702" s="241"/>
      <c r="DG702" s="241"/>
      <c r="DH702" s="241"/>
      <c r="DI702" s="241"/>
      <c r="DJ702" s="241"/>
      <c r="DK702" s="241"/>
      <c r="DL702" s="241"/>
      <c r="DM702" s="241"/>
      <c r="DN702" s="241"/>
      <c r="DO702" s="241"/>
      <c r="DP702" s="241"/>
      <c r="DQ702" s="241"/>
      <c r="DR702" s="241"/>
      <c r="DS702" s="241"/>
      <c r="DT702" s="241"/>
      <c r="DU702" s="241"/>
      <c r="DV702" s="241"/>
      <c r="DW702" s="241"/>
      <c r="DX702" s="241"/>
      <c r="DY702" s="241"/>
      <c r="DZ702" s="241"/>
      <c r="EA702" s="241"/>
      <c r="EB702" s="241"/>
      <c r="EC702" s="241"/>
      <c r="ED702" s="241"/>
      <c r="EE702" s="241"/>
      <c r="EF702" s="241"/>
      <c r="EG702" s="241"/>
      <c r="EH702" s="241"/>
      <c r="EI702" s="241"/>
      <c r="EJ702" s="241"/>
      <c r="EK702" s="241"/>
      <c r="EL702" s="241"/>
      <c r="EM702" s="241"/>
      <c r="EN702" s="241"/>
      <c r="EO702" s="241"/>
      <c r="EP702" s="241"/>
      <c r="EQ702" s="241"/>
      <c r="ER702" s="241"/>
      <c r="ES702" s="241"/>
      <c r="ET702" s="241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241"/>
      <c r="FJ702" s="241"/>
      <c r="FK702" s="241"/>
      <c r="FL702" s="241"/>
      <c r="FM702" s="241"/>
      <c r="FN702" s="241"/>
      <c r="FO702" s="241"/>
      <c r="FP702" s="241"/>
      <c r="FQ702" s="241"/>
      <c r="FR702" s="241"/>
      <c r="FS702" s="241"/>
      <c r="FT702" s="241"/>
      <c r="FU702" s="241"/>
      <c r="FV702" s="241"/>
      <c r="FW702" s="241"/>
      <c r="FX702" s="241"/>
      <c r="FY702" s="241"/>
      <c r="FZ702" s="241"/>
      <c r="GA702" s="241"/>
      <c r="GB702" s="241"/>
      <c r="GC702" s="241"/>
      <c r="GD702" s="241"/>
      <c r="GE702" s="241"/>
      <c r="GF702" s="241"/>
      <c r="GG702" s="241"/>
      <c r="GH702" s="241"/>
      <c r="GI702" s="241"/>
      <c r="GJ702" s="241"/>
      <c r="GK702" s="241"/>
      <c r="GL702" s="241"/>
      <c r="GM702" s="241"/>
      <c r="GN702" s="241"/>
      <c r="GO702" s="241"/>
      <c r="GP702" s="241"/>
      <c r="GQ702" s="241"/>
      <c r="GR702" s="241"/>
      <c r="GS702" s="241"/>
      <c r="GT702" s="241"/>
      <c r="GU702" s="241"/>
      <c r="GV702" s="241"/>
      <c r="GW702" s="241"/>
      <c r="GX702" s="241"/>
      <c r="GY702" s="241"/>
      <c r="GZ702" s="241"/>
      <c r="HA702" s="241"/>
      <c r="HB702" s="241"/>
      <c r="HC702" s="241"/>
      <c r="HD702" s="241"/>
      <c r="HE702" s="241"/>
      <c r="HF702" s="241"/>
      <c r="HG702" s="241"/>
      <c r="HH702" s="241"/>
      <c r="HI702" s="241"/>
      <c r="HJ702" s="241"/>
      <c r="HK702" s="241"/>
      <c r="HL702" s="241"/>
      <c r="HM702" s="241"/>
      <c r="HN702" s="241"/>
      <c r="HO702" s="241"/>
      <c r="HP702" s="241"/>
      <c r="HQ702" s="241"/>
      <c r="HR702" s="241"/>
      <c r="HS702" s="241"/>
      <c r="HT702" s="241"/>
      <c r="HU702" s="241"/>
      <c r="HV702" s="241"/>
      <c r="HW702" s="241"/>
      <c r="HX702" s="241"/>
      <c r="HY702" s="241"/>
      <c r="HZ702" s="241"/>
      <c r="IA702" s="241"/>
      <c r="IB702" s="241"/>
      <c r="IC702" s="241"/>
      <c r="ID702" s="241"/>
      <c r="IE702" s="241"/>
      <c r="IF702" s="241"/>
      <c r="IG702" s="241"/>
      <c r="IH702" s="241"/>
      <c r="II702" s="241"/>
      <c r="IJ702" s="241"/>
      <c r="IK702" s="241"/>
      <c r="IL702" s="241"/>
      <c r="IM702" s="241"/>
      <c r="IN702" s="241"/>
      <c r="IO702" s="241"/>
      <c r="IP702" s="241"/>
      <c r="IQ702" s="241"/>
      <c r="IR702" s="241"/>
      <c r="IS702" s="241"/>
      <c r="IT702" s="241"/>
      <c r="IU702" s="241"/>
      <c r="IV702" s="241"/>
      <c r="IW702" s="241"/>
    </row>
    <row r="703" customFormat="false" ht="11.25" hidden="false" customHeight="false" outlineLevel="0" collapsed="false">
      <c r="A703" s="394" t="s">
        <v>676</v>
      </c>
      <c r="B703" s="241"/>
      <c r="C703" s="241"/>
      <c r="D703" s="241"/>
      <c r="E703" s="241"/>
      <c r="F703" s="241"/>
      <c r="G703" s="241"/>
      <c r="H703" s="685" t="n">
        <f aca="false">IF(H697&gt;0,IF(H701&lt;=H697,H701,H697),0)</f>
        <v>0</v>
      </c>
      <c r="I703" s="685" t="n">
        <f aca="false">IF(I697&gt;0,IF(I701&lt;=I697,I701,I697),0)</f>
        <v>0</v>
      </c>
      <c r="J703" s="686" t="e">
        <f aca="false">IF(J697&gt;0,IF(J701&lt;=J697,J701,J697),0)</f>
        <v>#VALUE!</v>
      </c>
      <c r="K703" s="685" t="e">
        <f aca="false">IF(K697&gt;0,IF(K701&lt;=K697,K701,K697),0)</f>
        <v>#VALUE!</v>
      </c>
      <c r="L703" s="685" t="e">
        <f aca="false">IF(L697&gt;0,IF(L701&lt;=L697,L701,L697),0)</f>
        <v>#VALUE!</v>
      </c>
      <c r="M703" s="685" t="e">
        <f aca="false">IF(M697&gt;0,IF(M701&lt;=M697,M701,M697),0)</f>
        <v>#VALUE!</v>
      </c>
      <c r="N703" s="685" t="e">
        <f aca="false">IF(N697&gt;0,IF(N701&lt;=N697,N701,N697),0)</f>
        <v>#VALUE!</v>
      </c>
      <c r="O703" s="685" t="e">
        <f aca="false">IF(O697&gt;0,IF(O701&lt;=O697,O701,O697),0)</f>
        <v>#VALUE!</v>
      </c>
      <c r="P703" s="685" t="e">
        <f aca="false">IF(P697&gt;0,IF(P701&lt;=P697,P701,P697),0)</f>
        <v>#VALUE!</v>
      </c>
      <c r="Q703" s="685" t="e">
        <f aca="false">IF(Q697&gt;0,IF(Q701&lt;=Q697,Q701,Q697),0)</f>
        <v>#VALUE!</v>
      </c>
      <c r="R703" s="685" t="e">
        <f aca="false">IF(R697&gt;0,IF(R701&lt;=R697,R701,R697),0)</f>
        <v>#VALUE!</v>
      </c>
      <c r="S703" s="685" t="e">
        <f aca="false">IF(S697&gt;0,IF(S701&lt;=S697,S701,S697),0)</f>
        <v>#VALUE!</v>
      </c>
      <c r="T703" s="685" t="e">
        <f aca="false">IF(T697&gt;0,IF(T701&lt;=T697,T701,T697),0)</f>
        <v>#VALUE!</v>
      </c>
      <c r="U703" s="685" t="e">
        <f aca="false">IF(U697&gt;0,IF(U701&lt;=U697,U701,U697),0)</f>
        <v>#VALUE!</v>
      </c>
      <c r="V703" s="685" t="e">
        <f aca="false">IF(V697&gt;0,IF(V701&lt;=V697,V701,V697),0)</f>
        <v>#VALUE!</v>
      </c>
      <c r="W703" s="685" t="e">
        <f aca="false">IF(W697&gt;0,IF(W701&lt;=W697,W701,W697),0)</f>
        <v>#VALUE!</v>
      </c>
      <c r="X703" s="685" t="e">
        <f aca="false">IF(X697&gt;0,IF(X701&lt;=X697,X701,X697),0)</f>
        <v>#VALUE!</v>
      </c>
      <c r="Y703" s="685" t="e">
        <f aca="false">IF(Y697&gt;0,IF(Y701&lt;=Y697,Y701,Y697),0)</f>
        <v>#VALUE!</v>
      </c>
      <c r="Z703" s="685" t="e">
        <f aca="false">IF(Z697&gt;0,IF(Z701&lt;=Z697,Z701,Z697),0)</f>
        <v>#VALUE!</v>
      </c>
      <c r="AA703" s="685" t="e">
        <f aca="false">IF(AA697&gt;0,IF(AA701&lt;=AA697,AA701,AA697),0)</f>
        <v>#VALUE!</v>
      </c>
      <c r="AB703" s="685" t="e">
        <f aca="false">IF(AB697&gt;0,IF(AB701&lt;=AB697,AB701,AB697),0)</f>
        <v>#VALUE!</v>
      </c>
      <c r="AC703" s="685" t="e">
        <f aca="false">IF(AC697&gt;0,IF(AC701&lt;=AC697,AC701,AC697),0)</f>
        <v>#VALUE!</v>
      </c>
      <c r="AD703" s="685" t="e">
        <f aca="false">IF(AD697&gt;0,IF(AD701&lt;=AD697,AD701,AD697),0)</f>
        <v>#VALUE!</v>
      </c>
      <c r="AE703" s="685" t="e">
        <f aca="false">IF(AE697&gt;0,IF(AE701&lt;=AE697,AE701,AE697),0)</f>
        <v>#VALUE!</v>
      </c>
      <c r="AF703" s="685" t="e">
        <f aca="false">IF(AF697&gt;0,IF(AF701&lt;=AF697,AF701,AF697),0)</f>
        <v>#VALUE!</v>
      </c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</row>
    <row r="704" customFormat="false" ht="11.25" hidden="false" customHeight="false" outlineLevel="0" collapsed="false">
      <c r="A704" s="394" t="s">
        <v>677</v>
      </c>
      <c r="B704" s="241"/>
      <c r="C704" s="241"/>
      <c r="D704" s="241"/>
      <c r="E704" s="241"/>
      <c r="F704" s="241"/>
      <c r="G704" s="241"/>
      <c r="H704" s="691" t="n">
        <f aca="false">IF(H701-H702-H703&lt;0,0,H701-H702-H703)</f>
        <v>0</v>
      </c>
      <c r="I704" s="691" t="n">
        <f aca="false">IF(I701-I702-I703&lt;0,0,I701-I702-I703)</f>
        <v>1847.14506211111</v>
      </c>
      <c r="J704" s="692" t="e">
        <f aca="false">IF(J701-J702-J703&lt;0,0,J701-J702-J703)</f>
        <v>#VALUE!</v>
      </c>
      <c r="K704" s="691" t="e">
        <f aca="false">IF(K701-K702-K703&lt;0,0,K701-K702-K703)</f>
        <v>#VALUE!</v>
      </c>
      <c r="L704" s="691" t="e">
        <f aca="false">IF(L701-L702-L703&lt;0,0,L701-L702-L703)</f>
        <v>#VALUE!</v>
      </c>
      <c r="M704" s="691" t="e">
        <f aca="false">IF(M701-M702-M703&lt;0,0,M701-M702-M703)</f>
        <v>#VALUE!</v>
      </c>
      <c r="N704" s="691" t="e">
        <f aca="false">IF(N701-N702-N703&lt;0,0,N701-N702-N703)</f>
        <v>#VALUE!</v>
      </c>
      <c r="O704" s="691" t="e">
        <f aca="false">IF(O701-O702-O703&lt;0,0,O701-O702-O703)</f>
        <v>#VALUE!</v>
      </c>
      <c r="P704" s="691" t="e">
        <f aca="false">IF(P701-P702-P703&lt;0,0,P701-P702-P703)</f>
        <v>#VALUE!</v>
      </c>
      <c r="Q704" s="691" t="e">
        <f aca="false">IF(Q701-Q702-Q703&lt;0,0,Q701-Q702-Q703)</f>
        <v>#VALUE!</v>
      </c>
      <c r="R704" s="691" t="e">
        <f aca="false">IF(R701-R702-R703&lt;0,0,R701-R702-R703)</f>
        <v>#VALUE!</v>
      </c>
      <c r="S704" s="691" t="e">
        <f aca="false">IF(S701-S702-S703&lt;0,0,S701-S702-S703)</f>
        <v>#VALUE!</v>
      </c>
      <c r="T704" s="691" t="e">
        <f aca="false">IF(T701-T702-T703&lt;0,0,T701-T702-T703)</f>
        <v>#VALUE!</v>
      </c>
      <c r="U704" s="691" t="e">
        <f aca="false">IF(U701-U702-U703&lt;0,0,U701-U702-U703)</f>
        <v>#VALUE!</v>
      </c>
      <c r="V704" s="691" t="e">
        <f aca="false">IF(V701-V702-V703&lt;0,0,V701-V702-V703)</f>
        <v>#VALUE!</v>
      </c>
      <c r="W704" s="691" t="e">
        <f aca="false">IF(W701-W702-W703&lt;0,0,W701-W702-W703)</f>
        <v>#VALUE!</v>
      </c>
      <c r="X704" s="691" t="e">
        <f aca="false">IF(X701-X702-X703&lt;0,0,X701-X702-X703)</f>
        <v>#VALUE!</v>
      </c>
      <c r="Y704" s="691" t="e">
        <f aca="false">IF(Y701-Y702-Y703&lt;0,0,Y701-Y702-Y703)</f>
        <v>#VALUE!</v>
      </c>
      <c r="Z704" s="691" t="e">
        <f aca="false">IF(Z701-Z702-Z703&lt;0,0,Z701-Z702-Z703)</f>
        <v>#VALUE!</v>
      </c>
      <c r="AA704" s="691" t="e">
        <f aca="false">IF(AA701-AA702-AA703&lt;0,0,AA701-AA702-AA703)</f>
        <v>#VALUE!</v>
      </c>
      <c r="AB704" s="691" t="e">
        <f aca="false">IF(AB701-AB702-AB703&lt;0,0,AB701-AB702-AB703)</f>
        <v>#VALUE!</v>
      </c>
      <c r="AC704" s="691" t="e">
        <f aca="false">IF(AC701-AC702-AC703&lt;0,0,AC701-AC702-AC703)</f>
        <v>#VALUE!</v>
      </c>
      <c r="AD704" s="691" t="e">
        <f aca="false">IF(AD701-AD702-AD703&lt;0,0,AD701-AD702-AD703)</f>
        <v>#VALUE!</v>
      </c>
      <c r="AE704" s="691" t="e">
        <f aca="false">IF(AE701-AE702-AE703&lt;0,0,AE701-AE702-AE703)</f>
        <v>#VALUE!</v>
      </c>
      <c r="AF704" s="691" t="e">
        <f aca="false">IF(AF701-AF702-AF703&lt;0,0,AF701-AF702-AF703)</f>
        <v>#VALUE!</v>
      </c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</row>
    <row r="705" customFormat="false" ht="11.25" hidden="false" customHeight="false" outlineLevel="0" collapsed="false">
      <c r="A705" s="693"/>
      <c r="B705" s="238"/>
      <c r="C705" s="238"/>
      <c r="D705" s="238"/>
      <c r="E705" s="238"/>
      <c r="F705" s="238"/>
      <c r="G705" s="238"/>
      <c r="H705" s="680"/>
      <c r="I705" s="680"/>
      <c r="J705" s="681"/>
      <c r="K705" s="680"/>
      <c r="L705" s="680"/>
      <c r="M705" s="680"/>
      <c r="N705" s="680"/>
      <c r="O705" s="680"/>
      <c r="P705" s="680"/>
      <c r="Q705" s="680"/>
      <c r="R705" s="680"/>
      <c r="S705" s="680"/>
      <c r="T705" s="680"/>
      <c r="U705" s="680"/>
      <c r="V705" s="680"/>
      <c r="W705" s="680"/>
      <c r="X705" s="680"/>
      <c r="Y705" s="680"/>
      <c r="Z705" s="680"/>
      <c r="AA705" s="680"/>
      <c r="AB705" s="680"/>
      <c r="AC705" s="680"/>
      <c r="AD705" s="680"/>
      <c r="AE705" s="680"/>
      <c r="AF705" s="680"/>
    </row>
    <row r="706" customFormat="false" ht="11.25" hidden="false" customHeight="false" outlineLevel="0" collapsed="false">
      <c r="A706" s="675" t="s">
        <v>684</v>
      </c>
      <c r="B706" s="238"/>
      <c r="C706" s="238"/>
      <c r="D706" s="238"/>
      <c r="E706" s="238"/>
      <c r="F706" s="238"/>
      <c r="G706" s="238"/>
      <c r="H706" s="680" t="n">
        <f aca="false">IF(H697&lt;=0,0,H697-H703)</f>
        <v>0</v>
      </c>
      <c r="I706" s="680" t="n">
        <f aca="false">IF(I697&lt;=0,0,I697-I703)</f>
        <v>0</v>
      </c>
      <c r="J706" s="681" t="e">
        <f aca="false">IF(J697&lt;=0,0,J697-J703)</f>
        <v>#VALUE!</v>
      </c>
      <c r="K706" s="680" t="e">
        <f aca="false">IF(K697&lt;=0,0,K697-K703)</f>
        <v>#VALUE!</v>
      </c>
      <c r="L706" s="680" t="e">
        <f aca="false">IF(L697&lt;=0,0,L697-L703)</f>
        <v>#VALUE!</v>
      </c>
      <c r="M706" s="680" t="e">
        <f aca="false">IF(M697&lt;=0,0,M697-M703)</f>
        <v>#VALUE!</v>
      </c>
      <c r="N706" s="680" t="e">
        <f aca="false">IF(N697&lt;=0,0,N697-N703)</f>
        <v>#VALUE!</v>
      </c>
      <c r="O706" s="680" t="e">
        <f aca="false">IF(O697&lt;=0,0,O697-O703)</f>
        <v>#VALUE!</v>
      </c>
      <c r="P706" s="680" t="e">
        <f aca="false">IF(P697&lt;=0,0,P697-P703)</f>
        <v>#VALUE!</v>
      </c>
      <c r="Q706" s="680" t="e">
        <f aca="false">IF(Q697&lt;=0,0,Q697-Q703)</f>
        <v>#VALUE!</v>
      </c>
      <c r="R706" s="680" t="e">
        <f aca="false">IF(R697&lt;=0,0,R697-R703)</f>
        <v>#VALUE!</v>
      </c>
      <c r="S706" s="680" t="e">
        <f aca="false">IF(S697&lt;=0,0,S697-S703)</f>
        <v>#VALUE!</v>
      </c>
      <c r="T706" s="680" t="e">
        <f aca="false">IF(T697&lt;=0,0,T697-T703)</f>
        <v>#VALUE!</v>
      </c>
      <c r="U706" s="680" t="e">
        <f aca="false">IF(U697&lt;=0,0,U697-U703)</f>
        <v>#VALUE!</v>
      </c>
      <c r="V706" s="680" t="e">
        <f aca="false">IF(V697&lt;=0,0,V697-V703)</f>
        <v>#VALUE!</v>
      </c>
      <c r="W706" s="680" t="e">
        <f aca="false">IF(W697&lt;=0,0,W697-W703)</f>
        <v>#VALUE!</v>
      </c>
      <c r="X706" s="680" t="e">
        <f aca="false">IF(X697&lt;=0,0,X697-X703)</f>
        <v>#VALUE!</v>
      </c>
      <c r="Y706" s="680" t="e">
        <f aca="false">IF(Y697&lt;=0,0,Y697-Y703)</f>
        <v>#VALUE!</v>
      </c>
      <c r="Z706" s="680" t="e">
        <f aca="false">IF(Z697&lt;=0,0,Z697-Z703)</f>
        <v>#VALUE!</v>
      </c>
      <c r="AA706" s="680" t="e">
        <f aca="false">IF(AA697&lt;=0,0,AA697-AA703)</f>
        <v>#VALUE!</v>
      </c>
      <c r="AB706" s="680" t="e">
        <f aca="false">IF(AB697&lt;=0,0,AB697-AB703)</f>
        <v>#VALUE!</v>
      </c>
      <c r="AC706" s="680" t="e">
        <f aca="false">IF(AC697&lt;=0,0,AC697-AC703)</f>
        <v>#VALUE!</v>
      </c>
      <c r="AD706" s="680" t="e">
        <f aca="false">IF(AD697&lt;=0,0,AD697-AD703)</f>
        <v>#VALUE!</v>
      </c>
      <c r="AE706" s="680" t="e">
        <f aca="false">IF(AE697&lt;=0,0,AE697-AE703)</f>
        <v>#VALUE!</v>
      </c>
      <c r="AF706" s="680" t="e">
        <f aca="false">IF(AF697&lt;=0,0,AF697-AF703)</f>
        <v>#VALUE!</v>
      </c>
    </row>
    <row r="707" customFormat="false" ht="11.25" hidden="false" customHeight="false" outlineLevel="0" collapsed="false">
      <c r="A707" s="675"/>
      <c r="B707" s="238"/>
      <c r="C707" s="238"/>
      <c r="D707" s="238"/>
      <c r="E707" s="238"/>
      <c r="F707" s="238"/>
      <c r="G707" s="238"/>
      <c r="H707" s="680"/>
      <c r="I707" s="680"/>
      <c r="J707" s="681"/>
      <c r="K707" s="682"/>
      <c r="L707" s="682"/>
      <c r="M707" s="682"/>
      <c r="N707" s="682"/>
      <c r="O707" s="682"/>
      <c r="P707" s="682"/>
      <c r="Q707" s="682"/>
      <c r="R707" s="682"/>
      <c r="S707" s="682"/>
      <c r="T707" s="682"/>
      <c r="U707" s="682"/>
      <c r="V707" s="682"/>
      <c r="W707" s="682"/>
      <c r="X707" s="682"/>
      <c r="Y707" s="682"/>
      <c r="Z707" s="682"/>
      <c r="AA707" s="682"/>
      <c r="AB707" s="682"/>
      <c r="AC707" s="682"/>
      <c r="AD707" s="682"/>
      <c r="AE707" s="682"/>
      <c r="AF707" s="682"/>
    </row>
    <row r="708" customFormat="false" ht="11.25" hidden="false" customHeight="false" outlineLevel="0" collapsed="false">
      <c r="A708" s="675" t="s">
        <v>679</v>
      </c>
      <c r="B708" s="241"/>
      <c r="C708" s="484" t="n">
        <f aca="false">I668</f>
        <v>0</v>
      </c>
      <c r="D708" s="238"/>
      <c r="E708" s="238"/>
      <c r="F708" s="238"/>
      <c r="G708" s="238"/>
      <c r="H708" s="676" t="n">
        <f aca="false">H706*H668</f>
        <v>0</v>
      </c>
      <c r="I708" s="676" t="n">
        <f aca="false">I706*I668</f>
        <v>0</v>
      </c>
      <c r="J708" s="677" t="e">
        <f aca="false">J706*J668</f>
        <v>#VALUE!</v>
      </c>
      <c r="K708" s="678" t="e">
        <f aca="false">K706*K668</f>
        <v>#VALUE!</v>
      </c>
      <c r="L708" s="678" t="e">
        <f aca="false">L706*L668</f>
        <v>#VALUE!</v>
      </c>
      <c r="M708" s="678" t="e">
        <f aca="false">M706*M668</f>
        <v>#VALUE!</v>
      </c>
      <c r="N708" s="678" t="e">
        <f aca="false">N706*N668</f>
        <v>#VALUE!</v>
      </c>
      <c r="O708" s="678" t="e">
        <f aca="false">O706*O668</f>
        <v>#VALUE!</v>
      </c>
      <c r="P708" s="678" t="e">
        <f aca="false">P706*P668</f>
        <v>#VALUE!</v>
      </c>
      <c r="Q708" s="678" t="e">
        <f aca="false">Q706*Q668</f>
        <v>#VALUE!</v>
      </c>
      <c r="R708" s="678" t="e">
        <f aca="false">R706*R668</f>
        <v>#VALUE!</v>
      </c>
      <c r="S708" s="678" t="e">
        <f aca="false">S706*S668</f>
        <v>#VALUE!</v>
      </c>
      <c r="T708" s="678" t="e">
        <f aca="false">T706*T668</f>
        <v>#VALUE!</v>
      </c>
      <c r="U708" s="678" t="e">
        <f aca="false">U706*U668</f>
        <v>#VALUE!</v>
      </c>
      <c r="V708" s="678" t="e">
        <f aca="false">V706*V668</f>
        <v>#VALUE!</v>
      </c>
      <c r="W708" s="678" t="e">
        <f aca="false">W706*W668</f>
        <v>#VALUE!</v>
      </c>
      <c r="X708" s="678" t="e">
        <f aca="false">X706*X668</f>
        <v>#VALUE!</v>
      </c>
      <c r="Y708" s="678" t="e">
        <f aca="false">Y706*Y668</f>
        <v>#VALUE!</v>
      </c>
      <c r="Z708" s="678" t="e">
        <f aca="false">Z706*Z668</f>
        <v>#VALUE!</v>
      </c>
      <c r="AA708" s="678" t="e">
        <f aca="false">AA706*AA668</f>
        <v>#VALUE!</v>
      </c>
      <c r="AB708" s="678" t="e">
        <f aca="false">AB706*AB668</f>
        <v>#VALUE!</v>
      </c>
      <c r="AC708" s="678" t="e">
        <f aca="false">AC706*AC668</f>
        <v>#VALUE!</v>
      </c>
      <c r="AD708" s="678" t="e">
        <f aca="false">AD706*AD668</f>
        <v>#VALUE!</v>
      </c>
      <c r="AE708" s="678" t="e">
        <f aca="false">AE706*AE668</f>
        <v>#VALUE!</v>
      </c>
      <c r="AF708" s="678" t="e">
        <f aca="false">AF706*AF668</f>
        <v>#VALUE!</v>
      </c>
    </row>
    <row r="709" customFormat="false" ht="11.25" hidden="false" customHeight="false" outlineLevel="0" collapsed="false">
      <c r="A709" s="675" t="s">
        <v>680</v>
      </c>
      <c r="B709" s="241"/>
      <c r="C709" s="484" t="n">
        <f aca="false">I667</f>
        <v>0</v>
      </c>
      <c r="D709" s="238"/>
      <c r="E709" s="238"/>
      <c r="F709" s="238"/>
      <c r="G709" s="238"/>
      <c r="H709" s="680" t="n">
        <f aca="false">(H706-H708)*H667</f>
        <v>0</v>
      </c>
      <c r="I709" s="696" t="n">
        <f aca="false">(I706-I708)*I667</f>
        <v>0</v>
      </c>
      <c r="J709" s="682" t="e">
        <f aca="false">(J706-J708)*J667</f>
        <v>#VALUE!</v>
      </c>
      <c r="K709" s="682" t="e">
        <f aca="false">(K706-K708)*K667</f>
        <v>#VALUE!</v>
      </c>
      <c r="L709" s="682" t="e">
        <f aca="false">(L706-L708)*L667</f>
        <v>#VALUE!</v>
      </c>
      <c r="M709" s="682" t="e">
        <f aca="false">(M706-M708)*M667</f>
        <v>#VALUE!</v>
      </c>
      <c r="N709" s="682" t="e">
        <f aca="false">(N706-N708)*N667</f>
        <v>#VALUE!</v>
      </c>
      <c r="O709" s="682" t="e">
        <f aca="false">(O706-O708)*O667</f>
        <v>#VALUE!</v>
      </c>
      <c r="P709" s="682" t="e">
        <f aca="false">(P706-P708)*P667</f>
        <v>#VALUE!</v>
      </c>
      <c r="Q709" s="682" t="e">
        <f aca="false">(Q706-Q708)*Q667</f>
        <v>#VALUE!</v>
      </c>
      <c r="R709" s="682" t="e">
        <f aca="false">(R706-R708)*R667</f>
        <v>#VALUE!</v>
      </c>
      <c r="S709" s="682" t="e">
        <f aca="false">(S706-S708)*S667</f>
        <v>#VALUE!</v>
      </c>
      <c r="T709" s="682" t="e">
        <f aca="false">(T706-T708)*T667</f>
        <v>#VALUE!</v>
      </c>
      <c r="U709" s="682" t="e">
        <f aca="false">(U706-U708)*U667</f>
        <v>#VALUE!</v>
      </c>
      <c r="V709" s="682" t="e">
        <f aca="false">(V706-V708)*V667</f>
        <v>#VALUE!</v>
      </c>
      <c r="W709" s="682" t="e">
        <f aca="false">(W706-W708)*W667</f>
        <v>#VALUE!</v>
      </c>
      <c r="X709" s="682" t="e">
        <f aca="false">(X706-X708)*X667</f>
        <v>#VALUE!</v>
      </c>
      <c r="Y709" s="682" t="e">
        <f aca="false">(Y706-Y708)*Y667</f>
        <v>#VALUE!</v>
      </c>
      <c r="Z709" s="682" t="e">
        <f aca="false">(Z706-Z708)*Z667</f>
        <v>#VALUE!</v>
      </c>
      <c r="AA709" s="682" t="e">
        <f aca="false">(AA706-AA708)*AA667</f>
        <v>#VALUE!</v>
      </c>
      <c r="AB709" s="682" t="e">
        <f aca="false">(AB706-AB708)*AB667</f>
        <v>#VALUE!</v>
      </c>
      <c r="AC709" s="682" t="e">
        <f aca="false">(AC706-AC708)*AC667</f>
        <v>#VALUE!</v>
      </c>
      <c r="AD709" s="682" t="e">
        <f aca="false">(AD706-AD708)*AD667</f>
        <v>#VALUE!</v>
      </c>
      <c r="AE709" s="682" t="e">
        <f aca="false">(AE706-AE708)*AE667</f>
        <v>#VALUE!</v>
      </c>
      <c r="AF709" s="682" t="e">
        <f aca="false">(AF706-AF708)*AF667</f>
        <v>#VALUE!</v>
      </c>
    </row>
    <row r="710" customFormat="false" ht="12" hidden="false" customHeight="false" outlineLevel="0" collapsed="false">
      <c r="A710" s="675" t="s">
        <v>685</v>
      </c>
      <c r="B710" s="238"/>
      <c r="C710" s="238"/>
      <c r="D710" s="238"/>
      <c r="E710" s="238"/>
      <c r="F710" s="238"/>
      <c r="G710" s="238"/>
      <c r="H710" s="694" t="n">
        <f aca="false">H708+H709</f>
        <v>0</v>
      </c>
      <c r="I710" s="697" t="n">
        <f aca="false">I708+I709</f>
        <v>0</v>
      </c>
      <c r="J710" s="694" t="e">
        <f aca="false">J708+J709</f>
        <v>#VALUE!</v>
      </c>
      <c r="K710" s="694" t="e">
        <f aca="false">K708+K709</f>
        <v>#VALUE!</v>
      </c>
      <c r="L710" s="694" t="e">
        <f aca="false">L708+L709</f>
        <v>#VALUE!</v>
      </c>
      <c r="M710" s="694" t="e">
        <f aca="false">M708+M709</f>
        <v>#VALUE!</v>
      </c>
      <c r="N710" s="694" t="e">
        <f aca="false">N708+N709</f>
        <v>#VALUE!</v>
      </c>
      <c r="O710" s="694" t="e">
        <f aca="false">O708+O709</f>
        <v>#VALUE!</v>
      </c>
      <c r="P710" s="694" t="e">
        <f aca="false">P708+P709</f>
        <v>#VALUE!</v>
      </c>
      <c r="Q710" s="694" t="e">
        <f aca="false">Q708+Q709</f>
        <v>#VALUE!</v>
      </c>
      <c r="R710" s="694" t="e">
        <f aca="false">R708+R709</f>
        <v>#VALUE!</v>
      </c>
      <c r="S710" s="694" t="e">
        <f aca="false">S708+S709</f>
        <v>#VALUE!</v>
      </c>
      <c r="T710" s="694" t="e">
        <f aca="false">T708+T709</f>
        <v>#VALUE!</v>
      </c>
      <c r="U710" s="694" t="e">
        <f aca="false">U708+U709</f>
        <v>#VALUE!</v>
      </c>
      <c r="V710" s="694" t="e">
        <f aca="false">V708+V709</f>
        <v>#VALUE!</v>
      </c>
      <c r="W710" s="694" t="e">
        <f aca="false">W708+W709</f>
        <v>#VALUE!</v>
      </c>
      <c r="X710" s="694" t="e">
        <f aca="false">X708+X709</f>
        <v>#VALUE!</v>
      </c>
      <c r="Y710" s="694" t="e">
        <f aca="false">Y708+Y709</f>
        <v>#VALUE!</v>
      </c>
      <c r="Z710" s="694" t="e">
        <f aca="false">Z708+Z709</f>
        <v>#VALUE!</v>
      </c>
      <c r="AA710" s="694" t="e">
        <f aca="false">AA708+AA709</f>
        <v>#VALUE!</v>
      </c>
      <c r="AB710" s="694" t="e">
        <f aca="false">AB708+AB709</f>
        <v>#VALUE!</v>
      </c>
      <c r="AC710" s="694" t="e">
        <f aca="false">AC708+AC709</f>
        <v>#VALUE!</v>
      </c>
      <c r="AD710" s="694" t="e">
        <f aca="false">AD708+AD709</f>
        <v>#VALUE!</v>
      </c>
      <c r="AE710" s="694" t="e">
        <f aca="false">AE708+AE709</f>
        <v>#VALUE!</v>
      </c>
      <c r="AF710" s="694" t="e">
        <f aca="false">AF708+AF709</f>
        <v>#VALUE!</v>
      </c>
    </row>
    <row r="711" customFormat="false" ht="12" hidden="false" customHeight="false" outlineLevel="0" collapsed="false">
      <c r="A711" s="675"/>
      <c r="B711" s="238"/>
      <c r="C711" s="238"/>
      <c r="D711" s="238"/>
      <c r="E711" s="238"/>
      <c r="F711" s="238"/>
      <c r="G711" s="238"/>
      <c r="H711" s="682"/>
      <c r="I711" s="682"/>
      <c r="J711" s="682"/>
      <c r="K711" s="682"/>
      <c r="L711" s="682"/>
      <c r="M711" s="682"/>
      <c r="N711" s="682"/>
      <c r="O711" s="682"/>
      <c r="P711" s="682"/>
      <c r="Q711" s="682"/>
      <c r="R711" s="682"/>
      <c r="S711" s="682"/>
      <c r="T711" s="682"/>
      <c r="U711" s="682"/>
      <c r="V711" s="682"/>
      <c r="W711" s="682"/>
      <c r="X711" s="682"/>
      <c r="Y711" s="682"/>
      <c r="Z711" s="682"/>
      <c r="AA711" s="682"/>
      <c r="AB711" s="682"/>
      <c r="AC711" s="682"/>
      <c r="AD711" s="682"/>
      <c r="AE711" s="682"/>
      <c r="AF711" s="682"/>
    </row>
    <row r="712" customFormat="false" ht="11.25" hidden="false" customHeight="false" outlineLevel="0" collapsed="false">
      <c r="A712" s="675"/>
      <c r="B712" s="238"/>
      <c r="C712" s="238"/>
      <c r="D712" s="238"/>
      <c r="E712" s="238"/>
      <c r="F712" s="238"/>
      <c r="G712" s="238"/>
      <c r="H712" s="687"/>
      <c r="I712" s="696"/>
      <c r="J712" s="682"/>
      <c r="K712" s="682"/>
      <c r="L712" s="682"/>
      <c r="M712" s="682"/>
      <c r="N712" s="682"/>
      <c r="O712" s="682"/>
      <c r="P712" s="682"/>
      <c r="Q712" s="682"/>
      <c r="R712" s="682"/>
      <c r="S712" s="682"/>
      <c r="T712" s="682"/>
      <c r="U712" s="682"/>
      <c r="V712" s="682"/>
      <c r="W712" s="682"/>
      <c r="X712" s="682"/>
      <c r="Y712" s="682"/>
      <c r="Z712" s="682"/>
      <c r="AA712" s="682"/>
      <c r="AB712" s="682"/>
      <c r="AC712" s="682"/>
      <c r="AD712" s="682"/>
      <c r="AE712" s="682"/>
      <c r="AF712" s="682"/>
    </row>
    <row r="713" customFormat="false" ht="11.25" hidden="false" customHeight="false" outlineLevel="0" collapsed="false">
      <c r="A713" s="698" t="s">
        <v>686</v>
      </c>
      <c r="B713" s="699"/>
      <c r="C713" s="699"/>
      <c r="D713" s="238"/>
      <c r="E713" s="238"/>
      <c r="F713" s="238"/>
      <c r="G713" s="238"/>
      <c r="H713" s="680" t="n">
        <f aca="false">+H693</f>
        <v>0</v>
      </c>
      <c r="I713" s="680" t="n">
        <f aca="false">+I693</f>
        <v>0</v>
      </c>
      <c r="J713" s="681" t="e">
        <f aca="false">+J693</f>
        <v>#VALUE!</v>
      </c>
      <c r="K713" s="680" t="e">
        <f aca="false">+K693</f>
        <v>#VALUE!</v>
      </c>
      <c r="L713" s="680" t="e">
        <f aca="false">+L693</f>
        <v>#VALUE!</v>
      </c>
      <c r="M713" s="680" t="e">
        <f aca="false">+M693</f>
        <v>#VALUE!</v>
      </c>
      <c r="N713" s="680" t="e">
        <f aca="false">+N693</f>
        <v>#VALUE!</v>
      </c>
      <c r="O713" s="680" t="e">
        <f aca="false">+O693</f>
        <v>#VALUE!</v>
      </c>
      <c r="P713" s="680" t="e">
        <f aca="false">+P693</f>
        <v>#VALUE!</v>
      </c>
      <c r="Q713" s="680" t="e">
        <f aca="false">+Q693</f>
        <v>#VALUE!</v>
      </c>
      <c r="R713" s="680" t="e">
        <f aca="false">+R693</f>
        <v>#VALUE!</v>
      </c>
      <c r="S713" s="680" t="e">
        <f aca="false">+S693</f>
        <v>#VALUE!</v>
      </c>
      <c r="T713" s="700" t="e">
        <f aca="false">+T693</f>
        <v>#VALUE!</v>
      </c>
      <c r="U713" s="700" t="e">
        <f aca="false">+U693</f>
        <v>#VALUE!</v>
      </c>
      <c r="V713" s="700" t="e">
        <f aca="false">+V693</f>
        <v>#VALUE!</v>
      </c>
      <c r="W713" s="700" t="e">
        <f aca="false">+W693</f>
        <v>#VALUE!</v>
      </c>
      <c r="X713" s="700" t="e">
        <f aca="false">+X693</f>
        <v>#VALUE!</v>
      </c>
      <c r="Y713" s="700" t="e">
        <f aca="false">+Y693</f>
        <v>#VALUE!</v>
      </c>
      <c r="Z713" s="700" t="e">
        <f aca="false">+Z693</f>
        <v>#VALUE!</v>
      </c>
      <c r="AA713" s="700" t="e">
        <f aca="false">+AA693</f>
        <v>#VALUE!</v>
      </c>
      <c r="AB713" s="700" t="e">
        <f aca="false">+AB693</f>
        <v>#VALUE!</v>
      </c>
      <c r="AC713" s="700" t="e">
        <f aca="false">+AC693</f>
        <v>#VALUE!</v>
      </c>
      <c r="AD713" s="700" t="e">
        <f aca="false">+AD693</f>
        <v>#VALUE!</v>
      </c>
      <c r="AE713" s="700" t="e">
        <f aca="false">+AE693</f>
        <v>#VALUE!</v>
      </c>
      <c r="AF713" s="700" t="e">
        <f aca="false">+AF693</f>
        <v>#VALUE!</v>
      </c>
    </row>
    <row r="714" customFormat="false" ht="11.25" hidden="false" customHeight="false" outlineLevel="0" collapsed="false">
      <c r="A714" s="675" t="s">
        <v>685</v>
      </c>
      <c r="B714" s="238"/>
      <c r="C714" s="238"/>
      <c r="D714" s="238"/>
      <c r="E714" s="238"/>
      <c r="F714" s="238"/>
      <c r="G714" s="238"/>
      <c r="H714" s="680" t="n">
        <f aca="false">H710</f>
        <v>0</v>
      </c>
      <c r="I714" s="696" t="n">
        <f aca="false">I710</f>
        <v>0</v>
      </c>
      <c r="J714" s="682" t="e">
        <f aca="false">J710</f>
        <v>#VALUE!</v>
      </c>
      <c r="K714" s="682" t="e">
        <f aca="false">K710</f>
        <v>#VALUE!</v>
      </c>
      <c r="L714" s="682" t="e">
        <f aca="false">L710</f>
        <v>#VALUE!</v>
      </c>
      <c r="M714" s="682" t="e">
        <f aca="false">M710</f>
        <v>#VALUE!</v>
      </c>
      <c r="N714" s="682" t="e">
        <f aca="false">N710</f>
        <v>#VALUE!</v>
      </c>
      <c r="O714" s="682" t="e">
        <f aca="false">O710</f>
        <v>#VALUE!</v>
      </c>
      <c r="P714" s="682" t="e">
        <f aca="false">P710</f>
        <v>#VALUE!</v>
      </c>
      <c r="Q714" s="682" t="e">
        <f aca="false">Q710</f>
        <v>#VALUE!</v>
      </c>
      <c r="R714" s="682" t="e">
        <f aca="false">R710</f>
        <v>#VALUE!</v>
      </c>
      <c r="S714" s="682" t="e">
        <f aca="false">S710</f>
        <v>#VALUE!</v>
      </c>
      <c r="T714" s="682" t="e">
        <f aca="false">T710</f>
        <v>#VALUE!</v>
      </c>
      <c r="U714" s="682" t="e">
        <f aca="false">U710</f>
        <v>#VALUE!</v>
      </c>
      <c r="V714" s="682" t="e">
        <f aca="false">V710</f>
        <v>#VALUE!</v>
      </c>
      <c r="W714" s="682" t="e">
        <f aca="false">W710</f>
        <v>#VALUE!</v>
      </c>
      <c r="X714" s="682" t="e">
        <f aca="false">X710</f>
        <v>#VALUE!</v>
      </c>
      <c r="Y714" s="682" t="e">
        <f aca="false">Y710</f>
        <v>#VALUE!</v>
      </c>
      <c r="Z714" s="682" t="e">
        <f aca="false">Z710</f>
        <v>#VALUE!</v>
      </c>
      <c r="AA714" s="682" t="e">
        <f aca="false">AA710</f>
        <v>#VALUE!</v>
      </c>
      <c r="AB714" s="682" t="e">
        <f aca="false">AB710</f>
        <v>#VALUE!</v>
      </c>
      <c r="AC714" s="682" t="e">
        <f aca="false">AC710</f>
        <v>#VALUE!</v>
      </c>
      <c r="AD714" s="682" t="e">
        <f aca="false">AD710</f>
        <v>#VALUE!</v>
      </c>
      <c r="AE714" s="682" t="e">
        <f aca="false">AE710</f>
        <v>#VALUE!</v>
      </c>
      <c r="AF714" s="682" t="e">
        <f aca="false">AF710</f>
        <v>#VALUE!</v>
      </c>
    </row>
    <row r="715" customFormat="false" ht="12" hidden="false" customHeight="false" outlineLevel="0" collapsed="false">
      <c r="A715" s="675" t="s">
        <v>475</v>
      </c>
      <c r="B715" s="238"/>
      <c r="C715" s="468"/>
      <c r="D715" s="468"/>
      <c r="E715" s="468"/>
      <c r="F715" s="468"/>
      <c r="G715" s="468"/>
      <c r="H715" s="701" t="n">
        <f aca="false">H714-H713</f>
        <v>0</v>
      </c>
      <c r="I715" s="702" t="n">
        <f aca="false">I714-I713</f>
        <v>0</v>
      </c>
      <c r="J715" s="701" t="e">
        <f aca="false">J714-J713</f>
        <v>#VALUE!</v>
      </c>
      <c r="K715" s="701" t="e">
        <f aca="false">K714-K713</f>
        <v>#VALUE!</v>
      </c>
      <c r="L715" s="701" t="e">
        <f aca="false">L714-L713</f>
        <v>#VALUE!</v>
      </c>
      <c r="M715" s="701" t="e">
        <f aca="false">M714-M713</f>
        <v>#VALUE!</v>
      </c>
      <c r="N715" s="701" t="e">
        <f aca="false">N714-N713</f>
        <v>#VALUE!</v>
      </c>
      <c r="O715" s="701" t="e">
        <f aca="false">O714-O713</f>
        <v>#VALUE!</v>
      </c>
      <c r="P715" s="701" t="e">
        <f aca="false">P714-P713</f>
        <v>#VALUE!</v>
      </c>
      <c r="Q715" s="701" t="e">
        <f aca="false">Q714-Q713</f>
        <v>#VALUE!</v>
      </c>
      <c r="R715" s="701" t="e">
        <f aca="false">R714-R713</f>
        <v>#VALUE!</v>
      </c>
      <c r="S715" s="701" t="e">
        <f aca="false">S714-S713</f>
        <v>#VALUE!</v>
      </c>
      <c r="T715" s="701" t="e">
        <f aca="false">T714-T713</f>
        <v>#VALUE!</v>
      </c>
      <c r="U715" s="701" t="e">
        <f aca="false">U714-U713</f>
        <v>#VALUE!</v>
      </c>
      <c r="V715" s="701" t="e">
        <f aca="false">V714-V713</f>
        <v>#VALUE!</v>
      </c>
      <c r="W715" s="701" t="e">
        <f aca="false">W714-W713</f>
        <v>#VALUE!</v>
      </c>
      <c r="X715" s="701" t="e">
        <f aca="false">X714-X713</f>
        <v>#VALUE!</v>
      </c>
      <c r="Y715" s="701" t="e">
        <f aca="false">Y714-Y713</f>
        <v>#VALUE!</v>
      </c>
      <c r="Z715" s="701" t="e">
        <f aca="false">Z714-Z713</f>
        <v>#VALUE!</v>
      </c>
      <c r="AA715" s="701" t="e">
        <f aca="false">AA714-AA713</f>
        <v>#VALUE!</v>
      </c>
      <c r="AB715" s="701" t="e">
        <f aca="false">AB714-AB713</f>
        <v>#VALUE!</v>
      </c>
      <c r="AC715" s="701" t="e">
        <f aca="false">AC714-AC713</f>
        <v>#VALUE!</v>
      </c>
      <c r="AD715" s="701" t="e">
        <f aca="false">AD714-AD713</f>
        <v>#VALUE!</v>
      </c>
      <c r="AE715" s="701" t="e">
        <f aca="false">AE714-AE713</f>
        <v>#VALUE!</v>
      </c>
      <c r="AF715" s="701" t="e">
        <f aca="false">AF714-AF713</f>
        <v>#VALUE!</v>
      </c>
    </row>
    <row r="716" customFormat="false" ht="12" hidden="false" customHeight="false" outlineLevel="0" collapsed="false">
      <c r="A716" s="675"/>
      <c r="B716" s="238"/>
      <c r="C716" s="468"/>
      <c r="D716" s="468"/>
      <c r="E716" s="468"/>
      <c r="F716" s="468"/>
      <c r="G716" s="468"/>
      <c r="H716" s="241"/>
      <c r="I716" s="474"/>
      <c r="J716" s="474"/>
      <c r="K716" s="474"/>
      <c r="L716" s="474"/>
      <c r="M716" s="474"/>
      <c r="N716" s="474"/>
      <c r="O716" s="474"/>
      <c r="P716" s="474"/>
      <c r="Q716" s="474"/>
      <c r="R716" s="474"/>
      <c r="S716" s="474"/>
      <c r="T716" s="474"/>
      <c r="U716" s="474"/>
      <c r="V716" s="474"/>
      <c r="W716" s="474"/>
      <c r="X716" s="474"/>
      <c r="Y716" s="474"/>
      <c r="Z716" s="474"/>
      <c r="AA716" s="474"/>
      <c r="AB716" s="474"/>
      <c r="AC716" s="474"/>
      <c r="AD716" s="474"/>
      <c r="AE716" s="474"/>
      <c r="AF716" s="474"/>
    </row>
    <row r="717" customFormat="false" ht="12" hidden="false" customHeight="false" outlineLevel="0" collapsed="false">
      <c r="A717" s="703"/>
      <c r="B717" s="703"/>
      <c r="C717" s="703"/>
      <c r="D717" s="703"/>
      <c r="E717" s="703"/>
      <c r="F717" s="703"/>
      <c r="G717" s="703"/>
      <c r="H717" s="703"/>
      <c r="I717" s="703"/>
      <c r="J717" s="703"/>
      <c r="K717" s="703"/>
      <c r="L717" s="703"/>
      <c r="M717" s="703"/>
      <c r="N717" s="703"/>
      <c r="O717" s="703"/>
      <c r="P717" s="703"/>
      <c r="Q717" s="703"/>
      <c r="R717" s="703"/>
      <c r="S717" s="703"/>
      <c r="T717" s="667"/>
      <c r="U717" s="667"/>
      <c r="V717" s="667"/>
      <c r="W717" s="667"/>
      <c r="X717" s="667"/>
      <c r="Y717" s="667"/>
      <c r="Z717" s="667"/>
      <c r="AA717" s="667"/>
      <c r="AB717" s="667"/>
      <c r="AC717" s="667"/>
      <c r="AD717" s="667"/>
      <c r="AE717" s="667"/>
      <c r="AF717" s="667"/>
    </row>
    <row r="718" customFormat="false" ht="17.25" hidden="false" customHeight="false" outlineLevel="0" collapsed="false">
      <c r="A718" s="463" t="s">
        <v>687</v>
      </c>
      <c r="B718" s="238"/>
      <c r="C718" s="238"/>
      <c r="D718" s="238"/>
      <c r="E718" s="238"/>
      <c r="F718" s="238"/>
      <c r="G718" s="238"/>
      <c r="H718" s="704" t="n">
        <f aca="false">+Summary!E22</f>
        <v>36373</v>
      </c>
      <c r="I718" s="705" t="n">
        <f aca="false">I$638</f>
        <v>36525</v>
      </c>
      <c r="J718" s="506" t="n">
        <f aca="false">J$638</f>
        <v>36891</v>
      </c>
      <c r="K718" s="506" t="n">
        <f aca="false">K$638</f>
        <v>37256</v>
      </c>
      <c r="L718" s="506" t="n">
        <f aca="false">L$638</f>
        <v>37621</v>
      </c>
      <c r="M718" s="506" t="n">
        <f aca="false">M$638</f>
        <v>37986</v>
      </c>
      <c r="N718" s="506" t="n">
        <f aca="false">N$638</f>
        <v>38352</v>
      </c>
      <c r="O718" s="506" t="n">
        <f aca="false">O$638</f>
        <v>38717</v>
      </c>
      <c r="P718" s="506" t="n">
        <f aca="false">P$638</f>
        <v>39082</v>
      </c>
      <c r="Q718" s="506" t="n">
        <f aca="false">Q$638</f>
        <v>39447</v>
      </c>
      <c r="R718" s="506" t="n">
        <f aca="false">R$638</f>
        <v>39813</v>
      </c>
      <c r="S718" s="506" t="n">
        <f aca="false">S$638</f>
        <v>40178</v>
      </c>
      <c r="T718" s="506" t="n">
        <f aca="false">T$638</f>
        <v>40543</v>
      </c>
      <c r="U718" s="506" t="n">
        <f aca="false">U$638</f>
        <v>40908</v>
      </c>
      <c r="V718" s="506" t="n">
        <f aca="false">V$638</f>
        <v>41274</v>
      </c>
      <c r="W718" s="506" t="n">
        <f aca="false">W$638</f>
        <v>41639</v>
      </c>
      <c r="X718" s="506" t="n">
        <f aca="false">X$638</f>
        <v>42004</v>
      </c>
      <c r="Y718" s="506" t="n">
        <f aca="false">Y$638</f>
        <v>42369</v>
      </c>
      <c r="Z718" s="506" t="n">
        <f aca="false">Z$638</f>
        <v>42735</v>
      </c>
      <c r="AA718" s="506" t="n">
        <f aca="false">AA$638</f>
        <v>43100</v>
      </c>
      <c r="AB718" s="506" t="n">
        <f aca="false">AB$638</f>
        <v>43465</v>
      </c>
      <c r="AC718" s="506" t="n">
        <f aca="false">AC$638</f>
        <v>43830</v>
      </c>
      <c r="AD718" s="506" t="n">
        <f aca="false">AD$638</f>
        <v>44196</v>
      </c>
      <c r="AE718" s="506" t="n">
        <f aca="false">AE$638</f>
        <v>44561</v>
      </c>
      <c r="AF718" s="506" t="n">
        <f aca="false">AF$638</f>
        <v>44926</v>
      </c>
    </row>
    <row r="719" customFormat="false" ht="12" hidden="false" customHeight="false" outlineLevel="0" collapsed="false">
      <c r="A719" s="473" t="s">
        <v>688</v>
      </c>
      <c r="B719" s="238"/>
      <c r="C719" s="238"/>
      <c r="D719" s="238"/>
      <c r="E719" s="238"/>
      <c r="F719" s="238"/>
      <c r="G719" s="238"/>
      <c r="H719" s="464"/>
      <c r="I719" s="706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</row>
    <row r="720" customFormat="false" ht="11.25" hidden="false" customHeight="false" outlineLevel="0" collapsed="false">
      <c r="A720" s="473" t="s">
        <v>689</v>
      </c>
      <c r="B720" s="238"/>
      <c r="C720" s="238"/>
      <c r="D720" s="238"/>
      <c r="E720" s="238"/>
      <c r="F720" s="238"/>
      <c r="G720" s="238"/>
      <c r="H720" s="678" t="n">
        <f aca="false">-H483</f>
        <v>-24000</v>
      </c>
      <c r="I720" s="707" t="n">
        <v>0</v>
      </c>
      <c r="J720" s="708" t="n">
        <v>0</v>
      </c>
      <c r="K720" s="708" t="n">
        <v>0</v>
      </c>
      <c r="L720" s="708" t="n">
        <v>0</v>
      </c>
      <c r="M720" s="708" t="n">
        <v>0</v>
      </c>
      <c r="N720" s="708" t="n">
        <v>0</v>
      </c>
      <c r="O720" s="708" t="n">
        <v>0</v>
      </c>
      <c r="P720" s="708" t="n">
        <v>0</v>
      </c>
      <c r="Q720" s="708" t="n">
        <v>0</v>
      </c>
      <c r="R720" s="708" t="n">
        <v>0</v>
      </c>
      <c r="S720" s="708" t="n">
        <v>0</v>
      </c>
      <c r="T720" s="708" t="n">
        <v>0</v>
      </c>
      <c r="U720" s="708" t="n">
        <v>0</v>
      </c>
      <c r="V720" s="708" t="n">
        <v>0</v>
      </c>
      <c r="W720" s="708" t="n">
        <v>0</v>
      </c>
      <c r="X720" s="708" t="n">
        <v>0</v>
      </c>
      <c r="Y720" s="708" t="n">
        <v>0</v>
      </c>
      <c r="Z720" s="708" t="n">
        <v>0</v>
      </c>
      <c r="AA720" s="708" t="n">
        <v>0</v>
      </c>
      <c r="AB720" s="708" t="n">
        <v>0</v>
      </c>
      <c r="AC720" s="708" t="n">
        <v>0</v>
      </c>
      <c r="AD720" s="708" t="n">
        <v>0</v>
      </c>
      <c r="AE720" s="708" t="n">
        <v>0</v>
      </c>
      <c r="AF720" s="708" t="n">
        <v>0</v>
      </c>
    </row>
    <row r="721" customFormat="false" ht="11.25" hidden="false" customHeight="false" outlineLevel="0" collapsed="false">
      <c r="A721" s="473"/>
      <c r="B721" s="238"/>
      <c r="C721" s="238"/>
      <c r="D721" s="238"/>
      <c r="E721" s="238"/>
      <c r="F721" s="238"/>
      <c r="G721" s="238"/>
      <c r="H721" s="678"/>
      <c r="I721" s="677"/>
      <c r="J721" s="676"/>
      <c r="K721" s="676"/>
      <c r="L721" s="676"/>
      <c r="M721" s="676"/>
      <c r="N721" s="676"/>
      <c r="O721" s="676"/>
      <c r="P721" s="676"/>
      <c r="Q721" s="676"/>
      <c r="R721" s="676"/>
      <c r="S721" s="676"/>
      <c r="T721" s="676"/>
      <c r="U721" s="676"/>
      <c r="V721" s="676"/>
      <c r="W721" s="676"/>
      <c r="X721" s="676"/>
      <c r="Y721" s="676"/>
      <c r="Z721" s="676"/>
      <c r="AA721" s="676"/>
      <c r="AB721" s="676"/>
      <c r="AC721" s="676"/>
      <c r="AD721" s="676"/>
      <c r="AE721" s="676"/>
      <c r="AF721" s="676"/>
    </row>
    <row r="722" customFormat="false" ht="11.25" hidden="false" customHeight="false" outlineLevel="0" collapsed="false">
      <c r="A722" s="473" t="s">
        <v>453</v>
      </c>
      <c r="B722" s="238"/>
      <c r="C722" s="238"/>
      <c r="D722" s="238"/>
      <c r="E722" s="238"/>
      <c r="F722" s="238"/>
      <c r="G722" s="238" t="n">
        <v>-1847.14506211111</v>
      </c>
      <c r="H722" s="238"/>
      <c r="I722" s="502" t="n">
        <f aca="false">I$348</f>
        <v>-1847.14506211111</v>
      </c>
      <c r="J722" s="430" t="e">
        <f aca="false">J$348</f>
        <v>#VALUE!</v>
      </c>
      <c r="K722" s="430" t="e">
        <f aca="false">K$348</f>
        <v>#VALUE!</v>
      </c>
      <c r="L722" s="430" t="e">
        <f aca="false">L$348</f>
        <v>#VALUE!</v>
      </c>
      <c r="M722" s="430" t="e">
        <f aca="false">M$348</f>
        <v>#VALUE!</v>
      </c>
      <c r="N722" s="430" t="e">
        <f aca="false">N$348</f>
        <v>#VALUE!</v>
      </c>
      <c r="O722" s="430" t="e">
        <f aca="false">O$348</f>
        <v>#VALUE!</v>
      </c>
      <c r="P722" s="430" t="e">
        <f aca="false">P$348</f>
        <v>#VALUE!</v>
      </c>
      <c r="Q722" s="430" t="e">
        <f aca="false">Q$348</f>
        <v>#VALUE!</v>
      </c>
      <c r="R722" s="430" t="e">
        <f aca="false">R$348</f>
        <v>#VALUE!</v>
      </c>
      <c r="S722" s="430" t="e">
        <f aca="false">S$348</f>
        <v>#VALUE!</v>
      </c>
      <c r="T722" s="430" t="e">
        <f aca="false">T$348</f>
        <v>#VALUE!</v>
      </c>
      <c r="U722" s="430" t="e">
        <f aca="false">U$348</f>
        <v>#VALUE!</v>
      </c>
      <c r="V722" s="430" t="e">
        <f aca="false">V$348</f>
        <v>#VALUE!</v>
      </c>
      <c r="W722" s="430" t="e">
        <f aca="false">W$348</f>
        <v>#VALUE!</v>
      </c>
      <c r="X722" s="430" t="e">
        <f aca="false">X$348</f>
        <v>#VALUE!</v>
      </c>
      <c r="Y722" s="430" t="e">
        <f aca="false">Y$348</f>
        <v>#VALUE!</v>
      </c>
      <c r="Z722" s="430" t="e">
        <f aca="false">Z$348</f>
        <v>#VALUE!</v>
      </c>
      <c r="AA722" s="430" t="e">
        <f aca="false">AA$348</f>
        <v>#VALUE!</v>
      </c>
      <c r="AB722" s="430" t="e">
        <f aca="false">AB$348</f>
        <v>#VALUE!</v>
      </c>
      <c r="AC722" s="430" t="e">
        <f aca="false">AC$348</f>
        <v>#VALUE!</v>
      </c>
      <c r="AD722" s="430" t="e">
        <f aca="false">AD$348</f>
        <v>#VALUE!</v>
      </c>
      <c r="AE722" s="430" t="e">
        <f aca="false">AE$348</f>
        <v>#VALUE!</v>
      </c>
      <c r="AF722" s="430" t="e">
        <f aca="false">AF$348</f>
        <v>#VALUE!</v>
      </c>
    </row>
    <row r="723" customFormat="false" ht="11.25" hidden="false" customHeight="false" outlineLevel="0" collapsed="false">
      <c r="A723" s="450"/>
      <c r="B723" s="238"/>
      <c r="C723" s="238"/>
      <c r="D723" s="238"/>
      <c r="E723" s="238"/>
      <c r="F723" s="238"/>
      <c r="G723" s="238"/>
      <c r="H723" s="238"/>
      <c r="I723" s="502"/>
      <c r="J723" s="430"/>
      <c r="K723" s="430"/>
      <c r="L723" s="430"/>
      <c r="M723" s="430"/>
      <c r="N723" s="430"/>
      <c r="O723" s="430"/>
      <c r="P723" s="430"/>
      <c r="Q723" s="430"/>
      <c r="R723" s="430"/>
      <c r="S723" s="430"/>
      <c r="T723" s="430"/>
      <c r="U723" s="430"/>
      <c r="V723" s="430"/>
      <c r="W723" s="430"/>
      <c r="X723" s="430"/>
      <c r="Y723" s="430"/>
      <c r="Z723" s="430"/>
      <c r="AA723" s="430"/>
      <c r="AB723" s="430"/>
      <c r="AC723" s="430"/>
      <c r="AD723" s="430"/>
      <c r="AE723" s="430"/>
      <c r="AF723" s="430"/>
    </row>
    <row r="724" customFormat="false" ht="11.25" hidden="false" customHeight="false" outlineLevel="0" collapsed="false">
      <c r="A724" s="450" t="s">
        <v>690</v>
      </c>
      <c r="B724" s="450" t="s">
        <v>691</v>
      </c>
      <c r="C724" s="238"/>
      <c r="D724" s="238"/>
      <c r="E724" s="238"/>
      <c r="F724" s="238"/>
      <c r="G724" s="238" t="n">
        <v>2238.14506311111</v>
      </c>
      <c r="H724" s="238"/>
      <c r="I724" s="502" t="n">
        <f aca="false">I$324+I$325+I$323</f>
        <v>2238.14506311111</v>
      </c>
      <c r="J724" s="430" t="n">
        <f aca="false">J$324+J$325+J$323</f>
        <v>5299.26666666667</v>
      </c>
      <c r="K724" s="430" t="n">
        <f aca="false">K$324+K$325+K$323</f>
        <v>5299.26666666667</v>
      </c>
      <c r="L724" s="430" t="n">
        <f aca="false">L$324+L$325+L$323</f>
        <v>5299.26666666667</v>
      </c>
      <c r="M724" s="430" t="n">
        <f aca="false">M$324+M$325+M$323</f>
        <v>5368.63669872801</v>
      </c>
      <c r="N724" s="430" t="n">
        <f aca="false">N$324+N$325+N$323</f>
        <v>5465.75474361389</v>
      </c>
      <c r="O724" s="430" t="n">
        <f aca="false">O$324+O$325+O$323</f>
        <v>5465.75474361389</v>
      </c>
      <c r="P724" s="430" t="n">
        <f aca="false">P$324+P$325+P$323</f>
        <v>5465.75474361389</v>
      </c>
      <c r="Q724" s="430" t="n">
        <f aca="false">Q$324+Q$325+Q$323</f>
        <v>5465.75474361389</v>
      </c>
      <c r="R724" s="430" t="n">
        <f aca="false">R$324+R$325+R$323</f>
        <v>5465.75474361389</v>
      </c>
      <c r="S724" s="430" t="n">
        <f aca="false">S$324+S$325+S$323</f>
        <v>5465.75474361389</v>
      </c>
      <c r="T724" s="430" t="n">
        <f aca="false">T$324+T$325+T$323</f>
        <v>5465.75474361389</v>
      </c>
      <c r="U724" s="430" t="n">
        <f aca="false">U$324+U$325+U$323</f>
        <v>5493.81467582222</v>
      </c>
      <c r="V724" s="430" t="n">
        <f aca="false">V$324+V$325+V$323</f>
        <v>5533.09858091387</v>
      </c>
      <c r="W724" s="430" t="n">
        <f aca="false">W$324+W$325+W$323</f>
        <v>5533.09858091387</v>
      </c>
      <c r="X724" s="430" t="n">
        <f aca="false">X$324+X$325+X$323</f>
        <v>3294.95351780276</v>
      </c>
      <c r="Y724" s="430" t="n">
        <f aca="false">Y$324+Y$325+Y$323</f>
        <v>570.485952616474</v>
      </c>
      <c r="Z724" s="430" t="n">
        <f aca="false">Z$324+Z$325+Z$323</f>
        <v>1041.80160633345</v>
      </c>
      <c r="AA724" s="430" t="n">
        <f aca="false">AA$324+AA$325+AA$323</f>
        <v>1041.80160633345</v>
      </c>
      <c r="AB724" s="430" t="n">
        <f aca="false">AB$324+AB$325+AB$323</f>
        <v>1041.80160633345</v>
      </c>
      <c r="AC724" s="430" t="n">
        <f aca="false">AC$324+AC$325+AC$323</f>
        <v>944.371642063778</v>
      </c>
      <c r="AD724" s="430" t="n">
        <f aca="false">AD$324+AD$325+AD$323</f>
        <v>807.96969208624</v>
      </c>
      <c r="AE724" s="430" t="n">
        <f aca="false">AE$324+AE$325+AE$323</f>
        <v>807.96969208624</v>
      </c>
      <c r="AF724" s="430" t="n">
        <f aca="false">AF$324+AF$325+AF$323</f>
        <v>807.96969208624</v>
      </c>
    </row>
    <row r="725" customFormat="false" ht="11.25" hidden="false" customHeight="false" outlineLevel="0" collapsed="false">
      <c r="A725" s="241"/>
      <c r="B725" s="450" t="s">
        <v>475</v>
      </c>
      <c r="C725" s="238"/>
      <c r="D725" s="238"/>
      <c r="E725" s="238"/>
      <c r="F725" s="238"/>
      <c r="G725" s="238" t="n">
        <v>0</v>
      </c>
      <c r="H725" s="238"/>
      <c r="I725" s="502" t="n">
        <f aca="false">+I$363</f>
        <v>0</v>
      </c>
      <c r="J725" s="430" t="e">
        <f aca="false">+J$363</f>
        <v>#VALUE!</v>
      </c>
      <c r="K725" s="430" t="e">
        <f aca="false">+K$363</f>
        <v>#VALUE!</v>
      </c>
      <c r="L725" s="430" t="e">
        <f aca="false">+L$363</f>
        <v>#VALUE!</v>
      </c>
      <c r="M725" s="430" t="e">
        <f aca="false">+M$363</f>
        <v>#VALUE!</v>
      </c>
      <c r="N725" s="430" t="e">
        <f aca="false">+N$363</f>
        <v>#VALUE!</v>
      </c>
      <c r="O725" s="430" t="e">
        <f aca="false">+O$363</f>
        <v>#VALUE!</v>
      </c>
      <c r="P725" s="430" t="e">
        <f aca="false">+P$363</f>
        <v>#VALUE!</v>
      </c>
      <c r="Q725" s="430" t="e">
        <f aca="false">+Q$363</f>
        <v>#VALUE!</v>
      </c>
      <c r="R725" s="430" t="e">
        <f aca="false">+R$363</f>
        <v>#VALUE!</v>
      </c>
      <c r="S725" s="430" t="e">
        <f aca="false">+S$363</f>
        <v>#VALUE!</v>
      </c>
      <c r="T725" s="430" t="e">
        <f aca="false">+T$363</f>
        <v>#VALUE!</v>
      </c>
      <c r="U725" s="430" t="e">
        <f aca="false">+U$363</f>
        <v>#VALUE!</v>
      </c>
      <c r="V725" s="430" t="e">
        <f aca="false">+V$363</f>
        <v>#VALUE!</v>
      </c>
      <c r="W725" s="430" t="e">
        <f aca="false">+W$363</f>
        <v>#VALUE!</v>
      </c>
      <c r="X725" s="430" t="e">
        <f aca="false">+X$363</f>
        <v>#VALUE!</v>
      </c>
      <c r="Y725" s="430" t="e">
        <f aca="false">+Y$363</f>
        <v>#VALUE!</v>
      </c>
      <c r="Z725" s="430" t="e">
        <f aca="false">+Z$363</f>
        <v>#VALUE!</v>
      </c>
      <c r="AA725" s="430" t="e">
        <f aca="false">+AA$363</f>
        <v>#VALUE!</v>
      </c>
      <c r="AB725" s="430" t="e">
        <f aca="false">+AB$363</f>
        <v>#VALUE!</v>
      </c>
      <c r="AC725" s="430" t="e">
        <f aca="false">+AC$363</f>
        <v>#VALUE!</v>
      </c>
      <c r="AD725" s="430" t="e">
        <f aca="false">+AD$363</f>
        <v>#VALUE!</v>
      </c>
      <c r="AE725" s="430" t="e">
        <f aca="false">+AE$363</f>
        <v>#VALUE!</v>
      </c>
      <c r="AF725" s="430" t="e">
        <f aca="false">+AF$363</f>
        <v>#VALUE!</v>
      </c>
    </row>
    <row r="726" customFormat="false" ht="11.25" hidden="false" customHeight="false" outlineLevel="0" collapsed="false">
      <c r="A726" s="450" t="s">
        <v>692</v>
      </c>
      <c r="B726" s="450" t="s">
        <v>693</v>
      </c>
      <c r="C726" s="238"/>
      <c r="D726" s="238"/>
      <c r="E726" s="238"/>
      <c r="F726" s="238"/>
      <c r="G726" s="238" t="n">
        <v>0</v>
      </c>
      <c r="H726" s="238"/>
      <c r="I726" s="502" t="n">
        <f aca="false">I$579-(I569-H569)</f>
        <v>-799</v>
      </c>
      <c r="J726" s="430" t="e">
        <f aca="false">J$579-(J569-I569)</f>
        <v>#VALUE!</v>
      </c>
      <c r="K726" s="430" t="e">
        <f aca="false">K$579-(K569-J569)</f>
        <v>#VALUE!</v>
      </c>
      <c r="L726" s="430" t="e">
        <f aca="false">L$579-(L569-K569)</f>
        <v>#VALUE!</v>
      </c>
      <c r="M726" s="430" t="e">
        <f aca="false">M$579-(M569-L569)</f>
        <v>#VALUE!</v>
      </c>
      <c r="N726" s="430" t="e">
        <f aca="false">N$579-(N569-M569)</f>
        <v>#VALUE!</v>
      </c>
      <c r="O726" s="430" t="e">
        <f aca="false">O$579-(O569-N569)</f>
        <v>#VALUE!</v>
      </c>
      <c r="P726" s="430" t="e">
        <f aca="false">P$579-(P569-O569)</f>
        <v>#VALUE!</v>
      </c>
      <c r="Q726" s="430" t="e">
        <f aca="false">Q$579-(Q569-P569)</f>
        <v>#VALUE!</v>
      </c>
      <c r="R726" s="430" t="e">
        <f aca="false">R$579-(R569-Q569)</f>
        <v>#VALUE!</v>
      </c>
      <c r="S726" s="430" t="e">
        <f aca="false">S$579-(S569-R569)</f>
        <v>#VALUE!</v>
      </c>
      <c r="T726" s="430" t="e">
        <f aca="false">T$579-(T569-S569)</f>
        <v>#VALUE!</v>
      </c>
      <c r="U726" s="430" t="e">
        <f aca="false">U$579-(U569-T569)</f>
        <v>#VALUE!</v>
      </c>
      <c r="V726" s="430" t="e">
        <f aca="false">V$579-(V569-U569)</f>
        <v>#VALUE!</v>
      </c>
      <c r="W726" s="430" t="e">
        <f aca="false">W$579-(W569-V569)</f>
        <v>#VALUE!</v>
      </c>
      <c r="X726" s="430" t="e">
        <f aca="false">X$579-(X569-W569)</f>
        <v>#VALUE!</v>
      </c>
      <c r="Y726" s="430" t="e">
        <f aca="false">Y$579-(Y569-X569)</f>
        <v>#VALUE!</v>
      </c>
      <c r="Z726" s="430" t="e">
        <f aca="false">Z$579-(Z569-Y569)</f>
        <v>#VALUE!</v>
      </c>
      <c r="AA726" s="430" t="e">
        <f aca="false">AA$579-(AA569-Z569)</f>
        <v>#VALUE!</v>
      </c>
      <c r="AB726" s="430" t="e">
        <f aca="false">AB$579-(AB569-AA569)</f>
        <v>#VALUE!</v>
      </c>
      <c r="AC726" s="430" t="e">
        <f aca="false">AC$579-(AC569-AB569)</f>
        <v>#VALUE!</v>
      </c>
      <c r="AD726" s="430" t="e">
        <f aca="false">AD$579-(AD569-AC569)</f>
        <v>#VALUE!</v>
      </c>
      <c r="AE726" s="430" t="e">
        <f aca="false">AE$579-(AE569-AD569)</f>
        <v>#VALUE!</v>
      </c>
      <c r="AF726" s="430" t="e">
        <f aca="false">AF$579-(AF569-AE569)</f>
        <v>#VALUE!</v>
      </c>
    </row>
    <row r="727" customFormat="false" ht="11.25" hidden="false" customHeight="false" outlineLevel="0" collapsed="false">
      <c r="A727" s="450"/>
      <c r="C727" s="238"/>
      <c r="D727" s="238"/>
      <c r="E727" s="238"/>
      <c r="F727" s="238"/>
      <c r="G727" s="238"/>
      <c r="H727" s="238"/>
      <c r="I727" s="502"/>
      <c r="J727" s="298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  <c r="AA727" s="298"/>
      <c r="AB727" s="298"/>
      <c r="AC727" s="298"/>
      <c r="AD727" s="298"/>
      <c r="AE727" s="298"/>
      <c r="AF727" s="298"/>
      <c r="AG727" s="298"/>
      <c r="AH727" s="298"/>
      <c r="AI727" s="298"/>
      <c r="AJ727" s="298"/>
      <c r="AK727" s="298"/>
      <c r="AL727" s="298"/>
      <c r="AM727" s="298"/>
      <c r="AN727" s="298"/>
      <c r="AO727" s="298"/>
      <c r="AP727" s="298"/>
      <c r="AQ727" s="298"/>
      <c r="AR727" s="298"/>
      <c r="AS727" s="298"/>
      <c r="AT727" s="298"/>
      <c r="AU727" s="298"/>
      <c r="AV727" s="298"/>
      <c r="AW727" s="298"/>
      <c r="AX727" s="298"/>
      <c r="AY727" s="298"/>
      <c r="AZ727" s="298"/>
      <c r="BA727" s="298"/>
      <c r="BB727" s="298"/>
      <c r="BC727" s="298"/>
      <c r="BD727" s="298"/>
      <c r="BE727" s="298"/>
      <c r="BF727" s="298"/>
      <c r="BG727" s="298"/>
      <c r="BH727" s="298"/>
      <c r="BI727" s="298"/>
      <c r="BJ727" s="298"/>
      <c r="BK727" s="298"/>
      <c r="BL727" s="298"/>
      <c r="BM727" s="298"/>
      <c r="BN727" s="298"/>
      <c r="BO727" s="298"/>
      <c r="BP727" s="298"/>
      <c r="BQ727" s="298"/>
      <c r="BR727" s="298"/>
      <c r="BS727" s="298"/>
      <c r="BT727" s="298"/>
      <c r="BU727" s="298"/>
      <c r="BV727" s="298"/>
      <c r="BW727" s="298"/>
      <c r="BX727" s="298"/>
      <c r="BY727" s="298"/>
      <c r="BZ727" s="298"/>
      <c r="CA727" s="298"/>
      <c r="CB727" s="298"/>
      <c r="CC727" s="298"/>
      <c r="CD727" s="298"/>
      <c r="CE727" s="298"/>
      <c r="CF727" s="298"/>
      <c r="CG727" s="298"/>
      <c r="CH727" s="298"/>
      <c r="CI727" s="298"/>
      <c r="CJ727" s="298"/>
      <c r="CK727" s="298"/>
      <c r="CL727" s="298"/>
      <c r="CM727" s="298"/>
      <c r="CN727" s="298"/>
      <c r="CO727" s="298"/>
      <c r="CP727" s="298"/>
      <c r="CQ727" s="298"/>
      <c r="CR727" s="298"/>
      <c r="CS727" s="298"/>
      <c r="CT727" s="298"/>
      <c r="CU727" s="298"/>
      <c r="CV727" s="298"/>
      <c r="CW727" s="298"/>
      <c r="CX727" s="298"/>
      <c r="CY727" s="298"/>
      <c r="CZ727" s="298"/>
      <c r="DA727" s="298"/>
      <c r="DB727" s="298"/>
      <c r="DC727" s="298"/>
      <c r="DD727" s="298"/>
      <c r="DE727" s="298"/>
      <c r="DF727" s="298"/>
      <c r="DG727" s="298"/>
      <c r="DH727" s="298"/>
      <c r="DI727" s="298"/>
      <c r="DJ727" s="298"/>
      <c r="DK727" s="298"/>
      <c r="DL727" s="298"/>
      <c r="DM727" s="298"/>
      <c r="DN727" s="298"/>
      <c r="DO727" s="298"/>
      <c r="DP727" s="298"/>
      <c r="DQ727" s="298"/>
      <c r="DR727" s="298"/>
      <c r="DS727" s="298"/>
      <c r="DT727" s="298"/>
      <c r="DU727" s="298"/>
      <c r="DV727" s="298"/>
      <c r="DW727" s="298"/>
      <c r="DX727" s="298"/>
      <c r="DY727" s="298"/>
      <c r="DZ727" s="298"/>
      <c r="EA727" s="298"/>
      <c r="EB727" s="298"/>
      <c r="EC727" s="298"/>
      <c r="ED727" s="298"/>
      <c r="EE727" s="298"/>
      <c r="EF727" s="298"/>
      <c r="EG727" s="298"/>
      <c r="EH727" s="298"/>
      <c r="EI727" s="298"/>
      <c r="EJ727" s="298"/>
      <c r="EK727" s="298"/>
      <c r="EL727" s="298"/>
      <c r="EM727" s="298"/>
      <c r="EN727" s="298"/>
      <c r="EO727" s="298"/>
      <c r="EP727" s="298"/>
      <c r="EQ727" s="298"/>
      <c r="ER727" s="298"/>
      <c r="ES727" s="298"/>
      <c r="ET727" s="298"/>
      <c r="EU727" s="298"/>
      <c r="EV727" s="298"/>
      <c r="EW727" s="298"/>
      <c r="EX727" s="298"/>
      <c r="EY727" s="298"/>
      <c r="EZ727" s="298"/>
      <c r="FA727" s="298"/>
      <c r="FB727" s="298"/>
      <c r="FC727" s="298"/>
      <c r="FD727" s="298"/>
      <c r="FE727" s="298"/>
      <c r="FF727" s="298"/>
      <c r="FG727" s="298"/>
      <c r="FH727" s="298"/>
      <c r="FI727" s="298"/>
      <c r="FJ727" s="298"/>
      <c r="FK727" s="298"/>
      <c r="FL727" s="298"/>
      <c r="FM727" s="298"/>
      <c r="FN727" s="298"/>
      <c r="FO727" s="298"/>
      <c r="FP727" s="298"/>
      <c r="FQ727" s="298"/>
      <c r="FR727" s="298"/>
      <c r="FS727" s="298"/>
      <c r="FT727" s="298"/>
      <c r="FU727" s="298"/>
      <c r="FV727" s="298"/>
      <c r="FW727" s="298"/>
      <c r="FX727" s="298"/>
      <c r="FY727" s="298"/>
      <c r="FZ727" s="298"/>
      <c r="GA727" s="298"/>
      <c r="GB727" s="298"/>
      <c r="GC727" s="298"/>
      <c r="GD727" s="298"/>
      <c r="GE727" s="298"/>
      <c r="GF727" s="298"/>
      <c r="GG727" s="298"/>
      <c r="GH727" s="298"/>
      <c r="GI727" s="298"/>
      <c r="GJ727" s="298"/>
      <c r="GK727" s="298"/>
      <c r="GL727" s="298"/>
      <c r="GM727" s="298"/>
      <c r="GN727" s="298"/>
      <c r="GO727" s="298"/>
      <c r="GP727" s="298"/>
      <c r="GQ727" s="298"/>
      <c r="GR727" s="298"/>
      <c r="GS727" s="298"/>
      <c r="GT727" s="298"/>
      <c r="GU727" s="298"/>
      <c r="GV727" s="298"/>
      <c r="GW727" s="298"/>
      <c r="GX727" s="298"/>
      <c r="GY727" s="298"/>
      <c r="GZ727" s="298"/>
      <c r="HA727" s="298"/>
      <c r="HB727" s="298"/>
      <c r="HC727" s="298"/>
      <c r="HD727" s="298"/>
      <c r="HE727" s="298"/>
      <c r="HF727" s="298"/>
      <c r="HG727" s="298"/>
      <c r="HH727" s="298"/>
      <c r="HI727" s="298"/>
      <c r="HJ727" s="298"/>
      <c r="HK727" s="298"/>
      <c r="HL727" s="298"/>
      <c r="HM727" s="298"/>
      <c r="HN727" s="298"/>
      <c r="HO727" s="298"/>
      <c r="HP727" s="298"/>
      <c r="HQ727" s="298"/>
      <c r="HR727" s="298"/>
      <c r="HS727" s="298"/>
      <c r="HT727" s="298"/>
      <c r="HU727" s="298"/>
      <c r="HV727" s="298"/>
      <c r="HW727" s="298"/>
      <c r="HX727" s="298"/>
      <c r="HY727" s="298"/>
      <c r="HZ727" s="298"/>
      <c r="IA727" s="298"/>
      <c r="IB727" s="298"/>
      <c r="IC727" s="298"/>
      <c r="ID727" s="298"/>
      <c r="IE727" s="298"/>
      <c r="IF727" s="298"/>
      <c r="IG727" s="298"/>
      <c r="IH727" s="298"/>
      <c r="II727" s="298"/>
      <c r="IJ727" s="298"/>
      <c r="IK727" s="298"/>
      <c r="IL727" s="298"/>
      <c r="IM727" s="298"/>
      <c r="IN727" s="298"/>
      <c r="IO727" s="298"/>
      <c r="IP727" s="298"/>
      <c r="IQ727" s="298"/>
      <c r="IR727" s="298"/>
      <c r="IS727" s="298"/>
      <c r="IT727" s="298"/>
      <c r="IU727" s="298"/>
      <c r="IV727" s="298"/>
      <c r="IW727" s="298"/>
    </row>
    <row r="728" customFormat="false" ht="11.25" hidden="false" customHeight="false" outlineLevel="0" collapsed="false">
      <c r="A728" s="450"/>
      <c r="B728" s="450" t="s">
        <v>694</v>
      </c>
      <c r="C728" s="238"/>
      <c r="D728" s="238"/>
      <c r="E728" s="238"/>
      <c r="F728" s="238"/>
      <c r="G728" s="238" t="n">
        <v>391.000001</v>
      </c>
      <c r="H728" s="238"/>
      <c r="I728" s="709" t="n">
        <f aca="false">+I722+I724+I725-I726</f>
        <v>1190.000001</v>
      </c>
      <c r="J728" s="710" t="e">
        <f aca="false">+J722+J724+J725-J726</f>
        <v>#VALUE!</v>
      </c>
      <c r="K728" s="710" t="e">
        <f aca="false">+K722+K724+K725-K726</f>
        <v>#VALUE!</v>
      </c>
      <c r="L728" s="710" t="e">
        <f aca="false">+L722+L724+L725-L726</f>
        <v>#VALUE!</v>
      </c>
      <c r="M728" s="710" t="e">
        <f aca="false">+M722+M724+M725-M726</f>
        <v>#VALUE!</v>
      </c>
      <c r="N728" s="710" t="e">
        <f aca="false">+N722+N724+N725-N726</f>
        <v>#VALUE!</v>
      </c>
      <c r="O728" s="710" t="e">
        <f aca="false">+O722+O724+O725-O726</f>
        <v>#VALUE!</v>
      </c>
      <c r="P728" s="710" t="e">
        <f aca="false">+P722+P724+P725-P726</f>
        <v>#VALUE!</v>
      </c>
      <c r="Q728" s="710" t="e">
        <f aca="false">+Q722+Q724+Q725-Q726</f>
        <v>#VALUE!</v>
      </c>
      <c r="R728" s="710" t="e">
        <f aca="false">+R722+R724+R725-R726</f>
        <v>#VALUE!</v>
      </c>
      <c r="S728" s="710" t="e">
        <f aca="false">+S722+S724+S725-S726</f>
        <v>#VALUE!</v>
      </c>
      <c r="T728" s="710" t="e">
        <f aca="false">+T722+T724+T725-T726</f>
        <v>#VALUE!</v>
      </c>
      <c r="U728" s="710" t="e">
        <f aca="false">+U722+U724+U725-U726</f>
        <v>#VALUE!</v>
      </c>
      <c r="V728" s="710" t="e">
        <f aca="false">+V722+V724+V725-V726</f>
        <v>#VALUE!</v>
      </c>
      <c r="W728" s="710" t="e">
        <f aca="false">+W722+W724+W725-W726</f>
        <v>#VALUE!</v>
      </c>
      <c r="X728" s="710" t="e">
        <f aca="false">+X722+X724+X725-X726</f>
        <v>#VALUE!</v>
      </c>
      <c r="Y728" s="710" t="e">
        <f aca="false">+Y722+Y724+Y725-Y726</f>
        <v>#VALUE!</v>
      </c>
      <c r="Z728" s="710" t="e">
        <f aca="false">+Z722+Z724+Z725-Z726</f>
        <v>#VALUE!</v>
      </c>
      <c r="AA728" s="710" t="e">
        <f aca="false">+AA722+AA724+AA725-AA726</f>
        <v>#VALUE!</v>
      </c>
      <c r="AB728" s="710" t="e">
        <f aca="false">+AB722+AB724+AB725-AB726</f>
        <v>#VALUE!</v>
      </c>
      <c r="AC728" s="710" t="e">
        <f aca="false">+AC722+AC724+AC725-AC726</f>
        <v>#VALUE!</v>
      </c>
      <c r="AD728" s="710" t="e">
        <f aca="false">+AD722+AD724+AD725-AD726</f>
        <v>#VALUE!</v>
      </c>
      <c r="AE728" s="710" t="e">
        <f aca="false">+AE722+AE724+AE725-AE726</f>
        <v>#VALUE!</v>
      </c>
      <c r="AF728" s="710" t="e">
        <f aca="false">+AF722+AF724+AF725-AF726</f>
        <v>#VALUE!</v>
      </c>
      <c r="AG728" s="298"/>
      <c r="AH728" s="298"/>
      <c r="AI728" s="298"/>
      <c r="AJ728" s="298"/>
      <c r="AK728" s="298"/>
      <c r="AL728" s="298"/>
      <c r="AM728" s="298"/>
      <c r="AN728" s="298"/>
      <c r="AO728" s="298"/>
      <c r="AP728" s="298"/>
      <c r="AQ728" s="298"/>
      <c r="AR728" s="298"/>
      <c r="AS728" s="298"/>
      <c r="AT728" s="298"/>
      <c r="AU728" s="298"/>
      <c r="AV728" s="298"/>
      <c r="AW728" s="298"/>
      <c r="AX728" s="298"/>
      <c r="AY728" s="298"/>
      <c r="AZ728" s="298"/>
      <c r="BA728" s="298"/>
      <c r="BB728" s="298"/>
      <c r="BC728" s="298"/>
      <c r="BD728" s="298"/>
      <c r="BE728" s="298"/>
      <c r="BF728" s="298"/>
      <c r="BG728" s="298"/>
      <c r="BH728" s="298"/>
      <c r="BI728" s="298"/>
      <c r="BJ728" s="298"/>
      <c r="BK728" s="298"/>
      <c r="BL728" s="298"/>
      <c r="BM728" s="298"/>
      <c r="BN728" s="298"/>
      <c r="BO728" s="298"/>
      <c r="BP728" s="298"/>
      <c r="BQ728" s="298"/>
      <c r="BR728" s="298"/>
      <c r="BS728" s="298"/>
      <c r="BT728" s="298"/>
      <c r="BU728" s="298"/>
      <c r="BV728" s="298"/>
      <c r="BW728" s="298"/>
      <c r="BX728" s="298"/>
      <c r="BY728" s="298"/>
      <c r="BZ728" s="298"/>
      <c r="CA728" s="298"/>
      <c r="CB728" s="298"/>
      <c r="CC728" s="298"/>
      <c r="CD728" s="298"/>
      <c r="CE728" s="298"/>
      <c r="CF728" s="298"/>
      <c r="CG728" s="298"/>
      <c r="CH728" s="298"/>
      <c r="CI728" s="298"/>
      <c r="CJ728" s="298"/>
      <c r="CK728" s="298"/>
      <c r="CL728" s="298"/>
      <c r="CM728" s="298"/>
      <c r="CN728" s="298"/>
      <c r="CO728" s="298"/>
      <c r="CP728" s="298"/>
      <c r="CQ728" s="298"/>
      <c r="CR728" s="298"/>
      <c r="CS728" s="298"/>
      <c r="CT728" s="298"/>
      <c r="CU728" s="298"/>
      <c r="CV728" s="298"/>
      <c r="CW728" s="298"/>
      <c r="CX728" s="298"/>
      <c r="CY728" s="298"/>
      <c r="CZ728" s="298"/>
      <c r="DA728" s="298"/>
      <c r="DB728" s="298"/>
      <c r="DC728" s="298"/>
      <c r="DD728" s="298"/>
      <c r="DE728" s="298"/>
      <c r="DF728" s="298"/>
      <c r="DG728" s="298"/>
      <c r="DH728" s="298"/>
      <c r="DI728" s="298"/>
      <c r="DJ728" s="298"/>
      <c r="DK728" s="298"/>
      <c r="DL728" s="298"/>
      <c r="DM728" s="298"/>
      <c r="DN728" s="298"/>
      <c r="DO728" s="298"/>
      <c r="DP728" s="298"/>
      <c r="DQ728" s="298"/>
      <c r="DR728" s="298"/>
      <c r="DS728" s="298"/>
      <c r="DT728" s="298"/>
      <c r="DU728" s="298"/>
      <c r="DV728" s="298"/>
      <c r="DW728" s="298"/>
      <c r="DX728" s="298"/>
      <c r="DY728" s="298"/>
      <c r="DZ728" s="298"/>
      <c r="EA728" s="298"/>
      <c r="EB728" s="298"/>
      <c r="EC728" s="298"/>
      <c r="ED728" s="298"/>
      <c r="EE728" s="298"/>
      <c r="EF728" s="298"/>
      <c r="EG728" s="298"/>
      <c r="EH728" s="298"/>
      <c r="EI728" s="298"/>
      <c r="EJ728" s="298"/>
      <c r="EK728" s="298"/>
      <c r="EL728" s="298"/>
      <c r="EM728" s="298"/>
      <c r="EN728" s="298"/>
      <c r="EO728" s="298"/>
      <c r="EP728" s="298"/>
      <c r="EQ728" s="298"/>
      <c r="ER728" s="298"/>
      <c r="ES728" s="298"/>
      <c r="ET728" s="298"/>
      <c r="EU728" s="298"/>
      <c r="EV728" s="298"/>
      <c r="EW728" s="298"/>
      <c r="EX728" s="298"/>
      <c r="EY728" s="298"/>
      <c r="EZ728" s="298"/>
      <c r="FA728" s="298"/>
      <c r="FB728" s="298"/>
      <c r="FC728" s="298"/>
      <c r="FD728" s="298"/>
      <c r="FE728" s="298"/>
      <c r="FF728" s="298"/>
      <c r="FG728" s="298"/>
      <c r="FH728" s="298"/>
      <c r="FI728" s="298"/>
      <c r="FJ728" s="298"/>
      <c r="FK728" s="298"/>
      <c r="FL728" s="298"/>
      <c r="FM728" s="298"/>
      <c r="FN728" s="298"/>
      <c r="FO728" s="298"/>
      <c r="FP728" s="298"/>
      <c r="FQ728" s="298"/>
      <c r="FR728" s="298"/>
      <c r="FS728" s="298"/>
      <c r="FT728" s="298"/>
      <c r="FU728" s="298"/>
      <c r="FV728" s="298"/>
      <c r="FW728" s="298"/>
      <c r="FX728" s="298"/>
      <c r="FY728" s="298"/>
      <c r="FZ728" s="298"/>
      <c r="GA728" s="298"/>
      <c r="GB728" s="298"/>
      <c r="GC728" s="298"/>
      <c r="GD728" s="298"/>
      <c r="GE728" s="298"/>
      <c r="GF728" s="298"/>
      <c r="GG728" s="298"/>
      <c r="GH728" s="298"/>
      <c r="GI728" s="298"/>
      <c r="GJ728" s="298"/>
      <c r="GK728" s="298"/>
      <c r="GL728" s="298"/>
      <c r="GM728" s="298"/>
      <c r="GN728" s="298"/>
      <c r="GO728" s="298"/>
      <c r="GP728" s="298"/>
      <c r="GQ728" s="298"/>
      <c r="GR728" s="298"/>
      <c r="GS728" s="298"/>
      <c r="GT728" s="298"/>
      <c r="GU728" s="298"/>
      <c r="GV728" s="298"/>
      <c r="GW728" s="298"/>
      <c r="GX728" s="298"/>
      <c r="GY728" s="298"/>
      <c r="GZ728" s="298"/>
      <c r="HA728" s="298"/>
      <c r="HB728" s="298"/>
      <c r="HC728" s="298"/>
      <c r="HD728" s="298"/>
      <c r="HE728" s="298"/>
      <c r="HF728" s="298"/>
      <c r="HG728" s="298"/>
      <c r="HH728" s="298"/>
      <c r="HI728" s="298"/>
      <c r="HJ728" s="298"/>
      <c r="HK728" s="298"/>
      <c r="HL728" s="298"/>
      <c r="HM728" s="298"/>
      <c r="HN728" s="298"/>
      <c r="HO728" s="298"/>
      <c r="HP728" s="298"/>
      <c r="HQ728" s="298"/>
      <c r="HR728" s="298"/>
      <c r="HS728" s="298"/>
      <c r="HT728" s="298"/>
      <c r="HU728" s="298"/>
      <c r="HV728" s="298"/>
      <c r="HW728" s="298"/>
      <c r="HX728" s="298"/>
      <c r="HY728" s="298"/>
      <c r="HZ728" s="298"/>
      <c r="IA728" s="298"/>
      <c r="IB728" s="298"/>
      <c r="IC728" s="298"/>
      <c r="ID728" s="298"/>
      <c r="IE728" s="298"/>
      <c r="IF728" s="298"/>
      <c r="IG728" s="298"/>
      <c r="IH728" s="298"/>
      <c r="II728" s="298"/>
      <c r="IJ728" s="298"/>
      <c r="IK728" s="298"/>
      <c r="IL728" s="298"/>
      <c r="IM728" s="298"/>
      <c r="IN728" s="298"/>
      <c r="IO728" s="298"/>
      <c r="IP728" s="298"/>
      <c r="IQ728" s="298"/>
      <c r="IR728" s="298"/>
      <c r="IS728" s="298"/>
      <c r="IT728" s="298"/>
      <c r="IU728" s="298"/>
      <c r="IV728" s="298"/>
      <c r="IW728" s="298"/>
    </row>
    <row r="729" customFormat="false" ht="11.25" hidden="false" customHeight="false" outlineLevel="0" collapsed="false">
      <c r="A729" s="450"/>
      <c r="B729" s="450"/>
      <c r="C729" s="238"/>
      <c r="D729" s="238"/>
      <c r="E729" s="238"/>
      <c r="F729" s="238"/>
      <c r="G729" s="238"/>
      <c r="H729" s="238"/>
      <c r="I729" s="502"/>
      <c r="J729" s="430"/>
      <c r="K729" s="430"/>
      <c r="L729" s="430"/>
      <c r="M729" s="430"/>
      <c r="N729" s="430"/>
      <c r="O729" s="430"/>
      <c r="P729" s="430"/>
      <c r="Q729" s="430"/>
      <c r="R729" s="430"/>
      <c r="S729" s="430"/>
      <c r="T729" s="430"/>
      <c r="U729" s="430"/>
      <c r="V729" s="430"/>
      <c r="W729" s="430"/>
      <c r="X729" s="430"/>
      <c r="Y729" s="430"/>
      <c r="Z729" s="430"/>
      <c r="AA729" s="430"/>
      <c r="AB729" s="430"/>
      <c r="AC729" s="430"/>
      <c r="AD729" s="430"/>
      <c r="AE729" s="430"/>
      <c r="AF729" s="430"/>
      <c r="AG729" s="298"/>
      <c r="AH729" s="298"/>
      <c r="AI729" s="298"/>
      <c r="AJ729" s="298"/>
      <c r="AK729" s="298"/>
      <c r="AL729" s="298"/>
      <c r="AM729" s="298"/>
      <c r="AN729" s="298"/>
      <c r="AO729" s="298"/>
      <c r="AP729" s="298"/>
      <c r="AQ729" s="298"/>
      <c r="AR729" s="298"/>
      <c r="AS729" s="298"/>
      <c r="AT729" s="298"/>
      <c r="AU729" s="298"/>
      <c r="AV729" s="298"/>
      <c r="AW729" s="298"/>
      <c r="AX729" s="298"/>
      <c r="AY729" s="298"/>
      <c r="AZ729" s="298"/>
      <c r="BA729" s="298"/>
      <c r="BB729" s="298"/>
      <c r="BC729" s="298"/>
      <c r="BD729" s="298"/>
      <c r="BE729" s="298"/>
      <c r="BF729" s="298"/>
      <c r="BG729" s="298"/>
      <c r="BH729" s="298"/>
      <c r="BI729" s="298"/>
      <c r="BJ729" s="298"/>
      <c r="BK729" s="298"/>
      <c r="BL729" s="298"/>
      <c r="BM729" s="298"/>
      <c r="BN729" s="298"/>
      <c r="BO729" s="298"/>
      <c r="BP729" s="298"/>
      <c r="BQ729" s="298"/>
      <c r="BR729" s="298"/>
      <c r="BS729" s="298"/>
      <c r="BT729" s="298"/>
      <c r="BU729" s="298"/>
      <c r="BV729" s="298"/>
      <c r="BW729" s="298"/>
      <c r="BX729" s="298"/>
      <c r="BY729" s="298"/>
      <c r="BZ729" s="298"/>
      <c r="CA729" s="298"/>
      <c r="CB729" s="298"/>
      <c r="CC729" s="298"/>
      <c r="CD729" s="298"/>
      <c r="CE729" s="298"/>
      <c r="CF729" s="298"/>
      <c r="CG729" s="298"/>
      <c r="CH729" s="298"/>
      <c r="CI729" s="298"/>
      <c r="CJ729" s="298"/>
      <c r="CK729" s="298"/>
      <c r="CL729" s="298"/>
      <c r="CM729" s="298"/>
      <c r="CN729" s="298"/>
      <c r="CO729" s="298"/>
      <c r="CP729" s="298"/>
      <c r="CQ729" s="298"/>
      <c r="CR729" s="298"/>
      <c r="CS729" s="298"/>
      <c r="CT729" s="298"/>
      <c r="CU729" s="298"/>
      <c r="CV729" s="298"/>
      <c r="CW729" s="298"/>
      <c r="CX729" s="298"/>
      <c r="CY729" s="298"/>
      <c r="CZ729" s="298"/>
      <c r="DA729" s="298"/>
      <c r="DB729" s="298"/>
      <c r="DC729" s="298"/>
      <c r="DD729" s="298"/>
      <c r="DE729" s="298"/>
      <c r="DF729" s="298"/>
      <c r="DG729" s="298"/>
      <c r="DH729" s="298"/>
      <c r="DI729" s="298"/>
      <c r="DJ729" s="298"/>
      <c r="DK729" s="298"/>
      <c r="DL729" s="298"/>
      <c r="DM729" s="298"/>
      <c r="DN729" s="298"/>
      <c r="DO729" s="298"/>
      <c r="DP729" s="298"/>
      <c r="DQ729" s="298"/>
      <c r="DR729" s="298"/>
      <c r="DS729" s="298"/>
      <c r="DT729" s="298"/>
      <c r="DU729" s="298"/>
      <c r="DV729" s="298"/>
      <c r="DW729" s="298"/>
      <c r="DX729" s="298"/>
      <c r="DY729" s="298"/>
      <c r="DZ729" s="298"/>
      <c r="EA729" s="298"/>
      <c r="EB729" s="298"/>
      <c r="EC729" s="298"/>
      <c r="ED729" s="298"/>
      <c r="EE729" s="298"/>
      <c r="EF729" s="298"/>
      <c r="EG729" s="298"/>
      <c r="EH729" s="298"/>
      <c r="EI729" s="298"/>
      <c r="EJ729" s="298"/>
      <c r="EK729" s="298"/>
      <c r="EL729" s="298"/>
      <c r="EM729" s="298"/>
      <c r="EN729" s="298"/>
      <c r="EO729" s="298"/>
      <c r="EP729" s="298"/>
      <c r="EQ729" s="298"/>
      <c r="ER729" s="298"/>
      <c r="ES729" s="298"/>
      <c r="ET729" s="298"/>
      <c r="EU729" s="298"/>
      <c r="EV729" s="298"/>
      <c r="EW729" s="298"/>
      <c r="EX729" s="298"/>
      <c r="EY729" s="298"/>
      <c r="EZ729" s="298"/>
      <c r="FA729" s="298"/>
      <c r="FB729" s="298"/>
      <c r="FC729" s="298"/>
      <c r="FD729" s="298"/>
      <c r="FE729" s="298"/>
      <c r="FF729" s="298"/>
      <c r="FG729" s="298"/>
      <c r="FH729" s="298"/>
      <c r="FI729" s="298"/>
      <c r="FJ729" s="298"/>
      <c r="FK729" s="298"/>
      <c r="FL729" s="298"/>
      <c r="FM729" s="298"/>
      <c r="FN729" s="298"/>
      <c r="FO729" s="298"/>
      <c r="FP729" s="298"/>
      <c r="FQ729" s="298"/>
      <c r="FR729" s="298"/>
      <c r="FS729" s="298"/>
      <c r="FT729" s="298"/>
      <c r="FU729" s="298"/>
      <c r="FV729" s="298"/>
      <c r="FW729" s="298"/>
      <c r="FX729" s="298"/>
      <c r="FY729" s="298"/>
      <c r="FZ729" s="298"/>
      <c r="GA729" s="298"/>
      <c r="GB729" s="298"/>
      <c r="GC729" s="298"/>
      <c r="GD729" s="298"/>
      <c r="GE729" s="298"/>
      <c r="GF729" s="298"/>
      <c r="GG729" s="298"/>
      <c r="GH729" s="298"/>
      <c r="GI729" s="298"/>
      <c r="GJ729" s="298"/>
      <c r="GK729" s="298"/>
      <c r="GL729" s="298"/>
      <c r="GM729" s="298"/>
      <c r="GN729" s="298"/>
      <c r="GO729" s="298"/>
      <c r="GP729" s="298"/>
      <c r="GQ729" s="298"/>
      <c r="GR729" s="298"/>
      <c r="GS729" s="298"/>
      <c r="GT729" s="298"/>
      <c r="GU729" s="298"/>
      <c r="GV729" s="298"/>
      <c r="GW729" s="298"/>
      <c r="GX729" s="298"/>
      <c r="GY729" s="298"/>
      <c r="GZ729" s="298"/>
      <c r="HA729" s="298"/>
      <c r="HB729" s="298"/>
      <c r="HC729" s="298"/>
      <c r="HD729" s="298"/>
      <c r="HE729" s="298"/>
      <c r="HF729" s="298"/>
      <c r="HG729" s="298"/>
      <c r="HH729" s="298"/>
      <c r="HI729" s="298"/>
      <c r="HJ729" s="298"/>
      <c r="HK729" s="298"/>
      <c r="HL729" s="298"/>
      <c r="HM729" s="298"/>
      <c r="HN729" s="298"/>
      <c r="HO729" s="298"/>
      <c r="HP729" s="298"/>
      <c r="HQ729" s="298"/>
      <c r="HR729" s="298"/>
      <c r="HS729" s="298"/>
      <c r="HT729" s="298"/>
      <c r="HU729" s="298"/>
      <c r="HV729" s="298"/>
      <c r="HW729" s="298"/>
      <c r="HX729" s="298"/>
      <c r="HY729" s="298"/>
      <c r="HZ729" s="298"/>
      <c r="IA729" s="298"/>
      <c r="IB729" s="298"/>
      <c r="IC729" s="298"/>
      <c r="ID729" s="298"/>
      <c r="IE729" s="298"/>
      <c r="IF729" s="298"/>
      <c r="IG729" s="298"/>
      <c r="IH729" s="298"/>
      <c r="II729" s="298"/>
      <c r="IJ729" s="298"/>
      <c r="IK729" s="298"/>
      <c r="IL729" s="298"/>
      <c r="IM729" s="298"/>
      <c r="IN729" s="298"/>
      <c r="IO729" s="298"/>
      <c r="IP729" s="298"/>
      <c r="IQ729" s="298"/>
      <c r="IR729" s="298"/>
      <c r="IS729" s="298"/>
      <c r="IT729" s="298"/>
      <c r="IU729" s="298"/>
      <c r="IV729" s="298"/>
      <c r="IW729" s="298"/>
    </row>
    <row r="730" customFormat="false" ht="11.25" hidden="false" customHeight="false" outlineLevel="0" collapsed="false">
      <c r="A730" s="450"/>
      <c r="B730" s="450" t="s">
        <v>695</v>
      </c>
      <c r="C730" s="238"/>
      <c r="D730" s="238"/>
      <c r="E730" s="238"/>
      <c r="F730" s="238"/>
      <c r="G730" s="238" t="n">
        <v>0</v>
      </c>
      <c r="H730" s="238"/>
      <c r="I730" s="502" t="n">
        <f aca="false">-I$369</f>
        <v>-0</v>
      </c>
      <c r="J730" s="430" t="n">
        <f aca="false">-J$369</f>
        <v>-0</v>
      </c>
      <c r="K730" s="430" t="n">
        <f aca="false">-K$369</f>
        <v>-0</v>
      </c>
      <c r="L730" s="430" t="n">
        <f aca="false">-L$369</f>
        <v>-0</v>
      </c>
      <c r="M730" s="430" t="n">
        <f aca="false">-M$369</f>
        <v>-1331.9046155778</v>
      </c>
      <c r="N730" s="430" t="n">
        <f aca="false">-N$369</f>
        <v>-0</v>
      </c>
      <c r="O730" s="430" t="n">
        <f aca="false">-O$369</f>
        <v>-0</v>
      </c>
      <c r="P730" s="430" t="n">
        <f aca="false">-P$369</f>
        <v>-0</v>
      </c>
      <c r="Q730" s="430" t="n">
        <f aca="false">-Q$369</f>
        <v>-4611.73981979569</v>
      </c>
      <c r="R730" s="430" t="n">
        <f aca="false">-R$369</f>
        <v>-0</v>
      </c>
      <c r="S730" s="430" t="n">
        <f aca="false">-S$369</f>
        <v>-0</v>
      </c>
      <c r="T730" s="430" t="n">
        <f aca="false">-T$369</f>
        <v>-0</v>
      </c>
      <c r="U730" s="430" t="n">
        <f aca="false">-U$369</f>
        <v>-1870.65531397766</v>
      </c>
      <c r="V730" s="430" t="n">
        <f aca="false">-V$369</f>
        <v>-0</v>
      </c>
      <c r="W730" s="430" t="n">
        <f aca="false">-W$369</f>
        <v>-0</v>
      </c>
      <c r="X730" s="430" t="n">
        <f aca="false">-X$369</f>
        <v>-0</v>
      </c>
      <c r="Y730" s="430" t="n">
        <f aca="false">-Y$369</f>
        <v>-6463.75753668992</v>
      </c>
      <c r="Z730" s="430" t="n">
        <f aca="false">-Z$369</f>
        <v>-0</v>
      </c>
      <c r="AA730" s="430" t="n">
        <f aca="false">-AA$369</f>
        <v>-0</v>
      </c>
      <c r="AB730" s="430" t="n">
        <f aca="false">-AB$369</f>
        <v>-0</v>
      </c>
      <c r="AC730" s="430" t="n">
        <f aca="false">-AC$369</f>
        <v>-0</v>
      </c>
      <c r="AD730" s="430" t="n">
        <f aca="false">-AD$369</f>
        <v>-0</v>
      </c>
      <c r="AE730" s="430" t="n">
        <f aca="false">-AE$369</f>
        <v>-0</v>
      </c>
      <c r="AF730" s="430" t="n">
        <f aca="false">-AF$369</f>
        <v>-0</v>
      </c>
    </row>
    <row r="731" customFormat="false" ht="11.25" hidden="false" customHeight="false" outlineLevel="0" collapsed="false">
      <c r="A731" s="450"/>
      <c r="B731" s="450" t="s">
        <v>696</v>
      </c>
      <c r="C731" s="238"/>
      <c r="D731" s="238"/>
      <c r="E731" s="238"/>
      <c r="F731" s="238"/>
      <c r="G731" s="238" t="n">
        <v>-391.000001</v>
      </c>
      <c r="H731" s="238"/>
      <c r="I731" s="502" t="n">
        <f aca="false">-I$373-I$374+I$394</f>
        <v>-391.000001</v>
      </c>
      <c r="J731" s="430" t="e">
        <f aca="false">-J$373-J$374+J$394</f>
        <v>#VALUE!</v>
      </c>
      <c r="K731" s="430" t="e">
        <f aca="false">-K$373-K$374+K$394</f>
        <v>#VALUE!</v>
      </c>
      <c r="L731" s="430" t="e">
        <f aca="false">-L$373-L$374+L$394</f>
        <v>#VALUE!</v>
      </c>
      <c r="M731" s="430" t="e">
        <f aca="false">-M$373-M$374+M$394</f>
        <v>#VALUE!</v>
      </c>
      <c r="N731" s="430" t="e">
        <f aca="false">-N$373-N$374+N$394</f>
        <v>#VALUE!</v>
      </c>
      <c r="O731" s="430" t="e">
        <f aca="false">-O$373-O$374+O$394</f>
        <v>#VALUE!</v>
      </c>
      <c r="P731" s="430" t="e">
        <f aca="false">-P$373-P$374+P$394</f>
        <v>#VALUE!</v>
      </c>
      <c r="Q731" s="430" t="e">
        <f aca="false">-Q$373-Q$374+Q$394</f>
        <v>#VALUE!</v>
      </c>
      <c r="R731" s="430" t="e">
        <f aca="false">-R$373-R$374+R$394</f>
        <v>#VALUE!</v>
      </c>
      <c r="S731" s="430" t="e">
        <f aca="false">-S$373-S$374+S$394</f>
        <v>#VALUE!</v>
      </c>
      <c r="T731" s="430" t="e">
        <f aca="false">-T$373-T$374+T$394</f>
        <v>#VALUE!</v>
      </c>
      <c r="U731" s="430" t="e">
        <f aca="false">-U$373-U$374+U$394</f>
        <v>#VALUE!</v>
      </c>
      <c r="V731" s="430" t="e">
        <f aca="false">-V$373-V$374+V$394</f>
        <v>#VALUE!</v>
      </c>
      <c r="W731" s="430" t="e">
        <f aca="false">-W$373-W$374+W$394</f>
        <v>#VALUE!</v>
      </c>
      <c r="X731" s="430" t="e">
        <f aca="false">-X$373-X$374+X$394</f>
        <v>#VALUE!</v>
      </c>
      <c r="Y731" s="430" t="e">
        <f aca="false">-Y$373-Y$374+Y$394</f>
        <v>#VALUE!</v>
      </c>
      <c r="Z731" s="430" t="e">
        <f aca="false">-Z$373-Z$374+Z$394</f>
        <v>#VALUE!</v>
      </c>
      <c r="AA731" s="430" t="e">
        <f aca="false">-AA$373-AA$374+AA$394</f>
        <v>#VALUE!</v>
      </c>
      <c r="AB731" s="430" t="e">
        <f aca="false">-AB$373-AB$374+AB$394</f>
        <v>#VALUE!</v>
      </c>
      <c r="AC731" s="430" t="e">
        <f aca="false">-AC$373-AC$374+AC$394</f>
        <v>#VALUE!</v>
      </c>
      <c r="AD731" s="430" t="e">
        <f aca="false">-AD$373-AD$374+AD$394</f>
        <v>#VALUE!</v>
      </c>
      <c r="AE731" s="430" t="e">
        <f aca="false">-AE$373-AE$374+AE$394</f>
        <v>#VALUE!</v>
      </c>
      <c r="AF731" s="430" t="e">
        <f aca="false">-AF$373-AF$374+AF$394</f>
        <v>#VALUE!</v>
      </c>
    </row>
    <row r="732" customFormat="false" ht="11.25" hidden="false" customHeight="false" outlineLevel="0" collapsed="false">
      <c r="A732" s="450"/>
      <c r="B732" s="450" t="s">
        <v>697</v>
      </c>
      <c r="C732" s="238"/>
      <c r="D732" s="238"/>
      <c r="E732" s="238"/>
      <c r="F732" s="238"/>
      <c r="G732" s="238" t="n">
        <v>0</v>
      </c>
      <c r="H732" s="238"/>
      <c r="I732" s="502" t="n">
        <f aca="false">+I$381+I$382</f>
        <v>-0</v>
      </c>
      <c r="J732" s="430" t="n">
        <f aca="false">+J$381+J$382</f>
        <v>-0</v>
      </c>
      <c r="K732" s="430" t="n">
        <f aca="false">+K$381+K$382</f>
        <v>-0</v>
      </c>
      <c r="L732" s="430" t="n">
        <f aca="false">+L$381+L$382</f>
        <v>-0</v>
      </c>
      <c r="M732" s="430" t="n">
        <f aca="false">+M$381+M$382</f>
        <v>-0</v>
      </c>
      <c r="N732" s="430" t="n">
        <f aca="false">+N$381+N$382</f>
        <v>-0</v>
      </c>
      <c r="O732" s="430" t="n">
        <f aca="false">+O$381+O$382</f>
        <v>-0</v>
      </c>
      <c r="P732" s="430" t="n">
        <f aca="false">+P$381+P$382</f>
        <v>-0</v>
      </c>
      <c r="Q732" s="430" t="n">
        <f aca="false">+Q$381+Q$382</f>
        <v>-0</v>
      </c>
      <c r="R732" s="430" t="n">
        <f aca="false">+R$381+R$382</f>
        <v>-0</v>
      </c>
      <c r="S732" s="430" t="n">
        <f aca="false">+S$381+S$382</f>
        <v>-0</v>
      </c>
      <c r="T732" s="430" t="n">
        <f aca="false">+T$381+T$382</f>
        <v>-0</v>
      </c>
      <c r="U732" s="430" t="n">
        <f aca="false">+U$381+U$382</f>
        <v>-0</v>
      </c>
      <c r="V732" s="430" t="n">
        <f aca="false">+V$381+V$382</f>
        <v>-0</v>
      </c>
      <c r="W732" s="430" t="n">
        <f aca="false">+W$381+W$382</f>
        <v>-0</v>
      </c>
      <c r="X732" s="430" t="n">
        <f aca="false">+X$381+X$382</f>
        <v>-0</v>
      </c>
      <c r="Y732" s="430" t="n">
        <f aca="false">+Y$381+Y$382</f>
        <v>-0</v>
      </c>
      <c r="Z732" s="430" t="n">
        <f aca="false">+Z$381+Z$382</f>
        <v>-0</v>
      </c>
      <c r="AA732" s="430" t="n">
        <f aca="false">+AA$381+AA$382</f>
        <v>-0</v>
      </c>
      <c r="AB732" s="430" t="n">
        <f aca="false">+AB$381+AB$382</f>
        <v>-0</v>
      </c>
      <c r="AC732" s="430" t="n">
        <f aca="false">+AC$381+AC$382</f>
        <v>-0</v>
      </c>
      <c r="AD732" s="430" t="n">
        <f aca="false">+AD$381+AD$382</f>
        <v>-0</v>
      </c>
      <c r="AE732" s="430" t="n">
        <f aca="false">+AE$381+AE$382</f>
        <v>-0</v>
      </c>
      <c r="AF732" s="430" t="n">
        <f aca="false">+AF$381+AF$382</f>
        <v>-0</v>
      </c>
    </row>
    <row r="733" customFormat="false" ht="11.25" hidden="false" customHeight="false" outlineLevel="0" collapsed="false">
      <c r="A733" s="450"/>
      <c r="B733" s="450" t="str">
        <f aca="false">+A370</f>
        <v>Transaction Fees</v>
      </c>
      <c r="C733" s="238"/>
      <c r="D733" s="238"/>
      <c r="E733" s="238"/>
      <c r="F733" s="238"/>
      <c r="G733" s="238" t="n">
        <v>0</v>
      </c>
      <c r="H733" s="430"/>
      <c r="I733" s="502" t="n">
        <f aca="false">-I370</f>
        <v>-0</v>
      </c>
      <c r="J733" s="430" t="n">
        <f aca="false">-J370</f>
        <v>-0</v>
      </c>
      <c r="K733" s="430" t="n">
        <f aca="false">-K370</f>
        <v>-0</v>
      </c>
      <c r="L733" s="430" t="n">
        <f aca="false">-L370</f>
        <v>-0</v>
      </c>
      <c r="M733" s="430" t="n">
        <f aca="false">-M370</f>
        <v>-0</v>
      </c>
      <c r="N733" s="430" t="n">
        <f aca="false">-N370</f>
        <v>-0</v>
      </c>
      <c r="O733" s="430" t="n">
        <f aca="false">-O370</f>
        <v>-0</v>
      </c>
      <c r="P733" s="430" t="n">
        <f aca="false">-P370</f>
        <v>-0</v>
      </c>
      <c r="Q733" s="430" t="n">
        <f aca="false">-Q370</f>
        <v>-0</v>
      </c>
      <c r="R733" s="430" t="n">
        <f aca="false">-R370</f>
        <v>-0</v>
      </c>
      <c r="S733" s="430" t="n">
        <f aca="false">-S370</f>
        <v>-0</v>
      </c>
      <c r="T733" s="430" t="n">
        <f aca="false">-T370</f>
        <v>-0</v>
      </c>
      <c r="U733" s="430" t="n">
        <f aca="false">-U370</f>
        <v>-0</v>
      </c>
      <c r="V733" s="430" t="n">
        <f aca="false">-V370</f>
        <v>-0</v>
      </c>
      <c r="W733" s="430" t="n">
        <f aca="false">-W370</f>
        <v>-0</v>
      </c>
      <c r="X733" s="430" t="n">
        <f aca="false">-X370</f>
        <v>-0</v>
      </c>
      <c r="Y733" s="430" t="n">
        <f aca="false">-Y370</f>
        <v>-0</v>
      </c>
      <c r="Z733" s="430" t="n">
        <f aca="false">-Z370</f>
        <v>-0</v>
      </c>
      <c r="AA733" s="430" t="n">
        <f aca="false">-AA370</f>
        <v>-0</v>
      </c>
      <c r="AB733" s="430" t="n">
        <f aca="false">-AB370</f>
        <v>-0</v>
      </c>
      <c r="AC733" s="430" t="n">
        <f aca="false">-AC370</f>
        <v>-0</v>
      </c>
      <c r="AD733" s="430" t="n">
        <f aca="false">-AD370</f>
        <v>-0</v>
      </c>
      <c r="AE733" s="430" t="n">
        <f aca="false">-AE370</f>
        <v>-0</v>
      </c>
      <c r="AF733" s="430" t="n">
        <f aca="false">-AF370</f>
        <v>-0</v>
      </c>
    </row>
    <row r="734" customFormat="false" ht="11.25" hidden="false" customHeight="false" outlineLevel="0" collapsed="false">
      <c r="A734" s="450"/>
      <c r="B734" s="450" t="s">
        <v>698</v>
      </c>
      <c r="C734" s="238"/>
      <c r="D734" s="238"/>
      <c r="E734" s="238"/>
      <c r="F734" s="238"/>
      <c r="G734" s="238" t="n">
        <v>0</v>
      </c>
      <c r="H734" s="430"/>
      <c r="I734" s="502" t="n">
        <f aca="false">+I653</f>
        <v>0</v>
      </c>
      <c r="J734" s="430" t="n">
        <f aca="false">+J653</f>
        <v>0</v>
      </c>
      <c r="K734" s="430" t="n">
        <f aca="false">+K653</f>
        <v>0</v>
      </c>
      <c r="L734" s="430" t="n">
        <f aca="false">+L653</f>
        <v>0</v>
      </c>
      <c r="M734" s="430" t="n">
        <f aca="false">+M653</f>
        <v>0</v>
      </c>
      <c r="N734" s="430" t="n">
        <f aca="false">+N653</f>
        <v>0</v>
      </c>
      <c r="O734" s="430" t="n">
        <f aca="false">+O653</f>
        <v>0</v>
      </c>
      <c r="P734" s="430" t="n">
        <f aca="false">+P653</f>
        <v>0</v>
      </c>
      <c r="Q734" s="430" t="n">
        <f aca="false">+Q653</f>
        <v>0</v>
      </c>
      <c r="R734" s="430" t="n">
        <f aca="false">+R653</f>
        <v>0</v>
      </c>
      <c r="S734" s="430" t="n">
        <f aca="false">+S653</f>
        <v>0</v>
      </c>
      <c r="T734" s="430" t="n">
        <f aca="false">+T653</f>
        <v>0</v>
      </c>
      <c r="U734" s="430" t="n">
        <f aca="false">+U653</f>
        <v>0</v>
      </c>
      <c r="V734" s="430" t="n">
        <f aca="false">+V653</f>
        <v>0</v>
      </c>
      <c r="W734" s="430" t="n">
        <f aca="false">+W653</f>
        <v>0</v>
      </c>
      <c r="X734" s="430" t="n">
        <f aca="false">+X653</f>
        <v>0</v>
      </c>
      <c r="Y734" s="430" t="n">
        <f aca="false">+Y653</f>
        <v>0</v>
      </c>
      <c r="Z734" s="430" t="n">
        <f aca="false">+Z653</f>
        <v>0</v>
      </c>
      <c r="AA734" s="430" t="n">
        <f aca="false">+AA653</f>
        <v>0</v>
      </c>
      <c r="AB734" s="430" t="n">
        <f aca="false">+AB653</f>
        <v>0</v>
      </c>
      <c r="AC734" s="430" t="n">
        <f aca="false">+AC653</f>
        <v>0</v>
      </c>
      <c r="AD734" s="430" t="n">
        <f aca="false">+AD653</f>
        <v>0</v>
      </c>
      <c r="AE734" s="430" t="n">
        <f aca="false">+AE653</f>
        <v>0</v>
      </c>
      <c r="AF734" s="430" t="n">
        <f aca="false">+AF653</f>
        <v>0</v>
      </c>
    </row>
    <row r="735" customFormat="false" ht="11.25" hidden="false" customHeight="false" outlineLevel="0" collapsed="false">
      <c r="A735" s="450"/>
      <c r="B735" s="450" t="s">
        <v>699</v>
      </c>
      <c r="C735" s="238"/>
      <c r="D735" s="238"/>
      <c r="E735" s="238"/>
      <c r="F735" s="238"/>
      <c r="G735" s="238" t="n">
        <v>0</v>
      </c>
      <c r="H735" s="430"/>
      <c r="I735" s="711" t="n">
        <f aca="false">-I$372</f>
        <v>-0</v>
      </c>
      <c r="J735" s="535" t="n">
        <f aca="false">-J$372</f>
        <v>-0</v>
      </c>
      <c r="K735" s="535" t="n">
        <f aca="false">-K$372</f>
        <v>-0</v>
      </c>
      <c r="L735" s="535" t="n">
        <f aca="false">-L$372</f>
        <v>-332.97615389445</v>
      </c>
      <c r="M735" s="535" t="n">
        <f aca="false">-M$372</f>
        <v>332.97615389445</v>
      </c>
      <c r="N735" s="535" t="n">
        <f aca="false">-N$372</f>
        <v>-0</v>
      </c>
      <c r="O735" s="535" t="n">
        <f aca="false">-O$372</f>
        <v>-576.467477474461</v>
      </c>
      <c r="P735" s="535" t="n">
        <f aca="false">-P$372</f>
        <v>-2305.86990989784</v>
      </c>
      <c r="Q735" s="535" t="n">
        <f aca="false">-Q$372</f>
        <v>2882.3373873723</v>
      </c>
      <c r="R735" s="535" t="n">
        <f aca="false">-R$372</f>
        <v>-0</v>
      </c>
      <c r="S735" s="535" t="n">
        <f aca="false">-S$372</f>
        <v>-0</v>
      </c>
      <c r="T735" s="535" t="n">
        <f aca="false">-T$372</f>
        <v>-467.663828494415</v>
      </c>
      <c r="U735" s="535" t="n">
        <f aca="false">-U$372</f>
        <v>467.663828494415</v>
      </c>
      <c r="V735" s="535" t="n">
        <f aca="false">-V$372</f>
        <v>-0</v>
      </c>
      <c r="W735" s="535" t="n">
        <f aca="false">-W$372</f>
        <v>-807.96969208624</v>
      </c>
      <c r="X735" s="535" t="n">
        <f aca="false">-X$372</f>
        <v>-3231.87876834496</v>
      </c>
      <c r="Y735" s="535" t="n">
        <f aca="false">-Y$372</f>
        <v>4039.8484604312</v>
      </c>
      <c r="Z735" s="535" t="n">
        <f aca="false">-Z$372</f>
        <v>-0</v>
      </c>
      <c r="AA735" s="535" t="n">
        <f aca="false">-AA$372</f>
        <v>-0</v>
      </c>
      <c r="AB735" s="535" t="n">
        <f aca="false">-AB$372</f>
        <v>-0</v>
      </c>
      <c r="AC735" s="535" t="n">
        <f aca="false">-AC$372</f>
        <v>-0</v>
      </c>
      <c r="AD735" s="535" t="n">
        <f aca="false">-AD$372</f>
        <v>-0</v>
      </c>
      <c r="AE735" s="535" t="n">
        <f aca="false">-AE$372</f>
        <v>-0</v>
      </c>
      <c r="AF735" s="535" t="n">
        <f aca="false">-AF$372</f>
        <v>-0</v>
      </c>
    </row>
    <row r="736" customFormat="false" ht="12" hidden="false" customHeight="false" outlineLevel="0" collapsed="false">
      <c r="A736" s="712" t="s">
        <v>700</v>
      </c>
      <c r="B736" s="238"/>
      <c r="C736" s="238"/>
      <c r="D736" s="238"/>
      <c r="E736" s="238"/>
      <c r="F736" s="238"/>
      <c r="G736" s="238" t="n">
        <v>1.13686837721616E-013</v>
      </c>
      <c r="H736" s="713" t="n">
        <f aca="false">+H720</f>
        <v>-24000</v>
      </c>
      <c r="I736" s="714" t="n">
        <f aca="false">IF(I728+SUM(I730:I735)&lt;0,0,I728+SUM(I730:I735))</f>
        <v>799</v>
      </c>
      <c r="J736" s="714" t="e">
        <f aca="false">IF(J728+SUM(J730:J735)&lt;0,0,J728+SUM(J730:J735))</f>
        <v>#VALUE!</v>
      </c>
      <c r="K736" s="714" t="e">
        <f aca="false">IF(K728+SUM(K730:K735)&lt;0,0,K728+SUM(K730:K735))</f>
        <v>#VALUE!</v>
      </c>
      <c r="L736" s="714" t="e">
        <f aca="false">IF(L728+SUM(L730:L735)&lt;0,0,L728+SUM(L730:L735))</f>
        <v>#VALUE!</v>
      </c>
      <c r="M736" s="714" t="e">
        <f aca="false">IF(M728+SUM(M730:M735)&lt;0,0,M728+SUM(M730:M735))</f>
        <v>#VALUE!</v>
      </c>
      <c r="N736" s="714" t="e">
        <f aca="false">IF(N728+SUM(N730:N735)&lt;0,0,N728+SUM(N730:N735))</f>
        <v>#VALUE!</v>
      </c>
      <c r="O736" s="714" t="e">
        <f aca="false">IF(O728+SUM(O730:O735)&lt;0,0,O728+SUM(O730:O735))</f>
        <v>#VALUE!</v>
      </c>
      <c r="P736" s="714" t="e">
        <f aca="false">IF(P728+SUM(P730:P735)&lt;0,0,P728+SUM(P730:P735))</f>
        <v>#VALUE!</v>
      </c>
      <c r="Q736" s="714" t="e">
        <f aca="false">IF(Q728+SUM(Q730:Q735)&lt;0,0,Q728+SUM(Q730:Q735))</f>
        <v>#VALUE!</v>
      </c>
      <c r="R736" s="714" t="e">
        <f aca="false">IF(R728+SUM(R730:R735)&lt;0,0,R728+SUM(R730:R735))</f>
        <v>#VALUE!</v>
      </c>
      <c r="S736" s="714" t="e">
        <f aca="false">IF(S728+SUM(S730:S735)&lt;0,0,S728+SUM(S730:S735))</f>
        <v>#VALUE!</v>
      </c>
      <c r="T736" s="714" t="e">
        <f aca="false">IF(T728+SUM(T730:T735)&lt;0,0,T728+SUM(T730:T735))</f>
        <v>#VALUE!</v>
      </c>
      <c r="U736" s="714" t="e">
        <f aca="false">IF(U728+SUM(U730:U735)&lt;0,0,U728+SUM(U730:U735))</f>
        <v>#VALUE!</v>
      </c>
      <c r="V736" s="714" t="e">
        <f aca="false">IF(V728+SUM(V730:V735)&lt;0,0,V728+SUM(V730:V735))</f>
        <v>#VALUE!</v>
      </c>
      <c r="W736" s="714" t="e">
        <f aca="false">IF(W728+SUM(W730:W735)&lt;0,0,W728+SUM(W730:W735))</f>
        <v>#VALUE!</v>
      </c>
      <c r="X736" s="714" t="e">
        <f aca="false">IF(X728+SUM(X730:X735)&lt;0,0,X728+SUM(X730:X735))</f>
        <v>#VALUE!</v>
      </c>
      <c r="Y736" s="714" t="e">
        <f aca="false">IF(Y728+SUM(Y730:Y735)&lt;0,0,Y728+SUM(Y730:Y735))</f>
        <v>#VALUE!</v>
      </c>
      <c r="Z736" s="714" t="e">
        <f aca="false">IF(Z728+SUM(Z730:Z735)&lt;0,0,Z728+SUM(Z730:Z735))</f>
        <v>#VALUE!</v>
      </c>
      <c r="AA736" s="714" t="e">
        <f aca="false">IF(AA728+SUM(AA730:AA735)&lt;0,0,AA728+SUM(AA730:AA735))</f>
        <v>#VALUE!</v>
      </c>
      <c r="AB736" s="714" t="e">
        <f aca="false">IF(AB728+SUM(AB730:AB735)&lt;0,0,AB728+SUM(AB730:AB735))</f>
        <v>#VALUE!</v>
      </c>
      <c r="AC736" s="714" t="e">
        <f aca="false">IF(AC728+SUM(AC730:AC735)&lt;0,0,AC728+SUM(AC730:AC735))</f>
        <v>#VALUE!</v>
      </c>
      <c r="AD736" s="714" t="e">
        <f aca="false">IF(AD728+SUM(AD730:AD735)&lt;0,0,AD728+SUM(AD730:AD735))</f>
        <v>#VALUE!</v>
      </c>
      <c r="AE736" s="714" t="e">
        <f aca="false">IF(AE728+SUM(AE730:AE735)&lt;0,0,AE728+SUM(AE730:AE735))</f>
        <v>#VALUE!</v>
      </c>
      <c r="AF736" s="714" t="e">
        <f aca="false">IF(AF728+SUM(AF730:AF735)&lt;0,0,AF728+SUM(AF730:AF735))</f>
        <v>#VALUE!</v>
      </c>
    </row>
    <row r="737" customFormat="false" ht="12" hidden="false" customHeight="false" outlineLevel="0" collapsed="false">
      <c r="A737" s="712" t="s">
        <v>0</v>
      </c>
      <c r="B737" s="715"/>
      <c r="C737" s="238"/>
      <c r="D737" s="716"/>
      <c r="E737" s="238"/>
      <c r="F737" s="238"/>
      <c r="G737" s="238"/>
      <c r="H737" s="717"/>
      <c r="I737" s="610"/>
      <c r="J737" s="610"/>
      <c r="K737" s="610"/>
      <c r="L737" s="610"/>
      <c r="M737" s="610"/>
      <c r="N737" s="610"/>
      <c r="O737" s="610"/>
      <c r="P737" s="610"/>
      <c r="Q737" s="610"/>
      <c r="R737" s="610"/>
      <c r="S737" s="610"/>
      <c r="T737" s="610"/>
      <c r="U737" s="610"/>
      <c r="V737" s="610"/>
      <c r="W737" s="610"/>
      <c r="X737" s="610"/>
      <c r="Y737" s="610"/>
      <c r="Z737" s="610"/>
      <c r="AA737" s="610"/>
      <c r="AB737" s="610"/>
      <c r="AC737" s="610"/>
      <c r="AD737" s="610"/>
      <c r="AE737" s="610"/>
      <c r="AF737" s="610"/>
    </row>
    <row r="738" customFormat="false" ht="11.25" hidden="false" customHeight="false" outlineLevel="0" collapsed="false">
      <c r="A738" s="712"/>
      <c r="B738" s="718"/>
      <c r="C738" s="238"/>
      <c r="D738" s="716"/>
      <c r="E738" s="716"/>
      <c r="F738" s="238"/>
      <c r="G738" s="238"/>
      <c r="H738" s="719"/>
      <c r="I738" s="610"/>
      <c r="J738" s="610"/>
      <c r="K738" s="610"/>
      <c r="L738" s="610"/>
      <c r="M738" s="610"/>
      <c r="N738" s="610"/>
      <c r="O738" s="610"/>
      <c r="P738" s="610"/>
      <c r="Q738" s="610"/>
      <c r="R738" s="610"/>
      <c r="S738" s="610"/>
      <c r="T738" s="610"/>
      <c r="U738" s="610"/>
      <c r="V738" s="610"/>
      <c r="W738" s="610"/>
      <c r="X738" s="610"/>
      <c r="Y738" s="610"/>
      <c r="Z738" s="610"/>
      <c r="AA738" s="610"/>
      <c r="AB738" s="610"/>
      <c r="AC738" s="610"/>
      <c r="AD738" s="610"/>
      <c r="AE738" s="610"/>
      <c r="AF738" s="610"/>
    </row>
    <row r="739" customFormat="false" ht="11.25" hidden="false" customHeight="false" outlineLevel="0" collapsed="false">
      <c r="A739" s="712"/>
      <c r="B739" s="718"/>
      <c r="C739" s="238"/>
      <c r="D739" s="716"/>
      <c r="E739" s="720"/>
      <c r="F739" s="238"/>
      <c r="G739" s="238"/>
      <c r="H739" s="719"/>
      <c r="I739" s="610"/>
      <c r="J739" s="610"/>
      <c r="K739" s="610"/>
      <c r="L739" s="610"/>
      <c r="M739" s="610"/>
      <c r="N739" s="610"/>
      <c r="O739" s="610"/>
      <c r="P739" s="610"/>
      <c r="Q739" s="610"/>
      <c r="R739" s="610"/>
      <c r="S739" s="610"/>
      <c r="T739" s="610"/>
      <c r="U739" s="610"/>
      <c r="V739" s="610"/>
      <c r="W739" s="610"/>
      <c r="X739" s="610"/>
      <c r="Y739" s="610"/>
      <c r="Z739" s="610"/>
      <c r="AA739" s="610"/>
      <c r="AB739" s="610"/>
      <c r="AC739" s="610"/>
      <c r="AD739" s="610"/>
      <c r="AE739" s="610"/>
      <c r="AF739" s="610"/>
    </row>
    <row r="740" customFormat="false" ht="11.25" hidden="false" customHeight="false" outlineLevel="0" collapsed="false">
      <c r="A740" s="712" t="s">
        <v>0</v>
      </c>
      <c r="B740" s="715"/>
      <c r="C740" s="238"/>
      <c r="D740" s="720"/>
      <c r="E740" s="238"/>
      <c r="F740" s="238"/>
      <c r="G740" s="238"/>
      <c r="H740" s="719"/>
      <c r="I740" s="610"/>
      <c r="J740" s="610"/>
      <c r="K740" s="610"/>
      <c r="L740" s="610"/>
      <c r="M740" s="610"/>
      <c r="N740" s="610"/>
      <c r="O740" s="610"/>
      <c r="P740" s="610"/>
      <c r="Q740" s="610"/>
      <c r="R740" s="610"/>
      <c r="S740" s="610"/>
      <c r="T740" s="610"/>
      <c r="U740" s="610"/>
      <c r="V740" s="610"/>
      <c r="W740" s="610"/>
      <c r="X740" s="610"/>
      <c r="Y740" s="610"/>
      <c r="Z740" s="610"/>
      <c r="AA740" s="610"/>
      <c r="AB740" s="610"/>
      <c r="AC740" s="610"/>
      <c r="AD740" s="610"/>
      <c r="AE740" s="610"/>
      <c r="AF740" s="610"/>
    </row>
    <row r="741" customFormat="false" ht="11.25" hidden="false" customHeight="false" outlineLevel="0" collapsed="false">
      <c r="A741" s="721" t="s">
        <v>233</v>
      </c>
      <c r="B741" s="722" t="e">
        <f aca="false">+SUM(I741:S741)</f>
        <v>#VALUE!</v>
      </c>
      <c r="C741" s="722"/>
      <c r="D741" s="722"/>
      <c r="E741" s="722"/>
      <c r="F741" s="722"/>
      <c r="G741" s="722" t="n">
        <v>0</v>
      </c>
      <c r="H741" s="723"/>
      <c r="I741" s="724" t="n">
        <f aca="false">-I$386-I$383+I$375+I$392+I$393-I736+I394</f>
        <v>0</v>
      </c>
      <c r="J741" s="724" t="e">
        <f aca="false">-J$386-J$383+J$375+J$392+J$393-J736+J394</f>
        <v>#VALUE!</v>
      </c>
      <c r="K741" s="724" t="e">
        <f aca="false">-K$386-K$383+K$375+K$392+K$393-K736+K394</f>
        <v>#VALUE!</v>
      </c>
      <c r="L741" s="724" t="e">
        <f aca="false">-L$386-L$383+L$375+L$392+L$393-L736+L394</f>
        <v>#VALUE!</v>
      </c>
      <c r="M741" s="724" t="e">
        <f aca="false">-M$386-M$383+M$375+M$392+M$393-M736+M394</f>
        <v>#VALUE!</v>
      </c>
      <c r="N741" s="724" t="e">
        <f aca="false">-N$386-N$383+N$375+N$392+N$393-N736+N394</f>
        <v>#VALUE!</v>
      </c>
      <c r="O741" s="724" t="e">
        <f aca="false">-O$386-O$383+O$375+O$392+O$393-O736+O394</f>
        <v>#VALUE!</v>
      </c>
      <c r="P741" s="724" t="e">
        <f aca="false">-P$386-P$383+P$375+P$392+P$393-P736+P394</f>
        <v>#VALUE!</v>
      </c>
      <c r="Q741" s="724" t="e">
        <f aca="false">-Q$386-Q$383+Q$375+Q$392+Q$393-Q736+Q394</f>
        <v>#VALUE!</v>
      </c>
      <c r="R741" s="724" t="e">
        <f aca="false">-R$386-R$383+R$375+R$392+R$393-R736+R394</f>
        <v>#VALUE!</v>
      </c>
      <c r="S741" s="724" t="e">
        <f aca="false">-S$386-S$383+S$375+S$392+S$393-S736+S394</f>
        <v>#VALUE!</v>
      </c>
      <c r="T741" s="724" t="e">
        <f aca="false">-T$386-T$383+T$375+T$392+T$393-T736+T394</f>
        <v>#VALUE!</v>
      </c>
      <c r="U741" s="724" t="e">
        <f aca="false">-U$386-U$383+U$375+U$392+U$393-U736+U394</f>
        <v>#VALUE!</v>
      </c>
      <c r="V741" s="724" t="e">
        <f aca="false">-V$386-V$383+V$375+V$392+V$393-V736+V394</f>
        <v>#VALUE!</v>
      </c>
      <c r="W741" s="724" t="e">
        <f aca="false">-W$386-W$383+W$375+W$392+W$393-W736+W394</f>
        <v>#VALUE!</v>
      </c>
      <c r="X741" s="724" t="e">
        <f aca="false">-X$386-X$383+X$375+X$392+X$393-X736+X394</f>
        <v>#VALUE!</v>
      </c>
      <c r="Y741" s="724" t="e">
        <f aca="false">-Y$386-Y$383+Y$375+Y$392+Y$393-Y736+Y394</f>
        <v>#VALUE!</v>
      </c>
      <c r="Z741" s="724" t="e">
        <f aca="false">-Z$386-Z$383+Z$375+Z$392+Z$393-Z736+Z394</f>
        <v>#VALUE!</v>
      </c>
      <c r="AA741" s="724" t="e">
        <f aca="false">-AA$386-AA$383+AA$375+AA$392+AA$393-AA736+AA394</f>
        <v>#VALUE!</v>
      </c>
      <c r="AB741" s="724" t="e">
        <f aca="false">-AB$386-AB$383+AB$375+AB$392+AB$393-AB736+AB394</f>
        <v>#VALUE!</v>
      </c>
      <c r="AC741" s="724" t="e">
        <f aca="false">-AC$386-AC$383+AC$375+AC$392+AC$393-AC736+AC394</f>
        <v>#VALUE!</v>
      </c>
      <c r="AD741" s="724" t="e">
        <f aca="false">-AD$386-AD$383+AD$375+AD$392+AD$393-AD736+AD394</f>
        <v>#VALUE!</v>
      </c>
      <c r="AE741" s="724" t="e">
        <f aca="false">-AE$386-AE$383+AE$375+AE$392+AE$393-AE736+AE394</f>
        <v>#VALUE!</v>
      </c>
      <c r="AF741" s="724" t="e">
        <f aca="false">-AF$386-AF$383+AF$375+AF$392+AF$393-AF736+AF394</f>
        <v>#VALUE!</v>
      </c>
    </row>
    <row r="742" customFormat="false" ht="11.25" hidden="false" customHeight="false" outlineLevel="0" collapsed="false">
      <c r="A742" s="725" t="s">
        <v>233</v>
      </c>
      <c r="B742" s="722" t="e">
        <f aca="false">+SUM(I742:S742)</f>
        <v>#VALUE!</v>
      </c>
      <c r="C742" s="725"/>
      <c r="D742" s="725"/>
      <c r="E742" s="725"/>
      <c r="F742" s="725"/>
      <c r="G742" s="725" t="n">
        <v>-1.13686837721616E-013</v>
      </c>
      <c r="H742" s="725"/>
      <c r="I742" s="726" t="n">
        <f aca="false">+I824-I383-I736+I394</f>
        <v>-799</v>
      </c>
      <c r="J742" s="726" t="e">
        <f aca="false">+J824-J383-J736+J394</f>
        <v>#VALUE!</v>
      </c>
      <c r="K742" s="726" t="e">
        <f aca="false">+K824-K383-K736+K394</f>
        <v>#VALUE!</v>
      </c>
      <c r="L742" s="726" t="e">
        <f aca="false">+L824-L383-L736+L394</f>
        <v>#VALUE!</v>
      </c>
      <c r="M742" s="726" t="e">
        <f aca="false">+M824-M383-M736+M394</f>
        <v>#VALUE!</v>
      </c>
      <c r="N742" s="726" t="e">
        <f aca="false">+N824-N383-N736+N394</f>
        <v>#VALUE!</v>
      </c>
      <c r="O742" s="726" t="e">
        <f aca="false">+O824-O383-O736+O394</f>
        <v>#VALUE!</v>
      </c>
      <c r="P742" s="726" t="e">
        <f aca="false">+P824-P383-P736+P394</f>
        <v>#VALUE!</v>
      </c>
      <c r="Q742" s="726" t="e">
        <f aca="false">+Q824-Q383-Q736+Q394</f>
        <v>#VALUE!</v>
      </c>
      <c r="R742" s="726" t="e">
        <f aca="false">+R824-R383-R736+R394</f>
        <v>#VALUE!</v>
      </c>
      <c r="S742" s="726" t="e">
        <f aca="false">+S824-S383-S736+S394</f>
        <v>#VALUE!</v>
      </c>
      <c r="T742" s="726" t="e">
        <f aca="false">+T824-T383-T736+T394</f>
        <v>#VALUE!</v>
      </c>
      <c r="U742" s="726" t="e">
        <f aca="false">+U824-U383-U736+U394</f>
        <v>#VALUE!</v>
      </c>
      <c r="V742" s="726" t="e">
        <f aca="false">+V824-V383-V736+V394</f>
        <v>#VALUE!</v>
      </c>
      <c r="W742" s="726" t="e">
        <f aca="false">+W824-W383-W736+W394</f>
        <v>#VALUE!</v>
      </c>
      <c r="X742" s="726" t="e">
        <f aca="false">+X824-X383-X736+X394</f>
        <v>#VALUE!</v>
      </c>
      <c r="Y742" s="726" t="e">
        <f aca="false">+Y824-Y383-Y736+Y394</f>
        <v>#VALUE!</v>
      </c>
      <c r="Z742" s="726" t="e">
        <f aca="false">+Z824-Z383-Z736+Z394</f>
        <v>#VALUE!</v>
      </c>
      <c r="AA742" s="726" t="e">
        <f aca="false">+AA824-AA383-AA736+AA394</f>
        <v>#VALUE!</v>
      </c>
      <c r="AB742" s="726" t="e">
        <f aca="false">+AB824-AB383-AB736+AB394</f>
        <v>#VALUE!</v>
      </c>
      <c r="AC742" s="726" t="e">
        <f aca="false">+AC824-AC383-AC736+AC394</f>
        <v>#VALUE!</v>
      </c>
      <c r="AD742" s="726" t="e">
        <f aca="false">+AD824-AD383-AD736+AD394</f>
        <v>#VALUE!</v>
      </c>
      <c r="AE742" s="726" t="e">
        <f aca="false">+AE824-AE383-AE736+AE394</f>
        <v>#VALUE!</v>
      </c>
      <c r="AF742" s="726" t="e">
        <f aca="false">+AF824-AF383-AF736+AF394</f>
        <v>#VALUE!</v>
      </c>
    </row>
    <row r="743" customFormat="false" ht="11.25" hidden="false" customHeight="false" outlineLevel="0" collapsed="false">
      <c r="A743" s="725"/>
      <c r="B743" s="722"/>
      <c r="C743" s="725"/>
      <c r="D743" s="725"/>
      <c r="E743" s="725"/>
      <c r="F743" s="725"/>
      <c r="G743" s="725"/>
      <c r="H743" s="725"/>
      <c r="I743" s="726"/>
      <c r="J743" s="726"/>
      <c r="K743" s="726"/>
      <c r="L743" s="726"/>
      <c r="M743" s="726"/>
      <c r="N743" s="726"/>
      <c r="O743" s="726"/>
      <c r="P743" s="726"/>
      <c r="Q743" s="726"/>
      <c r="R743" s="726"/>
      <c r="S743" s="726"/>
      <c r="T743" s="726"/>
      <c r="U743" s="726"/>
      <c r="V743" s="726"/>
      <c r="W743" s="726"/>
      <c r="X743" s="726"/>
      <c r="Y743" s="726"/>
      <c r="Z743" s="726"/>
      <c r="AA743" s="726"/>
      <c r="AB743" s="726"/>
      <c r="AC743" s="726"/>
      <c r="AD743" s="726"/>
      <c r="AE743" s="726"/>
      <c r="AF743" s="726"/>
    </row>
    <row r="744" customFormat="false" ht="11.25" hidden="false" customHeight="false" outlineLevel="0" collapsed="false">
      <c r="A744" s="725"/>
      <c r="B744" s="722"/>
      <c r="C744" s="725"/>
      <c r="D744" s="725"/>
      <c r="E744" s="725"/>
      <c r="F744" s="725"/>
      <c r="G744" s="725"/>
      <c r="H744" s="725"/>
      <c r="I744" s="726"/>
      <c r="J744" s="726"/>
      <c r="K744" s="726"/>
      <c r="L744" s="726"/>
      <c r="M744" s="726"/>
      <c r="N744" s="726"/>
      <c r="O744" s="726"/>
      <c r="P744" s="726"/>
      <c r="Q744" s="726"/>
      <c r="R744" s="726"/>
      <c r="S744" s="726"/>
      <c r="T744" s="726"/>
      <c r="U744" s="726"/>
      <c r="V744" s="726"/>
      <c r="W744" s="726"/>
      <c r="X744" s="726"/>
      <c r="Y744" s="726"/>
      <c r="Z744" s="726"/>
      <c r="AA744" s="726"/>
      <c r="AB744" s="726"/>
      <c r="AC744" s="726"/>
      <c r="AD744" s="726"/>
      <c r="AE744" s="726"/>
      <c r="AF744" s="726"/>
    </row>
    <row r="745" customFormat="false" ht="12" hidden="false" customHeight="false" outlineLevel="0" collapsed="false">
      <c r="D745" s="298"/>
      <c r="E745" s="298"/>
      <c r="F745" s="298"/>
    </row>
    <row r="746" customFormat="false" ht="11.25" hidden="false" customHeight="false" outlineLevel="0" collapsed="false">
      <c r="A746" s="727" t="s">
        <v>701</v>
      </c>
      <c r="B746" s="728"/>
      <c r="C746" s="728"/>
      <c r="D746" s="728"/>
      <c r="E746" s="729" t="s">
        <v>702</v>
      </c>
      <c r="F746" s="730"/>
      <c r="G746" s="298"/>
      <c r="H746" s="298"/>
      <c r="I746" s="731" t="n">
        <f aca="false">+I718</f>
        <v>36525</v>
      </c>
      <c r="J746" s="731" t="n">
        <f aca="false">+J718</f>
        <v>36891</v>
      </c>
      <c r="K746" s="731" t="n">
        <f aca="false">+K718</f>
        <v>37256</v>
      </c>
      <c r="L746" s="731" t="n">
        <f aca="false">+L718</f>
        <v>37621</v>
      </c>
      <c r="M746" s="731" t="n">
        <f aca="false">+M718</f>
        <v>37986</v>
      </c>
      <c r="N746" s="731" t="n">
        <f aca="false">+N718</f>
        <v>38352</v>
      </c>
      <c r="O746" s="731" t="n">
        <f aca="false">+O718</f>
        <v>38717</v>
      </c>
      <c r="P746" s="731" t="n">
        <f aca="false">+P718</f>
        <v>39082</v>
      </c>
      <c r="Q746" s="731" t="n">
        <f aca="false">+Q718</f>
        <v>39447</v>
      </c>
      <c r="R746" s="731" t="n">
        <f aca="false">+R718</f>
        <v>39813</v>
      </c>
      <c r="S746" s="731" t="n">
        <f aca="false">+S718</f>
        <v>40178</v>
      </c>
      <c r="T746" s="731" t="n">
        <f aca="false">+T718</f>
        <v>40543</v>
      </c>
      <c r="U746" s="731" t="n">
        <f aca="false">+U718</f>
        <v>40908</v>
      </c>
      <c r="V746" s="731" t="n">
        <f aca="false">+V718</f>
        <v>41274</v>
      </c>
      <c r="W746" s="731" t="n">
        <f aca="false">+W718</f>
        <v>41639</v>
      </c>
      <c r="X746" s="731" t="n">
        <f aca="false">+X718</f>
        <v>42004</v>
      </c>
      <c r="Y746" s="731" t="n">
        <f aca="false">+Y718</f>
        <v>42369</v>
      </c>
      <c r="Z746" s="731" t="n">
        <f aca="false">+Z718</f>
        <v>42735</v>
      </c>
      <c r="AA746" s="731" t="n">
        <f aca="false">+AA718</f>
        <v>43100</v>
      </c>
      <c r="AB746" s="731" t="n">
        <f aca="false">+AB718</f>
        <v>43465</v>
      </c>
      <c r="AC746" s="731" t="n">
        <f aca="false">+AC718</f>
        <v>43830</v>
      </c>
      <c r="AD746" s="731" t="n">
        <f aca="false">+AD718</f>
        <v>44196</v>
      </c>
      <c r="AE746" s="731" t="n">
        <f aca="false">+AE718</f>
        <v>44561</v>
      </c>
      <c r="AF746" s="731" t="n">
        <f aca="false">+AF718</f>
        <v>44926</v>
      </c>
    </row>
    <row r="747" customFormat="false" ht="11.25" hidden="false" customHeight="false" outlineLevel="0" collapsed="false">
      <c r="A747" s="732" t="str">
        <f aca="false">+"(Federal Taxes @ "&amp;TEXT(I667,"0.00%")&amp;")"</f>
        <v>(Federal Taxes @ 0.00%)</v>
      </c>
      <c r="B747" s="430"/>
      <c r="C747" s="430"/>
      <c r="D747" s="430"/>
      <c r="E747" s="649" t="s">
        <v>703</v>
      </c>
      <c r="F747" s="733"/>
      <c r="G747" s="734" t="s">
        <v>704</v>
      </c>
      <c r="H747" s="394"/>
      <c r="AD747" s="298"/>
      <c r="AE747" s="298"/>
      <c r="AF747" s="298"/>
    </row>
    <row r="748" customFormat="false" ht="11.25" hidden="false" customHeight="false" outlineLevel="0" collapsed="false">
      <c r="A748" s="735"/>
      <c r="B748" s="430"/>
      <c r="C748" s="430"/>
      <c r="D748" s="430"/>
      <c r="E748" s="430"/>
      <c r="F748" s="733"/>
      <c r="G748" s="736" t="s">
        <v>705</v>
      </c>
      <c r="H748" s="298"/>
      <c r="I748" s="447" t="n">
        <f aca="false">+I$345+I$326</f>
        <v>391.000001</v>
      </c>
      <c r="J748" s="447" t="e">
        <f aca="false">+J$345+J$326</f>
        <v>#VALUE!</v>
      </c>
      <c r="K748" s="447" t="e">
        <f aca="false">+K$345+K$326</f>
        <v>#VALUE!</v>
      </c>
      <c r="L748" s="447" t="e">
        <f aca="false">+L$345+L$326</f>
        <v>#VALUE!</v>
      </c>
      <c r="M748" s="447" t="e">
        <f aca="false">+M$345+M$326</f>
        <v>#VALUE!</v>
      </c>
      <c r="N748" s="447" t="e">
        <f aca="false">+N$345+N$326</f>
        <v>#VALUE!</v>
      </c>
      <c r="O748" s="447" t="e">
        <f aca="false">+O$345+O$326</f>
        <v>#VALUE!</v>
      </c>
      <c r="P748" s="447" t="e">
        <f aca="false">+P$345+P$326</f>
        <v>#VALUE!</v>
      </c>
      <c r="Q748" s="447" t="e">
        <f aca="false">+Q$345+Q$326</f>
        <v>#VALUE!</v>
      </c>
      <c r="R748" s="447" t="e">
        <f aca="false">+R$345+R$326</f>
        <v>#VALUE!</v>
      </c>
      <c r="S748" s="447" t="e">
        <f aca="false">+S$345+S$326</f>
        <v>#VALUE!</v>
      </c>
      <c r="T748" s="447" t="e">
        <f aca="false">+T$345+T$326</f>
        <v>#VALUE!</v>
      </c>
      <c r="U748" s="447" t="e">
        <f aca="false">+U$345+U$326</f>
        <v>#VALUE!</v>
      </c>
      <c r="V748" s="447" t="e">
        <f aca="false">+V$345+V$326</f>
        <v>#VALUE!</v>
      </c>
      <c r="W748" s="447" t="e">
        <f aca="false">+W$345+W$326</f>
        <v>#VALUE!</v>
      </c>
      <c r="X748" s="447" t="e">
        <f aca="false">+X$345+X$326</f>
        <v>#VALUE!</v>
      </c>
      <c r="Y748" s="447" t="e">
        <f aca="false">+Y$345+Y$326</f>
        <v>#VALUE!</v>
      </c>
      <c r="Z748" s="447" t="e">
        <f aca="false">+Z$345+Z$326</f>
        <v>#VALUE!</v>
      </c>
      <c r="AA748" s="447" t="e">
        <f aca="false">+AA$345+AA$326</f>
        <v>#VALUE!</v>
      </c>
      <c r="AB748" s="447" t="e">
        <f aca="false">+AB$345+AB$326</f>
        <v>#VALUE!</v>
      </c>
      <c r="AC748" s="447" t="e">
        <f aca="false">+AC$345+AC$326</f>
        <v>#VALUE!</v>
      </c>
      <c r="AD748" s="447" t="e">
        <f aca="false">+AD$345+AD$326</f>
        <v>#VALUE!</v>
      </c>
      <c r="AE748" s="447" t="e">
        <f aca="false">+AE$345+AE$326</f>
        <v>#VALUE!</v>
      </c>
      <c r="AF748" s="447" t="e">
        <f aca="false">+AF$345+AF$326</f>
        <v>#VALUE!</v>
      </c>
    </row>
    <row r="749" customFormat="false" ht="11.25" hidden="false" customHeight="false" outlineLevel="0" collapsed="false">
      <c r="A749" s="737"/>
      <c r="B749" s="298"/>
      <c r="C749" s="298"/>
      <c r="D749" s="298"/>
      <c r="E749" s="298"/>
      <c r="F749" s="733"/>
      <c r="G749" s="736" t="s">
        <v>706</v>
      </c>
      <c r="H749" s="298"/>
      <c r="I749" s="447" t="n">
        <f aca="false">I339</f>
        <v>1454.53291665375</v>
      </c>
      <c r="J749" s="447" t="e">
        <f aca="false">J339</f>
        <v>#VALUE!</v>
      </c>
      <c r="K749" s="447" t="e">
        <f aca="false">K339</f>
        <v>#VALUE!</v>
      </c>
      <c r="L749" s="447" t="e">
        <f aca="false">L339</f>
        <v>#VALUE!</v>
      </c>
      <c r="M749" s="447" t="e">
        <f aca="false">M339</f>
        <v>#VALUE!</v>
      </c>
      <c r="N749" s="447" t="e">
        <f aca="false">N339</f>
        <v>#VALUE!</v>
      </c>
      <c r="O749" s="447" t="e">
        <f aca="false">O339</f>
        <v>#VALUE!</v>
      </c>
      <c r="P749" s="447" t="e">
        <f aca="false">P339</f>
        <v>#VALUE!</v>
      </c>
      <c r="Q749" s="447" t="e">
        <f aca="false">Q339</f>
        <v>#VALUE!</v>
      </c>
      <c r="R749" s="447" t="e">
        <f aca="false">R339</f>
        <v>#VALUE!</v>
      </c>
      <c r="S749" s="447" t="e">
        <f aca="false">S339</f>
        <v>#VALUE!</v>
      </c>
      <c r="T749" s="447" t="e">
        <f aca="false">T339</f>
        <v>#VALUE!</v>
      </c>
      <c r="U749" s="447" t="e">
        <f aca="false">U339</f>
        <v>#VALUE!</v>
      </c>
      <c r="V749" s="447" t="e">
        <f aca="false">V339</f>
        <v>#VALUE!</v>
      </c>
      <c r="W749" s="447" t="e">
        <f aca="false">W339</f>
        <v>#VALUE!</v>
      </c>
      <c r="X749" s="447" t="e">
        <f aca="false">X339</f>
        <v>#VALUE!</v>
      </c>
      <c r="Y749" s="447" t="e">
        <f aca="false">Y339</f>
        <v>#VALUE!</v>
      </c>
      <c r="Z749" s="447" t="e">
        <f aca="false">Z339</f>
        <v>#VALUE!</v>
      </c>
      <c r="AA749" s="447" t="e">
        <f aca="false">AA339</f>
        <v>#VALUE!</v>
      </c>
      <c r="AB749" s="447" t="e">
        <f aca="false">AB339</f>
        <v>#VALUE!</v>
      </c>
      <c r="AC749" s="447" t="e">
        <f aca="false">AC339</f>
        <v>#VALUE!</v>
      </c>
      <c r="AD749" s="447" t="e">
        <f aca="false">AD339</f>
        <v>#VALUE!</v>
      </c>
      <c r="AE749" s="447" t="e">
        <f aca="false">AE339</f>
        <v>#VALUE!</v>
      </c>
      <c r="AF749" s="447" t="e">
        <f aca="false">AF339</f>
        <v>#VALUE!</v>
      </c>
    </row>
    <row r="750" customFormat="false" ht="11.25" hidden="false" customHeight="false" outlineLevel="0" collapsed="false">
      <c r="A750" s="735" t="s">
        <v>234</v>
      </c>
      <c r="B750" s="430"/>
      <c r="C750" s="430"/>
      <c r="D750" s="430"/>
      <c r="E750" s="738" t="n">
        <f aca="false">+Summary!M115</f>
        <v>0.09</v>
      </c>
      <c r="F750" s="733"/>
      <c r="G750" s="736" t="s">
        <v>707</v>
      </c>
      <c r="H750" s="298"/>
      <c r="I750" s="447" t="n">
        <f aca="false">I373</f>
        <v>391.000001</v>
      </c>
      <c r="J750" s="447" t="n">
        <f aca="false">J373</f>
        <v>1601.999983</v>
      </c>
      <c r="K750" s="447" t="n">
        <f aca="false">K373</f>
        <v>2148.00005</v>
      </c>
      <c r="L750" s="447" t="n">
        <f aca="false">L373</f>
        <v>2500.9999025</v>
      </c>
      <c r="M750" s="447" t="n">
        <f aca="false">M373</f>
        <v>2102.00001</v>
      </c>
      <c r="N750" s="447" t="n">
        <f aca="false">N373</f>
        <v>3172.999998</v>
      </c>
      <c r="O750" s="447" t="n">
        <f aca="false">O373</f>
        <v>3259.000004</v>
      </c>
      <c r="P750" s="447" t="n">
        <f aca="false">P373</f>
        <v>2143.000026</v>
      </c>
      <c r="Q750" s="447" t="n">
        <f aca="false">Q373</f>
        <v>2834.9999915</v>
      </c>
      <c r="R750" s="447" t="n">
        <f aca="false">R373</f>
        <v>4242.9999925</v>
      </c>
      <c r="S750" s="447" t="n">
        <f aca="false">S373</f>
        <v>4340.999977</v>
      </c>
      <c r="T750" s="447" t="n">
        <f aca="false">T373</f>
        <v>3399.999935</v>
      </c>
      <c r="U750" s="447" t="n">
        <f aca="false">U373</f>
        <v>3140.000043</v>
      </c>
      <c r="V750" s="447" t="n">
        <f aca="false">V373</f>
        <v>4238.999962</v>
      </c>
      <c r="W750" s="447" t="n">
        <f aca="false">W373</f>
        <v>4286.000052</v>
      </c>
      <c r="X750" s="447" t="n">
        <f aca="false">X373</f>
        <v>3758.9999745</v>
      </c>
      <c r="Y750" s="447" t="n">
        <f aca="false">Y373</f>
        <v>4520.9999935</v>
      </c>
      <c r="Z750" s="447" t="n">
        <f aca="false">Z373</f>
        <v>4417.0001045</v>
      </c>
      <c r="AA750" s="447" t="n">
        <f aca="false">AA373</f>
        <v>0</v>
      </c>
      <c r="AB750" s="447" t="n">
        <f aca="false">AB373</f>
        <v>0</v>
      </c>
      <c r="AC750" s="447" t="n">
        <f aca="false">AC373</f>
        <v>0</v>
      </c>
      <c r="AD750" s="447" t="n">
        <f aca="false">AD373</f>
        <v>0</v>
      </c>
      <c r="AE750" s="447" t="n">
        <f aca="false">AE373</f>
        <v>0</v>
      </c>
      <c r="AF750" s="447" t="n">
        <f aca="false">AF373</f>
        <v>0</v>
      </c>
    </row>
    <row r="751" customFormat="false" ht="11.25" hidden="false" customHeight="false" outlineLevel="0" collapsed="false">
      <c r="A751" s="737"/>
      <c r="B751" s="298"/>
      <c r="C751" s="298"/>
      <c r="D751" s="298"/>
      <c r="E751" s="298"/>
      <c r="F751" s="733"/>
      <c r="G751" s="739" t="s">
        <v>708</v>
      </c>
      <c r="H751" s="298"/>
      <c r="I751" s="740" t="n">
        <f aca="false">IF(ISERROR((I748+I749)/(I749+I750)),"NA",(I748+I749)/(I749+I750))</f>
        <v>1</v>
      </c>
      <c r="J751" s="740" t="str">
        <f aca="false">IF(ISERROR((J748+J749)/(J749+J750)),"NA",(J748+J749)/(J749+J750))</f>
        <v>NA</v>
      </c>
      <c r="K751" s="740" t="str">
        <f aca="false">IF(ISERROR((K748+K749)/(K749+K750)),"NA",(K748+K749)/(K749+K750))</f>
        <v>NA</v>
      </c>
      <c r="L751" s="740" t="str">
        <f aca="false">IF(ISERROR((L748+L749)/(L749+L750)),"NA",(L748+L749)/(L749+L750))</f>
        <v>NA</v>
      </c>
      <c r="M751" s="740" t="str">
        <f aca="false">IF(ISERROR((M748+M749)/(M749+M750)),"NA",(M748+M749)/(M749+M750))</f>
        <v>NA</v>
      </c>
      <c r="N751" s="740" t="str">
        <f aca="false">IF(ISERROR((N748+N749)/(N749+N750)),"NA",(N748+N749)/(N749+N750))</f>
        <v>NA</v>
      </c>
      <c r="O751" s="740" t="str">
        <f aca="false">IF(ISERROR((O748+O749)/(O749+O750)),"NA",(O748+O749)/(O749+O750))</f>
        <v>NA</v>
      </c>
      <c r="P751" s="740" t="str">
        <f aca="false">IF(ISERROR((P748+P749)/(P749+P750)),"NA",(P748+P749)/(P749+P750))</f>
        <v>NA</v>
      </c>
      <c r="Q751" s="740" t="str">
        <f aca="false">IF(ISERROR((Q748+Q749)/(Q749+Q750)),"NA",(Q748+Q749)/(Q749+Q750))</f>
        <v>NA</v>
      </c>
      <c r="R751" s="740" t="str">
        <f aca="false">IF(ISERROR((R748+R749)/(R749+R750)),"NA",(R748+R749)/(R749+R750))</f>
        <v>NA</v>
      </c>
      <c r="S751" s="740" t="str">
        <f aca="false">IF(ISERROR((S748+S749)/(S749+S750)),"NA",(S748+S749)/(S749+S750))</f>
        <v>NA</v>
      </c>
      <c r="T751" s="740" t="str">
        <f aca="false">IF(ISERROR((T748+T749)/(T749+T750)),"NA",(T748+T749)/(T749+T750))</f>
        <v>NA</v>
      </c>
      <c r="U751" s="740" t="str">
        <f aca="false">IF(ISERROR((U748+U749)/(U749+U750)),"NA",(U748+U749)/(U749+U750))</f>
        <v>NA</v>
      </c>
      <c r="V751" s="740" t="str">
        <f aca="false">IF(ISERROR((V748+V749)/(V749+V750)),"NA",(V748+V749)/(V749+V750))</f>
        <v>NA</v>
      </c>
      <c r="W751" s="740" t="str">
        <f aca="false">IF(ISERROR((W748+W749)/(W749+W750)),"NA",(W748+W749)/(W749+W750))</f>
        <v>NA</v>
      </c>
      <c r="X751" s="740" t="str">
        <f aca="false">IF(ISERROR((X748+X749)/(X749+X750)),"NA",(X748+X749)/(X749+X750))</f>
        <v>NA</v>
      </c>
      <c r="Y751" s="740" t="str">
        <f aca="false">IF(ISERROR((Y748+Y749)/(Y749+Y750)),"NA",(Y748+Y749)/(Y749+Y750))</f>
        <v>NA</v>
      </c>
      <c r="Z751" s="740" t="str">
        <f aca="false">IF(ISERROR((Z748+Z749)/(Z749+Z750)),"NA",(Z748+Z749)/(Z749+Z750))</f>
        <v>NA</v>
      </c>
      <c r="AA751" s="740" t="s">
        <v>0</v>
      </c>
      <c r="AB751" s="741"/>
      <c r="AC751" s="741"/>
      <c r="AD751" s="741"/>
      <c r="AE751" s="741"/>
      <c r="AF751" s="741"/>
    </row>
    <row r="752" customFormat="false" ht="11.25" hidden="false" customHeight="false" outlineLevel="0" collapsed="false">
      <c r="A752" s="732" t="s">
        <v>709</v>
      </c>
      <c r="B752" s="430"/>
      <c r="C752" s="430"/>
      <c r="D752" s="430"/>
      <c r="E752" s="742"/>
      <c r="F752" s="733"/>
      <c r="G752" s="739" t="s">
        <v>710</v>
      </c>
      <c r="H752" s="298"/>
      <c r="I752" s="743" t="e">
        <f aca="false">XIRR($H736:I736,$H718:I718,0.15)</f>
        <v>#VALUE!</v>
      </c>
      <c r="J752" s="743" t="e">
        <f aca="false">XIRR($H736:J736,$H718:J718,0.15)</f>
        <v>#VALUE!</v>
      </c>
      <c r="K752" s="743" t="e">
        <f aca="false">XIRR($H736:K736,$H718:K718,0.15)</f>
        <v>#VALUE!</v>
      </c>
      <c r="L752" s="743" t="e">
        <f aca="false">XIRR($H736:L736,$H718:L718,0.15)</f>
        <v>#VALUE!</v>
      </c>
      <c r="M752" s="743" t="e">
        <f aca="false">XIRR($H736:M736,$H718:M718,0.15)</f>
        <v>#VALUE!</v>
      </c>
      <c r="N752" s="743" t="e">
        <f aca="false">XIRR($H736:N736,$H718:N718,0.15)</f>
        <v>#VALUE!</v>
      </c>
      <c r="O752" s="743" t="e">
        <f aca="false">XIRR($H736:O736,$H718:O718,0.15)</f>
        <v>#VALUE!</v>
      </c>
      <c r="P752" s="743" t="e">
        <f aca="false">XIRR($H736:P736,$H718:P718,0.15)</f>
        <v>#VALUE!</v>
      </c>
      <c r="Q752" s="743" t="e">
        <f aca="false">XIRR($H736:Q736,$H718:Q718,0.15)</f>
        <v>#VALUE!</v>
      </c>
      <c r="R752" s="743" t="e">
        <f aca="false">XIRR($H736:R736,$H718:R718,0.15)</f>
        <v>#VALUE!</v>
      </c>
      <c r="S752" s="743" t="e">
        <f aca="false">XIRR($H736:S736,$H718:S718,0.15)</f>
        <v>#VALUE!</v>
      </c>
      <c r="T752" s="743" t="e">
        <f aca="false">XIRR($H736:T736,$H718:T718,0.15)</f>
        <v>#VALUE!</v>
      </c>
      <c r="U752" s="743" t="e">
        <f aca="false">XIRR($H736:U736,$H718:U718,0.15)</f>
        <v>#VALUE!</v>
      </c>
      <c r="V752" s="743" t="e">
        <f aca="false">XIRR($H736:V736,$H718:V718,0.15)</f>
        <v>#VALUE!</v>
      </c>
      <c r="W752" s="743" t="e">
        <f aca="false">XIRR($H736:W736,$H718:W718,0.15)</f>
        <v>#VALUE!</v>
      </c>
      <c r="X752" s="743" t="e">
        <f aca="false">XIRR($H736:X736,$H718:X718,0.15)</f>
        <v>#VALUE!</v>
      </c>
      <c r="Y752" s="743" t="e">
        <f aca="false">XIRR($H736:Y736,$H718:Y718,0.15)</f>
        <v>#VALUE!</v>
      </c>
      <c r="Z752" s="743" t="e">
        <f aca="false">XIRR($H736:Z736,$H718:Z718,0.15)</f>
        <v>#VALUE!</v>
      </c>
      <c r="AA752" s="743" t="e">
        <f aca="false">XIRR($H736:AA736,$H718:AA718,0.15)</f>
        <v>#VALUE!</v>
      </c>
      <c r="AB752" s="743" t="e">
        <f aca="false">XIRR($H736:AB736,$H718:AB718,0.15)</f>
        <v>#VALUE!</v>
      </c>
      <c r="AC752" s="508" t="e">
        <f aca="false">XIRR($H736:AC736,$H718:AC718,0.15)</f>
        <v>#VALUE!</v>
      </c>
      <c r="AD752" s="508" t="e">
        <f aca="false">XIRR($H736:AD736,$H718:AD718,0.15)</f>
        <v>#VALUE!</v>
      </c>
      <c r="AE752" s="508" t="e">
        <f aca="false">XIRR($H736:AE736,$H718:AE718,0.15)</f>
        <v>#VALUE!</v>
      </c>
      <c r="AF752" s="508" t="e">
        <f aca="false">XIRR($H736:AF736,$H718:AF718,0.15)</f>
        <v>#VALUE!</v>
      </c>
    </row>
    <row r="753" customFormat="false" ht="11.25" hidden="false" customHeight="false" outlineLevel="0" collapsed="false">
      <c r="A753" s="744" t="s">
        <v>711</v>
      </c>
      <c r="B753" s="745"/>
      <c r="C753" s="745"/>
      <c r="D753" s="745"/>
      <c r="E753" s="746" t="n">
        <v>0</v>
      </c>
      <c r="F753" s="733"/>
      <c r="G753" s="739"/>
      <c r="H753" s="298"/>
      <c r="I753" s="394"/>
      <c r="J753" s="747"/>
      <c r="K753" s="747"/>
      <c r="L753" s="747"/>
      <c r="M753" s="747"/>
      <c r="N753" s="747"/>
      <c r="O753" s="747"/>
      <c r="P753" s="747"/>
      <c r="Q753" s="747"/>
      <c r="R753" s="747"/>
      <c r="S753" s="747"/>
      <c r="T753" s="298"/>
      <c r="U753" s="298"/>
      <c r="V753" s="298"/>
      <c r="W753" s="298"/>
      <c r="X753" s="298"/>
      <c r="Y753" s="298"/>
      <c r="Z753" s="298"/>
      <c r="AA753" s="298"/>
      <c r="AB753" s="298"/>
      <c r="AC753" s="298"/>
      <c r="AD753" s="298"/>
      <c r="AE753" s="298"/>
      <c r="AF753" s="298"/>
    </row>
    <row r="754" customFormat="false" ht="11.25" hidden="false" customHeight="false" outlineLevel="0" collapsed="false">
      <c r="A754" s="748" t="s">
        <v>712</v>
      </c>
      <c r="B754" s="359"/>
      <c r="C754" s="359"/>
      <c r="D754" s="359"/>
      <c r="E754" s="749" t="n">
        <f aca="false">+$N$51-SUM($I$100:$AC$100)</f>
        <v>2730.12484438304</v>
      </c>
      <c r="F754" s="733"/>
      <c r="G754" s="750" t="s">
        <v>713</v>
      </c>
      <c r="H754" s="298"/>
      <c r="I754" s="298"/>
      <c r="J754" s="298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  <c r="AA754" s="298"/>
      <c r="AB754" s="298"/>
      <c r="AC754" s="298"/>
      <c r="AD754" s="298"/>
      <c r="AE754" s="298"/>
      <c r="AF754" s="298"/>
    </row>
    <row r="755" customFormat="false" ht="11.25" hidden="false" customHeight="false" outlineLevel="0" collapsed="false">
      <c r="A755" s="751" t="s">
        <v>714</v>
      </c>
      <c r="B755" s="298"/>
      <c r="C755" s="298"/>
      <c r="D755" s="298"/>
      <c r="E755" s="752" t="n">
        <f aca="false">+E753-(MAX((E753-E754)*0.35,0))</f>
        <v>0</v>
      </c>
      <c r="F755" s="733"/>
      <c r="G755" s="739" t="s">
        <v>501</v>
      </c>
      <c r="H755" s="298"/>
      <c r="I755" s="298"/>
      <c r="J755" s="753" t="n">
        <f aca="false">J451</f>
        <v>56108.999999</v>
      </c>
      <c r="K755" s="753" t="e">
        <f aca="false">K451</f>
        <v>#VALUE!</v>
      </c>
      <c r="L755" s="753" t="e">
        <f aca="false">L451</f>
        <v>#VALUE!</v>
      </c>
      <c r="M755" s="753" t="e">
        <f aca="false">M451</f>
        <v>#VALUE!</v>
      </c>
      <c r="N755" s="753" t="e">
        <f aca="false">N451</f>
        <v>#VALUE!</v>
      </c>
      <c r="O755" s="753" t="e">
        <f aca="false">O451</f>
        <v>#VALUE!</v>
      </c>
      <c r="P755" s="753" t="e">
        <f aca="false">P451</f>
        <v>#VALUE!</v>
      </c>
      <c r="Q755" s="753" t="e">
        <f aca="false">Q451</f>
        <v>#VALUE!</v>
      </c>
      <c r="R755" s="753" t="e">
        <f aca="false">R451</f>
        <v>#VALUE!</v>
      </c>
      <c r="S755" s="753" t="e">
        <f aca="false">S451</f>
        <v>#VALUE!</v>
      </c>
      <c r="T755" s="753" t="e">
        <f aca="false">T451</f>
        <v>#VALUE!</v>
      </c>
      <c r="U755" s="753" t="e">
        <f aca="false">U451</f>
        <v>#VALUE!</v>
      </c>
      <c r="V755" s="753" t="e">
        <f aca="false">V451</f>
        <v>#VALUE!</v>
      </c>
      <c r="W755" s="753" t="e">
        <f aca="false">W451</f>
        <v>#VALUE!</v>
      </c>
      <c r="X755" s="753" t="e">
        <f aca="false">X451</f>
        <v>#VALUE!</v>
      </c>
      <c r="Y755" s="753"/>
      <c r="Z755" s="753"/>
      <c r="AA755" s="753"/>
      <c r="AB755" s="753"/>
      <c r="AC755" s="753"/>
      <c r="AD755" s="298"/>
      <c r="AE755" s="298"/>
      <c r="AF755" s="298"/>
    </row>
    <row r="756" customFormat="false" ht="11.25" hidden="false" customHeight="false" outlineLevel="0" collapsed="false">
      <c r="A756" s="754" t="s">
        <v>715</v>
      </c>
      <c r="B756" s="755"/>
      <c r="C756" s="755"/>
      <c r="D756" s="755"/>
      <c r="E756" s="752" t="e">
        <f aca="false">+AC$577</f>
        <v>#VALUE!</v>
      </c>
      <c r="F756" s="733"/>
      <c r="G756" s="739" t="s">
        <v>716</v>
      </c>
      <c r="H756" s="394"/>
      <c r="I756" s="394"/>
      <c r="J756" s="753" t="n">
        <f aca="false">J452</f>
        <v>0</v>
      </c>
      <c r="K756" s="753" t="n">
        <f aca="false">K452</f>
        <v>0</v>
      </c>
      <c r="L756" s="753" t="n">
        <f aca="false">L452</f>
        <v>0</v>
      </c>
      <c r="M756" s="753" t="n">
        <f aca="false">M452</f>
        <v>0</v>
      </c>
      <c r="N756" s="753" t="n">
        <f aca="false">N452</f>
        <v>0</v>
      </c>
      <c r="O756" s="753" t="n">
        <f aca="false">O452</f>
        <v>0</v>
      </c>
      <c r="P756" s="753" t="n">
        <f aca="false">P452</f>
        <v>0</v>
      </c>
      <c r="Q756" s="753" t="n">
        <f aca="false">Q452</f>
        <v>0</v>
      </c>
      <c r="R756" s="753" t="n">
        <f aca="false">R452</f>
        <v>0</v>
      </c>
      <c r="S756" s="753" t="n">
        <f aca="false">S452</f>
        <v>0</v>
      </c>
      <c r="T756" s="753" t="n">
        <f aca="false">T452</f>
        <v>0</v>
      </c>
      <c r="U756" s="753" t="n">
        <f aca="false">U452</f>
        <v>0</v>
      </c>
      <c r="V756" s="753" t="n">
        <f aca="false">V452</f>
        <v>0</v>
      </c>
      <c r="W756" s="753" t="n">
        <f aca="false">W452</f>
        <v>0</v>
      </c>
      <c r="X756" s="753" t="n">
        <f aca="false">X452</f>
        <v>0</v>
      </c>
      <c r="Y756" s="753"/>
      <c r="Z756" s="753"/>
      <c r="AA756" s="753"/>
      <c r="AB756" s="753"/>
      <c r="AC756" s="753"/>
      <c r="AD756" s="298"/>
      <c r="AE756" s="298"/>
      <c r="AF756" s="298"/>
    </row>
    <row r="757" customFormat="false" ht="11.25" hidden="false" customHeight="false" outlineLevel="0" collapsed="false">
      <c r="A757" s="754" t="s">
        <v>571</v>
      </c>
      <c r="B757" s="755"/>
      <c r="C757" s="755"/>
      <c r="D757" s="755"/>
      <c r="E757" s="752" t="n">
        <f aca="false">+AC$414</f>
        <v>0</v>
      </c>
      <c r="F757" s="733"/>
      <c r="G757" s="736" t="s">
        <v>717</v>
      </c>
      <c r="H757" s="298"/>
      <c r="I757" s="298"/>
      <c r="J757" s="756" t="n">
        <f aca="false">-J373</f>
        <v>-1601.999983</v>
      </c>
      <c r="K757" s="756" t="n">
        <f aca="false">-K373</f>
        <v>-2148.00005</v>
      </c>
      <c r="L757" s="756" t="n">
        <f aca="false">-L373</f>
        <v>-2500.9999025</v>
      </c>
      <c r="M757" s="756" t="n">
        <f aca="false">-M373</f>
        <v>-2102.00001</v>
      </c>
      <c r="N757" s="756" t="n">
        <f aca="false">-N373</f>
        <v>-3172.999998</v>
      </c>
      <c r="O757" s="756" t="n">
        <f aca="false">-O373</f>
        <v>-3259.000004</v>
      </c>
      <c r="P757" s="756" t="n">
        <f aca="false">-P373</f>
        <v>-2143.000026</v>
      </c>
      <c r="Q757" s="756" t="n">
        <f aca="false">-Q373</f>
        <v>-2834.9999915</v>
      </c>
      <c r="R757" s="756" t="n">
        <f aca="false">-R373</f>
        <v>-4242.9999925</v>
      </c>
      <c r="S757" s="756" t="n">
        <f aca="false">-S373</f>
        <v>-4340.999977</v>
      </c>
      <c r="T757" s="756" t="n">
        <f aca="false">-T373</f>
        <v>-3399.999935</v>
      </c>
      <c r="U757" s="756" t="n">
        <f aca="false">-U373</f>
        <v>-3140.000043</v>
      </c>
      <c r="V757" s="756" t="n">
        <f aca="false">-V373</f>
        <v>-4238.999962</v>
      </c>
      <c r="W757" s="756" t="n">
        <f aca="false">-W373</f>
        <v>-4286.000052</v>
      </c>
      <c r="X757" s="756" t="n">
        <f aca="false">-X373</f>
        <v>-3758.9999745</v>
      </c>
      <c r="Y757" s="756"/>
      <c r="Z757" s="756"/>
      <c r="AA757" s="756"/>
      <c r="AB757" s="756"/>
      <c r="AC757" s="756"/>
      <c r="AD757" s="298"/>
      <c r="AE757" s="298"/>
      <c r="AF757" s="298"/>
    </row>
    <row r="758" customFormat="false" ht="11.25" hidden="false" customHeight="false" outlineLevel="0" collapsed="false">
      <c r="A758" s="754" t="s">
        <v>718</v>
      </c>
      <c r="B758" s="755"/>
      <c r="C758" s="755"/>
      <c r="D758" s="755"/>
      <c r="E758" s="752" t="e">
        <f aca="false">-AC$421-AC$422-AC$425</f>
        <v>#VALUE!</v>
      </c>
      <c r="F758" s="733"/>
      <c r="G758" s="736" t="s">
        <v>504</v>
      </c>
      <c r="H758" s="298"/>
      <c r="I758" s="298"/>
      <c r="J758" s="757" t="n">
        <f aca="false">SUM(J755:J757)</f>
        <v>54507.000016</v>
      </c>
      <c r="K758" s="757" t="e">
        <f aca="false">SUM(K755:K757)</f>
        <v>#VALUE!</v>
      </c>
      <c r="L758" s="757" t="e">
        <f aca="false">SUM(L755:L757)</f>
        <v>#VALUE!</v>
      </c>
      <c r="M758" s="757" t="e">
        <f aca="false">SUM(M755:M757)</f>
        <v>#VALUE!</v>
      </c>
      <c r="N758" s="757" t="e">
        <f aca="false">SUM(N755:N757)</f>
        <v>#VALUE!</v>
      </c>
      <c r="O758" s="757" t="e">
        <f aca="false">SUM(O755:O757)</f>
        <v>#VALUE!</v>
      </c>
      <c r="P758" s="757" t="e">
        <f aca="false">SUM(P755:P757)</f>
        <v>#VALUE!</v>
      </c>
      <c r="Q758" s="757" t="e">
        <f aca="false">SUM(Q755:Q757)</f>
        <v>#VALUE!</v>
      </c>
      <c r="R758" s="757" t="e">
        <f aca="false">SUM(R755:R757)</f>
        <v>#VALUE!</v>
      </c>
      <c r="S758" s="757" t="e">
        <f aca="false">SUM(S755:S757)</f>
        <v>#VALUE!</v>
      </c>
      <c r="T758" s="757" t="e">
        <f aca="false">SUM(T755:T757)</f>
        <v>#VALUE!</v>
      </c>
      <c r="U758" s="757" t="e">
        <f aca="false">SUM(U755:U757)</f>
        <v>#VALUE!</v>
      </c>
      <c r="V758" s="757" t="e">
        <f aca="false">SUM(V755:V757)</f>
        <v>#VALUE!</v>
      </c>
      <c r="W758" s="757" t="e">
        <f aca="false">SUM(W755:W757)</f>
        <v>#VALUE!</v>
      </c>
      <c r="X758" s="757" t="e">
        <f aca="false">SUM(X755:X757)</f>
        <v>#VALUE!</v>
      </c>
      <c r="Y758" s="757"/>
      <c r="Z758" s="757"/>
      <c r="AA758" s="757"/>
      <c r="AB758" s="757"/>
      <c r="AC758" s="757"/>
      <c r="AD758" s="298"/>
      <c r="AE758" s="298"/>
      <c r="AF758" s="298"/>
    </row>
    <row r="759" customFormat="false" ht="11.25" hidden="false" customHeight="false" outlineLevel="0" collapsed="false">
      <c r="A759" s="735"/>
      <c r="B759" s="430"/>
      <c r="C759" s="430"/>
      <c r="D759" s="430"/>
      <c r="E759" s="758"/>
      <c r="F759" s="733"/>
      <c r="G759" s="759" t="s">
        <v>719</v>
      </c>
      <c r="J759" s="760" t="n">
        <f aca="false">(J746-TDATE)/365.25</f>
        <v>1.41820670773443</v>
      </c>
      <c r="K759" s="760" t="n">
        <f aca="false">(K746-TDATE)/365.25</f>
        <v>2.41752224503765</v>
      </c>
      <c r="L759" s="760" t="n">
        <f aca="false">(L746-TDATE)/365.25</f>
        <v>3.41683778234086</v>
      </c>
      <c r="M759" s="760" t="n">
        <f aca="false">(M746-TDATE)/365.25</f>
        <v>4.41615331964408</v>
      </c>
      <c r="N759" s="760" t="n">
        <f aca="false">(N746-TDATE)/365.25</f>
        <v>5.41820670773443</v>
      </c>
      <c r="O759" s="760" t="n">
        <f aca="false">(O746-TDATE)/365.25</f>
        <v>6.41752224503765</v>
      </c>
      <c r="P759" s="760" t="n">
        <f aca="false">(P746-TDATE)/365.25</f>
        <v>7.41683778234086</v>
      </c>
      <c r="Q759" s="760" t="n">
        <f aca="false">(Q746-TDATE)/365.25</f>
        <v>8.41615331964408</v>
      </c>
      <c r="R759" s="760" t="n">
        <f aca="false">(R746-TDATE)/365.25</f>
        <v>9.41820670773443</v>
      </c>
      <c r="S759" s="760" t="n">
        <f aca="false">(S746-TDATE)/365.25</f>
        <v>10.4175222450376</v>
      </c>
      <c r="T759" s="760" t="n">
        <f aca="false">(T746-TDATE)/365.25</f>
        <v>11.4168377823409</v>
      </c>
      <c r="U759" s="760" t="n">
        <f aca="false">(U746-TDATE)/365.25</f>
        <v>12.4161533196441</v>
      </c>
      <c r="V759" s="760" t="n">
        <f aca="false">(V746-TDATE)/365.25</f>
        <v>13.4182067077344</v>
      </c>
      <c r="W759" s="760" t="n">
        <f aca="false">(W746-TDATE)/365.25</f>
        <v>14.4175222450376</v>
      </c>
      <c r="X759" s="760" t="n">
        <f aca="false">(X746-TDATE)/365.25</f>
        <v>15.4168377823409</v>
      </c>
      <c r="Y759" s="760"/>
      <c r="Z759" s="760"/>
      <c r="AA759" s="760"/>
      <c r="AB759" s="760"/>
      <c r="AC759" s="760"/>
    </row>
    <row r="760" customFormat="false" ht="12" hidden="false" customHeight="false" outlineLevel="0" collapsed="false">
      <c r="A760" s="761" t="s">
        <v>553</v>
      </c>
      <c r="B760" s="535"/>
      <c r="C760" s="535"/>
      <c r="D760" s="535"/>
      <c r="E760" s="762" t="e">
        <f aca="false">+SUM(E755:E758)</f>
        <v>#VALUE!</v>
      </c>
      <c r="F760" s="733"/>
      <c r="G760" s="759" t="s">
        <v>720</v>
      </c>
      <c r="J760" s="763" t="n">
        <f aca="false">IF(ISERROR(SUMPRODUCT(J757:Y757,J759:Y759)/SUM(J757:Y757)),"NA",SUMPRODUCT(J757:Y757,J759:Y759)/SUM(J757:Y757))</f>
        <v>9.3864213270962</v>
      </c>
    </row>
    <row r="761" customFormat="false" ht="12" hidden="false" customHeight="false" outlineLevel="0" collapsed="false">
      <c r="A761" s="764" t="str">
        <f aca="false">"VALUATION as of "&amp;TEXT(H718,"m/d/y")</f>
        <v>VALUATION as of 8/1/y</v>
      </c>
      <c r="B761" s="430"/>
      <c r="C761" s="430"/>
      <c r="D761" s="430"/>
      <c r="E761" s="430"/>
      <c r="F761" s="733"/>
    </row>
    <row r="762" customFormat="false" ht="11.25" hidden="false" customHeight="false" outlineLevel="0" collapsed="false">
      <c r="A762" s="735" t="s">
        <v>721</v>
      </c>
      <c r="B762" s="430"/>
      <c r="C762" s="430"/>
      <c r="D762" s="430"/>
      <c r="E762" s="430" t="e">
        <f aca="false">XNPV(E750,$H$736:$AF$736,H$718:$AF718)</f>
        <v>#VALUE!</v>
      </c>
      <c r="F762" s="733"/>
    </row>
    <row r="763" customFormat="false" ht="11.25" hidden="false" customHeight="false" outlineLevel="0" collapsed="false">
      <c r="A763" s="765" t="s">
        <v>722</v>
      </c>
      <c r="B763" s="430"/>
      <c r="C763" s="430"/>
      <c r="D763" s="430"/>
      <c r="E763" s="430" t="e">
        <f aca="false">+E760/(1+E750)^((AC718-TDATE)/365)</f>
        <v>#VALUE!</v>
      </c>
      <c r="F763" s="733"/>
    </row>
    <row r="764" customFormat="false" ht="11.25" hidden="false" customHeight="false" outlineLevel="0" collapsed="false">
      <c r="A764" s="735" t="s">
        <v>723</v>
      </c>
      <c r="B764" s="430"/>
      <c r="C764" s="430"/>
      <c r="D764" s="430"/>
      <c r="E764" s="430" t="n">
        <f aca="false">Q$898</f>
        <v>0</v>
      </c>
      <c r="F764" s="733"/>
    </row>
    <row r="765" customFormat="false" ht="11.25" hidden="false" customHeight="false" outlineLevel="0" collapsed="false">
      <c r="A765" s="754" t="s">
        <v>724</v>
      </c>
      <c r="B765" s="755"/>
      <c r="C765" s="755"/>
      <c r="D765" s="755"/>
      <c r="E765" s="766" t="e">
        <f aca="false">SUM(E762:E764)</f>
        <v>#VALUE!</v>
      </c>
      <c r="F765" s="733"/>
    </row>
    <row r="766" customFormat="false" ht="11.25" hidden="false" customHeight="false" outlineLevel="0" collapsed="false">
      <c r="A766" s="754" t="s">
        <v>627</v>
      </c>
      <c r="B766" s="430"/>
      <c r="C766" s="430"/>
      <c r="D766" s="430"/>
      <c r="E766" s="767" t="e">
        <f aca="false">+AF752</f>
        <v>#VALUE!</v>
      </c>
      <c r="F766" s="733"/>
    </row>
    <row r="767" customFormat="false" ht="12" hidden="false" customHeight="false" outlineLevel="0" collapsed="false">
      <c r="A767" s="768" t="s">
        <v>227</v>
      </c>
      <c r="B767" s="769" t="n">
        <f aca="false">Summary!M115</f>
        <v>0.09</v>
      </c>
      <c r="C767" s="770"/>
      <c r="D767" s="770"/>
      <c r="E767" s="771" t="e">
        <f aca="false">XNPV(B767,$H$736:$AF$736,H$718:$AF718)</f>
        <v>#VALUE!</v>
      </c>
      <c r="F767" s="772"/>
      <c r="T767" s="238"/>
      <c r="U767" s="238"/>
      <c r="V767" s="238"/>
      <c r="W767" s="238"/>
      <c r="X767" s="238"/>
      <c r="Y767" s="238"/>
      <c r="Z767" s="238"/>
      <c r="AA767" s="238"/>
      <c r="AB767" s="238"/>
      <c r="AC767" s="238"/>
      <c r="AD767" s="238"/>
      <c r="AE767" s="238"/>
      <c r="AF767" s="238"/>
    </row>
    <row r="768" customFormat="false" ht="12" hidden="false" customHeight="false" outlineLevel="1" collapsed="false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38"/>
      <c r="U768" s="238"/>
      <c r="V768" s="238"/>
      <c r="W768" s="238"/>
      <c r="X768" s="238"/>
      <c r="Y768" s="238"/>
      <c r="Z768" s="238"/>
      <c r="AA768" s="238"/>
      <c r="AB768" s="238"/>
      <c r="AC768" s="238"/>
      <c r="AD768" s="238"/>
      <c r="AE768" s="238"/>
      <c r="AF768" s="238"/>
    </row>
    <row r="769" customFormat="false" ht="12" hidden="false" customHeight="false" outlineLevel="1" collapsed="false">
      <c r="A769" s="773"/>
      <c r="B769" s="773"/>
      <c r="C769" s="773"/>
      <c r="D769" s="773"/>
      <c r="E769" s="773"/>
      <c r="F769" s="773"/>
      <c r="G769" s="773"/>
      <c r="H769" s="773"/>
      <c r="I769" s="773"/>
      <c r="J769" s="773"/>
      <c r="K769" s="773"/>
      <c r="L769" s="773"/>
      <c r="M769" s="773"/>
      <c r="N769" s="773"/>
      <c r="O769" s="773"/>
      <c r="P769" s="773"/>
      <c r="Q769" s="773"/>
      <c r="R769" s="773"/>
      <c r="S769" s="773"/>
      <c r="T769" s="774"/>
      <c r="U769" s="774"/>
      <c r="V769" s="774"/>
      <c r="W769" s="774"/>
      <c r="X769" s="774"/>
      <c r="Y769" s="774"/>
      <c r="Z769" s="774"/>
      <c r="AA769" s="774"/>
      <c r="AB769" s="774"/>
      <c r="AC769" s="774"/>
      <c r="AD769" s="774"/>
      <c r="AE769" s="774"/>
      <c r="AF769" s="774"/>
    </row>
    <row r="770" customFormat="false" ht="11.25" hidden="false" customHeight="false" outlineLevel="1" collapsed="false">
      <c r="A770" s="775" t="s">
        <v>725</v>
      </c>
      <c r="B770" s="776"/>
      <c r="C770" s="776"/>
      <c r="D770" s="776"/>
      <c r="E770" s="776"/>
      <c r="F770" s="776"/>
      <c r="G770" s="776"/>
      <c r="H770" s="776"/>
      <c r="I770" s="776"/>
      <c r="J770" s="776"/>
      <c r="K770" s="776"/>
      <c r="L770" s="776"/>
      <c r="M770" s="776"/>
      <c r="N770" s="776"/>
      <c r="O770" s="776"/>
      <c r="P770" s="776"/>
      <c r="Q770" s="776"/>
      <c r="R770" s="776"/>
      <c r="S770" s="776"/>
      <c r="T770" s="777"/>
      <c r="U770" s="777"/>
      <c r="V770" s="777"/>
      <c r="W770" s="777"/>
      <c r="X770" s="777"/>
      <c r="Y770" s="777"/>
      <c r="Z770" s="777"/>
      <c r="AA770" s="777"/>
      <c r="AB770" s="777"/>
      <c r="AC770" s="777"/>
      <c r="AD770" s="777"/>
      <c r="AE770" s="777"/>
      <c r="AF770" s="777"/>
    </row>
    <row r="771" customFormat="false" ht="11.25" hidden="false" customHeight="false" outlineLevel="1" collapsed="false">
      <c r="A771" s="776"/>
      <c r="B771" s="778" t="str">
        <f aca="false">+CCFMODEL!B296</f>
        <v>Revenues (excluding deferred PP revenue)</v>
      </c>
      <c r="C771" s="778"/>
      <c r="D771" s="778"/>
      <c r="E771" s="778" t="n">
        <f aca="false">+CCFMODEL!E296</f>
        <v>0</v>
      </c>
      <c r="F771" s="778" t="n">
        <f aca="false">+CCFMODEL!F296</f>
        <v>0</v>
      </c>
      <c r="G771" s="778" t="n">
        <f aca="false">+CCFMODEL!G296</f>
        <v>0</v>
      </c>
      <c r="H771" s="778" t="n">
        <f aca="false">+CCFMODEL!H296</f>
        <v>0</v>
      </c>
      <c r="I771" s="778" t="n">
        <f aca="false">+CCFMODEL!I296</f>
        <v>1845.53291765375</v>
      </c>
      <c r="J771" s="778" t="e">
        <f aca="false">+CCFMODEL!J296</f>
        <v>#VALUE!</v>
      </c>
      <c r="K771" s="778" t="e">
        <f aca="false">+CCFMODEL!K296</f>
        <v>#VALUE!</v>
      </c>
      <c r="L771" s="778" t="e">
        <f aca="false">+CCFMODEL!L296</f>
        <v>#VALUE!</v>
      </c>
      <c r="M771" s="778" t="e">
        <f aca="false">+CCFMODEL!M296</f>
        <v>#VALUE!</v>
      </c>
      <c r="N771" s="778" t="e">
        <f aca="false">+CCFMODEL!N296</f>
        <v>#VALUE!</v>
      </c>
      <c r="O771" s="778" t="e">
        <f aca="false">+CCFMODEL!O296</f>
        <v>#VALUE!</v>
      </c>
      <c r="P771" s="778" t="e">
        <f aca="false">+CCFMODEL!P296</f>
        <v>#VALUE!</v>
      </c>
      <c r="Q771" s="778" t="e">
        <f aca="false">+CCFMODEL!Q296</f>
        <v>#VALUE!</v>
      </c>
      <c r="R771" s="778" t="e">
        <f aca="false">+CCFMODEL!R296</f>
        <v>#VALUE!</v>
      </c>
      <c r="S771" s="778" t="e">
        <f aca="false">+CCFMODEL!S296</f>
        <v>#VALUE!</v>
      </c>
      <c r="T771" s="778" t="e">
        <f aca="false">+CCFMODEL!T296</f>
        <v>#VALUE!</v>
      </c>
      <c r="U771" s="778" t="e">
        <f aca="false">+CCFMODEL!U296</f>
        <v>#VALUE!</v>
      </c>
      <c r="V771" s="778" t="e">
        <f aca="false">+CCFMODEL!V296</f>
        <v>#VALUE!</v>
      </c>
      <c r="W771" s="778" t="e">
        <f aca="false">+CCFMODEL!W296</f>
        <v>#VALUE!</v>
      </c>
      <c r="X771" s="778" t="e">
        <f aca="false">+CCFMODEL!X296</f>
        <v>#VALUE!</v>
      </c>
      <c r="Y771" s="778" t="e">
        <f aca="false">+CCFMODEL!Y296</f>
        <v>#VALUE!</v>
      </c>
      <c r="Z771" s="778" t="e">
        <f aca="false">+CCFMODEL!Z296</f>
        <v>#VALUE!</v>
      </c>
      <c r="AA771" s="778" t="e">
        <f aca="false">+CCFMODEL!AA296</f>
        <v>#VALUE!</v>
      </c>
      <c r="AB771" s="778" t="e">
        <f aca="false">+CCFMODEL!AB296</f>
        <v>#VALUE!</v>
      </c>
      <c r="AC771" s="778" t="e">
        <f aca="false">+CCFMODEL!AC296</f>
        <v>#VALUE!</v>
      </c>
      <c r="AD771" s="778" t="e">
        <f aca="false">+CCFMODEL!AD296</f>
        <v>#VALUE!</v>
      </c>
      <c r="AE771" s="778" t="e">
        <f aca="false">+CCFMODEL!AE296</f>
        <v>#VALUE!</v>
      </c>
      <c r="AF771" s="778" t="e">
        <f aca="false">+CCFMODEL!AF296</f>
        <v>#VALUE!</v>
      </c>
    </row>
    <row r="772" customFormat="false" ht="11.25" hidden="false" customHeight="false" outlineLevel="1" collapsed="false">
      <c r="A772" s="776"/>
      <c r="B772" s="778" t="str">
        <f aca="false">+CCFMODEL!B297</f>
        <v>Cost of Sales</v>
      </c>
      <c r="C772" s="778"/>
      <c r="D772" s="778"/>
      <c r="E772" s="778" t="n">
        <f aca="false">+CCFMODEL!E297</f>
        <v>0</v>
      </c>
      <c r="F772" s="778" t="n">
        <f aca="false">+CCFMODEL!F297</f>
        <v>0</v>
      </c>
      <c r="G772" s="778" t="n">
        <f aca="false">+CCFMODEL!G297</f>
        <v>0</v>
      </c>
      <c r="H772" s="778" t="n">
        <f aca="false">+CCFMODEL!H297</f>
        <v>0</v>
      </c>
      <c r="I772" s="778" t="n">
        <f aca="false">+CCFMODEL!I297</f>
        <v>0</v>
      </c>
      <c r="J772" s="778" t="e">
        <f aca="false">+CCFMODEL!J297</f>
        <v>#VALUE!</v>
      </c>
      <c r="K772" s="778" t="e">
        <f aca="false">+CCFMODEL!K297</f>
        <v>#VALUE!</v>
      </c>
      <c r="L772" s="778" t="e">
        <f aca="false">+CCFMODEL!L297</f>
        <v>#VALUE!</v>
      </c>
      <c r="M772" s="778" t="e">
        <f aca="false">+CCFMODEL!M297</f>
        <v>#VALUE!</v>
      </c>
      <c r="N772" s="778" t="e">
        <f aca="false">+CCFMODEL!N297</f>
        <v>#VALUE!</v>
      </c>
      <c r="O772" s="778" t="e">
        <f aca="false">+CCFMODEL!O297</f>
        <v>#VALUE!</v>
      </c>
      <c r="P772" s="778" t="e">
        <f aca="false">+CCFMODEL!P297</f>
        <v>#VALUE!</v>
      </c>
      <c r="Q772" s="778" t="e">
        <f aca="false">+CCFMODEL!Q297</f>
        <v>#VALUE!</v>
      </c>
      <c r="R772" s="778" t="e">
        <f aca="false">+CCFMODEL!R297</f>
        <v>#VALUE!</v>
      </c>
      <c r="S772" s="778" t="e">
        <f aca="false">+CCFMODEL!S297</f>
        <v>#VALUE!</v>
      </c>
      <c r="T772" s="778" t="e">
        <f aca="false">+CCFMODEL!T297</f>
        <v>#VALUE!</v>
      </c>
      <c r="U772" s="778" t="e">
        <f aca="false">+CCFMODEL!U297</f>
        <v>#VALUE!</v>
      </c>
      <c r="V772" s="778" t="e">
        <f aca="false">+CCFMODEL!V297</f>
        <v>#VALUE!</v>
      </c>
      <c r="W772" s="778" t="e">
        <f aca="false">+CCFMODEL!W297</f>
        <v>#VALUE!</v>
      </c>
      <c r="X772" s="778" t="e">
        <f aca="false">+CCFMODEL!X297</f>
        <v>#VALUE!</v>
      </c>
      <c r="Y772" s="778" t="e">
        <f aca="false">+CCFMODEL!Y297</f>
        <v>#VALUE!</v>
      </c>
      <c r="Z772" s="778" t="e">
        <f aca="false">+CCFMODEL!Z297</f>
        <v>#VALUE!</v>
      </c>
      <c r="AA772" s="778" t="e">
        <f aca="false">+CCFMODEL!AA297</f>
        <v>#VALUE!</v>
      </c>
      <c r="AB772" s="778" t="e">
        <f aca="false">+CCFMODEL!AB297</f>
        <v>#VALUE!</v>
      </c>
      <c r="AC772" s="778" t="e">
        <f aca="false">+CCFMODEL!AC297</f>
        <v>#VALUE!</v>
      </c>
      <c r="AD772" s="778" t="e">
        <f aca="false">+CCFMODEL!AD297</f>
        <v>#VALUE!</v>
      </c>
      <c r="AE772" s="778" t="e">
        <f aca="false">+CCFMODEL!AE297</f>
        <v>#VALUE!</v>
      </c>
      <c r="AF772" s="778" t="e">
        <f aca="false">+CCFMODEL!AF297</f>
        <v>#VALUE!</v>
      </c>
    </row>
    <row r="773" customFormat="false" ht="11.25" hidden="false" customHeight="false" outlineLevel="1" collapsed="false">
      <c r="A773" s="776"/>
      <c r="B773" s="778" t="str">
        <f aca="false">+CCFMODEL!B298</f>
        <v>Cash Expenses</v>
      </c>
      <c r="C773" s="778"/>
      <c r="D773" s="778"/>
      <c r="E773" s="778" t="n">
        <f aca="false">+CCFMODEL!E298</f>
        <v>0</v>
      </c>
      <c r="F773" s="778" t="n">
        <f aca="false">+CCFMODEL!F298</f>
        <v>0</v>
      </c>
      <c r="G773" s="778" t="n">
        <f aca="false">+CCFMODEL!G298</f>
        <v>0</v>
      </c>
      <c r="H773" s="778" t="n">
        <f aca="false">+CCFMODEL!H298</f>
        <v>0</v>
      </c>
      <c r="I773" s="778" t="n">
        <f aca="false">+CCFMODEL!I298</f>
        <v>0</v>
      </c>
      <c r="J773" s="778" t="n">
        <f aca="false">+CCFMODEL!J298</f>
        <v>639.952104228251</v>
      </c>
      <c r="K773" s="778" t="n">
        <f aca="false">+CCFMODEL!K298</f>
        <v>622.940626411629</v>
      </c>
      <c r="L773" s="778" t="n">
        <f aca="false">+CCFMODEL!L298</f>
        <v>613.548154662485</v>
      </c>
      <c r="M773" s="778" t="n">
        <f aca="false">+CCFMODEL!M298</f>
        <v>605.404789510104</v>
      </c>
      <c r="N773" s="778" t="n">
        <f aca="false">+CCFMODEL!N298</f>
        <v>591.603938685908</v>
      </c>
      <c r="O773" s="778" t="n">
        <f aca="false">+CCFMODEL!O298</f>
        <v>585.390476604248</v>
      </c>
      <c r="P773" s="778" t="n">
        <f aca="false">+CCFMODEL!P298</f>
        <v>571.710353198629</v>
      </c>
      <c r="Q773" s="778" t="n">
        <f aca="false">+CCFMODEL!Q298</f>
        <v>575.347406787516</v>
      </c>
      <c r="R773" s="778" t="n">
        <f aca="false">+CCFMODEL!R298</f>
        <v>563.233416346919</v>
      </c>
      <c r="S773" s="778" t="n">
        <f aca="false">+CCFMODEL!S298</f>
        <v>547.444890104306</v>
      </c>
      <c r="T773" s="778" t="n">
        <f aca="false">+CCFMODEL!T298</f>
        <v>531.741504026416</v>
      </c>
      <c r="U773" s="778" t="n">
        <f aca="false">+CCFMODEL!U298</f>
        <v>527.089040184827</v>
      </c>
      <c r="V773" s="778" t="n">
        <f aca="false">+CCFMODEL!V298</f>
        <v>511.40212678696</v>
      </c>
      <c r="W773" s="778" t="n">
        <f aca="false">+CCFMODEL!W298</f>
        <v>495.959204269134</v>
      </c>
      <c r="X773" s="778" t="n">
        <f aca="false">+CCFMODEL!X298</f>
        <v>489.527790505318</v>
      </c>
      <c r="Y773" s="778" t="n">
        <f aca="false">+CCFMODEL!Y298</f>
        <v>472.532976719847</v>
      </c>
      <c r="Z773" s="778" t="n">
        <f aca="false">+CCFMODEL!Z298</f>
        <v>478.239682399571</v>
      </c>
      <c r="AA773" s="778" t="n">
        <f aca="false">+CCFMODEL!AA298</f>
        <v>484.409928151003</v>
      </c>
      <c r="AB773" s="778" t="n">
        <f aca="false">+CCFMODEL!AB298</f>
        <v>491.007496752707</v>
      </c>
      <c r="AC773" s="778" t="n">
        <f aca="false">+CCFMODEL!AC298</f>
        <v>498.525508970237</v>
      </c>
      <c r="AD773" s="778" t="n">
        <f aca="false">+CCFMODEL!AD298</f>
        <v>507.242972375214</v>
      </c>
      <c r="AE773" s="778" t="n">
        <f aca="false">+CCFMODEL!AE298</f>
        <v>516.835802190414</v>
      </c>
      <c r="AF773" s="778" t="n">
        <f aca="false">+CCFMODEL!AF298</f>
        <v>527.285435715301</v>
      </c>
    </row>
    <row r="774" customFormat="false" ht="11.25" hidden="false" customHeight="false" outlineLevel="1" collapsed="false">
      <c r="A774" s="779"/>
      <c r="B774" s="778" t="str">
        <f aca="false">+CCFMODEL!B299</f>
        <v>Capital Expenditures - Total</v>
      </c>
      <c r="C774" s="778"/>
      <c r="D774" s="778"/>
      <c r="E774" s="778" t="n">
        <f aca="false">+CCFMODEL!E299</f>
        <v>0</v>
      </c>
      <c r="F774" s="778" t="n">
        <f aca="false">+CCFMODEL!F299</f>
        <v>0</v>
      </c>
      <c r="G774" s="778" t="n">
        <f aca="false">+CCFMODEL!G299</f>
        <v>0</v>
      </c>
      <c r="H774" s="778" t="n">
        <f aca="false">+CCFMODEL!H299</f>
        <v>78714.55552</v>
      </c>
      <c r="I774" s="778" t="n">
        <f aca="false">+CCFMODEL!I299</f>
        <v>0</v>
      </c>
      <c r="J774" s="778" t="n">
        <f aca="false">+CCFMODEL!J299</f>
        <v>0</v>
      </c>
      <c r="K774" s="778" t="n">
        <f aca="false">+CCFMODEL!K299</f>
        <v>0</v>
      </c>
      <c r="L774" s="778" t="n">
        <f aca="false">+CCFMODEL!L299</f>
        <v>0</v>
      </c>
      <c r="M774" s="778" t="n">
        <f aca="false">+CCFMODEL!M299</f>
        <v>1331.9046155778</v>
      </c>
      <c r="N774" s="778" t="n">
        <f aca="false">+CCFMODEL!N299</f>
        <v>0</v>
      </c>
      <c r="O774" s="778" t="n">
        <f aca="false">+CCFMODEL!O299</f>
        <v>0</v>
      </c>
      <c r="P774" s="778" t="n">
        <f aca="false">+CCFMODEL!P299</f>
        <v>0</v>
      </c>
      <c r="Q774" s="778" t="n">
        <f aca="false">+CCFMODEL!Q299</f>
        <v>4611.73981979569</v>
      </c>
      <c r="R774" s="778" t="n">
        <f aca="false">+CCFMODEL!R299</f>
        <v>0</v>
      </c>
      <c r="S774" s="778" t="n">
        <f aca="false">+CCFMODEL!S299</f>
        <v>0</v>
      </c>
      <c r="T774" s="778" t="n">
        <f aca="false">+CCFMODEL!T299</f>
        <v>0</v>
      </c>
      <c r="U774" s="778" t="n">
        <f aca="false">+CCFMODEL!U299</f>
        <v>1870.65531397766</v>
      </c>
      <c r="V774" s="778" t="n">
        <f aca="false">+CCFMODEL!V299</f>
        <v>0</v>
      </c>
      <c r="W774" s="778" t="n">
        <f aca="false">+CCFMODEL!W299</f>
        <v>0</v>
      </c>
      <c r="X774" s="778" t="n">
        <f aca="false">+CCFMODEL!X299</f>
        <v>0</v>
      </c>
      <c r="Y774" s="778" t="n">
        <f aca="false">+CCFMODEL!Y299</f>
        <v>6463.75753668992</v>
      </c>
      <c r="Z774" s="778" t="n">
        <f aca="false">+CCFMODEL!Z299</f>
        <v>0</v>
      </c>
      <c r="AA774" s="778" t="n">
        <f aca="false">+CCFMODEL!AA299</f>
        <v>0</v>
      </c>
      <c r="AB774" s="778" t="n">
        <f aca="false">+CCFMODEL!AB299</f>
        <v>0</v>
      </c>
      <c r="AC774" s="778" t="n">
        <f aca="false">+CCFMODEL!AC299</f>
        <v>0</v>
      </c>
      <c r="AD774" s="778" t="n">
        <f aca="false">+CCFMODEL!AD299</f>
        <v>0</v>
      </c>
      <c r="AE774" s="778" t="n">
        <f aca="false">+CCFMODEL!AE299</f>
        <v>0</v>
      </c>
      <c r="AF774" s="778" t="n">
        <f aca="false">+CCFMODEL!AF299</f>
        <v>0</v>
      </c>
    </row>
    <row r="775" customFormat="false" ht="11.25" hidden="false" customHeight="false" outlineLevel="1" collapsed="false">
      <c r="A775" s="779"/>
      <c r="B775" s="778"/>
      <c r="C775" s="778"/>
      <c r="D775" s="778"/>
      <c r="E775" s="778"/>
      <c r="F775" s="778"/>
      <c r="G775" s="778"/>
      <c r="H775" s="778"/>
      <c r="I775" s="778"/>
      <c r="J775" s="778"/>
      <c r="K775" s="778"/>
      <c r="L775" s="778"/>
      <c r="M775" s="778"/>
      <c r="N775" s="778"/>
      <c r="O775" s="778"/>
      <c r="P775" s="778"/>
      <c r="Q775" s="778"/>
      <c r="R775" s="778"/>
      <c r="S775" s="778"/>
      <c r="T775" s="778"/>
      <c r="U775" s="778"/>
      <c r="V775" s="778"/>
      <c r="W775" s="778"/>
      <c r="X775" s="778"/>
      <c r="Y775" s="778"/>
      <c r="Z775" s="778"/>
      <c r="AA775" s="778"/>
      <c r="AB775" s="778"/>
      <c r="AC775" s="778"/>
      <c r="AD775" s="778"/>
      <c r="AE775" s="778"/>
      <c r="AF775" s="778"/>
    </row>
    <row r="776" customFormat="false" ht="11.25" hidden="false" customHeight="false" outlineLevel="1" collapsed="false">
      <c r="A776" s="779"/>
      <c r="B776" s="778" t="str">
        <f aca="false">+CCFMODEL!B301</f>
        <v>Capital Expenditures - Land</v>
      </c>
      <c r="C776" s="778"/>
      <c r="D776" s="778"/>
      <c r="E776" s="778" t="n">
        <f aca="false">+CCFMODEL!E301</f>
        <v>0</v>
      </c>
      <c r="F776" s="778" t="n">
        <f aca="false">+CCFMODEL!F301</f>
        <v>0</v>
      </c>
      <c r="G776" s="778" t="n">
        <f aca="false">+CCFMODEL!G301</f>
        <v>0</v>
      </c>
      <c r="H776" s="778" t="n">
        <f aca="false">+CCFMODEL!H301</f>
        <v>0</v>
      </c>
      <c r="I776" s="778" t="n">
        <f aca="false">+CCFMODEL!I301</f>
        <v>0</v>
      </c>
      <c r="J776" s="778" t="n">
        <f aca="false">+CCFMODEL!J301</f>
        <v>0</v>
      </c>
      <c r="K776" s="778" t="n">
        <f aca="false">+CCFMODEL!K301</f>
        <v>0</v>
      </c>
      <c r="L776" s="778" t="n">
        <f aca="false">+CCFMODEL!L301</f>
        <v>0</v>
      </c>
      <c r="M776" s="778" t="n">
        <f aca="false">+CCFMODEL!M301</f>
        <v>0</v>
      </c>
      <c r="N776" s="778" t="n">
        <f aca="false">+CCFMODEL!N301</f>
        <v>0</v>
      </c>
      <c r="O776" s="778" t="n">
        <f aca="false">+CCFMODEL!O301</f>
        <v>0</v>
      </c>
      <c r="P776" s="778" t="n">
        <f aca="false">+CCFMODEL!P301</f>
        <v>0</v>
      </c>
      <c r="Q776" s="778" t="n">
        <f aca="false">+CCFMODEL!Q301</f>
        <v>0</v>
      </c>
      <c r="R776" s="778" t="n">
        <f aca="false">+CCFMODEL!R301</f>
        <v>0</v>
      </c>
      <c r="S776" s="778" t="n">
        <f aca="false">+CCFMODEL!S301</f>
        <v>0</v>
      </c>
      <c r="T776" s="778" t="n">
        <f aca="false">+CCFMODEL!T301</f>
        <v>0</v>
      </c>
      <c r="U776" s="778" t="n">
        <f aca="false">+CCFMODEL!U301</f>
        <v>0</v>
      </c>
      <c r="V776" s="778" t="n">
        <f aca="false">+CCFMODEL!V301</f>
        <v>0</v>
      </c>
      <c r="W776" s="778" t="n">
        <f aca="false">+CCFMODEL!W301</f>
        <v>0</v>
      </c>
      <c r="X776" s="778" t="n">
        <f aca="false">+CCFMODEL!X301</f>
        <v>0</v>
      </c>
      <c r="Y776" s="778" t="n">
        <f aca="false">+CCFMODEL!Y301</f>
        <v>0</v>
      </c>
      <c r="Z776" s="778" t="n">
        <f aca="false">+CCFMODEL!Z301</f>
        <v>0</v>
      </c>
      <c r="AA776" s="778" t="n">
        <f aca="false">+CCFMODEL!AA301</f>
        <v>0</v>
      </c>
      <c r="AB776" s="778" t="n">
        <f aca="false">+CCFMODEL!AB301</f>
        <v>0</v>
      </c>
      <c r="AC776" s="778" t="n">
        <f aca="false">+CCFMODEL!AC301</f>
        <v>0</v>
      </c>
      <c r="AD776" s="778" t="n">
        <f aca="false">+CCFMODEL!AD301</f>
        <v>0</v>
      </c>
      <c r="AE776" s="778" t="n">
        <f aca="false">+CCFMODEL!AE301</f>
        <v>0</v>
      </c>
      <c r="AF776" s="778" t="n">
        <f aca="false">+CCFMODEL!AF301</f>
        <v>0</v>
      </c>
    </row>
    <row r="777" customFormat="false" ht="11.25" hidden="false" customHeight="false" outlineLevel="1" collapsed="false">
      <c r="A777" s="776"/>
      <c r="B777" s="778" t="str">
        <f aca="false">+CCFMODEL!B302</f>
        <v>Capitalized Costs</v>
      </c>
      <c r="C777" s="778"/>
      <c r="D777" s="778"/>
      <c r="E777" s="778" t="n">
        <f aca="false">+CCFMODEL!E302</f>
        <v>0</v>
      </c>
      <c r="F777" s="778" t="n">
        <f aca="false">+CCFMODEL!F302</f>
        <v>0</v>
      </c>
      <c r="G777" s="778" t="n">
        <f aca="false">+CCFMODEL!G302</f>
        <v>0</v>
      </c>
      <c r="H777" s="778" t="n">
        <f aca="false">+CCFMODEL!H302</f>
        <v>0</v>
      </c>
      <c r="I777" s="778" t="n">
        <f aca="false">+CCFMODEL!I302</f>
        <v>0</v>
      </c>
      <c r="J777" s="778" t="n">
        <f aca="false">+CCFMODEL!J302</f>
        <v>0</v>
      </c>
      <c r="K777" s="778" t="n">
        <f aca="false">+CCFMODEL!K302</f>
        <v>0</v>
      </c>
      <c r="L777" s="778" t="n">
        <f aca="false">+CCFMODEL!L302</f>
        <v>0</v>
      </c>
      <c r="M777" s="778" t="n">
        <f aca="false">+CCFMODEL!M302</f>
        <v>0</v>
      </c>
      <c r="N777" s="778" t="n">
        <f aca="false">+CCFMODEL!N302</f>
        <v>0</v>
      </c>
      <c r="O777" s="778" t="n">
        <f aca="false">+CCFMODEL!O302</f>
        <v>0</v>
      </c>
      <c r="P777" s="778" t="n">
        <f aca="false">+CCFMODEL!P302</f>
        <v>0</v>
      </c>
      <c r="Q777" s="778" t="n">
        <f aca="false">+CCFMODEL!Q302</f>
        <v>0</v>
      </c>
      <c r="R777" s="778" t="n">
        <f aca="false">+CCFMODEL!R302</f>
        <v>0</v>
      </c>
      <c r="S777" s="778" t="n">
        <f aca="false">+CCFMODEL!S302</f>
        <v>0</v>
      </c>
      <c r="T777" s="778" t="n">
        <f aca="false">+CCFMODEL!T302</f>
        <v>0</v>
      </c>
      <c r="U777" s="778" t="n">
        <f aca="false">+CCFMODEL!U302</f>
        <v>0</v>
      </c>
      <c r="V777" s="778" t="n">
        <f aca="false">+CCFMODEL!V302</f>
        <v>0</v>
      </c>
      <c r="W777" s="778" t="n">
        <f aca="false">+CCFMODEL!W302</f>
        <v>0</v>
      </c>
      <c r="X777" s="778" t="n">
        <f aca="false">+CCFMODEL!X302</f>
        <v>0</v>
      </c>
      <c r="Y777" s="778" t="n">
        <f aca="false">+CCFMODEL!Y302</f>
        <v>0</v>
      </c>
      <c r="Z777" s="778" t="n">
        <f aca="false">+CCFMODEL!Z302</f>
        <v>0</v>
      </c>
      <c r="AA777" s="778" t="n">
        <f aca="false">+CCFMODEL!AA302</f>
        <v>0</v>
      </c>
      <c r="AB777" s="778" t="n">
        <f aca="false">+CCFMODEL!AB302</f>
        <v>0</v>
      </c>
      <c r="AC777" s="778" t="n">
        <f aca="false">+CCFMODEL!AC302</f>
        <v>0</v>
      </c>
      <c r="AD777" s="778" t="n">
        <f aca="false">+CCFMODEL!AD302</f>
        <v>0</v>
      </c>
      <c r="AE777" s="778" t="n">
        <f aca="false">+CCFMODEL!AE302</f>
        <v>0</v>
      </c>
      <c r="AF777" s="778" t="n">
        <f aca="false">+CCFMODEL!AF302</f>
        <v>0</v>
      </c>
    </row>
    <row r="778" customFormat="false" ht="11.25" hidden="false" customHeight="false" outlineLevel="1" collapsed="false">
      <c r="A778" s="776"/>
      <c r="B778" s="778" t="str">
        <f aca="false">+CCFMODEL!B303</f>
        <v>Depreciation Expense - Book</v>
      </c>
      <c r="C778" s="778"/>
      <c r="D778" s="778"/>
      <c r="E778" s="778" t="n">
        <f aca="false">+CCFMODEL!E303</f>
        <v>0</v>
      </c>
      <c r="F778" s="778" t="n">
        <f aca="false">+CCFMODEL!F303</f>
        <v>0</v>
      </c>
      <c r="G778" s="778" t="n">
        <f aca="false">+CCFMODEL!G303</f>
        <v>0</v>
      </c>
      <c r="H778" s="778" t="n">
        <f aca="false">+CCFMODEL!H303</f>
        <v>0</v>
      </c>
      <c r="I778" s="778" t="n">
        <f aca="false">+CCFMODEL!I303</f>
        <v>2186.51543111111</v>
      </c>
      <c r="J778" s="778" t="n">
        <f aca="false">+CCFMODEL!J303</f>
        <v>5247.63703466667</v>
      </c>
      <c r="K778" s="778" t="n">
        <f aca="false">+CCFMODEL!K303</f>
        <v>5247.63703466667</v>
      </c>
      <c r="L778" s="778" t="n">
        <f aca="false">+CCFMODEL!L303</f>
        <v>5247.63703466667</v>
      </c>
      <c r="M778" s="778" t="n">
        <f aca="false">+CCFMODEL!M303</f>
        <v>5317.00706672801</v>
      </c>
      <c r="N778" s="778" t="n">
        <f aca="false">+CCFMODEL!N303</f>
        <v>5414.12511161389</v>
      </c>
      <c r="O778" s="778" t="n">
        <f aca="false">+CCFMODEL!O303</f>
        <v>5414.12511161389</v>
      </c>
      <c r="P778" s="778" t="n">
        <f aca="false">+CCFMODEL!P303</f>
        <v>5414.12511161389</v>
      </c>
      <c r="Q778" s="778" t="n">
        <f aca="false">+CCFMODEL!Q303</f>
        <v>5414.12511161389</v>
      </c>
      <c r="R778" s="778" t="n">
        <f aca="false">+CCFMODEL!R303</f>
        <v>5414.12511161389</v>
      </c>
      <c r="S778" s="778" t="n">
        <f aca="false">+CCFMODEL!S303</f>
        <v>5414.12511161389</v>
      </c>
      <c r="T778" s="778" t="n">
        <f aca="false">+CCFMODEL!T303</f>
        <v>5414.12511161389</v>
      </c>
      <c r="U778" s="778" t="n">
        <f aca="false">+CCFMODEL!U303</f>
        <v>5442.18504382222</v>
      </c>
      <c r="V778" s="778" t="n">
        <f aca="false">+CCFMODEL!V303</f>
        <v>5481.46894891387</v>
      </c>
      <c r="W778" s="778" t="n">
        <f aca="false">+CCFMODEL!W303</f>
        <v>5481.46894891387</v>
      </c>
      <c r="X778" s="778" t="n">
        <f aca="false">+CCFMODEL!X303</f>
        <v>3294.95351780276</v>
      </c>
      <c r="Y778" s="778" t="n">
        <f aca="false">+CCFMODEL!Y303</f>
        <v>570.485952616474</v>
      </c>
      <c r="Z778" s="778" t="n">
        <f aca="false">+CCFMODEL!Z303</f>
        <v>1041.80160633345</v>
      </c>
      <c r="AA778" s="778" t="n">
        <f aca="false">+CCFMODEL!AA303</f>
        <v>1041.80160633345</v>
      </c>
      <c r="AB778" s="778" t="n">
        <f aca="false">+CCFMODEL!AB303</f>
        <v>1041.80160633345</v>
      </c>
      <c r="AC778" s="778" t="n">
        <f aca="false">+CCFMODEL!AC303</f>
        <v>944.371642063778</v>
      </c>
      <c r="AD778" s="778" t="n">
        <f aca="false">+CCFMODEL!AD303</f>
        <v>807.96969208624</v>
      </c>
      <c r="AE778" s="778" t="n">
        <f aca="false">+CCFMODEL!AE303</f>
        <v>807.96969208624</v>
      </c>
      <c r="AF778" s="778" t="n">
        <f aca="false">+CCFMODEL!AF303</f>
        <v>807.96969208624</v>
      </c>
    </row>
    <row r="779" customFormat="false" ht="11.25" hidden="false" customHeight="false" outlineLevel="1" collapsed="false">
      <c r="A779" s="776"/>
      <c r="B779" s="778" t="str">
        <f aca="false">+CCFMODEL!B304</f>
        <v>Depreciation Expense - Tax</v>
      </c>
      <c r="C779" s="778"/>
      <c r="D779" s="778"/>
      <c r="E779" s="778" t="n">
        <f aca="false">+CCFMODEL!E304</f>
        <v>0</v>
      </c>
      <c r="F779" s="778" t="n">
        <f aca="false">+CCFMODEL!F304</f>
        <v>0</v>
      </c>
      <c r="G779" s="778" t="n">
        <f aca="false">+CCFMODEL!G304</f>
        <v>0</v>
      </c>
      <c r="H779" s="778" t="n">
        <f aca="false">+CCFMODEL!H304</f>
        <v>0</v>
      </c>
      <c r="I779" s="778" t="n">
        <f aca="false">+CCFMODEL!I304</f>
        <v>3277.97601069589</v>
      </c>
      <c r="J779" s="778" t="n">
        <f aca="false">+CCFMODEL!J304</f>
        <v>7541.50138776548</v>
      </c>
      <c r="K779" s="778" t="n">
        <f aca="false">+CCFMODEL!K304</f>
        <v>6767.94218050455</v>
      </c>
      <c r="L779" s="778" t="n">
        <f aca="false">+CCFMODEL!L304</f>
        <v>6091.14796245409</v>
      </c>
      <c r="M779" s="778" t="n">
        <f aca="false">+CCFMODEL!M304</f>
        <v>5586.03119783599</v>
      </c>
      <c r="N779" s="778" t="n">
        <f aca="false">+CCFMODEL!N304</f>
        <v>5176.66833686555</v>
      </c>
      <c r="O779" s="778" t="n">
        <f aca="false">+CCFMODEL!O304</f>
        <v>4821.68524896114</v>
      </c>
      <c r="P779" s="778" t="n">
        <f aca="false">+CCFMODEL!P304</f>
        <v>4790.4778215326</v>
      </c>
      <c r="Q779" s="778" t="n">
        <f aca="false">+CCFMODEL!Q304</f>
        <v>5137.86538636625</v>
      </c>
      <c r="R779" s="778" t="n">
        <f aca="false">+CCFMODEL!R304</f>
        <v>5587.63563099592</v>
      </c>
      <c r="S779" s="778" t="n">
        <f aca="false">+CCFMODEL!S304</f>
        <v>5423.19642874056</v>
      </c>
      <c r="T779" s="778" t="n">
        <f aca="false">+CCFMODEL!T304</f>
        <v>5315.14024058541</v>
      </c>
      <c r="U779" s="778" t="n">
        <f aca="false">+CCFMODEL!U304</f>
        <v>5356.92241221546</v>
      </c>
      <c r="V779" s="778" t="n">
        <f aca="false">+CCFMODEL!V304</f>
        <v>5465.92250964061</v>
      </c>
      <c r="W779" s="778" t="n">
        <f aca="false">+CCFMODEL!W304</f>
        <v>5390.45568182014</v>
      </c>
      <c r="X779" s="778" t="n">
        <f aca="false">+CCFMODEL!X304</f>
        <v>3360.07574667055</v>
      </c>
      <c r="Y779" s="778" t="n">
        <f aca="false">+CCFMODEL!Y304</f>
        <v>989.466826239399</v>
      </c>
      <c r="Z779" s="778" t="n">
        <f aca="false">+CCFMODEL!Z304</f>
        <v>1317.37517159917</v>
      </c>
      <c r="AA779" s="778" t="n">
        <f aca="false">+CCFMODEL!AA304</f>
        <v>1104.74630254402</v>
      </c>
      <c r="AB779" s="778" t="n">
        <f aca="false">+CCFMODEL!AB304</f>
        <v>953.296084651023</v>
      </c>
      <c r="AC779" s="778" t="n">
        <f aca="false">+CCFMODEL!AC304</f>
        <v>806.959392974248</v>
      </c>
      <c r="AD779" s="778" t="n">
        <f aca="false">+CCFMODEL!AD304</f>
        <v>693.402114653699</v>
      </c>
      <c r="AE779" s="778" t="n">
        <f aca="false">+CCFMODEL!AE304</f>
        <v>691.50238283273</v>
      </c>
      <c r="AF779" s="778" t="n">
        <f aca="false">+CCFMODEL!AF304</f>
        <v>691.50238283273</v>
      </c>
    </row>
    <row r="780" customFormat="false" ht="11.25" hidden="false" customHeight="false" outlineLevel="1" collapsed="false">
      <c r="A780" s="776"/>
      <c r="B780" s="778" t="str">
        <f aca="false">+CCFMODEL!B305</f>
        <v>Amortization of Intangibles - Book</v>
      </c>
      <c r="C780" s="778"/>
      <c r="D780" s="778"/>
      <c r="E780" s="778" t="n">
        <f aca="false">+CCFMODEL!E305</f>
        <v>0</v>
      </c>
      <c r="F780" s="778" t="n">
        <f aca="false">+CCFMODEL!F305</f>
        <v>0</v>
      </c>
      <c r="G780" s="778" t="n">
        <f aca="false">+CCFMODEL!G305</f>
        <v>0</v>
      </c>
      <c r="H780" s="778" t="n">
        <f aca="false">+CCFMODEL!H305</f>
        <v>0</v>
      </c>
      <c r="I780" s="778" t="n">
        <f aca="false">+CCFMODEL!I305</f>
        <v>0</v>
      </c>
      <c r="J780" s="778" t="n">
        <f aca="false">+CCFMODEL!J305</f>
        <v>0</v>
      </c>
      <c r="K780" s="778" t="n">
        <f aca="false">+CCFMODEL!K305</f>
        <v>0</v>
      </c>
      <c r="L780" s="778" t="n">
        <f aca="false">+CCFMODEL!L305</f>
        <v>0</v>
      </c>
      <c r="M780" s="778" t="n">
        <f aca="false">+CCFMODEL!M305</f>
        <v>0</v>
      </c>
      <c r="N780" s="778" t="n">
        <f aca="false">+CCFMODEL!N305</f>
        <v>0</v>
      </c>
      <c r="O780" s="778" t="n">
        <f aca="false">+CCFMODEL!O305</f>
        <v>0</v>
      </c>
      <c r="P780" s="778" t="n">
        <f aca="false">+CCFMODEL!P305</f>
        <v>0</v>
      </c>
      <c r="Q780" s="778" t="n">
        <f aca="false">+CCFMODEL!Q305</f>
        <v>0</v>
      </c>
      <c r="R780" s="778" t="n">
        <f aca="false">+CCFMODEL!R305</f>
        <v>0</v>
      </c>
      <c r="S780" s="778" t="n">
        <f aca="false">+CCFMODEL!S305</f>
        <v>0</v>
      </c>
      <c r="T780" s="778" t="n">
        <f aca="false">+CCFMODEL!T305</f>
        <v>0</v>
      </c>
      <c r="U780" s="778" t="n">
        <f aca="false">+CCFMODEL!U305</f>
        <v>0</v>
      </c>
      <c r="V780" s="778" t="n">
        <f aca="false">+CCFMODEL!V305</f>
        <v>0</v>
      </c>
      <c r="W780" s="778" t="n">
        <f aca="false">+CCFMODEL!W305</f>
        <v>0</v>
      </c>
      <c r="X780" s="778" t="n">
        <f aca="false">+CCFMODEL!X305</f>
        <v>0</v>
      </c>
      <c r="Y780" s="778" t="n">
        <f aca="false">+CCFMODEL!Y305</f>
        <v>0</v>
      </c>
      <c r="Z780" s="778" t="n">
        <f aca="false">+CCFMODEL!Z305</f>
        <v>0</v>
      </c>
      <c r="AA780" s="778" t="n">
        <f aca="false">+CCFMODEL!AA305</f>
        <v>0</v>
      </c>
      <c r="AB780" s="778" t="n">
        <f aca="false">+CCFMODEL!AB305</f>
        <v>0</v>
      </c>
      <c r="AC780" s="778" t="n">
        <f aca="false">+CCFMODEL!AC305</f>
        <v>0</v>
      </c>
      <c r="AD780" s="778" t="n">
        <f aca="false">+CCFMODEL!AD305</f>
        <v>0</v>
      </c>
      <c r="AE780" s="778" t="n">
        <f aca="false">+CCFMODEL!AE305</f>
        <v>0</v>
      </c>
      <c r="AF780" s="778" t="n">
        <f aca="false">+CCFMODEL!AF305</f>
        <v>0</v>
      </c>
    </row>
    <row r="781" customFormat="false" ht="11.25" hidden="false" customHeight="false" outlineLevel="1" collapsed="false">
      <c r="A781" s="776"/>
      <c r="B781" s="778"/>
      <c r="C781" s="778"/>
      <c r="D781" s="778"/>
      <c r="E781" s="778"/>
      <c r="F781" s="778"/>
      <c r="G781" s="778"/>
      <c r="H781" s="778"/>
      <c r="I781" s="778"/>
      <c r="J781" s="778"/>
      <c r="K781" s="778"/>
      <c r="L781" s="778"/>
      <c r="M781" s="778"/>
      <c r="N781" s="778"/>
      <c r="O781" s="778"/>
      <c r="P781" s="778"/>
      <c r="Q781" s="778"/>
      <c r="R781" s="778"/>
      <c r="S781" s="778"/>
      <c r="T781" s="778"/>
      <c r="U781" s="778"/>
      <c r="V781" s="778"/>
      <c r="W781" s="778"/>
      <c r="X781" s="778"/>
      <c r="Y781" s="778"/>
      <c r="Z781" s="778"/>
      <c r="AA781" s="778"/>
      <c r="AB781" s="778"/>
      <c r="AC781" s="778"/>
      <c r="AD781" s="778"/>
      <c r="AE781" s="778"/>
      <c r="AF781" s="778"/>
    </row>
    <row r="782" customFormat="false" ht="12" hidden="false" customHeight="false" outlineLevel="1" collapsed="false">
      <c r="A782" s="780"/>
      <c r="B782" s="781"/>
      <c r="C782" s="781"/>
      <c r="D782" s="781"/>
      <c r="E782" s="781"/>
      <c r="F782" s="781"/>
      <c r="G782" s="781"/>
      <c r="H782" s="781"/>
      <c r="I782" s="781"/>
      <c r="J782" s="781"/>
      <c r="K782" s="781"/>
      <c r="L782" s="781"/>
      <c r="M782" s="781"/>
      <c r="N782" s="781"/>
      <c r="O782" s="781"/>
      <c r="P782" s="781"/>
      <c r="Q782" s="781"/>
      <c r="R782" s="781"/>
      <c r="S782" s="781"/>
      <c r="T782" s="781"/>
      <c r="U782" s="781"/>
      <c r="V782" s="781"/>
      <c r="W782" s="781"/>
      <c r="X782" s="781"/>
      <c r="Y782" s="781"/>
      <c r="Z782" s="781"/>
      <c r="AA782" s="781"/>
      <c r="AB782" s="781"/>
      <c r="AC782" s="781"/>
      <c r="AD782" s="781"/>
      <c r="AE782" s="781"/>
      <c r="AF782" s="781"/>
    </row>
    <row r="783" customFormat="false" ht="12" hidden="false" customHeight="false" outlineLevel="1" collapsed="false">
      <c r="A783" s="777"/>
      <c r="B783" s="776"/>
      <c r="C783" s="776"/>
      <c r="D783" s="776"/>
      <c r="E783" s="776"/>
      <c r="F783" s="776"/>
      <c r="G783" s="776"/>
      <c r="H783" s="776"/>
      <c r="I783" s="776"/>
      <c r="J783" s="776"/>
      <c r="K783" s="776"/>
      <c r="L783" s="776"/>
      <c r="M783" s="776"/>
      <c r="N783" s="776"/>
      <c r="O783" s="776"/>
      <c r="P783" s="776"/>
      <c r="Q783" s="776"/>
      <c r="R783" s="776"/>
      <c r="S783" s="776"/>
      <c r="T783" s="776"/>
      <c r="U783" s="776"/>
      <c r="V783" s="776"/>
      <c r="W783" s="776"/>
      <c r="X783" s="776"/>
      <c r="Y783" s="776"/>
      <c r="Z783" s="776"/>
      <c r="AA783" s="776"/>
      <c r="AB783" s="776"/>
      <c r="AC783" s="776"/>
      <c r="AD783" s="776"/>
      <c r="AE783" s="776"/>
      <c r="AF783" s="776"/>
    </row>
    <row r="784" customFormat="false" ht="11.25" hidden="false" customHeight="false" outlineLevel="1" collapsed="false">
      <c r="A784" s="782" t="s">
        <v>726</v>
      </c>
      <c r="B784" s="776"/>
      <c r="C784" s="776"/>
      <c r="D784" s="776"/>
      <c r="E784" s="776"/>
      <c r="F784" s="776"/>
      <c r="G784" s="776"/>
      <c r="H784" s="776"/>
      <c r="I784" s="776"/>
      <c r="J784" s="776"/>
      <c r="K784" s="776"/>
      <c r="L784" s="776"/>
      <c r="M784" s="776"/>
      <c r="N784" s="776"/>
      <c r="O784" s="776"/>
      <c r="P784" s="776"/>
      <c r="Q784" s="776"/>
      <c r="R784" s="776"/>
      <c r="S784" s="776"/>
      <c r="T784" s="776"/>
      <c r="U784" s="776"/>
      <c r="V784" s="776"/>
      <c r="W784" s="776"/>
      <c r="X784" s="776"/>
      <c r="Y784" s="776"/>
      <c r="Z784" s="776"/>
      <c r="AA784" s="776"/>
      <c r="AB784" s="776"/>
      <c r="AC784" s="776"/>
      <c r="AD784" s="776"/>
      <c r="AE784" s="776"/>
      <c r="AF784" s="776"/>
    </row>
    <row r="785" customFormat="false" ht="11.25" hidden="false" customHeight="false" outlineLevel="1" collapsed="false">
      <c r="A785" s="776"/>
      <c r="B785" s="776"/>
      <c r="C785" s="776"/>
      <c r="D785" s="776"/>
      <c r="E785" s="776" t="s">
        <v>727</v>
      </c>
      <c r="F785" s="776"/>
      <c r="G785" s="776"/>
      <c r="H785" s="783" t="n">
        <f aca="false">+C472</f>
        <v>0.333333333333333</v>
      </c>
      <c r="I785" s="776"/>
      <c r="J785" s="776"/>
      <c r="K785" s="776"/>
      <c r="L785" s="776"/>
      <c r="M785" s="776"/>
      <c r="N785" s="776"/>
      <c r="O785" s="776"/>
      <c r="P785" s="776"/>
      <c r="Q785" s="776"/>
      <c r="R785" s="776"/>
      <c r="S785" s="776"/>
      <c r="T785" s="776"/>
      <c r="U785" s="776"/>
      <c r="V785" s="776"/>
      <c r="W785" s="776"/>
      <c r="X785" s="776"/>
      <c r="Y785" s="776"/>
      <c r="Z785" s="776"/>
      <c r="AA785" s="776"/>
      <c r="AB785" s="776"/>
      <c r="AC785" s="776"/>
      <c r="AD785" s="776"/>
      <c r="AE785" s="776"/>
      <c r="AF785" s="776"/>
    </row>
    <row r="786" customFormat="false" ht="11.25" hidden="false" customHeight="false" outlineLevel="1" collapsed="false">
      <c r="A786" s="776"/>
      <c r="B786" s="776"/>
      <c r="C786" s="776"/>
      <c r="D786" s="776"/>
      <c r="E786" s="784" t="s">
        <v>728</v>
      </c>
      <c r="F786" s="776"/>
      <c r="G786" s="785"/>
      <c r="H786" s="786" t="n">
        <f aca="false">IF(F313="Millions",1000000,IF(F313="Thousands",1000,1))</f>
        <v>1000</v>
      </c>
      <c r="I786" s="776"/>
      <c r="J786" s="787"/>
      <c r="K786" s="787"/>
      <c r="L786" s="787"/>
      <c r="M786" s="787"/>
      <c r="N786" s="787"/>
      <c r="O786" s="787"/>
      <c r="P786" s="787"/>
      <c r="Q786" s="787"/>
      <c r="R786" s="787"/>
      <c r="S786" s="787"/>
      <c r="T786" s="787"/>
      <c r="U786" s="787"/>
      <c r="V786" s="787"/>
      <c r="W786" s="787"/>
      <c r="X786" s="787"/>
      <c r="Y786" s="787"/>
      <c r="Z786" s="787"/>
      <c r="AA786" s="787"/>
      <c r="AB786" s="787"/>
      <c r="AC786" s="787"/>
      <c r="AD786" s="787"/>
      <c r="AE786" s="787"/>
      <c r="AF786" s="787"/>
    </row>
    <row r="787" customFormat="false" ht="11.25" hidden="false" customHeight="false" outlineLevel="1" collapsed="false">
      <c r="A787" s="776"/>
      <c r="B787" s="776"/>
      <c r="C787" s="776"/>
      <c r="D787" s="776"/>
      <c r="E787" s="784"/>
      <c r="F787" s="776"/>
      <c r="G787" s="785"/>
      <c r="H787" s="786"/>
      <c r="I787" s="778"/>
      <c r="J787" s="778"/>
      <c r="K787" s="778"/>
      <c r="L787" s="778"/>
      <c r="M787" s="778"/>
      <c r="N787" s="778"/>
      <c r="O787" s="778"/>
      <c r="P787" s="778"/>
      <c r="Q787" s="778"/>
      <c r="R787" s="778"/>
      <c r="S787" s="778"/>
      <c r="T787" s="778"/>
      <c r="U787" s="778"/>
      <c r="V787" s="778"/>
      <c r="W787" s="778"/>
      <c r="X787" s="778"/>
      <c r="Y787" s="778"/>
      <c r="Z787" s="778"/>
      <c r="AA787" s="778"/>
      <c r="AB787" s="778"/>
      <c r="AC787" s="778"/>
      <c r="AD787" s="778"/>
      <c r="AE787" s="778"/>
      <c r="AF787" s="778"/>
    </row>
    <row r="788" customFormat="false" ht="11.25" hidden="false" customHeight="false" outlineLevel="1" collapsed="false">
      <c r="A788" s="776"/>
      <c r="B788" s="776"/>
      <c r="C788" s="776"/>
      <c r="D788" s="776"/>
      <c r="E788" s="784"/>
      <c r="F788" s="776"/>
      <c r="G788" s="785"/>
      <c r="H788" s="786"/>
      <c r="I788" s="778"/>
      <c r="J788" s="778"/>
      <c r="K788" s="778"/>
      <c r="L788" s="778"/>
      <c r="M788" s="778"/>
      <c r="N788" s="778"/>
      <c r="O788" s="778"/>
      <c r="P788" s="778"/>
      <c r="Q788" s="778"/>
      <c r="R788" s="778"/>
      <c r="S788" s="778"/>
      <c r="T788" s="778"/>
      <c r="U788" s="778"/>
      <c r="V788" s="778"/>
      <c r="W788" s="778"/>
      <c r="X788" s="778"/>
      <c r="Y788" s="778"/>
      <c r="Z788" s="778"/>
      <c r="AA788" s="778"/>
      <c r="AB788" s="778"/>
      <c r="AC788" s="778"/>
      <c r="AD788" s="778"/>
      <c r="AE788" s="778"/>
      <c r="AF788" s="778"/>
    </row>
    <row r="789" customFormat="false" ht="11.25" hidden="false" customHeight="false" outlineLevel="1" collapsed="false">
      <c r="A789" s="776"/>
      <c r="B789" s="776"/>
      <c r="C789" s="776"/>
      <c r="D789" s="776"/>
      <c r="E789" s="784"/>
      <c r="F789" s="776"/>
      <c r="G789" s="785"/>
      <c r="H789" s="786"/>
      <c r="I789" s="778"/>
      <c r="J789" s="778"/>
      <c r="K789" s="778"/>
      <c r="L789" s="778"/>
      <c r="M789" s="778"/>
      <c r="N789" s="778"/>
      <c r="O789" s="778"/>
      <c r="P789" s="778"/>
      <c r="Q789" s="778"/>
      <c r="R789" s="778"/>
      <c r="S789" s="778"/>
      <c r="T789" s="778"/>
      <c r="U789" s="778"/>
      <c r="V789" s="778"/>
      <c r="W789" s="778"/>
      <c r="X789" s="778"/>
      <c r="Y789" s="778"/>
      <c r="Z789" s="778"/>
      <c r="AA789" s="778"/>
      <c r="AB789" s="778"/>
      <c r="AC789" s="778"/>
      <c r="AD789" s="778"/>
      <c r="AE789" s="778"/>
      <c r="AF789" s="778"/>
    </row>
    <row r="790" customFormat="false" ht="12" hidden="false" customHeight="false" outlineLevel="1" collapsed="false">
      <c r="A790" s="780"/>
      <c r="B790" s="780"/>
      <c r="C790" s="780"/>
      <c r="D790" s="780"/>
      <c r="E790" s="780"/>
      <c r="F790" s="780"/>
      <c r="G790" s="780"/>
      <c r="H790" s="780"/>
      <c r="I790" s="780"/>
      <c r="J790" s="780"/>
      <c r="K790" s="780"/>
      <c r="L790" s="780"/>
      <c r="M790" s="780"/>
      <c r="N790" s="780"/>
      <c r="O790" s="780"/>
      <c r="P790" s="780"/>
      <c r="Q790" s="780"/>
      <c r="R790" s="780"/>
      <c r="S790" s="780"/>
      <c r="T790" s="780"/>
      <c r="U790" s="780"/>
      <c r="V790" s="780"/>
      <c r="W790" s="780"/>
      <c r="X790" s="780"/>
      <c r="Y790" s="780"/>
      <c r="Z790" s="780"/>
      <c r="AA790" s="780"/>
      <c r="AB790" s="780"/>
      <c r="AC790" s="780"/>
      <c r="AD790" s="780"/>
      <c r="AE790" s="780"/>
      <c r="AF790" s="780"/>
    </row>
    <row r="791" customFormat="false" ht="12" hidden="false" customHeight="false" outlineLevel="1" collapsed="false">
      <c r="A791" s="610"/>
      <c r="B791" s="610"/>
      <c r="C791" s="610"/>
      <c r="D791" s="610"/>
      <c r="E791" s="610"/>
      <c r="F791" s="610"/>
      <c r="G791" s="610"/>
      <c r="H791" s="610"/>
      <c r="I791" s="610"/>
      <c r="J791" s="610"/>
      <c r="K791" s="610"/>
      <c r="L791" s="610"/>
      <c r="M791" s="610"/>
      <c r="N791" s="610"/>
      <c r="O791" s="610"/>
      <c r="P791" s="610"/>
      <c r="Q791" s="610"/>
      <c r="R791" s="610"/>
      <c r="S791" s="610"/>
      <c r="T791" s="610"/>
      <c r="U791" s="610"/>
      <c r="V791" s="610"/>
      <c r="W791" s="610"/>
      <c r="X791" s="610"/>
      <c r="Y791" s="610"/>
      <c r="Z791" s="610"/>
      <c r="AA791" s="610"/>
      <c r="AB791" s="610"/>
      <c r="AC791" s="610"/>
      <c r="AD791" s="610"/>
      <c r="AE791" s="610"/>
      <c r="AF791" s="610"/>
    </row>
    <row r="792" customFormat="false" ht="12" hidden="false" customHeight="false" outlineLevel="1" collapsed="false">
      <c r="A792" s="238"/>
      <c r="B792" s="238"/>
      <c r="C792" s="238"/>
      <c r="D792" s="238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238"/>
      <c r="W792" s="238"/>
      <c r="X792" s="238"/>
      <c r="Y792" s="238"/>
      <c r="Z792" s="238"/>
      <c r="AA792" s="238"/>
      <c r="AB792" s="238"/>
      <c r="AC792" s="238"/>
      <c r="AD792" s="238"/>
      <c r="AE792" s="238"/>
      <c r="AF792" s="238"/>
    </row>
    <row r="793" customFormat="false" ht="14.25" hidden="false" customHeight="false" outlineLevel="0" collapsed="false">
      <c r="A793" s="788" t="s">
        <v>729</v>
      </c>
      <c r="B793" s="238"/>
      <c r="C793" s="238"/>
      <c r="D793" s="238"/>
      <c r="E793" s="546" t="n">
        <f aca="false">E$638</f>
        <v>35430</v>
      </c>
      <c r="F793" s="546" t="n">
        <f aca="false">F$638</f>
        <v>35795</v>
      </c>
      <c r="G793" s="546" t="n">
        <f aca="false">G$638</f>
        <v>36160</v>
      </c>
      <c r="H793" s="564" t="n">
        <f aca="false">H$638</f>
        <v>36373</v>
      </c>
      <c r="I793" s="505" t="n">
        <f aca="false">I$638</f>
        <v>36525</v>
      </c>
      <c r="J793" s="506" t="n">
        <f aca="false">J$638</f>
        <v>36891</v>
      </c>
      <c r="K793" s="506" t="n">
        <f aca="false">K$638</f>
        <v>37256</v>
      </c>
      <c r="L793" s="506" t="n">
        <f aca="false">L$638</f>
        <v>37621</v>
      </c>
      <c r="M793" s="506" t="n">
        <f aca="false">M$638</f>
        <v>37986</v>
      </c>
      <c r="N793" s="506" t="n">
        <f aca="false">N$638</f>
        <v>38352</v>
      </c>
      <c r="O793" s="506" t="n">
        <f aca="false">O$638</f>
        <v>38717</v>
      </c>
      <c r="P793" s="506" t="n">
        <f aca="false">P$638</f>
        <v>39082</v>
      </c>
      <c r="Q793" s="506" t="n">
        <f aca="false">Q$638</f>
        <v>39447</v>
      </c>
      <c r="R793" s="506" t="n">
        <f aca="false">R$638</f>
        <v>39813</v>
      </c>
      <c r="S793" s="506" t="n">
        <f aca="false">S$638</f>
        <v>40178</v>
      </c>
      <c r="T793" s="506" t="n">
        <f aca="false">T$638</f>
        <v>40543</v>
      </c>
      <c r="U793" s="506" t="n">
        <f aca="false">U$638</f>
        <v>40908</v>
      </c>
      <c r="V793" s="506" t="n">
        <f aca="false">V$638</f>
        <v>41274</v>
      </c>
      <c r="W793" s="506" t="n">
        <f aca="false">W$638</f>
        <v>41639</v>
      </c>
      <c r="X793" s="506" t="n">
        <f aca="false">X$638</f>
        <v>42004</v>
      </c>
      <c r="Y793" s="506" t="n">
        <f aca="false">Y$638</f>
        <v>42369</v>
      </c>
      <c r="Z793" s="506" t="n">
        <f aca="false">Z$638</f>
        <v>42735</v>
      </c>
      <c r="AA793" s="506" t="n">
        <f aca="false">AA$638</f>
        <v>43100</v>
      </c>
      <c r="AB793" s="506" t="n">
        <f aca="false">AB$638</f>
        <v>43465</v>
      </c>
      <c r="AC793" s="506" t="n">
        <f aca="false">AC$638</f>
        <v>43830</v>
      </c>
      <c r="AD793" s="506" t="n">
        <f aca="false">AD$638</f>
        <v>44196</v>
      </c>
      <c r="AE793" s="506" t="n">
        <f aca="false">AE$638</f>
        <v>44561</v>
      </c>
      <c r="AF793" s="506" t="n">
        <f aca="false">AF$638</f>
        <v>44926</v>
      </c>
    </row>
    <row r="794" customFormat="false" ht="12" hidden="false" customHeight="false" outlineLevel="0" collapsed="false">
      <c r="A794" s="789" t="s">
        <v>730</v>
      </c>
      <c r="B794" s="238"/>
      <c r="C794" s="238"/>
      <c r="D794" s="238"/>
      <c r="E794" s="238"/>
      <c r="F794" s="238"/>
      <c r="G794" s="238"/>
      <c r="H794" s="238"/>
      <c r="I794" s="238"/>
      <c r="J794" s="502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  <c r="U794" s="238"/>
      <c r="V794" s="238"/>
      <c r="W794" s="238"/>
      <c r="X794" s="238"/>
      <c r="Y794" s="238"/>
      <c r="Z794" s="238"/>
      <c r="AA794" s="238"/>
      <c r="AB794" s="238"/>
      <c r="AC794" s="238"/>
      <c r="AD794" s="238"/>
      <c r="AE794" s="238"/>
      <c r="AF794" s="238"/>
    </row>
    <row r="795" customFormat="false" ht="11.25" hidden="false" customHeight="false" outlineLevel="0" collapsed="false">
      <c r="A795" s="450"/>
      <c r="B795" s="450" t="s">
        <v>453</v>
      </c>
      <c r="C795" s="241"/>
      <c r="D795" s="238"/>
      <c r="E795" s="238"/>
      <c r="F795" s="238"/>
      <c r="G795" s="238"/>
      <c r="H795" s="238"/>
      <c r="I795" s="238" t="n">
        <f aca="false">I361</f>
        <v>-1847.14506211111</v>
      </c>
      <c r="J795" s="502" t="e">
        <f aca="false">J361</f>
        <v>#VALUE!</v>
      </c>
      <c r="K795" s="238" t="e">
        <f aca="false">K361</f>
        <v>#VALUE!</v>
      </c>
      <c r="L795" s="238" t="e">
        <f aca="false">L361</f>
        <v>#VALUE!</v>
      </c>
      <c r="M795" s="238" t="e">
        <f aca="false">M361</f>
        <v>#VALUE!</v>
      </c>
      <c r="N795" s="238" t="e">
        <f aca="false">N361</f>
        <v>#VALUE!</v>
      </c>
      <c r="O795" s="238" t="e">
        <f aca="false">O361</f>
        <v>#VALUE!</v>
      </c>
      <c r="P795" s="238" t="e">
        <f aca="false">P361</f>
        <v>#VALUE!</v>
      </c>
      <c r="Q795" s="238" t="e">
        <f aca="false">Q361</f>
        <v>#VALUE!</v>
      </c>
      <c r="R795" s="238" t="e">
        <f aca="false">R361</f>
        <v>#VALUE!</v>
      </c>
      <c r="S795" s="238" t="e">
        <f aca="false">S361</f>
        <v>#VALUE!</v>
      </c>
      <c r="T795" s="238" t="e">
        <f aca="false">T361</f>
        <v>#VALUE!</v>
      </c>
      <c r="U795" s="238" t="e">
        <f aca="false">U361</f>
        <v>#VALUE!</v>
      </c>
      <c r="V795" s="238" t="e">
        <f aca="false">V361</f>
        <v>#VALUE!</v>
      </c>
      <c r="W795" s="238" t="e">
        <f aca="false">W361</f>
        <v>#VALUE!</v>
      </c>
      <c r="X795" s="238" t="e">
        <f aca="false">X361</f>
        <v>#VALUE!</v>
      </c>
      <c r="Y795" s="238" t="e">
        <f aca="false">Y361</f>
        <v>#VALUE!</v>
      </c>
      <c r="Z795" s="238" t="e">
        <f aca="false">Z361</f>
        <v>#VALUE!</v>
      </c>
      <c r="AA795" s="238" t="e">
        <f aca="false">AA361</f>
        <v>#VALUE!</v>
      </c>
      <c r="AB795" s="238" t="e">
        <f aca="false">AB361</f>
        <v>#VALUE!</v>
      </c>
      <c r="AC795" s="238" t="e">
        <f aca="false">AC361</f>
        <v>#VALUE!</v>
      </c>
      <c r="AD795" s="238" t="e">
        <f aca="false">AD361</f>
        <v>#VALUE!</v>
      </c>
      <c r="AE795" s="238" t="e">
        <f aca="false">AE361</f>
        <v>#VALUE!</v>
      </c>
      <c r="AF795" s="238" t="e">
        <f aca="false">AF361</f>
        <v>#VALUE!</v>
      </c>
    </row>
    <row r="796" customFormat="false" ht="11.25" hidden="false" customHeight="false" outlineLevel="0" collapsed="false">
      <c r="A796" s="450"/>
      <c r="B796" s="450"/>
      <c r="C796" s="241"/>
      <c r="D796" s="238"/>
      <c r="E796" s="238"/>
      <c r="F796" s="238"/>
      <c r="G796" s="238"/>
      <c r="H796" s="238"/>
      <c r="I796" s="238"/>
      <c r="J796" s="502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</row>
    <row r="797" customFormat="false" ht="11.25" hidden="false" customHeight="false" outlineLevel="0" collapsed="false">
      <c r="A797" s="473" t="s">
        <v>665</v>
      </c>
      <c r="B797" s="238" t="str">
        <f aca="false">A362</f>
        <v>Depreciation &amp; Amortization</v>
      </c>
      <c r="C797" s="241"/>
      <c r="D797" s="238"/>
      <c r="E797" s="238"/>
      <c r="F797" s="238"/>
      <c r="G797" s="238"/>
      <c r="H797" s="238"/>
      <c r="I797" s="238" t="n">
        <f aca="false">I362</f>
        <v>2238.14506311111</v>
      </c>
      <c r="J797" s="502" t="n">
        <f aca="false">J362</f>
        <v>5299.26666666667</v>
      </c>
      <c r="K797" s="238" t="n">
        <f aca="false">K362</f>
        <v>5299.26666666667</v>
      </c>
      <c r="L797" s="238" t="n">
        <f aca="false">L362</f>
        <v>5299.26666666667</v>
      </c>
      <c r="M797" s="238" t="n">
        <f aca="false">M362</f>
        <v>5368.63669872801</v>
      </c>
      <c r="N797" s="238" t="n">
        <f aca="false">N362</f>
        <v>5465.75474361389</v>
      </c>
      <c r="O797" s="238" t="n">
        <f aca="false">O362</f>
        <v>5465.75474361389</v>
      </c>
      <c r="P797" s="238" t="n">
        <f aca="false">P362</f>
        <v>5465.75474361389</v>
      </c>
      <c r="Q797" s="238" t="n">
        <f aca="false">Q362</f>
        <v>5465.75474361389</v>
      </c>
      <c r="R797" s="238" t="n">
        <f aca="false">R362</f>
        <v>5465.75474361389</v>
      </c>
      <c r="S797" s="238" t="n">
        <f aca="false">S362</f>
        <v>5465.75474361389</v>
      </c>
      <c r="T797" s="238" t="n">
        <f aca="false">T362</f>
        <v>5465.75474361389</v>
      </c>
      <c r="U797" s="238" t="n">
        <f aca="false">U362</f>
        <v>5493.81467582222</v>
      </c>
      <c r="V797" s="238" t="n">
        <f aca="false">V362</f>
        <v>5533.09858091387</v>
      </c>
      <c r="W797" s="238" t="n">
        <f aca="false">W362</f>
        <v>5533.09858091387</v>
      </c>
      <c r="X797" s="238" t="n">
        <f aca="false">X362</f>
        <v>3294.95351780276</v>
      </c>
      <c r="Y797" s="238" t="n">
        <f aca="false">Y362</f>
        <v>570.485952616474</v>
      </c>
      <c r="Z797" s="238" t="n">
        <f aca="false">Z362</f>
        <v>1041.80160633345</v>
      </c>
      <c r="AA797" s="238" t="n">
        <f aca="false">AA362</f>
        <v>1041.80160633345</v>
      </c>
      <c r="AB797" s="238" t="n">
        <f aca="false">AB362</f>
        <v>1041.80160633345</v>
      </c>
      <c r="AC797" s="238" t="n">
        <f aca="false">AC362</f>
        <v>944.371642063778</v>
      </c>
      <c r="AD797" s="238" t="n">
        <f aca="false">AD362</f>
        <v>807.96969208624</v>
      </c>
      <c r="AE797" s="238" t="n">
        <f aca="false">AE362</f>
        <v>807.96969208624</v>
      </c>
      <c r="AF797" s="238" t="n">
        <f aca="false">AF362</f>
        <v>807.96969208624</v>
      </c>
    </row>
    <row r="798" customFormat="false" ht="11.25" hidden="false" customHeight="false" outlineLevel="0" collapsed="false">
      <c r="A798" s="450"/>
      <c r="B798" s="238" t="str">
        <f aca="false">A363</f>
        <v>Deferred Income Taxes</v>
      </c>
      <c r="C798" s="241"/>
      <c r="D798" s="238"/>
      <c r="E798" s="238"/>
      <c r="F798" s="238"/>
      <c r="G798" s="238"/>
      <c r="H798" s="238"/>
      <c r="I798" s="238" t="n">
        <f aca="false">I363</f>
        <v>0</v>
      </c>
      <c r="J798" s="502" t="e">
        <f aca="false">J363</f>
        <v>#VALUE!</v>
      </c>
      <c r="K798" s="238" t="e">
        <f aca="false">K363</f>
        <v>#VALUE!</v>
      </c>
      <c r="L798" s="238" t="e">
        <f aca="false">L363</f>
        <v>#VALUE!</v>
      </c>
      <c r="M798" s="238" t="e">
        <f aca="false">M363</f>
        <v>#VALUE!</v>
      </c>
      <c r="N798" s="238" t="e">
        <f aca="false">N363</f>
        <v>#VALUE!</v>
      </c>
      <c r="O798" s="238" t="e">
        <f aca="false">O363</f>
        <v>#VALUE!</v>
      </c>
      <c r="P798" s="238" t="e">
        <f aca="false">P363</f>
        <v>#VALUE!</v>
      </c>
      <c r="Q798" s="238" t="e">
        <f aca="false">Q363</f>
        <v>#VALUE!</v>
      </c>
      <c r="R798" s="238" t="e">
        <f aca="false">R363</f>
        <v>#VALUE!</v>
      </c>
      <c r="S798" s="238" t="e">
        <f aca="false">S363</f>
        <v>#VALUE!</v>
      </c>
      <c r="T798" s="238" t="e">
        <f aca="false">T363</f>
        <v>#VALUE!</v>
      </c>
      <c r="U798" s="238" t="e">
        <f aca="false">U363</f>
        <v>#VALUE!</v>
      </c>
      <c r="V798" s="238" t="e">
        <f aca="false">V363</f>
        <v>#VALUE!</v>
      </c>
      <c r="W798" s="238" t="e">
        <f aca="false">W363</f>
        <v>#VALUE!</v>
      </c>
      <c r="X798" s="238" t="e">
        <f aca="false">X363</f>
        <v>#VALUE!</v>
      </c>
      <c r="Y798" s="238" t="e">
        <f aca="false">Y363</f>
        <v>#VALUE!</v>
      </c>
      <c r="Z798" s="238" t="e">
        <f aca="false">Z363</f>
        <v>#VALUE!</v>
      </c>
      <c r="AA798" s="238" t="e">
        <f aca="false">AA363</f>
        <v>#VALUE!</v>
      </c>
      <c r="AB798" s="238" t="e">
        <f aca="false">AB363</f>
        <v>#VALUE!</v>
      </c>
      <c r="AC798" s="238" t="e">
        <f aca="false">AC363</f>
        <v>#VALUE!</v>
      </c>
      <c r="AD798" s="238" t="e">
        <f aca="false">AD363</f>
        <v>#VALUE!</v>
      </c>
      <c r="AE798" s="238" t="e">
        <f aca="false">AE363</f>
        <v>#VALUE!</v>
      </c>
      <c r="AF798" s="238" t="e">
        <f aca="false">AF363</f>
        <v>#VALUE!</v>
      </c>
    </row>
    <row r="799" customFormat="false" ht="11.25" hidden="false" customHeight="false" outlineLevel="0" collapsed="false">
      <c r="A799" s="450"/>
      <c r="B799" s="238" t="str">
        <f aca="false">A364</f>
        <v>Non-Cash Interest and Dividends</v>
      </c>
      <c r="C799" s="241"/>
      <c r="D799" s="238"/>
      <c r="E799" s="238"/>
      <c r="F799" s="238"/>
      <c r="G799" s="238"/>
      <c r="H799" s="238"/>
      <c r="I799" s="238" t="n">
        <f aca="false">I364</f>
        <v>-0</v>
      </c>
      <c r="J799" s="502" t="n">
        <f aca="false">J364</f>
        <v>-0</v>
      </c>
      <c r="K799" s="238" t="n">
        <f aca="false">K364</f>
        <v>-0</v>
      </c>
      <c r="L799" s="238" t="n">
        <f aca="false">L364</f>
        <v>-0</v>
      </c>
      <c r="M799" s="238" t="n">
        <f aca="false">M364</f>
        <v>-0</v>
      </c>
      <c r="N799" s="238" t="n">
        <f aca="false">N364</f>
        <v>-0</v>
      </c>
      <c r="O799" s="238" t="n">
        <f aca="false">O364</f>
        <v>-0</v>
      </c>
      <c r="P799" s="238" t="n">
        <f aca="false">P364</f>
        <v>-0</v>
      </c>
      <c r="Q799" s="238" t="n">
        <f aca="false">Q364</f>
        <v>-0</v>
      </c>
      <c r="R799" s="238" t="n">
        <f aca="false">R364</f>
        <v>-0</v>
      </c>
      <c r="S799" s="238" t="n">
        <f aca="false">S364</f>
        <v>-0</v>
      </c>
      <c r="T799" s="238" t="n">
        <f aca="false">T364</f>
        <v>-0</v>
      </c>
      <c r="U799" s="238" t="n">
        <f aca="false">U364</f>
        <v>-0</v>
      </c>
      <c r="V799" s="238" t="n">
        <f aca="false">V364</f>
        <v>-0</v>
      </c>
      <c r="W799" s="238" t="n">
        <f aca="false">W364</f>
        <v>-0</v>
      </c>
      <c r="X799" s="238" t="n">
        <f aca="false">X364</f>
        <v>-0</v>
      </c>
      <c r="Y799" s="238" t="n">
        <f aca="false">Y364</f>
        <v>-0</v>
      </c>
      <c r="Z799" s="238" t="n">
        <f aca="false">Z364</f>
        <v>-0</v>
      </c>
      <c r="AA799" s="238" t="n">
        <f aca="false">AA364</f>
        <v>-0</v>
      </c>
      <c r="AB799" s="238" t="n">
        <f aca="false">AB364</f>
        <v>-0</v>
      </c>
      <c r="AC799" s="238" t="n">
        <f aca="false">AC364</f>
        <v>-0</v>
      </c>
      <c r="AD799" s="238" t="n">
        <f aca="false">AD364</f>
        <v>-0</v>
      </c>
      <c r="AE799" s="238" t="n">
        <f aca="false">AE364</f>
        <v>-0</v>
      </c>
      <c r="AF799" s="238" t="n">
        <f aca="false">AF364</f>
        <v>-0</v>
      </c>
    </row>
    <row r="800" customFormat="false" ht="11.25" hidden="false" customHeight="false" outlineLevel="0" collapsed="false">
      <c r="A800" s="450"/>
      <c r="B800" s="450" t="s">
        <v>731</v>
      </c>
      <c r="C800" s="241"/>
      <c r="D800" s="238"/>
      <c r="E800" s="238"/>
      <c r="F800" s="238"/>
      <c r="G800" s="238"/>
      <c r="H800" s="238"/>
      <c r="I800" s="238" t="n">
        <f aca="false">-I654</f>
        <v>-0</v>
      </c>
      <c r="J800" s="502" t="n">
        <f aca="false">-J654</f>
        <v>-0</v>
      </c>
      <c r="K800" s="238" t="n">
        <f aca="false">-K654</f>
        <v>-0</v>
      </c>
      <c r="L800" s="238" t="n">
        <f aca="false">-L654</f>
        <v>-0</v>
      </c>
      <c r="M800" s="238" t="n">
        <f aca="false">-M654</f>
        <v>-0</v>
      </c>
      <c r="N800" s="238" t="n">
        <f aca="false">-N654</f>
        <v>-0</v>
      </c>
      <c r="O800" s="238" t="n">
        <f aca="false">-O654</f>
        <v>-0</v>
      </c>
      <c r="P800" s="238" t="n">
        <f aca="false">-P654</f>
        <v>-0</v>
      </c>
      <c r="Q800" s="238" t="n">
        <f aca="false">-Q654</f>
        <v>-0</v>
      </c>
      <c r="R800" s="238" t="n">
        <f aca="false">-R654</f>
        <v>-0</v>
      </c>
      <c r="S800" s="238" t="n">
        <f aca="false">-S654</f>
        <v>-0</v>
      </c>
      <c r="T800" s="238" t="n">
        <f aca="false">-T654</f>
        <v>-0</v>
      </c>
      <c r="U800" s="238" t="n">
        <f aca="false">-U654</f>
        <v>-0</v>
      </c>
      <c r="V800" s="238" t="n">
        <f aca="false">-V654</f>
        <v>-0</v>
      </c>
      <c r="W800" s="238" t="n">
        <f aca="false">-W654</f>
        <v>-0</v>
      </c>
      <c r="X800" s="238" t="n">
        <f aca="false">-X654</f>
        <v>-0</v>
      </c>
      <c r="Y800" s="238" t="n">
        <f aca="false">-Y654</f>
        <v>-0</v>
      </c>
      <c r="Z800" s="238" t="n">
        <f aca="false">-Z654</f>
        <v>-0</v>
      </c>
      <c r="AA800" s="238" t="n">
        <f aca="false">-AA654</f>
        <v>-0</v>
      </c>
      <c r="AB800" s="238" t="n">
        <f aca="false">-AB654</f>
        <v>-0</v>
      </c>
      <c r="AC800" s="238" t="n">
        <f aca="false">-AC654</f>
        <v>-0</v>
      </c>
      <c r="AD800" s="238" t="n">
        <f aca="false">-AD654</f>
        <v>-0</v>
      </c>
      <c r="AE800" s="238" t="n">
        <f aca="false">-AE654</f>
        <v>-0</v>
      </c>
      <c r="AF800" s="238" t="n">
        <f aca="false">-AF654</f>
        <v>-0</v>
      </c>
    </row>
    <row r="801" customFormat="false" ht="11.25" hidden="false" customHeight="false" outlineLevel="0" collapsed="false">
      <c r="A801" s="450"/>
      <c r="B801" s="238"/>
      <c r="C801" s="238"/>
      <c r="D801" s="238"/>
      <c r="E801" s="238"/>
      <c r="F801" s="238"/>
      <c r="G801" s="238"/>
      <c r="H801" s="238"/>
      <c r="I801" s="238"/>
      <c r="J801" s="502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238"/>
      <c r="W801" s="238"/>
      <c r="X801" s="238"/>
      <c r="Y801" s="238"/>
      <c r="Z801" s="238"/>
      <c r="AA801" s="238"/>
      <c r="AB801" s="238"/>
      <c r="AC801" s="238"/>
      <c r="AD801" s="238"/>
      <c r="AE801" s="238"/>
      <c r="AF801" s="238"/>
    </row>
    <row r="802" customFormat="false" ht="11.25" hidden="false" customHeight="false" outlineLevel="0" collapsed="false">
      <c r="A802" s="473" t="s">
        <v>732</v>
      </c>
      <c r="B802" s="238" t="str">
        <f aca="false">A571</f>
        <v>Accounts Receivable</v>
      </c>
      <c r="C802" s="238"/>
      <c r="D802" s="238"/>
      <c r="E802" s="238"/>
      <c r="F802" s="238"/>
      <c r="G802" s="238"/>
      <c r="H802" s="238"/>
      <c r="I802" s="238" t="n">
        <f aca="false">-I571+H571</f>
        <v>-579.624725865137</v>
      </c>
      <c r="J802" s="502" t="e">
        <f aca="false">-J571+I571</f>
        <v>#VALUE!</v>
      </c>
      <c r="K802" s="238" t="e">
        <f aca="false">-K571+J571</f>
        <v>#VALUE!</v>
      </c>
      <c r="L802" s="238" t="e">
        <f aca="false">-L571+K571</f>
        <v>#VALUE!</v>
      </c>
      <c r="M802" s="238" t="e">
        <f aca="false">-M571+L571</f>
        <v>#VALUE!</v>
      </c>
      <c r="N802" s="238" t="e">
        <f aca="false">-N571+M571</f>
        <v>#VALUE!</v>
      </c>
      <c r="O802" s="238" t="e">
        <f aca="false">-O571+N571</f>
        <v>#VALUE!</v>
      </c>
      <c r="P802" s="238" t="e">
        <f aca="false">-P571+O571</f>
        <v>#VALUE!</v>
      </c>
      <c r="Q802" s="238" t="e">
        <f aca="false">-Q571+P571</f>
        <v>#VALUE!</v>
      </c>
      <c r="R802" s="238" t="e">
        <f aca="false">-R571+Q571</f>
        <v>#VALUE!</v>
      </c>
      <c r="S802" s="238" t="e">
        <f aca="false">-S571+R571</f>
        <v>#VALUE!</v>
      </c>
      <c r="T802" s="238" t="e">
        <f aca="false">-T571+S571</f>
        <v>#VALUE!</v>
      </c>
      <c r="U802" s="238" t="e">
        <f aca="false">-U571+T571</f>
        <v>#VALUE!</v>
      </c>
      <c r="V802" s="238" t="e">
        <f aca="false">-V571+U571</f>
        <v>#VALUE!</v>
      </c>
      <c r="W802" s="238" t="e">
        <f aca="false">-W571+V571</f>
        <v>#VALUE!</v>
      </c>
      <c r="X802" s="238" t="e">
        <f aca="false">-X571+W571</f>
        <v>#VALUE!</v>
      </c>
      <c r="Y802" s="238" t="e">
        <f aca="false">-Y571+X571</f>
        <v>#VALUE!</v>
      </c>
      <c r="Z802" s="238" t="e">
        <f aca="false">-Z571+Y571</f>
        <v>#VALUE!</v>
      </c>
      <c r="AA802" s="238" t="e">
        <f aca="false">-AA571+Z571</f>
        <v>#VALUE!</v>
      </c>
      <c r="AB802" s="238" t="e">
        <f aca="false">-AB571+AA571</f>
        <v>#VALUE!</v>
      </c>
      <c r="AC802" s="238" t="e">
        <f aca="false">-AC571+AB571</f>
        <v>#VALUE!</v>
      </c>
      <c r="AD802" s="238" t="e">
        <f aca="false">-AD571+AC571</f>
        <v>#VALUE!</v>
      </c>
      <c r="AE802" s="238" t="e">
        <f aca="false">-AE571+AD571</f>
        <v>#VALUE!</v>
      </c>
      <c r="AF802" s="238" t="e">
        <f aca="false">-AF571+AE571</f>
        <v>#VALUE!</v>
      </c>
    </row>
    <row r="803" customFormat="false" ht="11.25" hidden="false" customHeight="false" outlineLevel="0" collapsed="false">
      <c r="A803" s="473" t="s">
        <v>733</v>
      </c>
      <c r="B803" s="238" t="str">
        <f aca="false">A572</f>
        <v>Inventories</v>
      </c>
      <c r="C803" s="238"/>
      <c r="D803" s="238"/>
      <c r="E803" s="238"/>
      <c r="F803" s="238"/>
      <c r="G803" s="238"/>
      <c r="H803" s="238"/>
      <c r="I803" s="238" t="n">
        <f aca="false">-I572+H572</f>
        <v>-163</v>
      </c>
      <c r="J803" s="502" t="n">
        <f aca="false">-J572+I572</f>
        <v>163</v>
      </c>
      <c r="K803" s="238" t="n">
        <f aca="false">-K572+J572</f>
        <v>0</v>
      </c>
      <c r="L803" s="238" t="n">
        <f aca="false">-L572+K572</f>
        <v>0</v>
      </c>
      <c r="M803" s="238" t="n">
        <f aca="false">-M572+L572</f>
        <v>0</v>
      </c>
      <c r="N803" s="238" t="n">
        <f aca="false">-N572+M572</f>
        <v>0</v>
      </c>
      <c r="O803" s="238" t="n">
        <f aca="false">-O572+N572</f>
        <v>0</v>
      </c>
      <c r="P803" s="238" t="n">
        <f aca="false">-P572+O572</f>
        <v>0</v>
      </c>
      <c r="Q803" s="238" t="n">
        <f aca="false">-Q572+P572</f>
        <v>0</v>
      </c>
      <c r="R803" s="238" t="n">
        <f aca="false">-R572+Q572</f>
        <v>0</v>
      </c>
      <c r="S803" s="238" t="n">
        <f aca="false">-S572+R572</f>
        <v>0</v>
      </c>
      <c r="T803" s="238" t="n">
        <f aca="false">-T572+S572</f>
        <v>0</v>
      </c>
      <c r="U803" s="238" t="n">
        <f aca="false">-U572+T572</f>
        <v>0</v>
      </c>
      <c r="V803" s="238" t="n">
        <f aca="false">-V572+U572</f>
        <v>0</v>
      </c>
      <c r="W803" s="238" t="n">
        <f aca="false">-W572+V572</f>
        <v>0</v>
      </c>
      <c r="X803" s="238" t="n">
        <f aca="false">-X572+W572</f>
        <v>0</v>
      </c>
      <c r="Y803" s="238" t="n">
        <f aca="false">-Y572+X572</f>
        <v>0</v>
      </c>
      <c r="Z803" s="238" t="n">
        <f aca="false">-Z572+Y572</f>
        <v>0</v>
      </c>
      <c r="AA803" s="238" t="n">
        <f aca="false">-AA572+Z572</f>
        <v>0</v>
      </c>
      <c r="AB803" s="238" t="n">
        <f aca="false">-AB572+AA572</f>
        <v>0</v>
      </c>
      <c r="AC803" s="238" t="n">
        <f aca="false">-AC572+AB572</f>
        <v>0</v>
      </c>
      <c r="AD803" s="238" t="n">
        <f aca="false">-AD572+AC572</f>
        <v>0</v>
      </c>
      <c r="AE803" s="238" t="n">
        <f aca="false">-AE572+AD572</f>
        <v>0</v>
      </c>
      <c r="AF803" s="238" t="n">
        <f aca="false">-AF572+AE572</f>
        <v>0</v>
      </c>
    </row>
    <row r="804" customFormat="false" ht="11.25" hidden="false" customHeight="false" outlineLevel="0" collapsed="false">
      <c r="A804" s="473" t="s">
        <v>734</v>
      </c>
      <c r="B804" s="238" t="str">
        <f aca="false">A573</f>
        <v>Other Current Assets</v>
      </c>
      <c r="C804" s="238"/>
      <c r="D804" s="238"/>
      <c r="E804" s="238"/>
      <c r="F804" s="238"/>
      <c r="G804" s="238"/>
      <c r="H804" s="238"/>
      <c r="I804" s="238" t="n">
        <f aca="false">-I573+H573</f>
        <v>0</v>
      </c>
      <c r="J804" s="502" t="n">
        <f aca="false">-J573+I573</f>
        <v>0</v>
      </c>
      <c r="K804" s="238" t="n">
        <f aca="false">-K573+J573</f>
        <v>0</v>
      </c>
      <c r="L804" s="238" t="n">
        <f aca="false">-L573+K573</f>
        <v>0</v>
      </c>
      <c r="M804" s="238" t="n">
        <f aca="false">-M573+L573</f>
        <v>0</v>
      </c>
      <c r="N804" s="238" t="n">
        <f aca="false">-N573+M573</f>
        <v>0</v>
      </c>
      <c r="O804" s="238" t="n">
        <f aca="false">-O573+N573</f>
        <v>0</v>
      </c>
      <c r="P804" s="238" t="n">
        <f aca="false">-P573+O573</f>
        <v>0</v>
      </c>
      <c r="Q804" s="238" t="n">
        <f aca="false">-Q573+P573</f>
        <v>0</v>
      </c>
      <c r="R804" s="238" t="n">
        <f aca="false">-R573+Q573</f>
        <v>0</v>
      </c>
      <c r="S804" s="238" t="n">
        <f aca="false">-S573+R573</f>
        <v>0</v>
      </c>
      <c r="T804" s="238" t="n">
        <f aca="false">-T573+S573</f>
        <v>0</v>
      </c>
      <c r="U804" s="238" t="n">
        <f aca="false">-U573+T573</f>
        <v>0</v>
      </c>
      <c r="V804" s="238" t="n">
        <f aca="false">-V573+U573</f>
        <v>0</v>
      </c>
      <c r="W804" s="238" t="n">
        <f aca="false">-W573+V573</f>
        <v>0</v>
      </c>
      <c r="X804" s="238" t="n">
        <f aca="false">-X573+W573</f>
        <v>0</v>
      </c>
      <c r="Y804" s="238" t="n">
        <f aca="false">-Y573+X573</f>
        <v>0</v>
      </c>
      <c r="Z804" s="238" t="n">
        <f aca="false">-Z573+Y573</f>
        <v>0</v>
      </c>
      <c r="AA804" s="238" t="n">
        <f aca="false">-AA573+Z573</f>
        <v>0</v>
      </c>
      <c r="AB804" s="238" t="n">
        <f aca="false">-AB573+AA573</f>
        <v>0</v>
      </c>
      <c r="AC804" s="238" t="n">
        <f aca="false">-AC573+AB573</f>
        <v>0</v>
      </c>
      <c r="AD804" s="238" t="n">
        <f aca="false">-AD573+AC573</f>
        <v>0</v>
      </c>
      <c r="AE804" s="238" t="n">
        <f aca="false">-AE573+AD573</f>
        <v>0</v>
      </c>
      <c r="AF804" s="238" t="n">
        <f aca="false">-AF573+AE573</f>
        <v>0</v>
      </c>
    </row>
    <row r="805" customFormat="false" ht="11.25" hidden="false" customHeight="false" outlineLevel="0" collapsed="false">
      <c r="A805" s="450"/>
      <c r="B805" s="238" t="str">
        <f aca="false">A574</f>
        <v>Accounts Payable</v>
      </c>
      <c r="C805" s="238"/>
      <c r="D805" s="238"/>
      <c r="E805" s="238"/>
      <c r="F805" s="238"/>
      <c r="G805" s="238"/>
      <c r="H805" s="238"/>
      <c r="I805" s="238" t="n">
        <f aca="false">I574-H574</f>
        <v>1541.62472586514</v>
      </c>
      <c r="J805" s="502" t="e">
        <f aca="false">J574-I574</f>
        <v>#VALUE!</v>
      </c>
      <c r="K805" s="238" t="e">
        <f aca="false">K574-J574</f>
        <v>#VALUE!</v>
      </c>
      <c r="L805" s="238" t="e">
        <f aca="false">L574-K574</f>
        <v>#VALUE!</v>
      </c>
      <c r="M805" s="238" t="e">
        <f aca="false">M574-L574</f>
        <v>#VALUE!</v>
      </c>
      <c r="N805" s="238" t="e">
        <f aca="false">N574-M574</f>
        <v>#VALUE!</v>
      </c>
      <c r="O805" s="238" t="e">
        <f aca="false">O574-N574</f>
        <v>#VALUE!</v>
      </c>
      <c r="P805" s="238" t="e">
        <f aca="false">P574-O574</f>
        <v>#VALUE!</v>
      </c>
      <c r="Q805" s="238" t="e">
        <f aca="false">Q574-P574</f>
        <v>#VALUE!</v>
      </c>
      <c r="R805" s="238" t="e">
        <f aca="false">R574-Q574</f>
        <v>#VALUE!</v>
      </c>
      <c r="S805" s="238" t="e">
        <f aca="false">S574-R574</f>
        <v>#VALUE!</v>
      </c>
      <c r="T805" s="238" t="e">
        <f aca="false">T574-S574</f>
        <v>#VALUE!</v>
      </c>
      <c r="U805" s="238" t="e">
        <f aca="false">U574-T574</f>
        <v>#VALUE!</v>
      </c>
      <c r="V805" s="238" t="e">
        <f aca="false">V574-U574</f>
        <v>#VALUE!</v>
      </c>
      <c r="W805" s="238" t="e">
        <f aca="false">W574-V574</f>
        <v>#VALUE!</v>
      </c>
      <c r="X805" s="238" t="e">
        <f aca="false">X574-W574</f>
        <v>#VALUE!</v>
      </c>
      <c r="Y805" s="238" t="e">
        <f aca="false">Y574-X574</f>
        <v>#VALUE!</v>
      </c>
      <c r="Z805" s="238" t="e">
        <f aca="false">Z574-Y574</f>
        <v>#VALUE!</v>
      </c>
      <c r="AA805" s="238" t="e">
        <f aca="false">AA574-Z574</f>
        <v>#VALUE!</v>
      </c>
      <c r="AB805" s="238" t="e">
        <f aca="false">AB574-AA574</f>
        <v>#VALUE!</v>
      </c>
      <c r="AC805" s="238" t="e">
        <f aca="false">AC574-AB574</f>
        <v>#VALUE!</v>
      </c>
      <c r="AD805" s="238" t="e">
        <f aca="false">AD574-AC574</f>
        <v>#VALUE!</v>
      </c>
      <c r="AE805" s="238" t="e">
        <f aca="false">AE574-AD574</f>
        <v>#VALUE!</v>
      </c>
      <c r="AF805" s="238" t="e">
        <f aca="false">AF574-AE574</f>
        <v>#VALUE!</v>
      </c>
    </row>
    <row r="806" customFormat="false" ht="11.25" hidden="false" customHeight="false" outlineLevel="0" collapsed="false">
      <c r="A806" s="450"/>
      <c r="B806" s="238" t="str">
        <f aca="false">A575</f>
        <v>Accrued Expenses</v>
      </c>
      <c r="C806" s="238"/>
      <c r="D806" s="238"/>
      <c r="E806" s="238"/>
      <c r="F806" s="238"/>
      <c r="G806" s="238"/>
      <c r="H806" s="238"/>
      <c r="I806" s="238" t="n">
        <f aca="false">I575-H575</f>
        <v>0</v>
      </c>
      <c r="J806" s="502" t="n">
        <f aca="false">J575-I575</f>
        <v>0</v>
      </c>
      <c r="K806" s="238" t="n">
        <f aca="false">K575-J575</f>
        <v>0</v>
      </c>
      <c r="L806" s="238" t="n">
        <f aca="false">L575-K575</f>
        <v>0</v>
      </c>
      <c r="M806" s="238" t="n">
        <f aca="false">M575-L575</f>
        <v>0</v>
      </c>
      <c r="N806" s="238" t="n">
        <f aca="false">N575-M575</f>
        <v>0</v>
      </c>
      <c r="O806" s="238" t="n">
        <f aca="false">O575-N575</f>
        <v>0</v>
      </c>
      <c r="P806" s="238" t="n">
        <f aca="false">P575-O575</f>
        <v>0</v>
      </c>
      <c r="Q806" s="238" t="n">
        <f aca="false">Q575-P575</f>
        <v>0</v>
      </c>
      <c r="R806" s="238" t="n">
        <f aca="false">R575-Q575</f>
        <v>0</v>
      </c>
      <c r="S806" s="238" t="n">
        <f aca="false">S575-R575</f>
        <v>0</v>
      </c>
      <c r="T806" s="238" t="n">
        <f aca="false">T575-S575</f>
        <v>0</v>
      </c>
      <c r="U806" s="238" t="n">
        <f aca="false">U575-T575</f>
        <v>0</v>
      </c>
      <c r="V806" s="238" t="n">
        <f aca="false">V575-U575</f>
        <v>0</v>
      </c>
      <c r="W806" s="238" t="n">
        <f aca="false">W575-V575</f>
        <v>0</v>
      </c>
      <c r="X806" s="238" t="n">
        <f aca="false">X575-W575</f>
        <v>0</v>
      </c>
      <c r="Y806" s="238" t="n">
        <f aca="false">Y575-X575</f>
        <v>0</v>
      </c>
      <c r="Z806" s="238" t="n">
        <f aca="false">Z575-Y575</f>
        <v>0</v>
      </c>
      <c r="AA806" s="238" t="n">
        <f aca="false">AA575-Z575</f>
        <v>0</v>
      </c>
      <c r="AB806" s="238" t="n">
        <f aca="false">AB575-AA575</f>
        <v>0</v>
      </c>
      <c r="AC806" s="238" t="n">
        <f aca="false">AC575-AB575</f>
        <v>0</v>
      </c>
      <c r="AD806" s="238" t="n">
        <f aca="false">AD575-AC575</f>
        <v>0</v>
      </c>
      <c r="AE806" s="238" t="n">
        <f aca="false">AE575-AD575</f>
        <v>0</v>
      </c>
      <c r="AF806" s="238" t="n">
        <f aca="false">AF575-AE575</f>
        <v>0</v>
      </c>
    </row>
    <row r="807" customFormat="false" ht="11.25" hidden="false" customHeight="false" outlineLevel="0" collapsed="false">
      <c r="A807" s="450"/>
      <c r="B807" s="238" t="str">
        <f aca="false">A576</f>
        <v>Other Payables</v>
      </c>
      <c r="C807" s="238"/>
      <c r="D807" s="238"/>
      <c r="E807" s="238"/>
      <c r="F807" s="238"/>
      <c r="G807" s="238"/>
      <c r="H807" s="238"/>
      <c r="I807" s="238" t="n">
        <f aca="false">I576-H576</f>
        <v>0</v>
      </c>
      <c r="J807" s="502" t="n">
        <f aca="false">J576-I576</f>
        <v>0</v>
      </c>
      <c r="K807" s="238" t="n">
        <f aca="false">K576-J576</f>
        <v>0</v>
      </c>
      <c r="L807" s="238" t="n">
        <f aca="false">L576-K576</f>
        <v>0</v>
      </c>
      <c r="M807" s="238" t="n">
        <f aca="false">M576-L576</f>
        <v>0</v>
      </c>
      <c r="N807" s="238" t="n">
        <f aca="false">N576-M576</f>
        <v>0</v>
      </c>
      <c r="O807" s="238" t="n">
        <f aca="false">O576-N576</f>
        <v>0</v>
      </c>
      <c r="P807" s="238" t="n">
        <f aca="false">P576-O576</f>
        <v>0</v>
      </c>
      <c r="Q807" s="238" t="n">
        <f aca="false">Q576-P576</f>
        <v>0</v>
      </c>
      <c r="R807" s="238" t="n">
        <f aca="false">R576-Q576</f>
        <v>0</v>
      </c>
      <c r="S807" s="238" t="n">
        <f aca="false">S576-R576</f>
        <v>0</v>
      </c>
      <c r="T807" s="238" t="n">
        <f aca="false">T576-S576</f>
        <v>0</v>
      </c>
      <c r="U807" s="238" t="n">
        <f aca="false">U576-T576</f>
        <v>0</v>
      </c>
      <c r="V807" s="238" t="n">
        <f aca="false">V576-U576</f>
        <v>0</v>
      </c>
      <c r="W807" s="238" t="n">
        <f aca="false">W576-V576</f>
        <v>0</v>
      </c>
      <c r="X807" s="238" t="n">
        <f aca="false">X576-W576</f>
        <v>0</v>
      </c>
      <c r="Y807" s="238" t="n">
        <f aca="false">Y576-X576</f>
        <v>0</v>
      </c>
      <c r="Z807" s="238" t="n">
        <f aca="false">Z576-Y576</f>
        <v>0</v>
      </c>
      <c r="AA807" s="238" t="n">
        <f aca="false">AA576-Z576</f>
        <v>0</v>
      </c>
      <c r="AB807" s="238" t="n">
        <f aca="false">AB576-AA576</f>
        <v>0</v>
      </c>
      <c r="AC807" s="238" t="n">
        <f aca="false">AC576-AB576</f>
        <v>0</v>
      </c>
      <c r="AD807" s="238" t="n">
        <f aca="false">AD576-AC576</f>
        <v>0</v>
      </c>
      <c r="AE807" s="238" t="n">
        <f aca="false">AE576-AD576</f>
        <v>0</v>
      </c>
      <c r="AF807" s="238" t="n">
        <f aca="false">AF576-AE576</f>
        <v>0</v>
      </c>
    </row>
    <row r="808" customFormat="false" ht="11.25" hidden="false" customHeight="false" outlineLevel="0" collapsed="false">
      <c r="A808" s="789" t="str">
        <f aca="false">A794</f>
        <v>Cash Flow From Operating Activities:</v>
      </c>
      <c r="B808" s="238"/>
      <c r="C808" s="238"/>
      <c r="D808" s="238"/>
      <c r="E808" s="238"/>
      <c r="F808" s="238"/>
      <c r="G808" s="238"/>
      <c r="H808" s="238"/>
      <c r="I808" s="481" t="n">
        <f aca="false">SUM(I795:I807)</f>
        <v>1190.000001</v>
      </c>
      <c r="J808" s="790" t="e">
        <f aca="false">SUM(J795:J807)</f>
        <v>#VALUE!</v>
      </c>
      <c r="K808" s="481" t="e">
        <f aca="false">SUM(K795:K807)</f>
        <v>#VALUE!</v>
      </c>
      <c r="L808" s="481" t="e">
        <f aca="false">SUM(L795:L807)</f>
        <v>#VALUE!</v>
      </c>
      <c r="M808" s="481" t="e">
        <f aca="false">SUM(M795:M807)</f>
        <v>#VALUE!</v>
      </c>
      <c r="N808" s="481" t="e">
        <f aca="false">SUM(N795:N807)</f>
        <v>#VALUE!</v>
      </c>
      <c r="O808" s="481" t="e">
        <f aca="false">SUM(O795:O807)</f>
        <v>#VALUE!</v>
      </c>
      <c r="P808" s="481" t="e">
        <f aca="false">SUM(P795:P807)</f>
        <v>#VALUE!</v>
      </c>
      <c r="Q808" s="481" t="e">
        <f aca="false">SUM(Q795:Q807)</f>
        <v>#VALUE!</v>
      </c>
      <c r="R808" s="481" t="e">
        <f aca="false">SUM(R795:R807)</f>
        <v>#VALUE!</v>
      </c>
      <c r="S808" s="481" t="e">
        <f aca="false">SUM(S795:S807)</f>
        <v>#VALUE!</v>
      </c>
      <c r="T808" s="481" t="e">
        <f aca="false">SUM(T795:T807)</f>
        <v>#VALUE!</v>
      </c>
      <c r="U808" s="481" t="e">
        <f aca="false">SUM(U795:U807)</f>
        <v>#VALUE!</v>
      </c>
      <c r="V808" s="481" t="e">
        <f aca="false">SUM(V795:V807)</f>
        <v>#VALUE!</v>
      </c>
      <c r="W808" s="481" t="e">
        <f aca="false">SUM(W795:W807)</f>
        <v>#VALUE!</v>
      </c>
      <c r="X808" s="481" t="e">
        <f aca="false">SUM(X795:X807)</f>
        <v>#VALUE!</v>
      </c>
      <c r="Y808" s="481" t="e">
        <f aca="false">SUM(Y795:Y807)</f>
        <v>#VALUE!</v>
      </c>
      <c r="Z808" s="481" t="e">
        <f aca="false">SUM(Z795:Z807)</f>
        <v>#VALUE!</v>
      </c>
      <c r="AA808" s="481" t="e">
        <f aca="false">SUM(AA795:AA807)</f>
        <v>#VALUE!</v>
      </c>
      <c r="AB808" s="481" t="e">
        <f aca="false">SUM(AB795:AB807)</f>
        <v>#VALUE!</v>
      </c>
      <c r="AC808" s="481" t="e">
        <f aca="false">SUM(AC795:AC807)</f>
        <v>#VALUE!</v>
      </c>
      <c r="AD808" s="481" t="e">
        <f aca="false">SUM(AD795:AD807)</f>
        <v>#VALUE!</v>
      </c>
      <c r="AE808" s="481" t="e">
        <f aca="false">SUM(AE795:AE807)</f>
        <v>#VALUE!</v>
      </c>
      <c r="AF808" s="481" t="e">
        <f aca="false">SUM(AF795:AF807)</f>
        <v>#VALUE!</v>
      </c>
    </row>
    <row r="809" customFormat="false" ht="11.25" hidden="false" customHeight="false" outlineLevel="0" collapsed="false">
      <c r="A809" s="450"/>
      <c r="B809" s="238"/>
      <c r="C809" s="238"/>
      <c r="D809" s="238"/>
      <c r="E809" s="238"/>
      <c r="F809" s="238"/>
      <c r="G809" s="238"/>
      <c r="H809" s="238"/>
      <c r="I809" s="238"/>
      <c r="J809" s="502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238"/>
      <c r="W809" s="238"/>
      <c r="X809" s="238"/>
      <c r="Y809" s="238"/>
      <c r="Z809" s="238"/>
      <c r="AA809" s="238"/>
      <c r="AB809" s="238"/>
      <c r="AC809" s="238"/>
      <c r="AD809" s="238"/>
      <c r="AE809" s="238"/>
      <c r="AF809" s="238"/>
    </row>
    <row r="810" customFormat="false" ht="11.25" hidden="false" customHeight="false" outlineLevel="0" collapsed="false">
      <c r="A810" s="450"/>
      <c r="B810" s="238"/>
      <c r="C810" s="238"/>
      <c r="D810" s="238"/>
      <c r="E810" s="238"/>
      <c r="F810" s="238"/>
      <c r="G810" s="238"/>
      <c r="H810" s="238"/>
      <c r="I810" s="238"/>
      <c r="J810" s="502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238"/>
      <c r="W810" s="238"/>
      <c r="X810" s="238"/>
      <c r="Y810" s="238"/>
      <c r="Z810" s="238"/>
      <c r="AA810" s="238"/>
      <c r="AB810" s="238"/>
      <c r="AC810" s="238"/>
      <c r="AD810" s="238"/>
      <c r="AE810" s="238"/>
      <c r="AF810" s="238"/>
    </row>
    <row r="811" customFormat="false" ht="11.25" hidden="false" customHeight="false" outlineLevel="0" collapsed="false">
      <c r="A811" s="789" t="s">
        <v>735</v>
      </c>
      <c r="B811" s="238"/>
      <c r="C811" s="238"/>
      <c r="D811" s="238"/>
      <c r="E811" s="238"/>
      <c r="F811" s="238"/>
      <c r="G811" s="238"/>
      <c r="H811" s="238"/>
      <c r="I811" s="238"/>
      <c r="J811" s="502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238"/>
      <c r="W811" s="238"/>
      <c r="X811" s="238"/>
      <c r="Y811" s="238"/>
      <c r="Z811" s="238"/>
      <c r="AA811" s="238"/>
      <c r="AB811" s="238"/>
      <c r="AC811" s="238"/>
      <c r="AD811" s="238"/>
      <c r="AE811" s="238"/>
      <c r="AF811" s="238"/>
    </row>
    <row r="812" customFormat="false" ht="11.25" hidden="false" customHeight="false" outlineLevel="0" collapsed="false">
      <c r="A812" s="238"/>
      <c r="B812" s="238" t="str">
        <f aca="false">A365</f>
        <v>Net Proceeds from Sale of Assets</v>
      </c>
      <c r="C812" s="238"/>
      <c r="D812" s="238"/>
      <c r="E812" s="238"/>
      <c r="F812" s="238"/>
      <c r="G812" s="238"/>
      <c r="H812" s="238"/>
      <c r="I812" s="238" t="n">
        <f aca="false">I365</f>
        <v>0</v>
      </c>
      <c r="J812" s="502" t="n">
        <f aca="false">J365</f>
        <v>0</v>
      </c>
      <c r="K812" s="238" t="n">
        <f aca="false">K365</f>
        <v>0</v>
      </c>
      <c r="L812" s="238" t="n">
        <f aca="false">L365</f>
        <v>0</v>
      </c>
      <c r="M812" s="238" t="n">
        <f aca="false">M365</f>
        <v>0</v>
      </c>
      <c r="N812" s="238" t="n">
        <f aca="false">N365</f>
        <v>0</v>
      </c>
      <c r="O812" s="238" t="n">
        <f aca="false">O365</f>
        <v>0</v>
      </c>
      <c r="P812" s="238" t="n">
        <f aca="false">P365</f>
        <v>0</v>
      </c>
      <c r="Q812" s="238" t="n">
        <f aca="false">Q365</f>
        <v>0</v>
      </c>
      <c r="R812" s="238" t="n">
        <f aca="false">R365</f>
        <v>0</v>
      </c>
      <c r="S812" s="238" t="n">
        <f aca="false">S365</f>
        <v>0</v>
      </c>
      <c r="T812" s="238" t="n">
        <f aca="false">T365</f>
        <v>0</v>
      </c>
      <c r="U812" s="238" t="n">
        <f aca="false">U365</f>
        <v>0</v>
      </c>
      <c r="V812" s="238" t="n">
        <f aca="false">V365</f>
        <v>0</v>
      </c>
      <c r="W812" s="238" t="n">
        <f aca="false">W365</f>
        <v>0</v>
      </c>
      <c r="X812" s="238" t="n">
        <f aca="false">X365</f>
        <v>0</v>
      </c>
      <c r="Y812" s="238" t="n">
        <f aca="false">Y365</f>
        <v>0</v>
      </c>
      <c r="Z812" s="238" t="n">
        <f aca="false">Z365</f>
        <v>0</v>
      </c>
      <c r="AA812" s="238" t="n">
        <f aca="false">AA365</f>
        <v>0</v>
      </c>
      <c r="AB812" s="238" t="n">
        <f aca="false">AB365</f>
        <v>0</v>
      </c>
      <c r="AC812" s="238" t="n">
        <f aca="false">AC365</f>
        <v>0</v>
      </c>
      <c r="AD812" s="238" t="n">
        <f aca="false">AD365</f>
        <v>0</v>
      </c>
      <c r="AE812" s="238" t="n">
        <f aca="false">AE365</f>
        <v>0</v>
      </c>
      <c r="AF812" s="238" t="n">
        <f aca="false">AF365</f>
        <v>0</v>
      </c>
    </row>
    <row r="813" customFormat="false" ht="11.25" hidden="false" customHeight="false" outlineLevel="0" collapsed="false">
      <c r="A813" s="238"/>
      <c r="B813" s="238" t="str">
        <f aca="false">A369</f>
        <v>Asset Purchase</v>
      </c>
      <c r="C813" s="238"/>
      <c r="D813" s="238"/>
      <c r="E813" s="238"/>
      <c r="F813" s="238"/>
      <c r="G813" s="238"/>
      <c r="H813" s="238"/>
      <c r="I813" s="238" t="n">
        <f aca="false">-I369</f>
        <v>-0</v>
      </c>
      <c r="J813" s="502" t="n">
        <f aca="false">-J369</f>
        <v>-0</v>
      </c>
      <c r="K813" s="238" t="n">
        <f aca="false">-K369</f>
        <v>-0</v>
      </c>
      <c r="L813" s="238" t="n">
        <f aca="false">-L369</f>
        <v>-0</v>
      </c>
      <c r="M813" s="238" t="n">
        <f aca="false">-M369</f>
        <v>-1331.9046155778</v>
      </c>
      <c r="N813" s="238" t="n">
        <f aca="false">-N369</f>
        <v>-0</v>
      </c>
      <c r="O813" s="238" t="n">
        <f aca="false">-O369</f>
        <v>-0</v>
      </c>
      <c r="P813" s="238" t="n">
        <f aca="false">-P369</f>
        <v>-0</v>
      </c>
      <c r="Q813" s="238" t="n">
        <f aca="false">-Q369</f>
        <v>-4611.73981979569</v>
      </c>
      <c r="R813" s="238" t="n">
        <f aca="false">-R369</f>
        <v>-0</v>
      </c>
      <c r="S813" s="238" t="n">
        <f aca="false">-S369</f>
        <v>-0</v>
      </c>
      <c r="T813" s="238" t="n">
        <f aca="false">-T369</f>
        <v>-0</v>
      </c>
      <c r="U813" s="238" t="n">
        <f aca="false">-U369</f>
        <v>-1870.65531397766</v>
      </c>
      <c r="V813" s="238" t="n">
        <f aca="false">-V369</f>
        <v>-0</v>
      </c>
      <c r="W813" s="238" t="n">
        <f aca="false">-W369</f>
        <v>-0</v>
      </c>
      <c r="X813" s="238" t="n">
        <f aca="false">-X369</f>
        <v>-0</v>
      </c>
      <c r="Y813" s="238" t="n">
        <f aca="false">-Y369</f>
        <v>-6463.75753668992</v>
      </c>
      <c r="Z813" s="238" t="n">
        <f aca="false">-Z369</f>
        <v>-0</v>
      </c>
      <c r="AA813" s="238" t="n">
        <f aca="false">-AA369</f>
        <v>-0</v>
      </c>
      <c r="AB813" s="238" t="n">
        <f aca="false">-AB369</f>
        <v>-0</v>
      </c>
      <c r="AC813" s="238" t="n">
        <f aca="false">-AC369</f>
        <v>-0</v>
      </c>
      <c r="AD813" s="238" t="n">
        <f aca="false">-AD369</f>
        <v>-0</v>
      </c>
      <c r="AE813" s="238" t="n">
        <f aca="false">-AE369</f>
        <v>-0</v>
      </c>
      <c r="AF813" s="238" t="n">
        <f aca="false">-AF369</f>
        <v>-0</v>
      </c>
    </row>
    <row r="814" customFormat="false" ht="11.25" hidden="false" customHeight="false" outlineLevel="0" collapsed="false">
      <c r="A814" s="238"/>
      <c r="B814" s="238" t="str">
        <f aca="false">A372</f>
        <v>Increase/(Decrease) in Reserve Accounts</v>
      </c>
      <c r="C814" s="238"/>
      <c r="D814" s="238"/>
      <c r="E814" s="238"/>
      <c r="F814" s="238"/>
      <c r="G814" s="238"/>
      <c r="H814" s="238"/>
      <c r="I814" s="238" t="n">
        <f aca="false">-I372</f>
        <v>-0</v>
      </c>
      <c r="J814" s="502" t="n">
        <f aca="false">-J372</f>
        <v>-0</v>
      </c>
      <c r="K814" s="238" t="n">
        <f aca="false">-K372</f>
        <v>-0</v>
      </c>
      <c r="L814" s="238" t="n">
        <f aca="false">-L372</f>
        <v>-332.97615389445</v>
      </c>
      <c r="M814" s="238" t="n">
        <f aca="false">-M372</f>
        <v>332.97615389445</v>
      </c>
      <c r="N814" s="238" t="n">
        <f aca="false">-N372</f>
        <v>-0</v>
      </c>
      <c r="O814" s="238" t="n">
        <f aca="false">-O372</f>
        <v>-576.467477474461</v>
      </c>
      <c r="P814" s="238" t="n">
        <f aca="false">-P372</f>
        <v>-2305.86990989784</v>
      </c>
      <c r="Q814" s="238" t="n">
        <f aca="false">-Q372</f>
        <v>2882.3373873723</v>
      </c>
      <c r="R814" s="238" t="n">
        <f aca="false">-R372</f>
        <v>-0</v>
      </c>
      <c r="S814" s="238" t="n">
        <f aca="false">-S372</f>
        <v>-0</v>
      </c>
      <c r="T814" s="238" t="n">
        <f aca="false">-T372</f>
        <v>-467.663828494415</v>
      </c>
      <c r="U814" s="238" t="n">
        <f aca="false">-U372</f>
        <v>467.663828494415</v>
      </c>
      <c r="V814" s="238" t="n">
        <f aca="false">-V372</f>
        <v>-0</v>
      </c>
      <c r="W814" s="238" t="n">
        <f aca="false">-W372</f>
        <v>-807.96969208624</v>
      </c>
      <c r="X814" s="238" t="n">
        <f aca="false">-X372</f>
        <v>-3231.87876834496</v>
      </c>
      <c r="Y814" s="238" t="n">
        <f aca="false">-Y372</f>
        <v>4039.8484604312</v>
      </c>
      <c r="Z814" s="238" t="n">
        <f aca="false">-Z372</f>
        <v>-0</v>
      </c>
      <c r="AA814" s="238" t="n">
        <f aca="false">-AA372</f>
        <v>-0</v>
      </c>
      <c r="AB814" s="238" t="n">
        <f aca="false">-AB372</f>
        <v>-0</v>
      </c>
      <c r="AC814" s="238" t="n">
        <f aca="false">-AC372</f>
        <v>-0</v>
      </c>
      <c r="AD814" s="238" t="n">
        <f aca="false">-AD372</f>
        <v>-0</v>
      </c>
      <c r="AE814" s="238" t="n">
        <f aca="false">-AE372</f>
        <v>-0</v>
      </c>
      <c r="AF814" s="238" t="n">
        <f aca="false">-AF372</f>
        <v>-0</v>
      </c>
    </row>
    <row r="815" customFormat="false" ht="11.25" hidden="false" customHeight="false" outlineLevel="0" collapsed="false">
      <c r="A815" s="238"/>
      <c r="B815" s="238" t="s">
        <v>736</v>
      </c>
      <c r="C815" s="238"/>
      <c r="D815" s="238"/>
      <c r="E815" s="238"/>
      <c r="F815" s="238"/>
      <c r="G815" s="238"/>
      <c r="H815" s="238"/>
      <c r="I815" s="238" t="n">
        <f aca="false">-I370</f>
        <v>-0</v>
      </c>
      <c r="J815" s="502" t="n">
        <f aca="false">-J370</f>
        <v>-0</v>
      </c>
      <c r="K815" s="238" t="n">
        <f aca="false">-K370</f>
        <v>-0</v>
      </c>
      <c r="L815" s="238" t="n">
        <f aca="false">-L370</f>
        <v>-0</v>
      </c>
      <c r="M815" s="238" t="n">
        <f aca="false">-M370</f>
        <v>-0</v>
      </c>
      <c r="N815" s="238" t="n">
        <f aca="false">-N370</f>
        <v>-0</v>
      </c>
      <c r="O815" s="238" t="n">
        <f aca="false">-O370</f>
        <v>-0</v>
      </c>
      <c r="P815" s="238" t="n">
        <f aca="false">-P370</f>
        <v>-0</v>
      </c>
      <c r="Q815" s="238" t="n">
        <f aca="false">-Q370</f>
        <v>-0</v>
      </c>
      <c r="R815" s="238" t="n">
        <f aca="false">-R370</f>
        <v>-0</v>
      </c>
      <c r="S815" s="238" t="n">
        <f aca="false">-S370</f>
        <v>-0</v>
      </c>
      <c r="T815" s="238" t="n">
        <f aca="false">-T370</f>
        <v>-0</v>
      </c>
      <c r="U815" s="238" t="n">
        <f aca="false">-U370</f>
        <v>-0</v>
      </c>
      <c r="V815" s="238" t="n">
        <f aca="false">-V370</f>
        <v>-0</v>
      </c>
      <c r="W815" s="238" t="n">
        <f aca="false">-W370</f>
        <v>-0</v>
      </c>
      <c r="X815" s="238" t="n">
        <f aca="false">-X370</f>
        <v>-0</v>
      </c>
      <c r="Y815" s="238" t="n">
        <f aca="false">-Y370</f>
        <v>-0</v>
      </c>
      <c r="Z815" s="238" t="n">
        <f aca="false">-Z370</f>
        <v>-0</v>
      </c>
      <c r="AA815" s="238" t="n">
        <f aca="false">-AA370</f>
        <v>-0</v>
      </c>
      <c r="AB815" s="238" t="n">
        <f aca="false">-AB370</f>
        <v>-0</v>
      </c>
      <c r="AC815" s="238" t="n">
        <f aca="false">-AC370</f>
        <v>-0</v>
      </c>
      <c r="AD815" s="238" t="n">
        <f aca="false">-AD370</f>
        <v>-0</v>
      </c>
      <c r="AE815" s="238" t="n">
        <f aca="false">-AE370</f>
        <v>-0</v>
      </c>
      <c r="AF815" s="238" t="n">
        <f aca="false">-AF370</f>
        <v>-0</v>
      </c>
    </row>
    <row r="816" customFormat="false" ht="11.25" hidden="false" customHeight="false" outlineLevel="0" collapsed="false">
      <c r="A816" s="791" t="str">
        <f aca="false">A811</f>
        <v>Cash Flow From Investing Activities:</v>
      </c>
      <c r="B816" s="238"/>
      <c r="C816" s="238"/>
      <c r="D816" s="238"/>
      <c r="E816" s="238"/>
      <c r="F816" s="238"/>
      <c r="G816" s="238"/>
      <c r="H816" s="238"/>
      <c r="I816" s="481" t="n">
        <f aca="false">SUM(I812:I815)</f>
        <v>0</v>
      </c>
      <c r="J816" s="790" t="n">
        <f aca="false">SUM(J812:J815)</f>
        <v>0</v>
      </c>
      <c r="K816" s="481" t="n">
        <f aca="false">SUM(K812:K815)</f>
        <v>0</v>
      </c>
      <c r="L816" s="481" t="n">
        <f aca="false">SUM(L812:L815)</f>
        <v>-332.97615389445</v>
      </c>
      <c r="M816" s="481" t="n">
        <f aca="false">SUM(M812:M815)</f>
        <v>-998.92846168335</v>
      </c>
      <c r="N816" s="481" t="n">
        <f aca="false">SUM(N812:N815)</f>
        <v>0</v>
      </c>
      <c r="O816" s="481" t="n">
        <f aca="false">SUM(O812:O815)</f>
        <v>-576.467477474461</v>
      </c>
      <c r="P816" s="481" t="n">
        <f aca="false">SUM(P812:P815)</f>
        <v>-2305.86990989784</v>
      </c>
      <c r="Q816" s="481" t="n">
        <f aca="false">SUM(Q812:Q815)</f>
        <v>-1729.40243242338</v>
      </c>
      <c r="R816" s="481" t="n">
        <f aca="false">SUM(R812:R815)</f>
        <v>0</v>
      </c>
      <c r="S816" s="481" t="n">
        <f aca="false">SUM(S812:S815)</f>
        <v>0</v>
      </c>
      <c r="T816" s="481" t="n">
        <f aca="false">SUM(T812:T815)</f>
        <v>-467.663828494415</v>
      </c>
      <c r="U816" s="481" t="n">
        <f aca="false">SUM(U812:U815)</f>
        <v>-1402.99148548325</v>
      </c>
      <c r="V816" s="481" t="n">
        <f aca="false">SUM(V812:V815)</f>
        <v>0</v>
      </c>
      <c r="W816" s="481" t="n">
        <f aca="false">SUM(W812:W815)</f>
        <v>-807.96969208624</v>
      </c>
      <c r="X816" s="481" t="n">
        <f aca="false">SUM(X812:X815)</f>
        <v>-3231.87876834496</v>
      </c>
      <c r="Y816" s="481" t="n">
        <f aca="false">SUM(Y812:Y815)</f>
        <v>-2423.90907625872</v>
      </c>
      <c r="Z816" s="481" t="n">
        <f aca="false">SUM(Z812:Z815)</f>
        <v>0</v>
      </c>
      <c r="AA816" s="481" t="n">
        <f aca="false">SUM(AA812:AA815)</f>
        <v>0</v>
      </c>
      <c r="AB816" s="481" t="n">
        <f aca="false">SUM(AB812:AB815)</f>
        <v>0</v>
      </c>
      <c r="AC816" s="481" t="n">
        <f aca="false">SUM(AC812:AC815)</f>
        <v>0</v>
      </c>
      <c r="AD816" s="481" t="n">
        <f aca="false">SUM(AD812:AD815)</f>
        <v>0</v>
      </c>
      <c r="AE816" s="481" t="n">
        <f aca="false">SUM(AE812:AE815)</f>
        <v>0</v>
      </c>
      <c r="AF816" s="481" t="n">
        <f aca="false">SUM(AF812:AF815)</f>
        <v>0</v>
      </c>
    </row>
    <row r="817" customFormat="false" ht="11.25" hidden="false" customHeight="false" outlineLevel="0" collapsed="false">
      <c r="A817" s="238"/>
      <c r="B817" s="238"/>
      <c r="C817" s="238"/>
      <c r="D817" s="238"/>
      <c r="E817" s="238"/>
      <c r="F817" s="238"/>
      <c r="G817" s="238"/>
      <c r="H817" s="238"/>
      <c r="I817" s="238"/>
      <c r="J817" s="502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  <c r="U817" s="238"/>
      <c r="V817" s="238"/>
      <c r="W817" s="238"/>
      <c r="X817" s="238"/>
      <c r="Y817" s="238"/>
      <c r="Z817" s="238"/>
      <c r="AA817" s="238"/>
      <c r="AB817" s="238"/>
      <c r="AC817" s="238"/>
      <c r="AD817" s="238"/>
      <c r="AE817" s="238"/>
      <c r="AF817" s="238"/>
    </row>
    <row r="818" customFormat="false" ht="11.25" hidden="false" customHeight="false" outlineLevel="0" collapsed="false">
      <c r="A818" s="789" t="s">
        <v>737</v>
      </c>
      <c r="B818" s="238"/>
      <c r="C818" s="238"/>
      <c r="D818" s="238"/>
      <c r="E818" s="238"/>
      <c r="F818" s="238"/>
      <c r="G818" s="238"/>
      <c r="H818" s="238"/>
      <c r="I818" s="238"/>
      <c r="J818" s="502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238"/>
      <c r="W818" s="238"/>
      <c r="X818" s="238"/>
      <c r="Y818" s="238"/>
      <c r="Z818" s="238"/>
      <c r="AA818" s="238"/>
      <c r="AB818" s="238"/>
      <c r="AC818" s="238"/>
      <c r="AD818" s="238"/>
      <c r="AE818" s="238"/>
      <c r="AF818" s="238"/>
    </row>
    <row r="819" customFormat="false" ht="11.25" hidden="false" customHeight="false" outlineLevel="0" collapsed="false">
      <c r="A819" s="238"/>
      <c r="B819" s="450" t="s">
        <v>738</v>
      </c>
      <c r="C819" s="238"/>
      <c r="D819" s="238"/>
      <c r="E819" s="238"/>
      <c r="F819" s="238"/>
      <c r="G819" s="238"/>
      <c r="H819" s="238"/>
      <c r="I819" s="238" t="n">
        <f aca="false">-I375</f>
        <v>-799</v>
      </c>
      <c r="J819" s="502" t="e">
        <f aca="false">-J375</f>
        <v>#VALUE!</v>
      </c>
      <c r="K819" s="238" t="e">
        <f aca="false">-K375</f>
        <v>#VALUE!</v>
      </c>
      <c r="L819" s="238" t="e">
        <f aca="false">-L375</f>
        <v>#VALUE!</v>
      </c>
      <c r="M819" s="238" t="e">
        <f aca="false">-M375</f>
        <v>#VALUE!</v>
      </c>
      <c r="N819" s="238" t="e">
        <f aca="false">-N375</f>
        <v>#VALUE!</v>
      </c>
      <c r="O819" s="238" t="e">
        <f aca="false">-O375</f>
        <v>#VALUE!</v>
      </c>
      <c r="P819" s="238" t="e">
        <f aca="false">-P375</f>
        <v>#VALUE!</v>
      </c>
      <c r="Q819" s="238" t="e">
        <f aca="false">-Q375</f>
        <v>#VALUE!</v>
      </c>
      <c r="R819" s="238" t="e">
        <f aca="false">-R375</f>
        <v>#VALUE!</v>
      </c>
      <c r="S819" s="238" t="e">
        <f aca="false">-S375</f>
        <v>#VALUE!</v>
      </c>
      <c r="T819" s="238" t="e">
        <f aca="false">-T375</f>
        <v>#VALUE!</v>
      </c>
      <c r="U819" s="238" t="e">
        <f aca="false">-U375</f>
        <v>#VALUE!</v>
      </c>
      <c r="V819" s="238" t="e">
        <f aca="false">-V375</f>
        <v>#VALUE!</v>
      </c>
      <c r="W819" s="238" t="e">
        <f aca="false">-W375</f>
        <v>#VALUE!</v>
      </c>
      <c r="X819" s="238" t="e">
        <f aca="false">-X375</f>
        <v>#VALUE!</v>
      </c>
      <c r="Y819" s="238" t="e">
        <f aca="false">-Y375</f>
        <v>#VALUE!</v>
      </c>
      <c r="Z819" s="238" t="e">
        <f aca="false">-Z375</f>
        <v>#VALUE!</v>
      </c>
      <c r="AA819" s="238" t="e">
        <f aca="false">-AA375</f>
        <v>#VALUE!</v>
      </c>
      <c r="AB819" s="238" t="e">
        <f aca="false">-AB375</f>
        <v>#VALUE!</v>
      </c>
      <c r="AC819" s="238" t="e">
        <f aca="false">-AC375</f>
        <v>#VALUE!</v>
      </c>
      <c r="AD819" s="238" t="e">
        <f aca="false">-AD375</f>
        <v>#VALUE!</v>
      </c>
      <c r="AE819" s="238" t="e">
        <f aca="false">-AE375</f>
        <v>#VALUE!</v>
      </c>
      <c r="AF819" s="238" t="e">
        <f aca="false">-AF375</f>
        <v>#VALUE!</v>
      </c>
    </row>
    <row r="820" customFormat="false" ht="11.25" hidden="false" customHeight="false" outlineLevel="0" collapsed="false">
      <c r="A820" s="238"/>
      <c r="B820" s="450" t="s">
        <v>739</v>
      </c>
      <c r="C820" s="238"/>
      <c r="D820" s="238"/>
      <c r="E820" s="238"/>
      <c r="F820" s="238"/>
      <c r="G820" s="238"/>
      <c r="H820" s="238"/>
      <c r="I820" s="238" t="n">
        <f aca="false">-SUM(I373:I374)</f>
        <v>-391.000001</v>
      </c>
      <c r="J820" s="502" t="n">
        <f aca="false">-SUM(J373:J374)</f>
        <v>-1601.999983</v>
      </c>
      <c r="K820" s="238" t="n">
        <f aca="false">-SUM(K373:K374)</f>
        <v>-2148.00005</v>
      </c>
      <c r="L820" s="238" t="n">
        <f aca="false">-SUM(L373:L374)</f>
        <v>-2500.9999025</v>
      </c>
      <c r="M820" s="238" t="n">
        <f aca="false">-SUM(M373:M374)</f>
        <v>-2102.00001</v>
      </c>
      <c r="N820" s="238" t="n">
        <f aca="false">-SUM(N373:N374)</f>
        <v>-3172.999998</v>
      </c>
      <c r="O820" s="238" t="n">
        <f aca="false">-SUM(O373:O374)</f>
        <v>-3259.000004</v>
      </c>
      <c r="P820" s="238" t="n">
        <f aca="false">-SUM(P373:P374)</f>
        <v>-2143.000026</v>
      </c>
      <c r="Q820" s="238" t="n">
        <f aca="false">-SUM(Q373:Q374)</f>
        <v>-2834.9999915</v>
      </c>
      <c r="R820" s="238" t="n">
        <f aca="false">-SUM(R373:R374)</f>
        <v>-4242.9999925</v>
      </c>
      <c r="S820" s="238" t="n">
        <f aca="false">-SUM(S373:S374)</f>
        <v>-4340.999977</v>
      </c>
      <c r="T820" s="238" t="n">
        <f aca="false">-SUM(T373:T374)</f>
        <v>-3399.999935</v>
      </c>
      <c r="U820" s="238" t="n">
        <f aca="false">-SUM(U373:U374)</f>
        <v>-3140.000043</v>
      </c>
      <c r="V820" s="238" t="n">
        <f aca="false">-SUM(V373:V374)</f>
        <v>-4238.999962</v>
      </c>
      <c r="W820" s="238" t="n">
        <f aca="false">-SUM(W373:W374)</f>
        <v>-4286.000052</v>
      </c>
      <c r="X820" s="238" t="n">
        <f aca="false">-SUM(X373:X374)</f>
        <v>-3758.9999745</v>
      </c>
      <c r="Y820" s="238" t="n">
        <f aca="false">-SUM(Y373:Y374)</f>
        <v>-4520.9999935</v>
      </c>
      <c r="Z820" s="238" t="n">
        <f aca="false">-SUM(Z373:Z374)</f>
        <v>-4417.0001045</v>
      </c>
      <c r="AA820" s="238" t="n">
        <f aca="false">-SUM(AA373:AA374)</f>
        <v>-0</v>
      </c>
      <c r="AB820" s="238" t="n">
        <f aca="false">-SUM(AB373:AB374)</f>
        <v>-0</v>
      </c>
      <c r="AC820" s="238" t="n">
        <f aca="false">-SUM(AC373:AC374)</f>
        <v>-0</v>
      </c>
      <c r="AD820" s="238" t="n">
        <f aca="false">-SUM(AD373:AD374)</f>
        <v>-0</v>
      </c>
      <c r="AE820" s="238" t="n">
        <f aca="false">-SUM(AE373:AE374)</f>
        <v>-0</v>
      </c>
      <c r="AF820" s="238" t="n">
        <f aca="false">-SUM(AF373:AF374)</f>
        <v>-0</v>
      </c>
    </row>
    <row r="821" customFormat="false" ht="11.25" hidden="false" customHeight="false" outlineLevel="0" collapsed="false">
      <c r="A821" s="238"/>
      <c r="B821" s="450" t="s">
        <v>740</v>
      </c>
      <c r="C821" s="238"/>
      <c r="D821" s="238"/>
      <c r="E821" s="238"/>
      <c r="F821" s="238"/>
      <c r="G821" s="238"/>
      <c r="H821" s="238"/>
      <c r="I821" s="238" t="n">
        <f aca="false">SUM(I381:I383)</f>
        <v>0</v>
      </c>
      <c r="J821" s="502" t="n">
        <f aca="false">SUM(J381:J383)</f>
        <v>0</v>
      </c>
      <c r="K821" s="238" t="n">
        <f aca="false">SUM(K381:K383)</f>
        <v>0</v>
      </c>
      <c r="L821" s="238" t="n">
        <f aca="false">SUM(L381:L383)</f>
        <v>0</v>
      </c>
      <c r="M821" s="238" t="n">
        <f aca="false">SUM(M381:M383)</f>
        <v>0</v>
      </c>
      <c r="N821" s="238" t="n">
        <f aca="false">SUM(N381:N383)</f>
        <v>0</v>
      </c>
      <c r="O821" s="238" t="n">
        <f aca="false">SUM(O381:O383)</f>
        <v>0</v>
      </c>
      <c r="P821" s="238" t="n">
        <f aca="false">SUM(P381:P383)</f>
        <v>0</v>
      </c>
      <c r="Q821" s="238" t="n">
        <f aca="false">SUM(Q381:Q383)</f>
        <v>0</v>
      </c>
      <c r="R821" s="238" t="n">
        <f aca="false">SUM(R381:R383)</f>
        <v>0</v>
      </c>
      <c r="S821" s="238" t="n">
        <f aca="false">SUM(S381:S383)</f>
        <v>0</v>
      </c>
      <c r="T821" s="238" t="n">
        <f aca="false">SUM(T381:T383)</f>
        <v>0</v>
      </c>
      <c r="U821" s="238" t="n">
        <f aca="false">SUM(U381:U383)</f>
        <v>0</v>
      </c>
      <c r="V821" s="238" t="n">
        <f aca="false">SUM(V381:V383)</f>
        <v>0</v>
      </c>
      <c r="W821" s="238" t="n">
        <f aca="false">SUM(W381:W383)</f>
        <v>0</v>
      </c>
      <c r="X821" s="238" t="n">
        <f aca="false">SUM(X381:X383)</f>
        <v>0</v>
      </c>
      <c r="Y821" s="238" t="n">
        <f aca="false">SUM(Y381:Y383)</f>
        <v>0</v>
      </c>
      <c r="Z821" s="238" t="n">
        <f aca="false">SUM(Z381:Z383)</f>
        <v>0</v>
      </c>
      <c r="AA821" s="238" t="n">
        <f aca="false">SUM(AA381:AA383)</f>
        <v>0</v>
      </c>
      <c r="AB821" s="238" t="n">
        <f aca="false">SUM(AB381:AB383)</f>
        <v>0</v>
      </c>
      <c r="AC821" s="238" t="n">
        <f aca="false">SUM(AC381:AC383)</f>
        <v>0</v>
      </c>
      <c r="AD821" s="238" t="n">
        <f aca="false">SUM(AD381:AD383)</f>
        <v>0</v>
      </c>
      <c r="AE821" s="238" t="n">
        <f aca="false">SUM(AE381:AE383)</f>
        <v>0</v>
      </c>
      <c r="AF821" s="238" t="n">
        <f aca="false">SUM(AF381:AF383)</f>
        <v>0</v>
      </c>
    </row>
    <row r="822" customFormat="false" ht="11.25" hidden="false" customHeight="false" outlineLevel="0" collapsed="false">
      <c r="A822" s="791" t="str">
        <f aca="false">A818</f>
        <v>Cash Flow From Financing Activities:</v>
      </c>
      <c r="B822" s="238"/>
      <c r="C822" s="238"/>
      <c r="D822" s="238"/>
      <c r="E822" s="238"/>
      <c r="F822" s="238"/>
      <c r="G822" s="238"/>
      <c r="H822" s="238"/>
      <c r="I822" s="481" t="n">
        <f aca="false">SUM(I819:I821)</f>
        <v>-1190.000001</v>
      </c>
      <c r="J822" s="790" t="e">
        <f aca="false">SUM(J819:J821)</f>
        <v>#VALUE!</v>
      </c>
      <c r="K822" s="481" t="e">
        <f aca="false">SUM(K819:K821)</f>
        <v>#VALUE!</v>
      </c>
      <c r="L822" s="481" t="e">
        <f aca="false">SUM(L819:L821)</f>
        <v>#VALUE!</v>
      </c>
      <c r="M822" s="481" t="e">
        <f aca="false">SUM(M819:M821)</f>
        <v>#VALUE!</v>
      </c>
      <c r="N822" s="481" t="e">
        <f aca="false">SUM(N819:N821)</f>
        <v>#VALUE!</v>
      </c>
      <c r="O822" s="481" t="e">
        <f aca="false">SUM(O819:O821)</f>
        <v>#VALUE!</v>
      </c>
      <c r="P822" s="481" t="e">
        <f aca="false">SUM(P819:P821)</f>
        <v>#VALUE!</v>
      </c>
      <c r="Q822" s="481" t="e">
        <f aca="false">SUM(Q819:Q821)</f>
        <v>#VALUE!</v>
      </c>
      <c r="R822" s="481" t="e">
        <f aca="false">SUM(R819:R821)</f>
        <v>#VALUE!</v>
      </c>
      <c r="S822" s="481" t="e">
        <f aca="false">SUM(S819:S821)</f>
        <v>#VALUE!</v>
      </c>
      <c r="T822" s="481" t="e">
        <f aca="false">SUM(T819:T821)</f>
        <v>#VALUE!</v>
      </c>
      <c r="U822" s="481" t="e">
        <f aca="false">SUM(U819:U821)</f>
        <v>#VALUE!</v>
      </c>
      <c r="V822" s="481" t="e">
        <f aca="false">SUM(V819:V821)</f>
        <v>#VALUE!</v>
      </c>
      <c r="W822" s="481" t="e">
        <f aca="false">SUM(W819:W821)</f>
        <v>#VALUE!</v>
      </c>
      <c r="X822" s="481" t="e">
        <f aca="false">SUM(X819:X821)</f>
        <v>#VALUE!</v>
      </c>
      <c r="Y822" s="481" t="e">
        <f aca="false">SUM(Y819:Y821)</f>
        <v>#VALUE!</v>
      </c>
      <c r="Z822" s="481" t="e">
        <f aca="false">SUM(Z819:Z821)</f>
        <v>#VALUE!</v>
      </c>
      <c r="AA822" s="481" t="e">
        <f aca="false">SUM(AA819:AA821)</f>
        <v>#VALUE!</v>
      </c>
      <c r="AB822" s="481" t="e">
        <f aca="false">SUM(AB819:AB821)</f>
        <v>#VALUE!</v>
      </c>
      <c r="AC822" s="481" t="e">
        <f aca="false">SUM(AC819:AC821)</f>
        <v>#VALUE!</v>
      </c>
      <c r="AD822" s="481" t="e">
        <f aca="false">SUM(AD819:AD821)</f>
        <v>#VALUE!</v>
      </c>
      <c r="AE822" s="481" t="e">
        <f aca="false">SUM(AE819:AE821)</f>
        <v>#VALUE!</v>
      </c>
      <c r="AF822" s="481" t="e">
        <f aca="false">SUM(AF819:AF821)</f>
        <v>#VALUE!</v>
      </c>
    </row>
    <row r="823" customFormat="false" ht="11.25" hidden="false" customHeight="false" outlineLevel="0" collapsed="false">
      <c r="A823" s="238"/>
      <c r="B823" s="238"/>
      <c r="C823" s="238"/>
      <c r="D823" s="238"/>
      <c r="E823" s="238"/>
      <c r="F823" s="238"/>
      <c r="G823" s="238"/>
      <c r="H823" s="238"/>
      <c r="I823" s="238"/>
      <c r="J823" s="502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238"/>
      <c r="W823" s="238"/>
      <c r="X823" s="238"/>
      <c r="Y823" s="238"/>
      <c r="Z823" s="238"/>
      <c r="AA823" s="238"/>
      <c r="AB823" s="238"/>
      <c r="AC823" s="238"/>
      <c r="AD823" s="238"/>
      <c r="AE823" s="238"/>
      <c r="AF823" s="238"/>
    </row>
    <row r="824" customFormat="false" ht="12" hidden="false" customHeight="false" outlineLevel="0" collapsed="false">
      <c r="A824" s="789" t="s">
        <v>741</v>
      </c>
      <c r="B824" s="238"/>
      <c r="C824" s="238"/>
      <c r="D824" s="238"/>
      <c r="E824" s="238"/>
      <c r="F824" s="238"/>
      <c r="G824" s="238"/>
      <c r="H824" s="238"/>
      <c r="I824" s="792" t="n">
        <f aca="false">I822+I816+I808</f>
        <v>0</v>
      </c>
      <c r="J824" s="793" t="e">
        <f aca="false">J822+J816+J808</f>
        <v>#VALUE!</v>
      </c>
      <c r="K824" s="792" t="e">
        <f aca="false">K822+K816+K808</f>
        <v>#VALUE!</v>
      </c>
      <c r="L824" s="792" t="e">
        <f aca="false">L822+L816+L808</f>
        <v>#VALUE!</v>
      </c>
      <c r="M824" s="792" t="e">
        <f aca="false">M822+M816+M808</f>
        <v>#VALUE!</v>
      </c>
      <c r="N824" s="792" t="e">
        <f aca="false">N822+N816+N808</f>
        <v>#VALUE!</v>
      </c>
      <c r="O824" s="792" t="e">
        <f aca="false">O822+O816+O808</f>
        <v>#VALUE!</v>
      </c>
      <c r="P824" s="792" t="e">
        <f aca="false">P822+P816+P808</f>
        <v>#VALUE!</v>
      </c>
      <c r="Q824" s="792" t="e">
        <f aca="false">Q822+Q816+Q808</f>
        <v>#VALUE!</v>
      </c>
      <c r="R824" s="792" t="e">
        <f aca="false">R822+R816+R808</f>
        <v>#VALUE!</v>
      </c>
      <c r="S824" s="792" t="e">
        <f aca="false">S822+S816+S808</f>
        <v>#VALUE!</v>
      </c>
      <c r="T824" s="792" t="e">
        <f aca="false">T822+T816+T808</f>
        <v>#VALUE!</v>
      </c>
      <c r="U824" s="792" t="e">
        <f aca="false">U822+U816+U808</f>
        <v>#VALUE!</v>
      </c>
      <c r="V824" s="792" t="e">
        <f aca="false">V822+V816+V808</f>
        <v>#VALUE!</v>
      </c>
      <c r="W824" s="792" t="e">
        <f aca="false">W822+W816+W808</f>
        <v>#VALUE!</v>
      </c>
      <c r="X824" s="792" t="e">
        <f aca="false">X822+X816+X808</f>
        <v>#VALUE!</v>
      </c>
      <c r="Y824" s="792" t="e">
        <f aca="false">Y822+Y816+Y808</f>
        <v>#VALUE!</v>
      </c>
      <c r="Z824" s="792" t="e">
        <f aca="false">Z822+Z816+Z808</f>
        <v>#VALUE!</v>
      </c>
      <c r="AA824" s="792" t="e">
        <f aca="false">AA822+AA816+AA808</f>
        <v>#VALUE!</v>
      </c>
      <c r="AB824" s="792" t="e">
        <f aca="false">AB822+AB816+AB808</f>
        <v>#VALUE!</v>
      </c>
      <c r="AC824" s="792" t="e">
        <f aca="false">AC822+AC816+AC808</f>
        <v>#VALUE!</v>
      </c>
      <c r="AD824" s="792" t="e">
        <f aca="false">AD822+AD816+AD808</f>
        <v>#VALUE!</v>
      </c>
      <c r="AE824" s="792" t="e">
        <f aca="false">AE822+AE816+AE808</f>
        <v>#VALUE!</v>
      </c>
      <c r="AF824" s="792" t="e">
        <f aca="false">AF822+AF816+AF808</f>
        <v>#VALUE!</v>
      </c>
    </row>
    <row r="825" customFormat="false" ht="12" hidden="false" customHeight="false" outlineLevel="0" collapsed="false"/>
    <row r="826" customFormat="false" ht="11.25" hidden="false" customHeight="false" outlineLevel="0" collapsed="false">
      <c r="H826" s="794" t="s">
        <v>742</v>
      </c>
      <c r="I826" s="794"/>
      <c r="J826" s="239" t="e">
        <f aca="false">+J321+J331+J730-J726</f>
        <v>#VALUE!</v>
      </c>
      <c r="K826" s="239" t="e">
        <f aca="false">+K321+K331+K730-K726</f>
        <v>#VALUE!</v>
      </c>
      <c r="L826" s="239" t="e">
        <f aca="false">+L321+L331+L730-L726</f>
        <v>#VALUE!</v>
      </c>
      <c r="M826" s="239" t="e">
        <f aca="false">+M321+M331+M730-M726</f>
        <v>#VALUE!</v>
      </c>
      <c r="N826" s="239" t="e">
        <f aca="false">+N321+N331+N730-N726</f>
        <v>#VALUE!</v>
      </c>
      <c r="O826" s="239" t="e">
        <f aca="false">+O321+O331+O730-O726</f>
        <v>#VALUE!</v>
      </c>
      <c r="P826" s="239" t="e">
        <f aca="false">+P321+P331+P730-P726</f>
        <v>#VALUE!</v>
      </c>
      <c r="Q826" s="239" t="e">
        <f aca="false">+Q321+Q331+Q730-Q726</f>
        <v>#VALUE!</v>
      </c>
      <c r="R826" s="239" t="e">
        <f aca="false">+R321+R331+R730-R726</f>
        <v>#VALUE!</v>
      </c>
      <c r="S826" s="239" t="e">
        <f aca="false">+S321+S331+S730-S726</f>
        <v>#VALUE!</v>
      </c>
      <c r="T826" s="239" t="e">
        <f aca="false">+T321+T331+T730-T726</f>
        <v>#VALUE!</v>
      </c>
      <c r="U826" s="239" t="e">
        <f aca="false">+U321+U331+U730-U726</f>
        <v>#VALUE!</v>
      </c>
      <c r="V826" s="239" t="e">
        <f aca="false">+V321+V331+V730-V726</f>
        <v>#VALUE!</v>
      </c>
      <c r="W826" s="239" t="e">
        <f aca="false">+W321+W331+W730-W726</f>
        <v>#VALUE!</v>
      </c>
      <c r="X826" s="239" t="e">
        <f aca="false">+X321+X331+X730-X726</f>
        <v>#VALUE!</v>
      </c>
      <c r="Y826" s="239" t="e">
        <f aca="false">+Y321+Y331+Y730-Y726</f>
        <v>#VALUE!</v>
      </c>
      <c r="Z826" s="239" t="e">
        <f aca="false">+Z321+Z331+Z730-Z726</f>
        <v>#VALUE!</v>
      </c>
      <c r="AA826" s="239" t="e">
        <f aca="false">+AA321+AA331+AA730-AA726</f>
        <v>#VALUE!</v>
      </c>
      <c r="AB826" s="239" t="e">
        <f aca="false">+AB321+AB331+AB730-AB726</f>
        <v>#VALUE!</v>
      </c>
      <c r="AC826" s="239" t="e">
        <f aca="false">+AC321+AC331+AC730-AC726</f>
        <v>#VALUE!</v>
      </c>
      <c r="AD826" s="239" t="e">
        <f aca="false">+AD321+AD331+AD730-AD726</f>
        <v>#VALUE!</v>
      </c>
      <c r="AE826" s="239" t="e">
        <f aca="false">+AE321+AE331+AE730-AE726</f>
        <v>#VALUE!</v>
      </c>
      <c r="AF826" s="239" t="e">
        <f aca="false">+AF321+AF331+AF730-AF726</f>
        <v>#VALUE!</v>
      </c>
      <c r="AG826" s="239" t="e">
        <f aca="false">AF826</f>
        <v>#VALUE!</v>
      </c>
      <c r="AH826" s="239" t="e">
        <f aca="false">(5/12)*AG826</f>
        <v>#VALUE!</v>
      </c>
    </row>
    <row r="827" customFormat="false" ht="12" hidden="false" customHeight="false" outlineLevel="0" collapsed="false"/>
    <row r="828" customFormat="false" ht="12.75" hidden="false" customHeight="false" outlineLevel="0" collapsed="false">
      <c r="A828" s="795"/>
      <c r="B828" s="795"/>
      <c r="C828" s="795"/>
      <c r="D828" s="795"/>
      <c r="E828" s="795"/>
      <c r="F828" s="795"/>
      <c r="G828" s="795"/>
      <c r="H828" s="249" t="n">
        <v>36373</v>
      </c>
      <c r="I828" s="250" t="n">
        <v>36525</v>
      </c>
      <c r="J828" s="796" t="n">
        <v>36891</v>
      </c>
      <c r="K828" s="250" t="n">
        <v>37256</v>
      </c>
      <c r="L828" s="796" t="n">
        <v>37621</v>
      </c>
      <c r="M828" s="250" t="n">
        <v>37986</v>
      </c>
      <c r="N828" s="796" t="n">
        <v>38352</v>
      </c>
      <c r="O828" s="250" t="n">
        <v>38717</v>
      </c>
      <c r="P828" s="796" t="n">
        <v>39082</v>
      </c>
      <c r="Q828" s="250" t="n">
        <v>39447</v>
      </c>
      <c r="R828" s="796" t="n">
        <v>39813</v>
      </c>
      <c r="S828" s="250" t="n">
        <v>40178</v>
      </c>
      <c r="T828" s="796" t="n">
        <v>40543</v>
      </c>
      <c r="U828" s="250" t="n">
        <v>40908</v>
      </c>
      <c r="V828" s="796" t="n">
        <v>41274</v>
      </c>
      <c r="W828" s="250" t="n">
        <v>41639</v>
      </c>
      <c r="X828" s="796" t="n">
        <v>42004</v>
      </c>
      <c r="Y828" s="250" t="n">
        <v>42369</v>
      </c>
      <c r="Z828" s="796" t="n">
        <v>42735</v>
      </c>
      <c r="AA828" s="250" t="n">
        <v>43100</v>
      </c>
      <c r="AB828" s="796" t="n">
        <v>43465</v>
      </c>
      <c r="AC828" s="250" t="n">
        <v>43830</v>
      </c>
      <c r="AD828" s="796" t="n">
        <v>44196</v>
      </c>
      <c r="AE828" s="250" t="n">
        <v>44561</v>
      </c>
      <c r="AF828" s="796" t="n">
        <v>44926</v>
      </c>
      <c r="AG828" s="796" t="n">
        <v>45291</v>
      </c>
      <c r="AH828" s="796" t="n">
        <v>45443</v>
      </c>
      <c r="AI828" s="795"/>
      <c r="AJ828" s="795"/>
      <c r="AK828" s="795"/>
      <c r="AL828" s="795"/>
      <c r="AM828" s="795"/>
      <c r="AN828" s="795"/>
      <c r="AO828" s="795"/>
      <c r="AP828" s="795"/>
      <c r="AQ828" s="795"/>
      <c r="AR828" s="795"/>
      <c r="AS828" s="795"/>
      <c r="AT828" s="795"/>
      <c r="AU828" s="795"/>
      <c r="AV828" s="795"/>
      <c r="AW828" s="795"/>
      <c r="AX828" s="795"/>
      <c r="AY828" s="795"/>
      <c r="AZ828" s="795"/>
      <c r="BA828" s="795"/>
      <c r="BB828" s="795"/>
      <c r="BC828" s="795"/>
      <c r="BD828" s="795"/>
      <c r="BE828" s="795"/>
      <c r="BF828" s="795"/>
      <c r="BG828" s="795"/>
      <c r="BH828" s="795"/>
      <c r="BI828" s="795"/>
      <c r="BJ828" s="795"/>
      <c r="BK828" s="795"/>
      <c r="BL828" s="795"/>
      <c r="BM828" s="795"/>
      <c r="BN828" s="795"/>
      <c r="BO828" s="795"/>
      <c r="BP828" s="795"/>
      <c r="BQ828" s="795"/>
      <c r="BR828" s="795"/>
      <c r="BS828" s="795"/>
      <c r="BT828" s="795"/>
      <c r="BU828" s="795"/>
      <c r="BV828" s="795"/>
      <c r="BW828" s="795"/>
      <c r="BX828" s="795"/>
      <c r="BY828" s="795"/>
      <c r="BZ828" s="795"/>
      <c r="CA828" s="795"/>
      <c r="CB828" s="795"/>
      <c r="CC828" s="795"/>
      <c r="CD828" s="795"/>
      <c r="CE828" s="795"/>
      <c r="CF828" s="795"/>
      <c r="CG828" s="795"/>
      <c r="CH828" s="795"/>
      <c r="CI828" s="795"/>
      <c r="CJ828" s="795"/>
      <c r="CK828" s="795"/>
      <c r="CL828" s="795"/>
      <c r="CM828" s="795"/>
      <c r="CN828" s="795"/>
      <c r="CO828" s="795"/>
      <c r="CP828" s="795"/>
      <c r="CQ828" s="795"/>
      <c r="CR828" s="795"/>
      <c r="CS828" s="795"/>
      <c r="CT828" s="795"/>
      <c r="CU828" s="795"/>
      <c r="CV828" s="795"/>
      <c r="CW828" s="795"/>
      <c r="CX828" s="795"/>
      <c r="CY828" s="795"/>
      <c r="CZ828" s="795"/>
      <c r="DA828" s="795"/>
      <c r="DB828" s="795"/>
      <c r="DC828" s="795"/>
      <c r="DD828" s="795"/>
      <c r="DE828" s="795"/>
      <c r="DF828" s="795"/>
      <c r="DG828" s="795"/>
      <c r="DH828" s="795"/>
      <c r="DI828" s="795"/>
      <c r="DJ828" s="795"/>
      <c r="DK828" s="795"/>
      <c r="DL828" s="795"/>
      <c r="DM828" s="795"/>
      <c r="DN828" s="795"/>
      <c r="DO828" s="795"/>
      <c r="DP828" s="795"/>
      <c r="DQ828" s="795"/>
      <c r="DR828" s="795"/>
      <c r="DS828" s="795"/>
      <c r="DT828" s="795"/>
      <c r="DU828" s="795"/>
      <c r="DV828" s="795"/>
      <c r="DW828" s="795"/>
      <c r="DX828" s="795"/>
      <c r="DY828" s="795"/>
      <c r="DZ828" s="795"/>
      <c r="EA828" s="795"/>
      <c r="EB828" s="795"/>
      <c r="EC828" s="795"/>
      <c r="ED828" s="795"/>
      <c r="EE828" s="795"/>
      <c r="EF828" s="795"/>
      <c r="EG828" s="795"/>
      <c r="EH828" s="795"/>
      <c r="EI828" s="795"/>
      <c r="EJ828" s="795"/>
      <c r="EK828" s="795"/>
      <c r="EL828" s="795"/>
      <c r="EM828" s="795"/>
      <c r="EN828" s="795"/>
      <c r="EO828" s="795"/>
      <c r="EP828" s="795"/>
      <c r="EQ828" s="795"/>
      <c r="ER828" s="795"/>
      <c r="ES828" s="795"/>
      <c r="ET828" s="795"/>
      <c r="EU828" s="795"/>
      <c r="EV828" s="795"/>
      <c r="EW828" s="795"/>
      <c r="EX828" s="795"/>
      <c r="EY828" s="795"/>
      <c r="EZ828" s="795"/>
      <c r="FA828" s="795"/>
      <c r="FB828" s="795"/>
      <c r="FC828" s="795"/>
      <c r="FD828" s="795"/>
      <c r="FE828" s="795"/>
      <c r="FF828" s="795"/>
      <c r="FG828" s="795"/>
      <c r="FH828" s="795"/>
      <c r="FI828" s="795"/>
      <c r="FJ828" s="795"/>
      <c r="FK828" s="795"/>
      <c r="FL828" s="795"/>
      <c r="FM828" s="795"/>
      <c r="FN828" s="795"/>
      <c r="FO828" s="795"/>
      <c r="FP828" s="795"/>
      <c r="FQ828" s="795"/>
      <c r="FR828" s="795"/>
      <c r="FS828" s="795"/>
      <c r="FT828" s="795"/>
      <c r="FU828" s="795"/>
      <c r="FV828" s="795"/>
      <c r="FW828" s="795"/>
      <c r="FX828" s="795"/>
      <c r="FY828" s="795"/>
      <c r="FZ828" s="795"/>
      <c r="GA828" s="795"/>
      <c r="GB828" s="795"/>
      <c r="GC828" s="795"/>
      <c r="GD828" s="795"/>
      <c r="GE828" s="795"/>
      <c r="GF828" s="795"/>
      <c r="GG828" s="795"/>
      <c r="GH828" s="795"/>
      <c r="GI828" s="795"/>
      <c r="GJ828" s="795"/>
      <c r="GK828" s="795"/>
      <c r="GL828" s="795"/>
      <c r="GM828" s="795"/>
      <c r="GN828" s="795"/>
      <c r="GO828" s="795"/>
      <c r="GP828" s="795"/>
      <c r="GQ828" s="795"/>
      <c r="GR828" s="795"/>
      <c r="GS828" s="795"/>
      <c r="GT828" s="795"/>
      <c r="GU828" s="795"/>
      <c r="GV828" s="795"/>
      <c r="GW828" s="795"/>
      <c r="GX828" s="795"/>
      <c r="GY828" s="795"/>
      <c r="GZ828" s="795"/>
      <c r="HA828" s="795"/>
      <c r="HB828" s="795"/>
      <c r="HC828" s="795"/>
      <c r="HD828" s="795"/>
      <c r="HE828" s="795"/>
      <c r="HF828" s="795"/>
      <c r="HG828" s="795"/>
      <c r="HH828" s="795"/>
      <c r="HI828" s="795"/>
      <c r="HJ828" s="795"/>
      <c r="HK828" s="795"/>
      <c r="HL828" s="795"/>
      <c r="HM828" s="795"/>
      <c r="HN828" s="795"/>
      <c r="HO828" s="795"/>
      <c r="HP828" s="795"/>
      <c r="HQ828" s="795"/>
      <c r="HR828" s="795"/>
      <c r="HS828" s="795"/>
      <c r="HT828" s="795"/>
      <c r="HU828" s="795"/>
      <c r="HV828" s="795"/>
      <c r="HW828" s="795"/>
      <c r="HX828" s="795"/>
      <c r="HY828" s="795"/>
      <c r="HZ828" s="795"/>
      <c r="IA828" s="795"/>
      <c r="IB828" s="795"/>
      <c r="IC828" s="795"/>
      <c r="ID828" s="795"/>
      <c r="IE828" s="795"/>
      <c r="IF828" s="795"/>
      <c r="IG828" s="795"/>
      <c r="IH828" s="795"/>
      <c r="II828" s="795"/>
      <c r="IJ828" s="795"/>
      <c r="IK828" s="795"/>
      <c r="IL828" s="795"/>
      <c r="IM828" s="795"/>
      <c r="IN828" s="795"/>
      <c r="IO828" s="795"/>
      <c r="IP828" s="795"/>
      <c r="IQ828" s="795"/>
      <c r="IR828" s="795"/>
      <c r="IS828" s="795"/>
      <c r="IT828" s="795"/>
      <c r="IU828" s="795"/>
      <c r="IV828" s="795"/>
      <c r="IW828" s="795"/>
    </row>
    <row r="829" customFormat="false" ht="12" hidden="false" customHeight="false" outlineLevel="0" collapsed="false">
      <c r="A829" s="797"/>
      <c r="B829" s="797"/>
      <c r="C829" s="797" t="s">
        <v>0</v>
      </c>
      <c r="D829" s="797"/>
      <c r="E829" s="797"/>
      <c r="F829" s="797"/>
      <c r="G829" s="797"/>
      <c r="H829" s="797"/>
      <c r="I829" s="797" t="n">
        <v>0</v>
      </c>
      <c r="J829" s="797" t="n">
        <v>0</v>
      </c>
      <c r="K829" s="797" t="n">
        <v>0</v>
      </c>
      <c r="L829" s="797" t="n">
        <v>0</v>
      </c>
      <c r="M829" s="797" t="n">
        <v>0</v>
      </c>
      <c r="N829" s="797" t="n">
        <v>0</v>
      </c>
      <c r="O829" s="797" t="n">
        <v>0</v>
      </c>
      <c r="P829" s="797" t="n">
        <v>0</v>
      </c>
      <c r="Q829" s="797" t="n">
        <v>0</v>
      </c>
      <c r="R829" s="797" t="n">
        <v>0</v>
      </c>
      <c r="S829" s="797" t="n">
        <v>0</v>
      </c>
      <c r="T829" s="797" t="n">
        <v>0</v>
      </c>
      <c r="U829" s="797" t="n">
        <v>0</v>
      </c>
      <c r="V829" s="797" t="n">
        <v>0</v>
      </c>
      <c r="W829" s="797" t="n">
        <v>0</v>
      </c>
      <c r="X829" s="797" t="n">
        <v>0</v>
      </c>
      <c r="Y829" s="797" t="n">
        <v>0</v>
      </c>
      <c r="Z829" s="797" t="n">
        <v>0</v>
      </c>
      <c r="AA829" s="797" t="n">
        <v>0</v>
      </c>
      <c r="AB829" s="797" t="n">
        <v>0</v>
      </c>
      <c r="AC829" s="797" t="n">
        <v>0</v>
      </c>
      <c r="AD829" s="797" t="n">
        <v>0</v>
      </c>
      <c r="AE829" s="797" t="n">
        <v>0</v>
      </c>
      <c r="AF829" s="797" t="n">
        <v>0</v>
      </c>
      <c r="AG829" s="797" t="n">
        <v>0</v>
      </c>
      <c r="AH829" s="797" t="n">
        <v>0</v>
      </c>
      <c r="AI829" s="797"/>
      <c r="AJ829" s="797"/>
      <c r="AK829" s="797"/>
      <c r="AL829" s="797"/>
      <c r="AM829" s="797"/>
      <c r="AN829" s="797"/>
      <c r="AO829" s="797"/>
      <c r="AP829" s="797"/>
      <c r="AQ829" s="797"/>
      <c r="AR829" s="797"/>
      <c r="AS829" s="797"/>
      <c r="AT829" s="797"/>
      <c r="AU829" s="797"/>
      <c r="AV829" s="797"/>
      <c r="AW829" s="797"/>
      <c r="AX829" s="797"/>
      <c r="AY829" s="797"/>
      <c r="AZ829" s="797"/>
      <c r="BA829" s="797"/>
      <c r="BB829" s="797"/>
      <c r="BC829" s="797"/>
      <c r="BD829" s="797"/>
      <c r="BE829" s="797"/>
      <c r="BF829" s="797"/>
      <c r="BG829" s="797"/>
      <c r="BH829" s="797"/>
      <c r="BI829" s="797"/>
      <c r="BJ829" s="797"/>
      <c r="BK829" s="797"/>
      <c r="BL829" s="797"/>
      <c r="BM829" s="797"/>
      <c r="BN829" s="797"/>
      <c r="BO829" s="797"/>
      <c r="BP829" s="797"/>
      <c r="BQ829" s="797"/>
      <c r="BR829" s="797"/>
      <c r="BS829" s="797"/>
      <c r="BT829" s="797"/>
      <c r="BU829" s="797"/>
      <c r="BV829" s="797"/>
      <c r="BW829" s="797"/>
      <c r="BX829" s="797"/>
      <c r="BY829" s="797"/>
      <c r="BZ829" s="797"/>
      <c r="CA829" s="797"/>
      <c r="CB829" s="797"/>
      <c r="CC829" s="797"/>
      <c r="CD829" s="797"/>
      <c r="CE829" s="797"/>
      <c r="CF829" s="797"/>
      <c r="CG829" s="797"/>
      <c r="CH829" s="797"/>
      <c r="CI829" s="797"/>
      <c r="CJ829" s="797"/>
      <c r="CK829" s="797"/>
      <c r="CL829" s="797"/>
      <c r="CM829" s="797"/>
      <c r="CN829" s="797"/>
      <c r="CO829" s="797"/>
      <c r="CP829" s="797"/>
      <c r="CQ829" s="797"/>
      <c r="CR829" s="797"/>
      <c r="CS829" s="797"/>
      <c r="CT829" s="797"/>
      <c r="CU829" s="797"/>
      <c r="CV829" s="797"/>
      <c r="CW829" s="797"/>
      <c r="CX829" s="797"/>
      <c r="CY829" s="797"/>
      <c r="CZ829" s="797"/>
      <c r="DA829" s="797"/>
      <c r="DB829" s="797"/>
      <c r="DC829" s="797"/>
      <c r="DD829" s="797"/>
      <c r="DE829" s="797"/>
      <c r="DF829" s="797"/>
      <c r="DG829" s="797"/>
      <c r="DH829" s="797"/>
      <c r="DI829" s="797"/>
      <c r="DJ829" s="797"/>
      <c r="DK829" s="797"/>
      <c r="DL829" s="797"/>
      <c r="DM829" s="797"/>
      <c r="DN829" s="797"/>
      <c r="DO829" s="797"/>
      <c r="DP829" s="797"/>
      <c r="DQ829" s="797"/>
      <c r="DR829" s="797"/>
      <c r="DS829" s="797"/>
      <c r="DT829" s="797"/>
      <c r="DU829" s="797"/>
      <c r="DV829" s="797"/>
      <c r="DW829" s="797"/>
      <c r="DX829" s="797"/>
      <c r="DY829" s="797"/>
      <c r="DZ829" s="797"/>
      <c r="EA829" s="797"/>
      <c r="EB829" s="797"/>
      <c r="EC829" s="797"/>
      <c r="ED829" s="797"/>
      <c r="EE829" s="797"/>
      <c r="EF829" s="797"/>
      <c r="EG829" s="797"/>
      <c r="EH829" s="797"/>
      <c r="EI829" s="797"/>
      <c r="EJ829" s="797"/>
      <c r="EK829" s="797"/>
      <c r="EL829" s="797"/>
      <c r="EM829" s="797"/>
      <c r="EN829" s="797"/>
      <c r="EO829" s="797"/>
      <c r="EP829" s="797"/>
      <c r="EQ829" s="797"/>
      <c r="ER829" s="797"/>
      <c r="ES829" s="797"/>
      <c r="ET829" s="797"/>
      <c r="EU829" s="797"/>
      <c r="EV829" s="797"/>
      <c r="EW829" s="797"/>
      <c r="EX829" s="797"/>
      <c r="EY829" s="797"/>
      <c r="EZ829" s="797"/>
      <c r="FA829" s="797"/>
      <c r="FB829" s="797"/>
      <c r="FC829" s="797"/>
      <c r="FD829" s="797"/>
      <c r="FE829" s="797"/>
      <c r="FF829" s="797"/>
      <c r="FG829" s="797"/>
      <c r="FH829" s="797"/>
      <c r="FI829" s="797"/>
      <c r="FJ829" s="797"/>
      <c r="FK829" s="797"/>
      <c r="FL829" s="797"/>
      <c r="FM829" s="797"/>
      <c r="FN829" s="797"/>
      <c r="FO829" s="797"/>
      <c r="FP829" s="797"/>
      <c r="FQ829" s="797"/>
      <c r="FR829" s="797"/>
      <c r="FS829" s="797"/>
      <c r="FT829" s="797"/>
      <c r="FU829" s="797"/>
      <c r="FV829" s="797"/>
      <c r="FW829" s="797"/>
      <c r="FX829" s="797"/>
      <c r="FY829" s="797"/>
      <c r="FZ829" s="797"/>
      <c r="GA829" s="797"/>
      <c r="GB829" s="797"/>
      <c r="GC829" s="797"/>
      <c r="GD829" s="797"/>
      <c r="GE829" s="797"/>
      <c r="GF829" s="797"/>
      <c r="GG829" s="797"/>
      <c r="GH829" s="797"/>
      <c r="GI829" s="797"/>
      <c r="GJ829" s="797"/>
      <c r="GK829" s="797"/>
      <c r="GL829" s="797"/>
      <c r="GM829" s="797"/>
      <c r="GN829" s="797"/>
      <c r="GO829" s="797"/>
      <c r="GP829" s="797"/>
      <c r="GQ829" s="797"/>
      <c r="GR829" s="797"/>
      <c r="GS829" s="797"/>
      <c r="GT829" s="797"/>
      <c r="GU829" s="797"/>
      <c r="GV829" s="797"/>
      <c r="GW829" s="797"/>
      <c r="GX829" s="797"/>
      <c r="GY829" s="797"/>
      <c r="GZ829" s="797"/>
      <c r="HA829" s="797"/>
      <c r="HB829" s="797"/>
      <c r="HC829" s="797"/>
      <c r="HD829" s="797"/>
      <c r="HE829" s="797"/>
      <c r="HF829" s="797"/>
      <c r="HG829" s="797"/>
      <c r="HH829" s="797"/>
      <c r="HI829" s="797"/>
      <c r="HJ829" s="797"/>
      <c r="HK829" s="797"/>
      <c r="HL829" s="797"/>
      <c r="HM829" s="797"/>
      <c r="HN829" s="797"/>
      <c r="HO829" s="797"/>
      <c r="HP829" s="797"/>
      <c r="HQ829" s="797"/>
      <c r="HR829" s="797"/>
      <c r="HS829" s="797"/>
      <c r="HT829" s="797"/>
      <c r="HU829" s="797"/>
      <c r="HV829" s="797"/>
      <c r="HW829" s="797"/>
      <c r="HX829" s="797"/>
      <c r="HY829" s="797"/>
      <c r="HZ829" s="797"/>
      <c r="IA829" s="797"/>
      <c r="IB829" s="797"/>
      <c r="IC829" s="797"/>
      <c r="ID829" s="797"/>
      <c r="IE829" s="797"/>
      <c r="IF829" s="797"/>
      <c r="IG829" s="797"/>
      <c r="IH829" s="797"/>
      <c r="II829" s="797"/>
      <c r="IJ829" s="797"/>
      <c r="IK829" s="797"/>
      <c r="IL829" s="797"/>
      <c r="IM829" s="797"/>
      <c r="IN829" s="797"/>
      <c r="IO829" s="797"/>
      <c r="IP829" s="797"/>
      <c r="IQ829" s="797"/>
      <c r="IR829" s="797"/>
      <c r="IS829" s="797"/>
      <c r="IT829" s="797"/>
      <c r="IU829" s="797"/>
      <c r="IV829" s="797"/>
      <c r="IW829" s="797"/>
    </row>
    <row r="830" customFormat="false" ht="11.25" hidden="false" customHeight="false" outlineLevel="0" collapsed="false">
      <c r="A830" s="797"/>
      <c r="B830" s="797"/>
      <c r="C830" s="797" t="s">
        <v>0</v>
      </c>
      <c r="D830" s="797"/>
      <c r="E830" s="797"/>
      <c r="F830" s="797"/>
      <c r="G830" s="797"/>
      <c r="H830" s="797"/>
      <c r="I830" s="797" t="n">
        <v>0</v>
      </c>
      <c r="J830" s="797" t="n">
        <v>0</v>
      </c>
      <c r="K830" s="797" t="n">
        <v>0</v>
      </c>
      <c r="L830" s="797" t="n">
        <v>0</v>
      </c>
      <c r="M830" s="797" t="n">
        <v>0</v>
      </c>
      <c r="N830" s="797" t="n">
        <v>0</v>
      </c>
      <c r="O830" s="797" t="n">
        <v>0</v>
      </c>
      <c r="P830" s="797" t="n">
        <v>0</v>
      </c>
      <c r="Q830" s="797" t="n">
        <v>0</v>
      </c>
      <c r="R830" s="797" t="n">
        <v>0</v>
      </c>
      <c r="S830" s="797" t="n">
        <v>0</v>
      </c>
      <c r="T830" s="797" t="n">
        <v>0</v>
      </c>
      <c r="U830" s="797" t="n">
        <v>0</v>
      </c>
      <c r="V830" s="797" t="n">
        <v>0</v>
      </c>
      <c r="W830" s="797" t="n">
        <v>0</v>
      </c>
      <c r="X830" s="797" t="n">
        <v>0</v>
      </c>
      <c r="Y830" s="797" t="n">
        <v>0</v>
      </c>
      <c r="Z830" s="797" t="n">
        <v>0</v>
      </c>
      <c r="AA830" s="797" t="n">
        <v>0</v>
      </c>
      <c r="AB830" s="797" t="n">
        <v>0</v>
      </c>
      <c r="AC830" s="797" t="n">
        <v>0</v>
      </c>
      <c r="AD830" s="797" t="n">
        <v>0</v>
      </c>
      <c r="AE830" s="797" t="n">
        <v>0</v>
      </c>
      <c r="AF830" s="797" t="n">
        <v>0</v>
      </c>
      <c r="AG830" s="797" t="n">
        <v>0</v>
      </c>
      <c r="AH830" s="797" t="n">
        <v>0</v>
      </c>
      <c r="AI830" s="797"/>
      <c r="AJ830" s="797"/>
      <c r="AK830" s="797"/>
      <c r="AL830" s="797"/>
      <c r="AM830" s="797"/>
      <c r="AN830" s="797"/>
      <c r="AO830" s="797"/>
      <c r="AP830" s="797"/>
      <c r="AQ830" s="797"/>
      <c r="AR830" s="797"/>
      <c r="AS830" s="797"/>
      <c r="AT830" s="797"/>
      <c r="AU830" s="797"/>
      <c r="AV830" s="797"/>
      <c r="AW830" s="797"/>
      <c r="AX830" s="797"/>
      <c r="AY830" s="797"/>
      <c r="AZ830" s="797"/>
      <c r="BA830" s="797"/>
      <c r="BB830" s="797"/>
      <c r="BC830" s="797"/>
      <c r="BD830" s="797"/>
      <c r="BE830" s="797"/>
      <c r="BF830" s="797"/>
      <c r="BG830" s="797"/>
      <c r="BH830" s="797"/>
      <c r="BI830" s="797"/>
      <c r="BJ830" s="797"/>
      <c r="BK830" s="797"/>
      <c r="BL830" s="797"/>
      <c r="BM830" s="797"/>
      <c r="BN830" s="797"/>
      <c r="BO830" s="797"/>
      <c r="BP830" s="797"/>
      <c r="BQ830" s="797"/>
      <c r="BR830" s="797"/>
      <c r="BS830" s="797"/>
      <c r="BT830" s="797"/>
      <c r="BU830" s="797"/>
      <c r="BV830" s="797"/>
      <c r="BW830" s="797"/>
      <c r="BX830" s="797"/>
      <c r="BY830" s="797"/>
      <c r="BZ830" s="797"/>
      <c r="CA830" s="797"/>
      <c r="CB830" s="797"/>
      <c r="CC830" s="797"/>
      <c r="CD830" s="797"/>
      <c r="CE830" s="797"/>
      <c r="CF830" s="797"/>
      <c r="CG830" s="797"/>
      <c r="CH830" s="797"/>
      <c r="CI830" s="797"/>
      <c r="CJ830" s="797"/>
      <c r="CK830" s="797"/>
      <c r="CL830" s="797"/>
      <c r="CM830" s="797"/>
      <c r="CN830" s="797"/>
      <c r="CO830" s="797"/>
      <c r="CP830" s="797"/>
      <c r="CQ830" s="797"/>
      <c r="CR830" s="797"/>
      <c r="CS830" s="797"/>
      <c r="CT830" s="797"/>
      <c r="CU830" s="797"/>
      <c r="CV830" s="797"/>
      <c r="CW830" s="797"/>
      <c r="CX830" s="797"/>
      <c r="CY830" s="797"/>
      <c r="CZ830" s="797"/>
      <c r="DA830" s="797"/>
      <c r="DB830" s="797"/>
      <c r="DC830" s="797"/>
      <c r="DD830" s="797"/>
      <c r="DE830" s="797"/>
      <c r="DF830" s="797"/>
      <c r="DG830" s="797"/>
      <c r="DH830" s="797"/>
      <c r="DI830" s="797"/>
      <c r="DJ830" s="797"/>
      <c r="DK830" s="797"/>
      <c r="DL830" s="797"/>
      <c r="DM830" s="797"/>
      <c r="DN830" s="797"/>
      <c r="DO830" s="797"/>
      <c r="DP830" s="797"/>
      <c r="DQ830" s="797"/>
      <c r="DR830" s="797"/>
      <c r="DS830" s="797"/>
      <c r="DT830" s="797"/>
      <c r="DU830" s="797"/>
      <c r="DV830" s="797"/>
      <c r="DW830" s="797"/>
      <c r="DX830" s="797"/>
      <c r="DY830" s="797"/>
      <c r="DZ830" s="797"/>
      <c r="EA830" s="797"/>
      <c r="EB830" s="797"/>
      <c r="EC830" s="797"/>
      <c r="ED830" s="797"/>
      <c r="EE830" s="797"/>
      <c r="EF830" s="797"/>
      <c r="EG830" s="797"/>
      <c r="EH830" s="797"/>
      <c r="EI830" s="797"/>
      <c r="EJ830" s="797"/>
      <c r="EK830" s="797"/>
      <c r="EL830" s="797"/>
      <c r="EM830" s="797"/>
      <c r="EN830" s="797"/>
      <c r="EO830" s="797"/>
      <c r="EP830" s="797"/>
      <c r="EQ830" s="797"/>
      <c r="ER830" s="797"/>
      <c r="ES830" s="797"/>
      <c r="ET830" s="797"/>
      <c r="EU830" s="797"/>
      <c r="EV830" s="797"/>
      <c r="EW830" s="797"/>
      <c r="EX830" s="797"/>
      <c r="EY830" s="797"/>
      <c r="EZ830" s="797"/>
      <c r="FA830" s="797"/>
      <c r="FB830" s="797"/>
      <c r="FC830" s="797"/>
      <c r="FD830" s="797"/>
      <c r="FE830" s="797"/>
      <c r="FF830" s="797"/>
      <c r="FG830" s="797"/>
      <c r="FH830" s="797"/>
      <c r="FI830" s="797"/>
      <c r="FJ830" s="797"/>
      <c r="FK830" s="797"/>
      <c r="FL830" s="797"/>
      <c r="FM830" s="797"/>
      <c r="FN830" s="797"/>
      <c r="FO830" s="797"/>
      <c r="FP830" s="797"/>
      <c r="FQ830" s="797"/>
      <c r="FR830" s="797"/>
      <c r="FS830" s="797"/>
      <c r="FT830" s="797"/>
      <c r="FU830" s="797"/>
      <c r="FV830" s="797"/>
      <c r="FW830" s="797"/>
      <c r="FX830" s="797"/>
      <c r="FY830" s="797"/>
      <c r="FZ830" s="797"/>
      <c r="GA830" s="797"/>
      <c r="GB830" s="797"/>
      <c r="GC830" s="797"/>
      <c r="GD830" s="797"/>
      <c r="GE830" s="797"/>
      <c r="GF830" s="797"/>
      <c r="GG830" s="797"/>
      <c r="GH830" s="797"/>
      <c r="GI830" s="797"/>
      <c r="GJ830" s="797"/>
      <c r="GK830" s="797"/>
      <c r="GL830" s="797"/>
      <c r="GM830" s="797"/>
      <c r="GN830" s="797"/>
      <c r="GO830" s="797"/>
      <c r="GP830" s="797"/>
      <c r="GQ830" s="797"/>
      <c r="GR830" s="797"/>
      <c r="GS830" s="797"/>
      <c r="GT830" s="797"/>
      <c r="GU830" s="797"/>
      <c r="GV830" s="797"/>
      <c r="GW830" s="797"/>
      <c r="GX830" s="797"/>
      <c r="GY830" s="797"/>
      <c r="GZ830" s="797"/>
      <c r="HA830" s="797"/>
      <c r="HB830" s="797"/>
      <c r="HC830" s="797"/>
      <c r="HD830" s="797"/>
      <c r="HE830" s="797"/>
      <c r="HF830" s="797"/>
      <c r="HG830" s="797"/>
      <c r="HH830" s="797"/>
      <c r="HI830" s="797"/>
      <c r="HJ830" s="797"/>
      <c r="HK830" s="797"/>
      <c r="HL830" s="797"/>
      <c r="HM830" s="797"/>
      <c r="HN830" s="797"/>
      <c r="HO830" s="797"/>
      <c r="HP830" s="797"/>
      <c r="HQ830" s="797"/>
      <c r="HR830" s="797"/>
      <c r="HS830" s="797"/>
      <c r="HT830" s="797"/>
      <c r="HU830" s="797"/>
      <c r="HV830" s="797"/>
      <c r="HW830" s="797"/>
      <c r="HX830" s="797"/>
      <c r="HY830" s="797"/>
      <c r="HZ830" s="797"/>
      <c r="IA830" s="797"/>
      <c r="IB830" s="797"/>
      <c r="IC830" s="797"/>
      <c r="ID830" s="797"/>
      <c r="IE830" s="797"/>
      <c r="IF830" s="797"/>
      <c r="IG830" s="797"/>
      <c r="IH830" s="797"/>
      <c r="II830" s="797"/>
      <c r="IJ830" s="797"/>
      <c r="IK830" s="797"/>
      <c r="IL830" s="797"/>
      <c r="IM830" s="797"/>
      <c r="IN830" s="797"/>
      <c r="IO830" s="797"/>
      <c r="IP830" s="797"/>
      <c r="IQ830" s="797"/>
      <c r="IR830" s="797"/>
      <c r="IS830" s="797"/>
      <c r="IT830" s="797"/>
      <c r="IU830" s="797"/>
      <c r="IV830" s="797"/>
      <c r="IW830" s="797"/>
    </row>
    <row r="831" customFormat="false" ht="11.25" hidden="false" customHeight="false" outlineLevel="0" collapsed="false">
      <c r="C831" s="235" t="s">
        <v>0</v>
      </c>
      <c r="I831" s="235" t="n">
        <v>0</v>
      </c>
      <c r="J831" s="235" t="n">
        <v>0</v>
      </c>
      <c r="K831" s="235" t="n">
        <v>0</v>
      </c>
      <c r="L831" s="235" t="n">
        <v>0</v>
      </c>
      <c r="M831" s="235" t="n">
        <v>0</v>
      </c>
      <c r="N831" s="235" t="n">
        <v>0</v>
      </c>
      <c r="O831" s="235" t="n">
        <v>0</v>
      </c>
      <c r="P831" s="235" t="n">
        <v>0</v>
      </c>
      <c r="Q831" s="235" t="n">
        <v>0</v>
      </c>
      <c r="R831" s="235" t="n">
        <v>0</v>
      </c>
      <c r="S831" s="235" t="n">
        <v>0</v>
      </c>
      <c r="T831" s="235" t="n">
        <v>0</v>
      </c>
      <c r="U831" s="235" t="n">
        <v>0</v>
      </c>
      <c r="V831" s="235" t="n">
        <v>0</v>
      </c>
      <c r="W831" s="235" t="n">
        <v>0</v>
      </c>
      <c r="X831" s="235" t="n">
        <v>0</v>
      </c>
      <c r="Y831" s="235" t="n">
        <v>0</v>
      </c>
      <c r="Z831" s="235" t="n">
        <v>0</v>
      </c>
      <c r="AA831" s="235" t="n">
        <v>0</v>
      </c>
      <c r="AB831" s="235" t="n">
        <v>0</v>
      </c>
      <c r="AC831" s="235" t="n">
        <v>0</v>
      </c>
      <c r="AD831" s="235" t="n">
        <v>0</v>
      </c>
      <c r="AE831" s="235" t="n">
        <v>0</v>
      </c>
      <c r="AF831" s="235" t="n">
        <v>0</v>
      </c>
      <c r="AG831" s="235" t="n">
        <v>0</v>
      </c>
      <c r="AH831" s="235" t="n">
        <v>0</v>
      </c>
    </row>
    <row r="832" customFormat="false" ht="11.25" hidden="false" customHeight="false" outlineLevel="0" collapsed="false">
      <c r="B832" s="798" t="n">
        <v>0</v>
      </c>
      <c r="C832" s="235" t="s">
        <v>0</v>
      </c>
      <c r="H832" s="402"/>
      <c r="I832" s="402" t="n">
        <f aca="false">IF(I831&gt;0,B832*(I415-I407-I430),0)</f>
        <v>0</v>
      </c>
      <c r="J832" s="402" t="n">
        <f aca="false">IF(AND(I831=0,J831&gt;0),(1-$B$832)*(J415-J407-J430),0)</f>
        <v>0</v>
      </c>
      <c r="K832" s="402" t="n">
        <f aca="false">IF(AND(J831=0,K831&gt;0),(1-$B$832)*(K415-K407-K430),0)</f>
        <v>0</v>
      </c>
      <c r="L832" s="402" t="n">
        <f aca="false">IF(AND(K831=0,L831&gt;0),(1-$B$832)*(L415-L407-L430),0)</f>
        <v>0</v>
      </c>
      <c r="M832" s="402" t="n">
        <f aca="false">IF(AND(L831=0,M831&gt;0),(1-$B$832)*(M415-M407-M430),0)</f>
        <v>0</v>
      </c>
      <c r="N832" s="402" t="n">
        <f aca="false">IF(AND(M831=0,N831&gt;0),(1-$B$832)*(N415-N407-N430),0)</f>
        <v>0</v>
      </c>
      <c r="O832" s="402" t="n">
        <f aca="false">IF(AND(N831=0,O831&gt;0),(1-$B$832)*(O415-O407-O430),0)</f>
        <v>0</v>
      </c>
      <c r="P832" s="402" t="n">
        <f aca="false">IF(AND(O831=0,P831&gt;0),(1-$B$832)*(P415-P407-P430),0)</f>
        <v>0</v>
      </c>
      <c r="Q832" s="402" t="n">
        <f aca="false">IF(AND(P831=0,Q831&gt;0),(1-$B$832)*(Q415-Q407-Q430),0)</f>
        <v>0</v>
      </c>
      <c r="R832" s="402" t="n">
        <f aca="false">IF(AND(Q831=0,R831&gt;0),(1-$B$832)*(R415-R407-R430),0)</f>
        <v>0</v>
      </c>
      <c r="S832" s="402" t="n">
        <f aca="false">IF(AND(R831=0,S831&gt;0),(1-$B$832)*(S415-S407-S430),0)</f>
        <v>0</v>
      </c>
      <c r="T832" s="402" t="n">
        <f aca="false">IF(AND(S831=0,T831&gt;0),(1-$B$832)*(T415-T407-T430),0)</f>
        <v>0</v>
      </c>
      <c r="U832" s="402" t="n">
        <f aca="false">IF(AND(T831=0,U831&gt;0),(1-$B$832)*(U415-U407-U430),0)</f>
        <v>0</v>
      </c>
      <c r="V832" s="402" t="n">
        <f aca="false">IF(AND(U831=0,V831&gt;0),(1-$B$832)*(V415-V407-V430),0)</f>
        <v>0</v>
      </c>
      <c r="W832" s="402" t="n">
        <f aca="false">IF(AND(V831=0,W831&gt;0),(1-$B$832)*(W415-W407-W430),0)</f>
        <v>0</v>
      </c>
      <c r="X832" s="402" t="n">
        <f aca="false">IF(AND(W831=0,X831&gt;0),(1-$B$832)*(X415-X407-X430),0)</f>
        <v>0</v>
      </c>
      <c r="Y832" s="402" t="n">
        <f aca="false">IF(AND(X831=0,Y831&gt;0),(1-$B$832)*(Y415-Y407-Y430),0)</f>
        <v>0</v>
      </c>
      <c r="Z832" s="402" t="n">
        <f aca="false">IF(AND(Y831=0,Z831&gt;0),(1-$B$832)*(Z415-Z407-Z430),0)</f>
        <v>0</v>
      </c>
      <c r="AA832" s="402" t="n">
        <f aca="false">IF(AND(Z831=0,AA831&gt;0),(1-$B$832)*(AA415-AA407-AA430),0)</f>
        <v>0</v>
      </c>
      <c r="AB832" s="402" t="n">
        <f aca="false">IF(AND(AA831=0,AB831&gt;0),(1-$B$832)*(AB415-AB407-AB430),0)</f>
        <v>0</v>
      </c>
      <c r="AC832" s="402" t="n">
        <f aca="false">IF(AND(AB831=0,AC831&gt;0),(1-$B$832)*(AC415-AC407-AC430),0)</f>
        <v>0</v>
      </c>
      <c r="AD832" s="402" t="n">
        <f aca="false">IF(AND(AC831=0,AD831&gt;0),(1-$B$832)*(AD415-AD407-AD430),0)</f>
        <v>0</v>
      </c>
      <c r="AE832" s="402" t="n">
        <f aca="false">IF(AND(AD831=0,AE831&gt;0),(1-$B$832)*(AE415-AE407-AE430),0)</f>
        <v>0</v>
      </c>
      <c r="AF832" s="402" t="n">
        <f aca="false">IF(AND(AE831=0,AF831&gt;0),(1-$B$832)*(AF415-AF407-AF430),0)</f>
        <v>0</v>
      </c>
      <c r="AG832" s="402" t="n">
        <f aca="false">IF(AND(AF831=0,AG831&gt;0),(1-$B$832)*(AG415-AG407-AG430),0)</f>
        <v>0</v>
      </c>
      <c r="AH832" s="402" t="n">
        <f aca="false">IF(AND(AG831=0,AH831&gt;0),(1-$B$832)*(AH415-AH407-AH430),0)</f>
        <v>0</v>
      </c>
    </row>
    <row r="833" customFormat="false" ht="11.25" hidden="false" customHeight="false" outlineLevel="0" collapsed="false">
      <c r="B833" s="798"/>
      <c r="C833" s="235" t="s">
        <v>0</v>
      </c>
      <c r="H833" s="402"/>
      <c r="I833" s="402"/>
      <c r="J833" s="402" t="n">
        <v>0</v>
      </c>
      <c r="K833" s="402" t="n">
        <v>0</v>
      </c>
      <c r="L833" s="402" t="n">
        <v>0</v>
      </c>
      <c r="M833" s="402" t="n">
        <v>0</v>
      </c>
      <c r="N833" s="402" t="n">
        <v>0</v>
      </c>
      <c r="O833" s="402" t="n">
        <v>0</v>
      </c>
      <c r="P833" s="402" t="n">
        <v>0</v>
      </c>
      <c r="Q833" s="402" t="n">
        <v>0</v>
      </c>
      <c r="R833" s="402" t="n">
        <v>0</v>
      </c>
      <c r="S833" s="402" t="n">
        <v>0</v>
      </c>
      <c r="T833" s="402" t="n">
        <v>0</v>
      </c>
      <c r="U833" s="402" t="n">
        <v>0</v>
      </c>
      <c r="V833" s="402" t="n">
        <v>0</v>
      </c>
      <c r="W833" s="402" t="n">
        <v>0</v>
      </c>
      <c r="X833" s="402" t="n">
        <v>0</v>
      </c>
      <c r="Y833" s="402" t="n">
        <v>0</v>
      </c>
      <c r="Z833" s="402" t="n">
        <v>0</v>
      </c>
      <c r="AA833" s="402" t="n">
        <v>0</v>
      </c>
      <c r="AB833" s="402" t="n">
        <v>0</v>
      </c>
      <c r="AC833" s="402" t="n">
        <v>0</v>
      </c>
      <c r="AD833" s="402" t="n">
        <v>0</v>
      </c>
      <c r="AE833" s="402" t="n">
        <v>0</v>
      </c>
      <c r="AF833" s="402" t="n">
        <v>0</v>
      </c>
      <c r="AG833" s="402" t="n">
        <v>0</v>
      </c>
      <c r="AH833" s="402" t="n">
        <v>0</v>
      </c>
    </row>
    <row r="834" customFormat="false" ht="11.25" hidden="false" customHeight="false" outlineLevel="0" collapsed="false">
      <c r="C834" s="235" t="s">
        <v>743</v>
      </c>
      <c r="H834" s="402" t="n">
        <f aca="false">H736</f>
        <v>-24000</v>
      </c>
      <c r="I834" s="402"/>
      <c r="J834" s="799" t="e">
        <f aca="false">IF(AND(I831=0,J831=1),J832,IF(J830=1,0.5*(J736+J833),(IF($J$829=1,(J$736+J833),IF(J831=1,J832,(J736+J833))))))</f>
        <v>#VALUE!</v>
      </c>
      <c r="K834" s="799" t="e">
        <f aca="false">IF(AND(J831=0,K831=1),K832,IF(K830=1,0.5*(K736+K833),(IF($J$829=1,(K$736+K833),IF(K831=1,K832,(K736+K833))))))</f>
        <v>#VALUE!</v>
      </c>
      <c r="L834" s="799" t="e">
        <f aca="false">IF(AND(K831=0,L831=1),L832,IF(L830=1,0.5*(L736+L833),(IF($J$829=1,(L$736+L833),IF(L831=1,L832,(L736+L833))))))</f>
        <v>#VALUE!</v>
      </c>
      <c r="M834" s="799" t="e">
        <f aca="false">IF(AND(L831=0,M831=1),M832,IF(M830=1,0.5*(M736+M833),(IF($J$829=1,(M$736+M833),IF(M831=1,M832,(M736+M833))))))</f>
        <v>#VALUE!</v>
      </c>
      <c r="N834" s="799" t="e">
        <f aca="false">IF(AND(M831=0,N831=1),N832,IF(N830=1,0.5*(N736+N833),(IF($J$829=1,(N$736+N833),IF(N831=1,N832,(N736+N833))))))</f>
        <v>#VALUE!</v>
      </c>
      <c r="O834" s="799" t="e">
        <f aca="false">IF(AND(N831=0,O831=1),O832,IF(O830=1,0.5*(O736+O833),(IF($J$829=1,(O$736+O833),IF(O831=1,O832,(O736+O833))))))</f>
        <v>#VALUE!</v>
      </c>
      <c r="P834" s="799" t="e">
        <f aca="false">IF(AND(O831=0,P831=1),P832,IF(P830=1,0.5*(P736+P833),(IF($J$829=1,(P$736+P833),IF(P831=1,P832,(P736+P833))))))</f>
        <v>#VALUE!</v>
      </c>
      <c r="Q834" s="799" t="e">
        <f aca="false">IF(AND(P831=0,Q831=1),Q832,IF(Q830=1,0.5*(Q736+Q833),(IF($J$829=1,(Q$736+Q833),IF(Q831=1,Q832,(Q736+Q833))))))</f>
        <v>#VALUE!</v>
      </c>
      <c r="R834" s="799" t="e">
        <f aca="false">IF(AND(Q831=0,R831=1),R832,IF(R830=1,0.5*(R736+R833),(IF($J$829=1,(R$736+R833),IF(R831=1,R832,(R736+R833))))))</f>
        <v>#VALUE!</v>
      </c>
      <c r="S834" s="799" t="e">
        <f aca="false">IF(AND(R831=0,S831=1),S832,IF(S830=1,0.5*(S736+S833),(IF($J$829=1,(S$736+S833),IF(S831=1,S832,(S736+S833))))))</f>
        <v>#VALUE!</v>
      </c>
      <c r="T834" s="799" t="e">
        <f aca="false">IF(AND(S831=0,T831=1),T832,IF(T830=1,0.5*(T736+T833),(IF($J$829=1,(T$736+T833),IF(T831=1,T832,(T736+T833))))))</f>
        <v>#VALUE!</v>
      </c>
      <c r="U834" s="799" t="e">
        <f aca="false">IF(AND(T831=0,U831=1),U832,IF(U830=1,0.5*(U736+U833),(IF($J$829=1,(U$736+U833),IF(U831=1,U832,(U736+U833))))))</f>
        <v>#VALUE!</v>
      </c>
      <c r="V834" s="799" t="e">
        <f aca="false">IF(AND(U831=0,V831=1),V832,IF(V830=1,0.5*(V736+V833),(IF($J$829=1,(V$736+V833),IF(V831=1,V832,(V736+V833))))))</f>
        <v>#VALUE!</v>
      </c>
      <c r="W834" s="799" t="e">
        <f aca="false">IF(AND(V831=0,W831=1),W832,IF(W830=1,0.5*(W736+W833),(IF($J$829=1,(W$736+W833),IF(W831=1,W832,(W736+W833))))))</f>
        <v>#VALUE!</v>
      </c>
      <c r="X834" s="799" t="e">
        <f aca="false">IF(AND(W831=0,X831=1),X832,IF(X830=1,0.5*(X736+X833),(IF($J$829=1,(X$736+X833),IF(X831=1,X832,(X736+X833))))))</f>
        <v>#VALUE!</v>
      </c>
      <c r="Y834" s="799" t="e">
        <f aca="false">IF(AND(X831=0,Y831=1),Y832,IF(Y830=1,0.5*(Y736+Y833),(IF($J$829=1,(Y$736+Y833),IF(Y831=1,Y832,(Y736+Y833))))))</f>
        <v>#VALUE!</v>
      </c>
      <c r="Z834" s="799" t="e">
        <f aca="false">IF(AND(Y831=0,Z831=1),Z832,IF(Z830=1,0.5*(Z736+Z833),(IF($J$829=1,(Z$736+Z833),IF(Z831=1,Z832,(Z736+Z833))))))</f>
        <v>#VALUE!</v>
      </c>
      <c r="AA834" s="799" t="e">
        <f aca="false">IF(AND(Z831=0,AA831=1),AA832,IF(AA830=1,0.5*(AA736+AA833),(IF($J$829=1,(AA$736+AA833),IF(AA831=1,AA832,(AA736+AA833))))))</f>
        <v>#VALUE!</v>
      </c>
      <c r="AB834" s="799" t="e">
        <f aca="false">IF(AND(AA831=0,AB831=1),AB832,IF(AB830=1,0.5*(AB736+AB833),(IF($J$829=1,(AB$736+AB833),IF(AB831=1,AB832,(AB736+AB833))))))</f>
        <v>#VALUE!</v>
      </c>
      <c r="AC834" s="799" t="e">
        <f aca="false">IF(AND(AB831=0,AC831=1),AC832,IF(AC830=1,0.5*(AC736+AC833),(IF($J$829=1,(AC$736+AC833),IF(AC831=1,AC832,(AC736+AC833))))))</f>
        <v>#VALUE!</v>
      </c>
      <c r="AD834" s="799" t="e">
        <f aca="false">IF(AND(AC831=0,AD831=1),AD832,IF(AD830=1,0.5*(AD736+AD833),(IF($J$829=1,(AD$736+AD833),IF(AD831=1,AD832,(AD736+AD833))))))</f>
        <v>#VALUE!</v>
      </c>
      <c r="AE834" s="799" t="e">
        <f aca="false">IF(AND(AD831=0,AE831=1),AE832,IF(AE830=1,0.5*(AE736+AE833),(IF($J$829=1,(AE$736+AE833),IF(AE831=1,AE832,(AE736+AE833))))))</f>
        <v>#VALUE!</v>
      </c>
      <c r="AF834" s="799" t="e">
        <f aca="false">IF(AND(AE831=0,AF831=1),AF832,IF(AF830=1,0.5*(AF736+AF833),(IF($J$829=1,(AF$736+AF833),IF(AF831=1,AF832,(AF736+AF833))))))</f>
        <v>#VALUE!</v>
      </c>
      <c r="AG834" s="799" t="e">
        <f aca="false">IF(AND(AF831=0,AG831=1),AG832,IF(AG830=1,AG203-AG245,(IF($J$829=1,(AG$736+AG833),IF(AG831=1,AG832,(AG826))))))</f>
        <v>#VALUE!</v>
      </c>
      <c r="AH834" s="799" t="e">
        <f aca="false">IF(AND(AG831=0,AH831=1),AH832,IF(AH830=1,AH203-AH245,(IF($J$829=1,(AH$736+AH833),IF(AH831=1,AH832,(AH826))))))</f>
        <v>#VALUE!</v>
      </c>
    </row>
    <row r="836" customFormat="false" ht="11.25" hidden="false" customHeight="false" outlineLevel="0" collapsed="false">
      <c r="G836" s="259" t="s">
        <v>743</v>
      </c>
      <c r="H836" s="800" t="n">
        <f aca="false">+H834</f>
        <v>-24000</v>
      </c>
      <c r="I836" s="235" t="n">
        <v>0</v>
      </c>
      <c r="J836" s="438" t="n">
        <v>0</v>
      </c>
      <c r="K836" s="438" t="n">
        <v>0</v>
      </c>
      <c r="L836" s="235" t="n">
        <v>0</v>
      </c>
      <c r="M836" s="235" t="n">
        <v>0</v>
      </c>
      <c r="N836" s="235" t="n">
        <v>0</v>
      </c>
      <c r="O836" s="235" t="n">
        <v>0</v>
      </c>
      <c r="P836" s="235" t="n">
        <v>0</v>
      </c>
      <c r="Q836" s="235" t="n">
        <v>0</v>
      </c>
      <c r="R836" s="235" t="n">
        <v>0</v>
      </c>
      <c r="S836" s="235" t="n">
        <v>0</v>
      </c>
      <c r="T836" s="235" t="n">
        <v>0</v>
      </c>
      <c r="U836" s="235" t="n">
        <v>0</v>
      </c>
      <c r="V836" s="235" t="n">
        <v>0</v>
      </c>
      <c r="W836" s="235" t="n">
        <v>0</v>
      </c>
      <c r="X836" s="235" t="n">
        <v>0</v>
      </c>
      <c r="Y836" s="235" t="n">
        <v>0</v>
      </c>
      <c r="Z836" s="235" t="n">
        <v>0</v>
      </c>
      <c r="AA836" s="235" t="n">
        <v>0</v>
      </c>
      <c r="AB836" s="235" t="n">
        <v>0</v>
      </c>
      <c r="AC836" s="235" t="n">
        <v>0</v>
      </c>
      <c r="AD836" s="235" t="n">
        <v>0</v>
      </c>
      <c r="AE836" s="235" t="n">
        <v>0</v>
      </c>
      <c r="AF836" s="235" t="n">
        <v>0</v>
      </c>
      <c r="AG836" s="235" t="n">
        <v>0</v>
      </c>
      <c r="AH836" s="235" t="n">
        <v>0</v>
      </c>
    </row>
    <row r="837" customFormat="false" ht="11.25" hidden="false" customHeight="false" outlineLevel="0" collapsed="false">
      <c r="G837" s="259" t="s">
        <v>744</v>
      </c>
      <c r="H837" s="508" t="n">
        <f aca="false">CapPrice</f>
        <v>0.09</v>
      </c>
    </row>
    <row r="839" customFormat="false" ht="11.25" hidden="false" customHeight="false" outlineLevel="0" collapsed="false">
      <c r="F839" s="235" t="s">
        <v>745</v>
      </c>
      <c r="H839" s="801" t="n">
        <f aca="false">IF(ValDate&gt;H828,0,(1/((1+CapPrice)^((H828-ValDate)/365.25))))</f>
        <v>0</v>
      </c>
      <c r="I839" s="801" t="n">
        <f aca="false">IF(ValDate&gt;I828,0,(1/((1+CapPrice)^((I828-ValDate)/365.25))))</f>
        <v>0</v>
      </c>
      <c r="J839" s="801" t="n">
        <f aca="false">IF(ValDate&gt;J828,0,(1/((1+CapPrice)^((J828-ValDate)/365.25))))</f>
        <v>0.971625454007787</v>
      </c>
      <c r="K839" s="801" t="n">
        <f aca="false">IF(ValDate&gt;K828,0,(1/((1+CapPrice)^((K828-ValDate)/365.25))))</f>
        <v>0.891452080212848</v>
      </c>
      <c r="L839" s="801" t="n">
        <f aca="false">IF(ValDate&gt;L828,0,(1/((1+CapPrice)^((L828-ValDate)/365.25))))</f>
        <v>0.817894187557425</v>
      </c>
      <c r="M839" s="801" t="n">
        <f aca="false">IF(ValDate&gt;M828,0,(1/((1+CapPrice)^((M828-ValDate)/365.25))))</f>
        <v>0.750405901661588</v>
      </c>
      <c r="N839" s="801" t="n">
        <f aca="false">IF(ValDate&gt;N828,0,(1/((1+CapPrice)^((N828-ValDate)/365.25))))</f>
        <v>0.688323967331784</v>
      </c>
      <c r="O839" s="801" t="n">
        <f aca="false">IF(ValDate&gt;O828,0,(1/((1+CapPrice)^((O828-ValDate)/365.25))))</f>
        <v>0.631527128079295</v>
      </c>
      <c r="P839" s="801" t="n">
        <f aca="false">IF(ValDate&gt;P828,0,(1/((1+CapPrice)^((P828-ValDate)/365.25))))</f>
        <v>0.579416862449366</v>
      </c>
      <c r="Q839" s="801" t="n">
        <f aca="false">IF(ValDate&gt;Q828,0,(1/((1+CapPrice)^((Q828-ValDate)/365.25))))</f>
        <v>0.53160645926918</v>
      </c>
      <c r="R839" s="801" t="n">
        <f aca="false">IF(ValDate&gt;R828,0,(1/((1+CapPrice)^((R828-ValDate)/365.25))))</f>
        <v>0.487626051838252</v>
      </c>
      <c r="S839" s="801" t="n">
        <f aca="false">IF(ValDate&gt;S828,0,(1/((1+CapPrice)^((S828-ValDate)/365.25))))</f>
        <v>0.447389739002972</v>
      </c>
      <c r="T839" s="801" t="n">
        <f aca="false">IF(ValDate&gt;T828,0,(1/((1+CapPrice)^((T828-ValDate)/365.25))))</f>
        <v>0.410473513075426</v>
      </c>
      <c r="U839" s="801" t="n">
        <f aca="false">IF(ValDate&gt;U828,0,(1/((1+CapPrice)^((U828-ValDate)/365.25))))</f>
        <v>0.37660341811139</v>
      </c>
      <c r="V839" s="801" t="n">
        <f aca="false">IF(ValDate&gt;V828,0,(1/((1+CapPrice)^((V828-ValDate)/365.25))))</f>
        <v>0.345446588694402</v>
      </c>
      <c r="W839" s="801" t="n">
        <f aca="false">IF(ValDate&gt;W828,0,(1/((1+CapPrice)^((W828-ValDate)/365.25))))</f>
        <v>0.316942170281583</v>
      </c>
      <c r="X839" s="801" t="n">
        <f aca="false">IF(ValDate&gt;X828,0,(1/((1+CapPrice)^((X828-ValDate)/365.25))))</f>
        <v>0.290789785137131</v>
      </c>
      <c r="Y839" s="801" t="n">
        <f aca="false">IF(ValDate&gt;Y828,0,(1/((1+CapPrice)^((Y828-ValDate)/365.25))))</f>
        <v>0.266795355963436</v>
      </c>
      <c r="Z839" s="801" t="n">
        <f aca="false">IF(ValDate&gt;Z828,0,(1/((1+CapPrice)^((Z828-ValDate)/365.25))))</f>
        <v>0.244723072507584</v>
      </c>
      <c r="AA839" s="801" t="n">
        <f aca="false">IF(ValDate&gt;AA828,0,(1/((1+CapPrice)^((AA828-ValDate)/365.25))))</f>
        <v>0.224529823877192</v>
      </c>
      <c r="AB839" s="801" t="n">
        <f aca="false">IF(ValDate&gt;AB828,0,(1/((1+CapPrice)^((AB828-ValDate)/365.25))))</f>
        <v>0.206002814911375</v>
      </c>
      <c r="AC839" s="801" t="n">
        <f aca="false">IF(ValDate&gt;AC828,0,(1/((1+CapPrice)^((AC828-ValDate)/365.25))))</f>
        <v>0.189004556359611</v>
      </c>
      <c r="AD839" s="801" t="n">
        <f aca="false">IF(ValDate&gt;AD828,0,(1/((1+CapPrice)^((AD828-ValDate)/365.25))))</f>
        <v>0.173367994293709</v>
      </c>
      <c r="AE839" s="801" t="n">
        <f aca="false">IF(ValDate&gt;AE828,0,(1/((1+CapPrice)^((AE828-ValDate)/365.25))))</f>
        <v>0.159062587870631</v>
      </c>
      <c r="AF839" s="801" t="n">
        <f aca="false">IF(ValDate&gt;AF828,0,(1/((1+CapPrice)^((AF828-ValDate)/365.25))))</f>
        <v>0.145937587633616</v>
      </c>
      <c r="AG839" s="801" t="n">
        <f aca="false">IF(ValDate&gt;AG828,0,(1/((1+CapPrice)^((AG828-ValDate)/365.25))))</f>
        <v>0.133895592731341</v>
      </c>
      <c r="AH839" s="801" t="n">
        <f aca="false">IF(ValDate&gt;AH828,0,(1/((1+CapPrice)^((AH828-ValDate)/365.25))))</f>
        <v>0.129178762791365</v>
      </c>
    </row>
    <row r="840" customFormat="false" ht="11.25" hidden="false" customHeight="false" outlineLevel="0" collapsed="false">
      <c r="F840" s="235" t="s">
        <v>746</v>
      </c>
      <c r="G840" s="802"/>
      <c r="H840" s="402" t="n">
        <f aca="false">+H836</f>
        <v>-24000</v>
      </c>
      <c r="I840" s="402" t="n">
        <v>0</v>
      </c>
      <c r="J840" s="402" t="e">
        <f aca="false">CHOOSE(J829+1,J834,J836)*J839</f>
        <v>#VALUE!</v>
      </c>
      <c r="K840" s="402" t="e">
        <f aca="false">CHOOSE(K829+1,K834,K836)*K839</f>
        <v>#VALUE!</v>
      </c>
      <c r="L840" s="402" t="e">
        <f aca="false">CHOOSE(L829+1,L834,L836)*L839</f>
        <v>#VALUE!</v>
      </c>
      <c r="M840" s="402" t="e">
        <f aca="false">CHOOSE(M829+1,M834,M836)*M839</f>
        <v>#VALUE!</v>
      </c>
      <c r="N840" s="402" t="e">
        <f aca="false">CHOOSE(N829+1,N834,N836)*N839</f>
        <v>#VALUE!</v>
      </c>
      <c r="O840" s="402" t="e">
        <f aca="false">CHOOSE(O829+1,O834,O836)*O839</f>
        <v>#VALUE!</v>
      </c>
      <c r="P840" s="402" t="e">
        <f aca="false">CHOOSE(P829+1,P834,P836)*P839</f>
        <v>#VALUE!</v>
      </c>
      <c r="Q840" s="402" t="e">
        <f aca="false">CHOOSE(Q829+1,Q834,Q836)*Q839</f>
        <v>#VALUE!</v>
      </c>
      <c r="R840" s="402" t="e">
        <f aca="false">CHOOSE(R829+1,R834,R836)*R839</f>
        <v>#VALUE!</v>
      </c>
      <c r="S840" s="402" t="e">
        <f aca="false">CHOOSE(S829+1,S834,S836)*S839</f>
        <v>#VALUE!</v>
      </c>
      <c r="T840" s="402" t="e">
        <f aca="false">CHOOSE(T829+1,T834,T836)*T839</f>
        <v>#VALUE!</v>
      </c>
      <c r="U840" s="402" t="e">
        <f aca="false">CHOOSE(U829+1,U834,U836)*U839</f>
        <v>#VALUE!</v>
      </c>
      <c r="V840" s="402" t="e">
        <f aca="false">CHOOSE(V829+1,V834,V836)*V839</f>
        <v>#VALUE!</v>
      </c>
      <c r="W840" s="402" t="e">
        <f aca="false">CHOOSE(W829+1,W834,W836)*W839</f>
        <v>#VALUE!</v>
      </c>
      <c r="X840" s="402" t="e">
        <f aca="false">CHOOSE(X829+1,X834,X836)*X839</f>
        <v>#VALUE!</v>
      </c>
      <c r="Y840" s="402" t="e">
        <f aca="false">CHOOSE(Y829+1,Y834,Y836)*Y839</f>
        <v>#VALUE!</v>
      </c>
      <c r="Z840" s="402" t="e">
        <f aca="false">CHOOSE(Z829+1,Z834,Z836)*Z839</f>
        <v>#VALUE!</v>
      </c>
      <c r="AA840" s="402" t="e">
        <f aca="false">CHOOSE(AA829+1,AA834,AA836)*AA839</f>
        <v>#VALUE!</v>
      </c>
      <c r="AB840" s="402" t="e">
        <f aca="false">CHOOSE(AB829+1,AB834,AB836)*AB839</f>
        <v>#VALUE!</v>
      </c>
      <c r="AC840" s="402" t="e">
        <f aca="false">CHOOSE(AC829+1,AC834,AC836)*AC839</f>
        <v>#VALUE!</v>
      </c>
      <c r="AD840" s="402" t="e">
        <f aca="false">CHOOSE(AD829+1,AD834,AD836)*AD839</f>
        <v>#VALUE!</v>
      </c>
      <c r="AE840" s="402" t="e">
        <f aca="false">CHOOSE(AE829+1,AE834,AE836)*AE839</f>
        <v>#VALUE!</v>
      </c>
      <c r="AF840" s="402" t="e">
        <f aca="false">CHOOSE(AF829+1,AF834,AF836)*AF839</f>
        <v>#VALUE!</v>
      </c>
      <c r="AG840" s="402" t="e">
        <f aca="false">AG834*AG839</f>
        <v>#VALUE!</v>
      </c>
      <c r="AH840" s="402" t="e">
        <f aca="false">AH834*AH839</f>
        <v>#VALUE!</v>
      </c>
    </row>
    <row r="841" customFormat="false" ht="11.25" hidden="false" customHeight="false" outlineLevel="0" collapsed="false">
      <c r="F841" s="235" t="s">
        <v>747</v>
      </c>
      <c r="G841" s="803" t="e">
        <f aca="false">SUM(I840:AH840)</f>
        <v>#VALUE!</v>
      </c>
    </row>
    <row r="842" customFormat="false" ht="11.25" hidden="false" customHeight="false" outlineLevel="0" collapsed="false">
      <c r="F842" s="235" t="s">
        <v>748</v>
      </c>
      <c r="G842" s="804" t="n">
        <v>36769</v>
      </c>
    </row>
    <row r="843" customFormat="false" ht="11.25" hidden="false" customHeight="false" outlineLevel="0" collapsed="false">
      <c r="F843" s="235" t="s">
        <v>749</v>
      </c>
      <c r="G843" s="508" t="n">
        <f aca="false">IF(Summary!O109=1,J849,J850)</f>
        <v>0.09</v>
      </c>
    </row>
    <row r="844" customFormat="false" ht="11.25" hidden="false" customHeight="false" outlineLevel="0" collapsed="false">
      <c r="G844" s="805"/>
    </row>
    <row r="846" customFormat="false" ht="11.25" hidden="false" customHeight="false" outlineLevel="0" collapsed="false">
      <c r="J846" s="760"/>
    </row>
    <row r="847" customFormat="false" ht="11.25" hidden="false" customHeight="false" outlineLevel="0" collapsed="false">
      <c r="J847" s="805"/>
    </row>
    <row r="848" customFormat="false" ht="11.25" hidden="false" customHeight="false" outlineLevel="0" collapsed="false">
      <c r="J848" s="805"/>
    </row>
    <row r="849" customFormat="false" ht="11.25" hidden="false" customHeight="false" outlineLevel="0" collapsed="false">
      <c r="J849" s="508"/>
    </row>
    <row r="850" customFormat="false" ht="11.25" hidden="false" customHeight="false" outlineLevel="0" collapsed="false">
      <c r="I850" s="235" t="s">
        <v>750</v>
      </c>
      <c r="J850" s="508" t="n">
        <v>0.09</v>
      </c>
    </row>
    <row r="851" customFormat="false" ht="11.25" hidden="false" customHeight="false" outlineLevel="0" collapsed="false">
      <c r="J851" s="451"/>
    </row>
    <row r="852" customFormat="false" ht="11.25" hidden="false" customHeight="false" outlineLevel="0" collapsed="false">
      <c r="J852" s="508"/>
    </row>
    <row r="853" customFormat="false" ht="11.25" hidden="false" customHeight="false" outlineLevel="0" collapsed="false">
      <c r="J853" s="508"/>
    </row>
    <row r="854" customFormat="false" ht="11.25" hidden="false" customHeight="false" outlineLevel="0" collapsed="false">
      <c r="J854" s="508"/>
    </row>
    <row r="875" customFormat="false" ht="12.75" hidden="false" customHeight="false" outlineLevel="0" collapsed="false">
      <c r="A875" s="0"/>
      <c r="B875" s="0"/>
      <c r="C875" s="0"/>
      <c r="D875" s="0"/>
      <c r="E875" s="0"/>
      <c r="F875" s="0"/>
      <c r="G875" s="0"/>
      <c r="H875" s="0"/>
      <c r="I875" s="0"/>
      <c r="J875" s="0"/>
      <c r="K875" s="0"/>
      <c r="L875" s="0"/>
      <c r="M875" s="0"/>
      <c r="N875" s="0"/>
      <c r="O875" s="0"/>
      <c r="P875" s="0"/>
      <c r="Q875" s="0"/>
      <c r="R875" s="0"/>
      <c r="S875" s="0"/>
      <c r="T875" s="0"/>
      <c r="U875" s="0"/>
      <c r="V875" s="0"/>
      <c r="W875" s="0"/>
      <c r="X875" s="0"/>
      <c r="Y875" s="0"/>
      <c r="Z875" s="0"/>
      <c r="AA875" s="0"/>
      <c r="AB875" s="0"/>
      <c r="AC875" s="0"/>
      <c r="AD875" s="0"/>
      <c r="AE875" s="0"/>
      <c r="AF875" s="0"/>
    </row>
    <row r="876" customFormat="false" ht="12.75" hidden="false" customHeight="false" outlineLevel="0" collapsed="false">
      <c r="A876" s="0"/>
      <c r="B876" s="0"/>
      <c r="C876" s="0"/>
      <c r="D876" s="0"/>
      <c r="E876" s="0"/>
      <c r="F876" s="0"/>
      <c r="G876" s="0"/>
      <c r="H876" s="0"/>
      <c r="I876" s="0"/>
      <c r="J876" s="0"/>
      <c r="K876" s="0"/>
      <c r="L876" s="0"/>
      <c r="M876" s="0"/>
      <c r="N876" s="0"/>
      <c r="O876" s="0"/>
      <c r="P876" s="0"/>
      <c r="Q876" s="0"/>
      <c r="R876" s="0"/>
      <c r="S876" s="0"/>
      <c r="T876" s="0"/>
      <c r="U876" s="0"/>
      <c r="V876" s="0"/>
      <c r="W876" s="0"/>
      <c r="X876" s="0"/>
      <c r="Y876" s="0"/>
      <c r="Z876" s="0"/>
      <c r="AA876" s="0"/>
      <c r="AB876" s="0"/>
      <c r="AC876" s="0"/>
      <c r="AD876" s="0"/>
      <c r="AE876" s="0"/>
      <c r="AF876" s="0"/>
    </row>
    <row r="877" customFormat="false" ht="12.75" hidden="false" customHeight="false" outlineLevel="0" collapsed="false">
      <c r="A877" s="0"/>
      <c r="B877" s="0"/>
      <c r="C877" s="0"/>
      <c r="D877" s="0"/>
      <c r="E877" s="0"/>
      <c r="F877" s="0"/>
      <c r="G877" s="0"/>
      <c r="H877" s="0"/>
      <c r="I877" s="0"/>
      <c r="J877" s="0"/>
      <c r="K877" s="0"/>
      <c r="L877" s="0"/>
      <c r="M877" s="0"/>
      <c r="N877" s="0"/>
      <c r="O877" s="0"/>
      <c r="P877" s="0"/>
      <c r="Q877" s="0"/>
      <c r="R877" s="0"/>
      <c r="S877" s="0"/>
      <c r="T877" s="0"/>
      <c r="U877" s="0"/>
      <c r="V877" s="0"/>
      <c r="W877" s="0"/>
      <c r="X877" s="0"/>
      <c r="Y877" s="0"/>
      <c r="Z877" s="0"/>
      <c r="AA877" s="0"/>
      <c r="AB877" s="0"/>
      <c r="AC877" s="0"/>
      <c r="AD877" s="0"/>
      <c r="AE877" s="0"/>
      <c r="AF877" s="0"/>
    </row>
    <row r="878" customFormat="false" ht="12.75" hidden="false" customHeight="false" outlineLevel="0" collapsed="false">
      <c r="A878" s="0"/>
      <c r="B878" s="0"/>
      <c r="C878" s="0"/>
      <c r="D878" s="0"/>
      <c r="E878" s="0"/>
      <c r="F878" s="0"/>
      <c r="G878" s="0"/>
      <c r="H878" s="0"/>
      <c r="I878" s="0"/>
      <c r="J878" s="0"/>
      <c r="K878" s="0"/>
      <c r="L878" s="0"/>
      <c r="M878" s="0"/>
      <c r="N878" s="0"/>
      <c r="O878" s="0"/>
      <c r="P878" s="0"/>
      <c r="Q878" s="0"/>
      <c r="R878" s="0"/>
      <c r="S878" s="0"/>
      <c r="T878" s="0"/>
      <c r="U878" s="0"/>
      <c r="V878" s="0"/>
      <c r="W878" s="0"/>
      <c r="X878" s="0"/>
      <c r="Y878" s="0"/>
      <c r="Z878" s="0"/>
      <c r="AA878" s="0"/>
      <c r="AB878" s="0"/>
      <c r="AC878" s="0"/>
      <c r="AD878" s="0"/>
      <c r="AE878" s="0"/>
      <c r="AF878" s="0"/>
    </row>
    <row r="879" customFormat="false" ht="12.75" hidden="false" customHeight="false" outlineLevel="0" collapsed="false">
      <c r="A879" s="0"/>
      <c r="B879" s="0"/>
      <c r="C879" s="0"/>
      <c r="D879" s="0"/>
      <c r="E879" s="0"/>
      <c r="F879" s="0"/>
      <c r="G879" s="0"/>
      <c r="H879" s="0"/>
      <c r="I879" s="0"/>
      <c r="J879" s="0"/>
      <c r="K879" s="0"/>
      <c r="L879" s="0"/>
      <c r="M879" s="0"/>
      <c r="N879" s="0"/>
      <c r="O879" s="0"/>
      <c r="P879" s="0"/>
      <c r="Q879" s="0"/>
      <c r="R879" s="0"/>
      <c r="S879" s="0"/>
      <c r="T879" s="0"/>
      <c r="U879" s="0"/>
      <c r="V879" s="0"/>
      <c r="W879" s="0"/>
      <c r="X879" s="0"/>
      <c r="Y879" s="0"/>
      <c r="Z879" s="0"/>
      <c r="AA879" s="0"/>
      <c r="AB879" s="0"/>
      <c r="AC879" s="0"/>
      <c r="AD879" s="0"/>
      <c r="AE879" s="0"/>
      <c r="AF879" s="0"/>
    </row>
    <row r="880" customFormat="false" ht="12.75" hidden="false" customHeight="false" outlineLevel="0" collapsed="false">
      <c r="A880" s="0"/>
      <c r="B880" s="0"/>
      <c r="C880" s="0"/>
      <c r="D880" s="0"/>
      <c r="E880" s="0"/>
      <c r="F880" s="0"/>
      <c r="G880" s="0"/>
      <c r="H880" s="0"/>
      <c r="I880" s="0"/>
      <c r="J880" s="0"/>
      <c r="K880" s="0"/>
      <c r="L880" s="0"/>
      <c r="M880" s="0"/>
      <c r="N880" s="0"/>
      <c r="O880" s="0"/>
      <c r="P880" s="0"/>
      <c r="Q880" s="0"/>
      <c r="R880" s="0"/>
      <c r="S880" s="0"/>
      <c r="T880" s="0"/>
      <c r="U880" s="0"/>
      <c r="V880" s="0"/>
      <c r="W880" s="0"/>
      <c r="X880" s="0"/>
      <c r="Y880" s="0"/>
      <c r="Z880" s="0"/>
      <c r="AA880" s="0"/>
      <c r="AB880" s="0"/>
      <c r="AC880" s="0"/>
      <c r="AD880" s="0"/>
      <c r="AE880" s="0"/>
      <c r="AF880" s="0"/>
    </row>
    <row r="881" customFormat="false" ht="12.75" hidden="false" customHeight="false" outlineLevel="0" collapsed="false">
      <c r="A881" s="0"/>
      <c r="B881" s="0"/>
      <c r="C881" s="0"/>
      <c r="D881" s="0"/>
      <c r="E881" s="0"/>
      <c r="F881" s="0"/>
      <c r="G881" s="0"/>
      <c r="H881" s="0"/>
      <c r="I881" s="0"/>
      <c r="J881" s="0"/>
      <c r="K881" s="0"/>
      <c r="L881" s="0"/>
      <c r="M881" s="0"/>
      <c r="N881" s="0"/>
      <c r="O881" s="0"/>
      <c r="P881" s="0"/>
      <c r="Q881" s="0"/>
      <c r="R881" s="0"/>
      <c r="S881" s="0"/>
      <c r="T881" s="0"/>
      <c r="U881" s="0"/>
      <c r="V881" s="0"/>
      <c r="W881" s="0"/>
      <c r="X881" s="0"/>
      <c r="Y881" s="0"/>
      <c r="Z881" s="0"/>
      <c r="AA881" s="0"/>
      <c r="AB881" s="0"/>
      <c r="AC881" s="0"/>
      <c r="AD881" s="0"/>
      <c r="AE881" s="0"/>
      <c r="AF881" s="0"/>
    </row>
    <row r="882" customFormat="false" ht="12.75" hidden="false" customHeight="false" outlineLevel="0" collapsed="false">
      <c r="A882" s="0"/>
      <c r="B882" s="0"/>
      <c r="C882" s="0"/>
      <c r="D882" s="0"/>
      <c r="E882" s="0"/>
      <c r="F882" s="0"/>
      <c r="G882" s="0"/>
      <c r="H882" s="0"/>
      <c r="I882" s="0"/>
      <c r="J882" s="0"/>
      <c r="K882" s="0"/>
      <c r="L882" s="0"/>
      <c r="M882" s="0"/>
      <c r="N882" s="0"/>
      <c r="O882" s="0"/>
      <c r="P882" s="0"/>
      <c r="Q882" s="0"/>
      <c r="R882" s="0"/>
      <c r="S882" s="0"/>
      <c r="T882" s="0"/>
      <c r="U882" s="0"/>
      <c r="V882" s="0"/>
      <c r="W882" s="0"/>
      <c r="X882" s="0"/>
      <c r="Y882" s="0"/>
      <c r="Z882" s="0"/>
      <c r="AA882" s="0"/>
      <c r="AB882" s="0"/>
      <c r="AC882" s="0"/>
      <c r="AD882" s="0"/>
      <c r="AE882" s="0"/>
      <c r="AF882" s="0"/>
    </row>
    <row r="883" customFormat="false" ht="12.75" hidden="false" customHeight="false" outlineLevel="0" collapsed="false">
      <c r="A883" s="0"/>
      <c r="B883" s="0"/>
      <c r="C883" s="0"/>
      <c r="D883" s="0"/>
      <c r="E883" s="0"/>
      <c r="F883" s="0"/>
      <c r="G883" s="0"/>
      <c r="H883" s="0"/>
      <c r="I883" s="0"/>
      <c r="J883" s="0"/>
      <c r="K883" s="0"/>
      <c r="L883" s="0"/>
      <c r="M883" s="0"/>
      <c r="N883" s="0"/>
      <c r="O883" s="0"/>
      <c r="P883" s="0"/>
      <c r="Q883" s="0"/>
      <c r="R883" s="0"/>
      <c r="S883" s="0"/>
      <c r="T883" s="0"/>
      <c r="U883" s="0"/>
      <c r="V883" s="0"/>
      <c r="W883" s="0"/>
      <c r="X883" s="0"/>
      <c r="Y883" s="0"/>
      <c r="Z883" s="0"/>
      <c r="AA883" s="0"/>
      <c r="AB883" s="0"/>
      <c r="AC883" s="0"/>
      <c r="AD883" s="0"/>
      <c r="AE883" s="0"/>
      <c r="AF883" s="0"/>
    </row>
    <row r="884" customFormat="false" ht="12.75" hidden="false" customHeight="false" outlineLevel="0" collapsed="false">
      <c r="A884" s="0"/>
      <c r="B884" s="0"/>
      <c r="C884" s="0"/>
      <c r="D884" s="0"/>
      <c r="E884" s="0"/>
      <c r="F884" s="0"/>
      <c r="G884" s="0"/>
      <c r="H884" s="0"/>
      <c r="I884" s="0"/>
      <c r="J884" s="0"/>
      <c r="K884" s="0"/>
      <c r="L884" s="0"/>
      <c r="M884" s="0"/>
      <c r="N884" s="0"/>
      <c r="O884" s="0"/>
      <c r="P884" s="0"/>
      <c r="Q884" s="0"/>
      <c r="R884" s="0"/>
      <c r="S884" s="0"/>
      <c r="T884" s="0"/>
      <c r="U884" s="0"/>
      <c r="V884" s="0"/>
      <c r="W884" s="0"/>
      <c r="X884" s="0"/>
      <c r="Y884" s="0"/>
      <c r="Z884" s="0"/>
      <c r="AA884" s="0"/>
      <c r="AB884" s="0"/>
      <c r="AC884" s="0"/>
      <c r="AD884" s="0"/>
      <c r="AE884" s="0"/>
      <c r="AF884" s="0"/>
    </row>
    <row r="885" customFormat="false" ht="12.75" hidden="false" customHeight="false" outlineLevel="0" collapsed="false">
      <c r="A885" s="0"/>
      <c r="B885" s="0"/>
      <c r="C885" s="0"/>
      <c r="D885" s="0"/>
      <c r="E885" s="0"/>
      <c r="F885" s="0"/>
      <c r="G885" s="0"/>
      <c r="H885" s="0"/>
      <c r="I885" s="0"/>
      <c r="J885" s="0"/>
      <c r="K885" s="0"/>
      <c r="L885" s="0"/>
      <c r="M885" s="0"/>
      <c r="N885" s="0"/>
      <c r="O885" s="0"/>
      <c r="P885" s="0"/>
      <c r="Q885" s="0"/>
      <c r="R885" s="0"/>
      <c r="S885" s="0"/>
      <c r="T885" s="0"/>
      <c r="U885" s="0"/>
      <c r="V885" s="0"/>
      <c r="W885" s="0"/>
      <c r="X885" s="0"/>
      <c r="Y885" s="0"/>
      <c r="Z885" s="0"/>
      <c r="AA885" s="0"/>
      <c r="AB885" s="0"/>
      <c r="AC885" s="0"/>
      <c r="AD885" s="0"/>
      <c r="AE885" s="0"/>
      <c r="AF885" s="0"/>
    </row>
    <row r="886" customFormat="false" ht="12.75" hidden="false" customHeight="false" outlineLevel="0" collapsed="false">
      <c r="A886" s="0"/>
      <c r="B886" s="0"/>
      <c r="C886" s="0"/>
      <c r="D886" s="0"/>
      <c r="E886" s="0"/>
      <c r="F886" s="0"/>
      <c r="G886" s="0"/>
      <c r="H886" s="0"/>
      <c r="I886" s="0"/>
      <c r="J886" s="0"/>
      <c r="K886" s="0"/>
      <c r="L886" s="0"/>
      <c r="M886" s="0"/>
      <c r="N886" s="0"/>
      <c r="O886" s="0"/>
      <c r="P886" s="0"/>
      <c r="Q886" s="0"/>
      <c r="R886" s="0"/>
      <c r="S886" s="0"/>
      <c r="T886" s="0"/>
      <c r="U886" s="0"/>
      <c r="V886" s="0"/>
      <c r="W886" s="0"/>
      <c r="X886" s="0"/>
      <c r="Y886" s="0"/>
      <c r="Z886" s="0"/>
      <c r="AA886" s="0"/>
      <c r="AB886" s="0"/>
      <c r="AC886" s="0"/>
      <c r="AD886" s="0"/>
      <c r="AE886" s="0"/>
      <c r="AF886" s="0"/>
    </row>
    <row r="887" customFormat="false" ht="12.75" hidden="false" customHeight="false" outlineLevel="0" collapsed="false">
      <c r="A887" s="0"/>
      <c r="B887" s="0"/>
      <c r="C887" s="0"/>
      <c r="D887" s="0"/>
      <c r="E887" s="0"/>
      <c r="F887" s="0"/>
      <c r="G887" s="0"/>
      <c r="H887" s="0"/>
      <c r="I887" s="0"/>
      <c r="J887" s="0"/>
      <c r="K887" s="0"/>
      <c r="L887" s="0"/>
      <c r="M887" s="0"/>
      <c r="N887" s="0"/>
      <c r="O887" s="0"/>
      <c r="P887" s="0"/>
      <c r="Q887" s="0"/>
      <c r="R887" s="0"/>
      <c r="S887" s="0"/>
      <c r="T887" s="0"/>
      <c r="U887" s="0"/>
      <c r="V887" s="0"/>
      <c r="W887" s="0"/>
      <c r="X887" s="0"/>
      <c r="Y887" s="0"/>
      <c r="Z887" s="0"/>
      <c r="AA887" s="0"/>
      <c r="AB887" s="0"/>
      <c r="AC887" s="0"/>
      <c r="AD887" s="0"/>
      <c r="AE887" s="0"/>
      <c r="AF887" s="0"/>
    </row>
    <row r="888" customFormat="false" ht="12.75" hidden="false" customHeight="false" outlineLevel="0" collapsed="false">
      <c r="A888" s="0"/>
      <c r="B888" s="0"/>
      <c r="C888" s="0"/>
      <c r="D888" s="0"/>
      <c r="E888" s="0"/>
      <c r="F888" s="0"/>
      <c r="G888" s="0"/>
      <c r="H888" s="0"/>
      <c r="I888" s="0"/>
      <c r="J888" s="0"/>
      <c r="K888" s="0"/>
      <c r="L888" s="0"/>
      <c r="M888" s="0"/>
      <c r="N888" s="0"/>
      <c r="O888" s="0"/>
      <c r="P888" s="0"/>
      <c r="Q888" s="0"/>
      <c r="R888" s="0"/>
      <c r="S888" s="0"/>
      <c r="T888" s="0"/>
      <c r="U888" s="0"/>
      <c r="V888" s="0"/>
      <c r="W888" s="0"/>
      <c r="X888" s="0"/>
      <c r="Y888" s="0"/>
      <c r="Z888" s="0"/>
      <c r="AA888" s="0"/>
      <c r="AB888" s="0"/>
      <c r="AC888" s="0"/>
      <c r="AD888" s="0"/>
      <c r="AE888" s="0"/>
      <c r="AF888" s="0"/>
    </row>
    <row r="889" customFormat="false" ht="12.75" hidden="false" customHeight="false" outlineLevel="0" collapsed="false">
      <c r="A889" s="0"/>
      <c r="B889" s="0"/>
      <c r="C889" s="0"/>
      <c r="D889" s="0"/>
      <c r="E889" s="0"/>
      <c r="F889" s="0"/>
      <c r="G889" s="0"/>
      <c r="H889" s="0"/>
      <c r="I889" s="0"/>
      <c r="J889" s="0"/>
      <c r="K889" s="0"/>
      <c r="L889" s="0"/>
      <c r="M889" s="0"/>
      <c r="N889" s="0"/>
      <c r="O889" s="0"/>
      <c r="P889" s="0"/>
      <c r="Q889" s="0"/>
      <c r="R889" s="0"/>
      <c r="S889" s="0"/>
      <c r="T889" s="0"/>
      <c r="U889" s="0"/>
      <c r="V889" s="0"/>
      <c r="W889" s="0"/>
      <c r="X889" s="0"/>
      <c r="Y889" s="0"/>
      <c r="Z889" s="0"/>
      <c r="AA889" s="0"/>
      <c r="AB889" s="0"/>
      <c r="AC889" s="0"/>
      <c r="AD889" s="0"/>
      <c r="AE889" s="0"/>
      <c r="AF889" s="0"/>
    </row>
    <row r="890" customFormat="false" ht="12.75" hidden="false" customHeight="false" outlineLevel="0" collapsed="false">
      <c r="A890" s="0"/>
      <c r="B890" s="0"/>
      <c r="C890" s="0"/>
      <c r="D890" s="0"/>
      <c r="E890" s="0"/>
      <c r="F890" s="0"/>
      <c r="G890" s="0"/>
      <c r="H890" s="0"/>
      <c r="I890" s="0"/>
      <c r="J890" s="0"/>
      <c r="K890" s="0"/>
      <c r="L890" s="0"/>
      <c r="M890" s="0"/>
      <c r="N890" s="0"/>
      <c r="O890" s="0"/>
      <c r="P890" s="0"/>
      <c r="Q890" s="0"/>
      <c r="R890" s="0"/>
      <c r="S890" s="0"/>
      <c r="T890" s="0"/>
      <c r="U890" s="0"/>
      <c r="V890" s="0"/>
      <c r="W890" s="0"/>
      <c r="X890" s="0"/>
      <c r="Y890" s="0"/>
      <c r="Z890" s="0"/>
      <c r="AA890" s="0"/>
      <c r="AB890" s="0"/>
      <c r="AC890" s="0"/>
      <c r="AD890" s="0"/>
      <c r="AE890" s="0"/>
      <c r="AF890" s="0"/>
    </row>
    <row r="891" customFormat="false" ht="12.75" hidden="false" customHeight="false" outlineLevel="0" collapsed="false">
      <c r="A891" s="0"/>
      <c r="B891" s="0"/>
      <c r="C891" s="0"/>
      <c r="D891" s="0"/>
      <c r="E891" s="0"/>
      <c r="F891" s="0"/>
      <c r="G891" s="0"/>
      <c r="H891" s="0"/>
      <c r="I891" s="0"/>
      <c r="J891" s="0"/>
      <c r="K891" s="0"/>
      <c r="L891" s="0"/>
      <c r="M891" s="0"/>
      <c r="N891" s="0"/>
      <c r="O891" s="0"/>
      <c r="P891" s="0"/>
      <c r="Q891" s="0"/>
      <c r="R891" s="0"/>
      <c r="S891" s="0"/>
      <c r="T891" s="0"/>
      <c r="U891" s="0"/>
      <c r="V891" s="0"/>
      <c r="W891" s="0"/>
      <c r="X891" s="0"/>
      <c r="Y891" s="0"/>
      <c r="Z891" s="0"/>
      <c r="AA891" s="0"/>
      <c r="AB891" s="0"/>
      <c r="AC891" s="0"/>
      <c r="AD891" s="0"/>
      <c r="AE891" s="0"/>
      <c r="AF891" s="0"/>
    </row>
    <row r="892" customFormat="false" ht="12.75" hidden="false" customHeight="false" outlineLevel="0" collapsed="false">
      <c r="A892" s="0"/>
      <c r="B892" s="0"/>
      <c r="C892" s="0"/>
      <c r="D892" s="0"/>
      <c r="E892" s="0"/>
      <c r="F892" s="0"/>
      <c r="G892" s="0"/>
      <c r="H892" s="0"/>
      <c r="I892" s="0"/>
      <c r="J892" s="0"/>
      <c r="K892" s="0"/>
      <c r="L892" s="0"/>
      <c r="M892" s="0"/>
      <c r="N892" s="0"/>
      <c r="O892" s="0"/>
      <c r="P892" s="0"/>
      <c r="Q892" s="0"/>
      <c r="R892" s="0"/>
      <c r="S892" s="0"/>
      <c r="T892" s="0"/>
      <c r="U892" s="0"/>
      <c r="V892" s="0"/>
      <c r="W892" s="0"/>
      <c r="X892" s="0"/>
      <c r="Y892" s="0"/>
      <c r="Z892" s="0"/>
      <c r="AA892" s="0"/>
      <c r="AB892" s="0"/>
      <c r="AC892" s="0"/>
      <c r="AD892" s="0"/>
      <c r="AE892" s="0"/>
      <c r="AF892" s="0"/>
    </row>
    <row r="893" customFormat="false" ht="12.75" hidden="false" customHeight="false" outlineLevel="0" collapsed="false">
      <c r="A893" s="0"/>
      <c r="B893" s="0"/>
      <c r="C893" s="0"/>
      <c r="D893" s="0"/>
      <c r="E893" s="0"/>
      <c r="F893" s="0"/>
      <c r="G893" s="0"/>
      <c r="H893" s="0"/>
      <c r="I893" s="0"/>
      <c r="J893" s="0"/>
      <c r="K893" s="0"/>
      <c r="L893" s="0"/>
      <c r="M893" s="0"/>
      <c r="N893" s="0"/>
      <c r="O893" s="0"/>
      <c r="P893" s="0"/>
      <c r="Q893" s="0"/>
      <c r="R893" s="0"/>
      <c r="S893" s="0"/>
      <c r="T893" s="0"/>
      <c r="U893" s="0"/>
      <c r="V893" s="0"/>
      <c r="W893" s="0"/>
      <c r="X893" s="0"/>
      <c r="Y893" s="0"/>
      <c r="Z893" s="0"/>
      <c r="AA893" s="0"/>
      <c r="AB893" s="0"/>
      <c r="AC893" s="0"/>
      <c r="AD893" s="0"/>
      <c r="AE893" s="0"/>
      <c r="AF893" s="0"/>
    </row>
    <row r="894" customFormat="false" ht="12.75" hidden="false" customHeight="false" outlineLevel="0" collapsed="false">
      <c r="A894" s="0"/>
      <c r="B894" s="0"/>
      <c r="C894" s="0"/>
      <c r="D894" s="0"/>
      <c r="E894" s="0"/>
      <c r="F894" s="0"/>
      <c r="G894" s="0"/>
      <c r="H894" s="0"/>
      <c r="I894" s="0"/>
      <c r="J894" s="0"/>
      <c r="K894" s="0"/>
      <c r="L894" s="0"/>
      <c r="M894" s="0"/>
      <c r="N894" s="0"/>
      <c r="O894" s="0"/>
      <c r="P894" s="0"/>
      <c r="Q894" s="0"/>
      <c r="R894" s="0"/>
      <c r="S894" s="0"/>
      <c r="T894" s="0"/>
      <c r="U894" s="0"/>
      <c r="V894" s="0"/>
      <c r="W894" s="0"/>
      <c r="X894" s="0"/>
      <c r="Y894" s="0"/>
      <c r="Z894" s="0"/>
      <c r="AA894" s="0"/>
      <c r="AB894" s="0"/>
      <c r="AC894" s="0"/>
      <c r="AD894" s="0"/>
      <c r="AE894" s="0"/>
      <c r="AF894" s="0"/>
    </row>
    <row r="895" customFormat="false" ht="12.75" hidden="false" customHeight="false" outlineLevel="0" collapsed="false">
      <c r="A895" s="0"/>
      <c r="B895" s="0"/>
      <c r="C895" s="0"/>
      <c r="D895" s="0"/>
      <c r="E895" s="0"/>
      <c r="F895" s="0"/>
      <c r="G895" s="0"/>
      <c r="H895" s="0"/>
      <c r="I895" s="0"/>
      <c r="J895" s="0"/>
      <c r="K895" s="0"/>
      <c r="L895" s="0"/>
      <c r="M895" s="0"/>
      <c r="N895" s="0"/>
      <c r="O895" s="0"/>
      <c r="P895" s="0"/>
      <c r="Q895" s="0"/>
      <c r="R895" s="0"/>
      <c r="S895" s="0"/>
      <c r="T895" s="0"/>
      <c r="U895" s="0"/>
      <c r="V895" s="0"/>
      <c r="W895" s="0"/>
      <c r="X895" s="0"/>
      <c r="Y895" s="0"/>
      <c r="Z895" s="0"/>
      <c r="AA895" s="0"/>
      <c r="AB895" s="0"/>
      <c r="AC895" s="0"/>
      <c r="AD895" s="0"/>
      <c r="AE895" s="0"/>
      <c r="AF895" s="0"/>
    </row>
    <row r="896" customFormat="false" ht="12.75" hidden="false" customHeight="false" outlineLevel="0" collapsed="false">
      <c r="A896" s="0"/>
      <c r="B896" s="0"/>
      <c r="C896" s="0"/>
      <c r="D896" s="0"/>
      <c r="E896" s="0"/>
      <c r="F896" s="0"/>
      <c r="G896" s="0"/>
      <c r="H896" s="0"/>
      <c r="I896" s="0"/>
      <c r="J896" s="0"/>
      <c r="K896" s="0"/>
      <c r="L896" s="0"/>
      <c r="M896" s="0"/>
      <c r="N896" s="0"/>
      <c r="O896" s="0"/>
      <c r="P896" s="0"/>
      <c r="Q896" s="0"/>
      <c r="R896" s="0"/>
      <c r="S896" s="0"/>
      <c r="T896" s="0"/>
      <c r="U896" s="0"/>
      <c r="V896" s="0"/>
      <c r="W896" s="0"/>
      <c r="X896" s="0"/>
      <c r="Y896" s="0"/>
      <c r="Z896" s="0"/>
      <c r="AA896" s="0"/>
      <c r="AB896" s="0"/>
      <c r="AC896" s="0"/>
      <c r="AD896" s="0"/>
      <c r="AE896" s="0"/>
      <c r="AF896" s="0"/>
    </row>
    <row r="897" customFormat="false" ht="12.75" hidden="false" customHeight="false" outlineLevel="0" collapsed="false">
      <c r="A897" s="0"/>
      <c r="B897" s="0"/>
      <c r="C897" s="0"/>
      <c r="D897" s="0"/>
      <c r="E897" s="0"/>
      <c r="F897" s="0"/>
      <c r="G897" s="0"/>
      <c r="H897" s="0"/>
      <c r="I897" s="0"/>
      <c r="J897" s="0"/>
      <c r="K897" s="0"/>
      <c r="L897" s="0"/>
      <c r="M897" s="0"/>
      <c r="N897" s="0"/>
      <c r="O897" s="0"/>
      <c r="P897" s="0"/>
      <c r="Q897" s="0"/>
      <c r="R897" s="0"/>
      <c r="S897" s="0"/>
      <c r="T897" s="0"/>
      <c r="U897" s="0"/>
      <c r="V897" s="0"/>
      <c r="W897" s="0"/>
      <c r="X897" s="0"/>
      <c r="Y897" s="0"/>
      <c r="Z897" s="0"/>
      <c r="AA897" s="0"/>
      <c r="AB897" s="0"/>
      <c r="AC897" s="0"/>
      <c r="AD897" s="0"/>
      <c r="AE897" s="0"/>
      <c r="AF897" s="0"/>
    </row>
    <row r="898" customFormat="false" ht="12.75" hidden="false" customHeight="false" outlineLevel="0" collapsed="false">
      <c r="A898" s="0"/>
      <c r="B898" s="0"/>
      <c r="C898" s="0"/>
      <c r="D898" s="0"/>
      <c r="E898" s="0"/>
      <c r="F898" s="0"/>
      <c r="G898" s="0"/>
      <c r="H898" s="0"/>
      <c r="I898" s="0"/>
      <c r="J898" s="0"/>
      <c r="K898" s="0"/>
      <c r="L898" s="0"/>
      <c r="M898" s="0"/>
      <c r="N898" s="0"/>
      <c r="O898" s="0"/>
      <c r="P898" s="0"/>
      <c r="Q898" s="0"/>
      <c r="R898" s="0"/>
      <c r="S898" s="0"/>
      <c r="T898" s="0"/>
      <c r="U898" s="0"/>
      <c r="V898" s="0"/>
      <c r="W898" s="0"/>
      <c r="X898" s="0"/>
      <c r="Y898" s="0"/>
      <c r="Z898" s="0"/>
      <c r="AA898" s="0"/>
      <c r="AB898" s="0"/>
      <c r="AC898" s="0"/>
      <c r="AD898" s="0"/>
      <c r="AE898" s="0"/>
      <c r="AF898" s="0"/>
    </row>
    <row r="899" customFormat="false" ht="12.75" hidden="false" customHeight="false" outlineLevel="0" collapsed="false">
      <c r="A899" s="0"/>
      <c r="B899" s="0"/>
      <c r="C899" s="0"/>
      <c r="D899" s="0"/>
      <c r="E899" s="0"/>
      <c r="F899" s="0"/>
      <c r="G899" s="0"/>
      <c r="H899" s="0"/>
      <c r="I899" s="0"/>
      <c r="J899" s="0"/>
      <c r="K899" s="0"/>
      <c r="L899" s="0"/>
      <c r="M899" s="0"/>
      <c r="N899" s="0"/>
      <c r="O899" s="0"/>
      <c r="P899" s="0"/>
      <c r="Q899" s="0"/>
      <c r="R899" s="0"/>
      <c r="S899" s="0"/>
      <c r="T899" s="0"/>
      <c r="U899" s="0"/>
      <c r="V899" s="0"/>
      <c r="W899" s="0"/>
      <c r="X899" s="0"/>
      <c r="Y899" s="0"/>
      <c r="Z899" s="0"/>
      <c r="AA899" s="0"/>
      <c r="AB899" s="0"/>
      <c r="AC899" s="0"/>
      <c r="AD899" s="0"/>
      <c r="AE899" s="0"/>
      <c r="AF899" s="0"/>
    </row>
    <row r="900" customFormat="false" ht="12.75" hidden="false" customHeight="false" outlineLevel="0" collapsed="false">
      <c r="A900" s="0"/>
      <c r="B900" s="0"/>
      <c r="C900" s="0"/>
      <c r="D900" s="0"/>
      <c r="E900" s="0"/>
      <c r="F900" s="0"/>
      <c r="G900" s="0"/>
      <c r="H900" s="0"/>
      <c r="I900" s="0"/>
      <c r="J900" s="0"/>
      <c r="K900" s="0"/>
      <c r="L900" s="0"/>
      <c r="M900" s="0"/>
      <c r="N900" s="0"/>
      <c r="O900" s="0"/>
      <c r="P900" s="0"/>
      <c r="Q900" s="0"/>
      <c r="R900" s="0"/>
      <c r="S900" s="0"/>
      <c r="T900" s="0"/>
      <c r="U900" s="0"/>
      <c r="V900" s="0"/>
      <c r="W900" s="0"/>
      <c r="X900" s="0"/>
      <c r="Y900" s="0"/>
      <c r="Z900" s="0"/>
      <c r="AA900" s="0"/>
      <c r="AB900" s="0"/>
      <c r="AC900" s="0"/>
      <c r="AD900" s="0"/>
      <c r="AE900" s="0"/>
      <c r="AF900" s="0"/>
    </row>
    <row r="901" customFormat="false" ht="12.75" hidden="false" customHeight="false" outlineLevel="0" collapsed="false">
      <c r="A901" s="0"/>
      <c r="B901" s="0"/>
      <c r="C901" s="0"/>
      <c r="D901" s="0"/>
      <c r="E901" s="0"/>
      <c r="F901" s="0"/>
      <c r="G901" s="0"/>
      <c r="H901" s="0"/>
      <c r="I901" s="0"/>
      <c r="J901" s="0"/>
      <c r="K901" s="0"/>
      <c r="L901" s="0"/>
      <c r="M901" s="0"/>
      <c r="N901" s="0"/>
      <c r="O901" s="0"/>
      <c r="P901" s="0"/>
      <c r="Q901" s="0"/>
      <c r="R901" s="0"/>
      <c r="S901" s="0"/>
      <c r="T901" s="0"/>
      <c r="U901" s="0"/>
      <c r="V901" s="0"/>
      <c r="W901" s="0"/>
      <c r="X901" s="0"/>
      <c r="Y901" s="0"/>
      <c r="Z901" s="0"/>
      <c r="AA901" s="0"/>
      <c r="AB901" s="0"/>
      <c r="AC901" s="0"/>
      <c r="AD901" s="0"/>
      <c r="AE901" s="0"/>
      <c r="AF901" s="0"/>
    </row>
    <row r="902" customFormat="false" ht="12.75" hidden="false" customHeight="false" outlineLevel="0" collapsed="false">
      <c r="A902" s="0"/>
      <c r="B902" s="0"/>
      <c r="C902" s="0"/>
      <c r="D902" s="0"/>
      <c r="E902" s="0"/>
      <c r="F902" s="0"/>
      <c r="G902" s="0"/>
      <c r="H902" s="0"/>
      <c r="I902" s="0"/>
      <c r="J902" s="0"/>
      <c r="K902" s="0"/>
      <c r="L902" s="0"/>
      <c r="M902" s="0"/>
      <c r="N902" s="0"/>
      <c r="O902" s="0"/>
      <c r="P902" s="0"/>
      <c r="Q902" s="0"/>
      <c r="R902" s="0"/>
      <c r="S902" s="0"/>
      <c r="T902" s="0"/>
      <c r="U902" s="0"/>
      <c r="V902" s="0"/>
      <c r="W902" s="0"/>
      <c r="X902" s="0"/>
      <c r="Y902" s="0"/>
      <c r="Z902" s="0"/>
      <c r="AA902" s="0"/>
      <c r="AB902" s="0"/>
      <c r="AC902" s="0"/>
      <c r="AD902" s="0"/>
      <c r="AE902" s="0"/>
      <c r="AF902" s="0"/>
    </row>
    <row r="903" customFormat="false" ht="12.75" hidden="false" customHeight="false" outlineLevel="0" collapsed="false">
      <c r="A903" s="0"/>
      <c r="B903" s="0"/>
      <c r="C903" s="0"/>
      <c r="D903" s="0"/>
      <c r="E903" s="0"/>
      <c r="F903" s="0"/>
      <c r="G903" s="0"/>
      <c r="H903" s="0"/>
      <c r="I903" s="0"/>
      <c r="J903" s="0"/>
      <c r="K903" s="0"/>
      <c r="L903" s="0"/>
      <c r="M903" s="0"/>
      <c r="N903" s="0"/>
      <c r="O903" s="0"/>
      <c r="P903" s="0"/>
      <c r="Q903" s="0"/>
      <c r="R903" s="0"/>
      <c r="S903" s="0"/>
      <c r="T903" s="0"/>
      <c r="U903" s="0"/>
      <c r="V903" s="0"/>
      <c r="W903" s="0"/>
      <c r="X903" s="0"/>
      <c r="Y903" s="0"/>
      <c r="Z903" s="0"/>
      <c r="AA903" s="0"/>
      <c r="AB903" s="0"/>
      <c r="AC903" s="0"/>
      <c r="AD903" s="0"/>
      <c r="AE903" s="0"/>
      <c r="AF903" s="0"/>
    </row>
    <row r="904" customFormat="false" ht="12.75" hidden="false" customHeight="false" outlineLevel="0" collapsed="false">
      <c r="A904" s="0"/>
      <c r="B904" s="0"/>
      <c r="C904" s="0"/>
      <c r="D904" s="0"/>
      <c r="E904" s="0"/>
      <c r="F904" s="0"/>
      <c r="G904" s="0"/>
      <c r="H904" s="0"/>
      <c r="I904" s="0"/>
      <c r="J904" s="0"/>
      <c r="K904" s="0"/>
      <c r="L904" s="0"/>
      <c r="M904" s="0"/>
      <c r="N904" s="0"/>
      <c r="O904" s="0"/>
      <c r="P904" s="0"/>
      <c r="Q904" s="0"/>
      <c r="R904" s="0"/>
      <c r="S904" s="0"/>
      <c r="T904" s="0"/>
      <c r="U904" s="0"/>
      <c r="V904" s="0"/>
      <c r="W904" s="0"/>
      <c r="X904" s="0"/>
      <c r="Y904" s="0"/>
      <c r="Z904" s="0"/>
      <c r="AA904" s="0"/>
      <c r="AB904" s="0"/>
      <c r="AC904" s="0"/>
      <c r="AD904" s="0"/>
      <c r="AE904" s="0"/>
      <c r="AF904" s="0"/>
    </row>
    <row r="905" customFormat="false" ht="12.75" hidden="false" customHeight="false" outlineLevel="0" collapsed="false">
      <c r="A905" s="0"/>
      <c r="B905" s="0"/>
      <c r="C905" s="0"/>
      <c r="D905" s="0"/>
      <c r="E905" s="0"/>
      <c r="F905" s="0"/>
      <c r="G905" s="0"/>
      <c r="H905" s="0"/>
      <c r="I905" s="0"/>
      <c r="J905" s="0"/>
      <c r="K905" s="0"/>
      <c r="L905" s="0"/>
      <c r="M905" s="0"/>
      <c r="N905" s="0"/>
      <c r="O905" s="0"/>
      <c r="P905" s="0"/>
      <c r="Q905" s="0"/>
      <c r="R905" s="0"/>
      <c r="S905" s="0"/>
      <c r="T905" s="0"/>
      <c r="U905" s="0"/>
      <c r="V905" s="0"/>
      <c r="W905" s="0"/>
      <c r="X905" s="0"/>
      <c r="Y905" s="0"/>
      <c r="Z905" s="0"/>
      <c r="AA905" s="0"/>
      <c r="AB905" s="0"/>
      <c r="AC905" s="0"/>
      <c r="AD905" s="0"/>
      <c r="AE905" s="0"/>
      <c r="AF905" s="0"/>
    </row>
    <row r="906" customFormat="false" ht="12.75" hidden="false" customHeight="false" outlineLevel="0" collapsed="false">
      <c r="A906" s="0"/>
      <c r="B906" s="0"/>
      <c r="C906" s="0"/>
      <c r="D906" s="0"/>
      <c r="E906" s="0"/>
      <c r="F906" s="0"/>
      <c r="G906" s="0"/>
      <c r="H906" s="0"/>
      <c r="I906" s="0"/>
      <c r="J906" s="0"/>
      <c r="K906" s="0"/>
      <c r="L906" s="0"/>
      <c r="M906" s="0"/>
      <c r="N906" s="0"/>
      <c r="O906" s="0"/>
      <c r="P906" s="0"/>
      <c r="Q906" s="0"/>
      <c r="R906" s="0"/>
      <c r="S906" s="0"/>
      <c r="T906" s="0"/>
      <c r="U906" s="0"/>
      <c r="V906" s="0"/>
      <c r="W906" s="0"/>
      <c r="X906" s="0"/>
      <c r="Y906" s="0"/>
      <c r="Z906" s="0"/>
      <c r="AA906" s="0"/>
      <c r="AB906" s="0"/>
      <c r="AC906" s="0"/>
      <c r="AD906" s="0"/>
      <c r="AE906" s="0"/>
      <c r="AF906" s="0"/>
    </row>
    <row r="907" customFormat="false" ht="12.75" hidden="false" customHeight="false" outlineLevel="0" collapsed="false">
      <c r="A907" s="0"/>
      <c r="B907" s="0"/>
      <c r="C907" s="0"/>
      <c r="D907" s="0"/>
      <c r="E907" s="0"/>
      <c r="F907" s="0"/>
      <c r="G907" s="0"/>
      <c r="H907" s="0"/>
      <c r="I907" s="0"/>
      <c r="J907" s="0"/>
      <c r="K907" s="0"/>
      <c r="L907" s="0"/>
      <c r="M907" s="0"/>
      <c r="N907" s="0"/>
      <c r="O907" s="0"/>
      <c r="P907" s="0"/>
      <c r="Q907" s="0"/>
      <c r="R907" s="0"/>
      <c r="S907" s="0"/>
      <c r="T907" s="0"/>
      <c r="U907" s="0"/>
      <c r="V907" s="0"/>
      <c r="W907" s="0"/>
      <c r="X907" s="0"/>
      <c r="Y907" s="0"/>
      <c r="Z907" s="0"/>
      <c r="AA907" s="0"/>
      <c r="AB907" s="0"/>
      <c r="AC907" s="0"/>
      <c r="AD907" s="0"/>
      <c r="AE907" s="0"/>
      <c r="AF907" s="0"/>
    </row>
    <row r="908" customFormat="false" ht="12.75" hidden="false" customHeight="false" outlineLevel="0" collapsed="false">
      <c r="A908" s="0"/>
      <c r="B908" s="0"/>
      <c r="C908" s="0"/>
      <c r="D908" s="0"/>
      <c r="E908" s="0"/>
      <c r="F908" s="0"/>
      <c r="G908" s="0"/>
      <c r="H908" s="0"/>
      <c r="I908" s="0"/>
      <c r="J908" s="0"/>
      <c r="K908" s="0"/>
      <c r="L908" s="0"/>
      <c r="M908" s="0"/>
      <c r="N908" s="0"/>
      <c r="O908" s="0"/>
      <c r="P908" s="0"/>
      <c r="Q908" s="0"/>
      <c r="R908" s="0"/>
      <c r="S908" s="0"/>
      <c r="T908" s="0"/>
      <c r="U908" s="0"/>
      <c r="V908" s="0"/>
      <c r="W908" s="0"/>
      <c r="X908" s="0"/>
      <c r="Y908" s="0"/>
      <c r="Z908" s="0"/>
      <c r="AA908" s="0"/>
      <c r="AB908" s="0"/>
      <c r="AC908" s="0"/>
      <c r="AD908" s="0"/>
      <c r="AE908" s="0"/>
      <c r="AF908" s="0"/>
    </row>
  </sheetData>
  <mergeCells count="10">
    <mergeCell ref="C36:I36"/>
    <mergeCell ref="L36:S36"/>
    <mergeCell ref="G501:H501"/>
    <mergeCell ref="G502:H502"/>
    <mergeCell ref="P514:Q514"/>
    <mergeCell ref="P515:Q515"/>
    <mergeCell ref="P533:Q533"/>
    <mergeCell ref="R533:S533"/>
    <mergeCell ref="P534:Q534"/>
    <mergeCell ref="R534:S534"/>
  </mergeCells>
  <printOptions headings="false" gridLines="true" gridLinesSet="true" horizontalCentered="true" verticalCentered="false"/>
  <pageMargins left="0.1" right="0.1" top="0.5" bottom="0.75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&amp;CMonetization</oddHeader>
    <oddFooter>&amp;LFilename:  &amp;F&amp;CECT WEST POWER&amp;RPage 9</oddFooter>
  </headerFooter>
  <rowBreaks count="2" manualBreakCount="2">
    <brk id="122" man="true" max="16383" min="0"/>
    <brk id="253" man="true" max="16383" min="0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52">
              <controlPr defaultSize="0" print="false" autoFill="0" autoPict="0" macro="CFMODEL_Macros.Optimize">
                <anchor moveWithCells="true" sizeWithCells="false">
                  <from>
                    <xdr:col>1</xdr:col>
                    <xdr:colOff>885600</xdr:colOff>
                    <xdr:row>0</xdr:row>
                    <xdr:rowOff>0</xdr:rowOff>
                  </from>
                  <to>
                    <xdr:col>2</xdr:col>
                    <xdr:colOff>886320</xdr:colOff>
                    <xdr:row>2</xdr:row>
                    <xdr:rowOff>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10">
              <controlPr defaultSize="0" print="false" autoFill="0" autoPict="0" macro="CFMODEL_Macros.inp">
                <anchor moveWithCells="true" sizeWithCells="false">
                  <from>
                    <xdr:col>0</xdr:col>
                    <xdr:colOff>0</xdr:colOff>
                    <xdr:row>0</xdr:row>
                    <xdr:rowOff>9360</xdr:rowOff>
                  </from>
                  <to>
                    <xdr:col>1</xdr:col>
                    <xdr:colOff>1080</xdr:colOff>
                    <xdr:row>1</xdr:row>
                    <xdr:rowOff>9720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614">
              <controlPr defaultSize="0" print="false" autoFill="0" autoPict="0" macro="CFMODEL_Macros.go">
                <anchor moveWithCells="true" sizeWithCells="false">
                  <from>
                    <xdr:col>1</xdr:col>
                    <xdr:colOff>0</xdr:colOff>
                    <xdr:row>0</xdr:row>
                    <xdr:rowOff>9360</xdr:rowOff>
                  </from>
                  <to>
                    <xdr:col>2</xdr:col>
                    <xdr:colOff>-49320</xdr:colOff>
                    <xdr:row>1</xdr:row>
                    <xdr:rowOff>9720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615">
              <controlPr defaultSize="0" print="false" autoFill="0" autoPict="0" macro="CFMODEL_Macros.setcalc">
                <anchor moveWithCells="true" sizeWithCells="false">
                  <from>
                    <xdr:col>0</xdr:col>
                    <xdr:colOff>0</xdr:colOff>
                    <xdr:row>1</xdr:row>
                    <xdr:rowOff>9720</xdr:rowOff>
                  </from>
                  <to>
                    <xdr:col>1</xdr:col>
                    <xdr:colOff>1080</xdr:colOff>
                    <xdr:row>2</xdr:row>
                    <xdr:rowOff>18720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933">
              <controlPr defaultSize="0" print="false" autoFill="0" autoPict="0" macro="CFMODEL_Macros.prt">
                <anchor moveWithCells="true" sizeWithCells="false">
                  <from>
                    <xdr:col>1</xdr:col>
                    <xdr:colOff>0</xdr:colOff>
                    <xdr:row>1</xdr:row>
                    <xdr:rowOff>9720</xdr:rowOff>
                  </from>
                  <to>
                    <xdr:col>2</xdr:col>
                    <xdr:colOff>-49320</xdr:colOff>
                    <xdr:row>2</xdr:row>
                    <xdr:rowOff>18720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934">
              <controlPr defaultSize="0" print="false" autoFill="0" autoPict="0" macro="CFMODEL_Macros.Clear">
                <anchor moveWithCells="true" sizeWithCells="false">
                  <from>
                    <xdr:col>0</xdr:col>
                    <xdr:colOff>0</xdr:colOff>
                    <xdr:row>2</xdr:row>
                    <xdr:rowOff>18720</xdr:rowOff>
                  </from>
                  <to>
                    <xdr:col>1</xdr:col>
                    <xdr:colOff>1080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165">
              <controlPr defaultSize="0" print="false" autoFill="0" autoPict="0" macro="CFMODEL_Macros.PRT_OPCO">
                <anchor moveWithCells="true" sizeWithCells="false">
                  <from>
                    <xdr:col>3</xdr:col>
                    <xdr:colOff>0</xdr:colOff>
                    <xdr:row>0</xdr:row>
                    <xdr:rowOff>9360</xdr:rowOff>
                  </from>
                  <to>
                    <xdr:col>4</xdr:col>
                    <xdr:colOff>302400</xdr:colOff>
                    <xdr:row>1</xdr:row>
                    <xdr:rowOff>19080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4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16" topLeftCell="HQ17" activePane="bottomRight" state="frozen"/>
      <selection pane="topLeft" activeCell="A1" activeCellId="0" sqref="A1"/>
      <selection pane="topRight" activeCell="HQ1" activeCellId="0" sqref="HQ1"/>
      <selection pane="bottomLeft" activeCell="A17" activeCellId="0" sqref="A17"/>
      <selection pane="bottomRight" activeCell="HS17" activeCellId="0" sqref="HS17:HS40"/>
    </sheetView>
  </sheetViews>
  <sheetFormatPr defaultColWidth="12.9921875" defaultRowHeight="12.75" customHeight="true" zeroHeight="false" outlineLevelRow="0" outlineLevelCol="0"/>
  <cols>
    <col collapsed="false" customWidth="true" hidden="false" outlineLevel="0" max="2" min="1" style="0" width="9.06"/>
    <col collapsed="false" customWidth="true" hidden="false" outlineLevel="0" max="3" min="3" style="0" width="10.28"/>
    <col collapsed="false" customWidth="true" hidden="false" outlineLevel="0" max="4" min="4" style="0" width="5.13"/>
    <col collapsed="false" customWidth="true" hidden="false" outlineLevel="0" max="5" min="5" style="0" width="3.14"/>
    <col collapsed="false" customWidth="true" hidden="false" outlineLevel="0" max="8" min="6" style="0" width="9.7"/>
    <col collapsed="false" customWidth="true" hidden="false" outlineLevel="0" max="9" min="9" style="221" width="7.14"/>
    <col collapsed="false" customWidth="true" hidden="false" outlineLevel="0" max="12" min="10" style="221" width="8.56"/>
    <col collapsed="false" customWidth="true" hidden="false" outlineLevel="0" max="18" min="13" style="0" width="6.7"/>
    <col collapsed="false" customWidth="true" hidden="false" outlineLevel="0" max="19" min="19" style="0" width="7.14"/>
    <col collapsed="false" customWidth="true" hidden="false" outlineLevel="0" max="21" min="20" style="0" width="6.7"/>
    <col collapsed="false" customWidth="true" hidden="false" outlineLevel="0" max="22" min="22" style="0" width="6.99"/>
    <col collapsed="false" customWidth="true" hidden="false" outlineLevel="0" max="24" min="23" style="0" width="6.7"/>
    <col collapsed="false" customWidth="true" hidden="false" outlineLevel="0" max="26" min="25" style="225" width="6.41"/>
    <col collapsed="false" customWidth="true" hidden="false" outlineLevel="0" max="27" min="27" style="225" width="5.28"/>
    <col collapsed="false" customWidth="true" hidden="false" outlineLevel="0" max="29" min="28" style="225" width="4.7"/>
    <col collapsed="false" customWidth="true" hidden="false" outlineLevel="0" max="30" min="30" style="225" width="5.28"/>
    <col collapsed="false" customWidth="true" hidden="false" outlineLevel="0" max="32" min="31" style="225" width="4.7"/>
    <col collapsed="false" customWidth="true" hidden="false" outlineLevel="0" max="33" min="33" style="225" width="5.28"/>
    <col collapsed="false" customWidth="true" hidden="false" outlineLevel="0" max="35" min="34" style="225" width="4.7"/>
    <col collapsed="false" customWidth="true" hidden="false" outlineLevel="0" max="36" min="36" style="225" width="5.28"/>
    <col collapsed="false" customWidth="true" hidden="false" outlineLevel="0" max="45" min="37" style="225" width="5.71"/>
    <col collapsed="false" customWidth="true" hidden="false" outlineLevel="0" max="47" min="46" style="225" width="4.7"/>
    <col collapsed="false" customWidth="true" hidden="false" outlineLevel="0" max="48" min="48" style="225" width="5.28"/>
    <col collapsed="false" customWidth="true" hidden="false" outlineLevel="0" max="49" min="49" style="225" width="8.56"/>
    <col collapsed="false" customWidth="true" hidden="false" outlineLevel="0" max="50" min="50" style="0" width="4.85"/>
    <col collapsed="false" customWidth="true" hidden="false" outlineLevel="0" max="51" min="51" style="0" width="4.7"/>
    <col collapsed="false" customWidth="true" hidden="false" outlineLevel="0" max="53" min="52" style="0" width="4.85"/>
    <col collapsed="false" customWidth="true" hidden="false" outlineLevel="0" max="54" min="54" style="0" width="5.41"/>
    <col collapsed="false" customWidth="true" hidden="false" outlineLevel="0" max="55" min="55" style="0" width="8.28"/>
    <col collapsed="false" customWidth="true" hidden="false" outlineLevel="0" max="56" min="56" style="806" width="10.71"/>
    <col collapsed="false" customWidth="true" hidden="false" outlineLevel="0" max="57" min="57" style="806" width="9.7"/>
    <col collapsed="false" customWidth="true" hidden="false" outlineLevel="0" max="58" min="58" style="806" width="9.14"/>
    <col collapsed="false" customWidth="true" hidden="false" outlineLevel="0" max="59" min="59" style="806" width="9.7"/>
    <col collapsed="false" customWidth="true" hidden="false" outlineLevel="0" max="60" min="60" style="806" width="10.71"/>
    <col collapsed="false" customWidth="true" hidden="false" outlineLevel="0" max="61" min="61" style="806" width="8.7"/>
    <col collapsed="false" customWidth="true" hidden="false" outlineLevel="0" max="62" min="62" style="806" width="9.14"/>
    <col collapsed="false" customWidth="true" hidden="false" outlineLevel="0" max="63" min="63" style="806" width="8.56"/>
    <col collapsed="false" customWidth="true" hidden="false" outlineLevel="0" max="64" min="64" style="806" width="10.71"/>
    <col collapsed="false" customWidth="true" hidden="false" outlineLevel="0" max="65" min="65" style="806" width="8.7"/>
    <col collapsed="false" customWidth="true" hidden="false" outlineLevel="0" max="66" min="66" style="806" width="9.14"/>
    <col collapsed="false" customWidth="true" hidden="false" outlineLevel="0" max="67" min="67" style="806" width="9.99"/>
    <col collapsed="false" customWidth="true" hidden="false" outlineLevel="0" max="68" min="68" style="806" width="10.71"/>
    <col collapsed="false" customWidth="true" hidden="false" outlineLevel="0" max="69" min="69" style="806" width="8.7"/>
    <col collapsed="false" customWidth="true" hidden="false" outlineLevel="0" max="70" min="70" style="806" width="9.14"/>
    <col collapsed="false" customWidth="true" hidden="false" outlineLevel="0" max="71" min="71" style="806" width="8.56"/>
    <col collapsed="false" customWidth="true" hidden="false" outlineLevel="0" max="72" min="72" style="807" width="10.28"/>
    <col collapsed="false" customWidth="true" hidden="false" outlineLevel="0" max="73" min="73" style="807" width="7.42"/>
    <col collapsed="false" customWidth="true" hidden="false" outlineLevel="0" max="74" min="74" style="807" width="13.14"/>
    <col collapsed="false" customWidth="true" hidden="false" outlineLevel="0" max="75" min="75" style="807" width="7.42"/>
    <col collapsed="false" customWidth="true" hidden="false" outlineLevel="0" max="76" min="76" style="807" width="6.7"/>
    <col collapsed="false" customWidth="true" hidden="false" outlineLevel="0" max="77" min="77" style="807" width="8.7"/>
    <col collapsed="false" customWidth="true" hidden="false" outlineLevel="0" max="79" min="78" style="807" width="8.14"/>
    <col collapsed="false" customWidth="true" hidden="false" outlineLevel="0" max="80" min="80" style="807" width="9.28"/>
    <col collapsed="false" customWidth="true" hidden="false" outlineLevel="0" max="82" min="81" style="807" width="8.14"/>
    <col collapsed="false" customWidth="true" hidden="false" outlineLevel="0" max="83" min="83" style="807" width="8.7"/>
    <col collapsed="false" customWidth="true" hidden="false" outlineLevel="0" max="85" min="84" style="807" width="8.14"/>
    <col collapsed="false" customWidth="true" hidden="false" outlineLevel="0" max="86" min="86" style="807" width="9.28"/>
    <col collapsed="false" customWidth="true" hidden="false" outlineLevel="0" max="94" min="87" style="807" width="8.14"/>
    <col collapsed="false" customWidth="true" hidden="false" outlineLevel="0" max="95" min="95" style="807" width="9.28"/>
    <col collapsed="false" customWidth="true" hidden="false" outlineLevel="0" max="97" min="96" style="807" width="7.99"/>
    <col collapsed="false" customWidth="true" hidden="false" outlineLevel="0" max="98" min="98" style="807" width="9.14"/>
    <col collapsed="false" customWidth="true" hidden="false" outlineLevel="0" max="99" min="99" style="807" width="13.41"/>
    <col collapsed="false" customWidth="true" hidden="false" outlineLevel="0" max="100" min="100" style="807" width="8.85"/>
    <col collapsed="false" customWidth="true" hidden="false" outlineLevel="0" max="101" min="101" style="807" width="9.85"/>
    <col collapsed="false" customWidth="true" hidden="false" outlineLevel="0" max="103" min="102" style="807" width="7.99"/>
    <col collapsed="false" customWidth="true" hidden="false" outlineLevel="0" max="104" min="104" style="0" width="9.99"/>
    <col collapsed="false" customWidth="true" hidden="false" outlineLevel="0" max="107" min="105" style="0" width="10.85"/>
    <col collapsed="false" customWidth="true" hidden="false" outlineLevel="0" max="109" min="108" style="0" width="9.41"/>
    <col collapsed="false" customWidth="true" hidden="false" outlineLevel="0" max="110" min="110" style="0" width="10.99"/>
    <col collapsed="false" customWidth="true" hidden="false" outlineLevel="0" max="111" min="111" style="0" width="11.56"/>
    <col collapsed="false" customWidth="true" hidden="false" outlineLevel="0" max="112" min="112" style="0" width="9.85"/>
    <col collapsed="false" customWidth="true" hidden="false" outlineLevel="0" max="113" min="113" style="0" width="10.85"/>
    <col collapsed="false" customWidth="true" hidden="false" outlineLevel="0" max="117" min="114" style="0" width="8.41"/>
    <col collapsed="false" customWidth="true" hidden="false" outlineLevel="0" max="118" min="118" style="0" width="8.99"/>
    <col collapsed="false" customWidth="true" hidden="false" outlineLevel="0" max="119" min="119" style="0" width="10.71"/>
    <col collapsed="false" customWidth="true" hidden="false" outlineLevel="0" max="120" min="120" style="0" width="8.7"/>
    <col collapsed="false" customWidth="true" hidden="false" outlineLevel="0" max="122" min="121" style="0" width="9.06"/>
    <col collapsed="false" customWidth="true" hidden="false" outlineLevel="0" max="123" min="123" style="0" width="9.99"/>
    <col collapsed="false" customWidth="true" hidden="false" outlineLevel="0" max="124" min="124" style="0" width="8.56"/>
    <col collapsed="false" customWidth="true" hidden="false" outlineLevel="0" max="125" min="125" style="0" width="9.85"/>
    <col collapsed="false" customWidth="true" hidden="false" outlineLevel="0" max="126" min="126" style="0" width="10.71"/>
    <col collapsed="false" customWidth="true" hidden="false" outlineLevel="0" max="127" min="127" style="0" width="8.7"/>
    <col collapsed="false" customWidth="true" hidden="false" outlineLevel="0" max="132" min="128" style="0" width="8.56"/>
    <col collapsed="false" customWidth="true" hidden="false" outlineLevel="0" max="133" min="133" style="0" width="10.71"/>
    <col collapsed="false" customWidth="true" hidden="false" outlineLevel="0" max="134" min="134" style="0" width="10.28"/>
    <col collapsed="false" customWidth="true" hidden="false" outlineLevel="0" max="135" min="135" style="0" width="10.71"/>
    <col collapsed="false" customWidth="true" hidden="false" outlineLevel="0" max="136" min="136" style="0" width="10.13"/>
    <col collapsed="false" customWidth="true" hidden="false" outlineLevel="0" max="137" min="137" style="0" width="10.85"/>
    <col collapsed="false" customWidth="true" hidden="false" outlineLevel="0" max="138" min="138" style="0" width="11.13"/>
    <col collapsed="false" customWidth="true" hidden="false" outlineLevel="0" max="139" min="139" style="0" width="10.41"/>
    <col collapsed="false" customWidth="true" hidden="false" outlineLevel="0" max="140" min="140" style="0" width="10.56"/>
    <col collapsed="false" customWidth="true" hidden="false" outlineLevel="0" max="141" min="141" style="0" width="9.56"/>
    <col collapsed="false" customWidth="true" hidden="false" outlineLevel="0" max="142" min="142" style="0" width="11.56"/>
    <col collapsed="false" customWidth="true" hidden="false" outlineLevel="0" max="144" min="143" style="0" width="11.13"/>
    <col collapsed="false" customWidth="true" hidden="false" outlineLevel="0" max="145" min="145" style="0" width="9.85"/>
    <col collapsed="false" customWidth="true" hidden="false" outlineLevel="0" max="146" min="146" style="0" width="10.56"/>
    <col collapsed="false" customWidth="true" hidden="false" outlineLevel="0" max="147" min="147" style="0" width="12.7"/>
    <col collapsed="false" customWidth="true" hidden="false" outlineLevel="0" max="148" min="148" style="0" width="12.42"/>
    <col collapsed="false" customWidth="true" hidden="false" outlineLevel="0" max="149" min="149" style="0" width="10.41"/>
    <col collapsed="false" customWidth="true" hidden="false" outlineLevel="0" max="150" min="150" style="0" width="10.71"/>
    <col collapsed="false" customWidth="true" hidden="false" outlineLevel="0" max="151" min="151" style="0" width="12.56"/>
    <col collapsed="false" customWidth="true" hidden="false" outlineLevel="0" max="156" min="152" style="0" width="10.85"/>
    <col collapsed="false" customWidth="true" hidden="false" outlineLevel="0" max="157" min="157" style="0" width="13.85"/>
    <col collapsed="false" customWidth="true" hidden="false" outlineLevel="0" max="167" min="158" style="0" width="10.56"/>
    <col collapsed="false" customWidth="true" hidden="false" outlineLevel="0" max="168" min="168" style="0" width="14.14"/>
    <col collapsed="false" customWidth="true" hidden="false" outlineLevel="0" max="170" min="169" style="0" width="13.14"/>
    <col collapsed="false" customWidth="true" hidden="false" outlineLevel="0" max="171" min="171" style="0" width="12.14"/>
    <col collapsed="false" customWidth="true" hidden="false" outlineLevel="0" max="208" min="172" style="807" width="11.42"/>
    <col collapsed="false" customWidth="true" hidden="false" outlineLevel="0" max="209" min="209" style="807" width="10.85"/>
    <col collapsed="false" customWidth="true" hidden="false" outlineLevel="0" max="215" min="210" style="807" width="11.42"/>
    <col collapsed="false" customWidth="true" hidden="false" outlineLevel="0" max="216" min="216" style="807" width="13.7"/>
    <col collapsed="false" customWidth="true" hidden="false" outlineLevel="0" max="217" min="217" style="807" width="16.42"/>
    <col collapsed="false" customWidth="true" hidden="false" outlineLevel="0" max="224" min="218" style="807" width="11.42"/>
    <col collapsed="false" customWidth="true" hidden="false" outlineLevel="0" max="225" min="225" style="807" width="16.7"/>
    <col collapsed="false" customWidth="true" hidden="false" outlineLevel="0" max="226" min="226" style="807" width="16.13"/>
    <col collapsed="false" customWidth="true" hidden="false" outlineLevel="0" max="227" min="227" style="807" width="14.14"/>
    <col collapsed="false" customWidth="true" hidden="false" outlineLevel="0" max="230" min="228" style="807" width="13.56"/>
    <col collapsed="false" customWidth="true" hidden="false" outlineLevel="0" max="232" min="231" style="807" width="13.14"/>
    <col collapsed="false" customWidth="true" hidden="false" outlineLevel="0" max="233" min="233" style="807" width="13.99"/>
    <col collapsed="false" customWidth="true" hidden="false" outlineLevel="0" max="235" min="234" style="807" width="13.14"/>
    <col collapsed="false" customWidth="true" hidden="false" outlineLevel="0" max="238" min="236" style="807" width="12.42"/>
    <col collapsed="false" customWidth="true" hidden="false" outlineLevel="0" max="242" min="239" style="807" width="11.42"/>
    <col collapsed="false" customWidth="true" hidden="false" outlineLevel="0" max="244" min="243" style="807" width="14.28"/>
    <col collapsed="false" customWidth="true" hidden="false" outlineLevel="0" max="245" min="245" style="807" width="12.7"/>
    <col collapsed="false" customWidth="true" hidden="false" outlineLevel="0" max="246" min="246" style="807" width="13.41"/>
    <col collapsed="false" customWidth="true" hidden="false" outlineLevel="0" max="247" min="247" style="0" width="13.7"/>
    <col collapsed="false" customWidth="true" hidden="false" outlineLevel="0" max="248" min="248" style="0" width="12.28"/>
    <col collapsed="false" customWidth="true" hidden="false" outlineLevel="0" max="249" min="249" style="0" width="10.85"/>
    <col collapsed="false" customWidth="true" hidden="false" outlineLevel="0" max="252" min="250" style="0" width="9.85"/>
  </cols>
  <sheetData>
    <row r="1" customFormat="false" ht="12.75" hidden="false" customHeight="false" outlineLevel="0" collapsed="false"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809"/>
      <c r="Z1" s="809"/>
      <c r="BO1" s="0"/>
      <c r="BP1" s="0"/>
      <c r="BQ1" s="0"/>
      <c r="BR1" s="0"/>
      <c r="BS1" s="0"/>
      <c r="BT1" s="0"/>
      <c r="BU1" s="0"/>
      <c r="BV1" s="0"/>
      <c r="BW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810"/>
      <c r="CR1" s="810"/>
      <c r="CS1" s="810"/>
      <c r="CV1" s="0"/>
      <c r="CW1" s="0"/>
      <c r="CX1" s="0"/>
      <c r="CY1" s="0"/>
      <c r="DD1" s="811"/>
      <c r="DE1" s="811"/>
      <c r="DF1" s="811"/>
      <c r="DG1" s="811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</row>
    <row r="2" customFormat="false" ht="12.75" hidden="false" customHeight="false" outlineLevel="0" collapsed="false"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3"/>
      <c r="Z2" s="813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DD2" s="811"/>
      <c r="DE2" s="811"/>
      <c r="DF2" s="811"/>
      <c r="DG2" s="811"/>
      <c r="DO2" s="807"/>
      <c r="DP2" s="807"/>
      <c r="DQ2" s="807"/>
      <c r="DR2" s="807"/>
      <c r="DS2" s="807"/>
      <c r="DT2" s="807"/>
      <c r="DU2" s="807"/>
      <c r="DV2" s="807"/>
      <c r="DW2" s="807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</row>
    <row r="3" customFormat="false" ht="12.75" hidden="false" customHeight="false" outlineLevel="0" collapsed="false">
      <c r="F3" s="153" t="s">
        <v>751</v>
      </c>
      <c r="I3" s="0"/>
      <c r="L3" s="814"/>
      <c r="BL3" s="815"/>
      <c r="BM3" s="815"/>
      <c r="BN3" s="815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DD3" s="811"/>
      <c r="DE3" s="811"/>
      <c r="DF3" s="811"/>
      <c r="DG3" s="811"/>
      <c r="DO3" s="807"/>
      <c r="DP3" s="807"/>
      <c r="DQ3" s="807"/>
      <c r="DR3" s="807"/>
      <c r="DS3" s="807"/>
      <c r="DT3" s="807"/>
      <c r="DU3" s="807"/>
      <c r="DV3" s="807"/>
      <c r="DW3" s="807"/>
      <c r="EL3" s="816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222"/>
    </row>
    <row r="4" customFormat="false" ht="13.5" hidden="false" customHeight="false" outlineLevel="0" collapsed="false">
      <c r="L4" s="814"/>
      <c r="M4" s="165" t="n">
        <v>55.8399991679192</v>
      </c>
      <c r="N4" s="165" t="n">
        <v>55.8399991679192</v>
      </c>
      <c r="O4" s="165" t="n">
        <v>41.37999938339</v>
      </c>
      <c r="P4" s="165" t="n">
        <v>12.6864542942494</v>
      </c>
      <c r="Q4" s="165" t="n">
        <v>53.5077411381564</v>
      </c>
      <c r="R4" s="165" t="n">
        <v>39.9006455235207</v>
      </c>
      <c r="Y4" s="0"/>
      <c r="Z4" s="0"/>
      <c r="AA4" s="0"/>
      <c r="AB4" s="0"/>
      <c r="AC4" s="0"/>
      <c r="AD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DD4" s="811"/>
      <c r="DE4" s="811"/>
      <c r="DF4" s="811"/>
      <c r="DG4" s="811"/>
      <c r="DO4" s="807"/>
      <c r="DP4" s="807"/>
      <c r="DQ4" s="807"/>
      <c r="DR4" s="807"/>
      <c r="DS4" s="807"/>
      <c r="DT4" s="807"/>
      <c r="DU4" s="807"/>
      <c r="DV4" s="807"/>
      <c r="DW4" s="807"/>
      <c r="EL4" s="816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</row>
    <row r="5" customFormat="false" ht="13.5" hidden="false" customHeight="false" outlineLevel="0" collapsed="false">
      <c r="H5" s="817" t="s">
        <v>752</v>
      </c>
      <c r="I5" s="818"/>
      <c r="J5" s="819" t="n">
        <v>36526</v>
      </c>
      <c r="K5" s="820"/>
      <c r="L5" s="821"/>
      <c r="Y5" s="0"/>
      <c r="Z5" s="0"/>
      <c r="AA5" s="0"/>
      <c r="AB5" s="0"/>
      <c r="AC5" s="0"/>
      <c r="AD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DD5" s="811"/>
      <c r="DE5" s="811"/>
      <c r="DF5" s="811"/>
      <c r="DG5" s="811"/>
      <c r="DO5" s="807"/>
      <c r="DP5" s="807"/>
      <c r="DQ5" s="807"/>
      <c r="DR5" s="807"/>
      <c r="DS5" s="807"/>
      <c r="DT5" s="807"/>
      <c r="DU5" s="807"/>
      <c r="DV5" s="807"/>
      <c r="DW5" s="807"/>
      <c r="EL5" s="816"/>
      <c r="EM5" s="810" t="s">
        <v>0</v>
      </c>
      <c r="EN5" s="810"/>
      <c r="EO5" s="807"/>
      <c r="EP5" s="822" t="s">
        <v>0</v>
      </c>
      <c r="FG5" s="0" t="s">
        <v>0</v>
      </c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</row>
    <row r="6" customFormat="false" ht="13.5" hidden="false" customHeight="false" outlineLevel="0" collapsed="false">
      <c r="L6" s="814"/>
      <c r="M6" s="0" t="n">
        <v>2</v>
      </c>
      <c r="N6" s="0" t="n">
        <v>3</v>
      </c>
      <c r="O6" s="0" t="n">
        <v>4</v>
      </c>
      <c r="P6" s="0" t="n">
        <v>5</v>
      </c>
      <c r="Q6" s="0" t="n">
        <v>6</v>
      </c>
      <c r="R6" s="0" t="n">
        <v>7</v>
      </c>
      <c r="S6" s="0" t="n">
        <v>8</v>
      </c>
      <c r="T6" s="0" t="n">
        <v>9</v>
      </c>
      <c r="U6" s="0" t="n">
        <v>10</v>
      </c>
      <c r="V6" s="0" t="n">
        <v>11</v>
      </c>
      <c r="W6" s="0" t="n">
        <v>12</v>
      </c>
      <c r="X6" s="0" t="n">
        <v>13</v>
      </c>
      <c r="Y6" s="0"/>
      <c r="Z6" s="0"/>
      <c r="AA6" s="0"/>
      <c r="AB6" s="0"/>
      <c r="AC6" s="0"/>
      <c r="AD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DD6" s="811"/>
      <c r="DE6" s="811"/>
      <c r="DF6" s="811"/>
      <c r="DG6" s="811"/>
      <c r="DO6" s="807"/>
      <c r="DP6" s="807"/>
      <c r="DQ6" s="807"/>
      <c r="DR6" s="807"/>
      <c r="DS6" s="807"/>
      <c r="DT6" s="807"/>
      <c r="DU6" s="807"/>
      <c r="DV6" s="807"/>
      <c r="DW6" s="807"/>
      <c r="EL6" s="816"/>
      <c r="EM6" s="823" t="s">
        <v>753</v>
      </c>
      <c r="EN6" s="824"/>
      <c r="EO6" s="824"/>
      <c r="EP6" s="825" t="n">
        <f aca="false">SUMPRODUCT($DS$17:$DS$292,$BL$17:$BL$292)+SUMPRODUCT($DT$17:$DT$292,$BM$17:$BM$292)+SUMPRODUCT($DU$17:$DU$292,$BN$17:$BN$292)</f>
        <v>0</v>
      </c>
      <c r="FC6" s="0" t="s">
        <v>754</v>
      </c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</row>
    <row r="7" customFormat="false" ht="13.5" hidden="false" customHeight="false" outlineLevel="0" collapsed="false">
      <c r="E7" s="0" t="s">
        <v>0</v>
      </c>
      <c r="F7" s="826" t="s">
        <v>755</v>
      </c>
      <c r="G7" s="827"/>
      <c r="H7" s="828" t="n">
        <v>36509</v>
      </c>
      <c r="L7" s="814" t="s">
        <v>756</v>
      </c>
      <c r="M7" s="829" t="n">
        <v>0</v>
      </c>
      <c r="N7" s="829" t="n">
        <v>0</v>
      </c>
      <c r="O7" s="829" t="n">
        <v>0</v>
      </c>
      <c r="P7" s="829" t="n">
        <v>0</v>
      </c>
      <c r="Q7" s="829" t="n">
        <v>0</v>
      </c>
      <c r="R7" s="829" t="n">
        <v>0</v>
      </c>
      <c r="S7" s="829" t="n">
        <v>0</v>
      </c>
      <c r="T7" s="829" t="n">
        <v>0</v>
      </c>
      <c r="U7" s="829" t="n">
        <v>0</v>
      </c>
      <c r="V7" s="829" t="n">
        <v>0</v>
      </c>
      <c r="W7" s="829" t="n">
        <v>0</v>
      </c>
      <c r="X7" s="829" t="n">
        <v>0</v>
      </c>
      <c r="Y7" s="0"/>
      <c r="Z7" s="0"/>
      <c r="AA7" s="0"/>
      <c r="AB7" s="0"/>
      <c r="AC7" s="0"/>
      <c r="AD7" s="0"/>
      <c r="BO7" s="0"/>
      <c r="BP7" s="0"/>
      <c r="BQ7" s="0"/>
      <c r="BR7" s="0"/>
      <c r="BS7" s="0"/>
      <c r="BT7" s="0"/>
      <c r="BU7" s="0"/>
      <c r="BV7" s="0"/>
      <c r="BW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DD7" s="811"/>
      <c r="DE7" s="811"/>
      <c r="DF7" s="811"/>
      <c r="DG7" s="811"/>
      <c r="EL7" s="816"/>
      <c r="EM7" s="830" t="s">
        <v>757</v>
      </c>
      <c r="EN7" s="827"/>
      <c r="EO7" s="831"/>
      <c r="EP7" s="832" t="n">
        <f aca="false">SUMPRODUCT($DV$17:$DV$292,$BO$17:$BO$292)</f>
        <v>0</v>
      </c>
      <c r="ER7" s="833" t="s">
        <v>0</v>
      </c>
      <c r="ES7" s="833"/>
      <c r="ET7" s="833"/>
      <c r="EU7" s="833"/>
      <c r="EV7" s="833"/>
      <c r="EW7" s="833"/>
      <c r="EX7" s="833"/>
      <c r="FC7" s="0" t="s">
        <v>758</v>
      </c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</row>
    <row r="8" customFormat="false" ht="12.75" hidden="false" customHeight="false" outlineLevel="0" collapsed="false">
      <c r="J8" s="221" t="s">
        <v>0</v>
      </c>
      <c r="L8" s="814" t="s">
        <v>759</v>
      </c>
      <c r="M8" s="829" t="n">
        <v>0</v>
      </c>
      <c r="N8" s="829" t="n">
        <v>0</v>
      </c>
      <c r="O8" s="829" t="n">
        <v>0</v>
      </c>
      <c r="P8" s="829" t="n">
        <v>0</v>
      </c>
      <c r="Q8" s="829" t="n">
        <v>0</v>
      </c>
      <c r="R8" s="829" t="n">
        <v>0</v>
      </c>
      <c r="S8" s="829" t="n">
        <v>0</v>
      </c>
      <c r="T8" s="829" t="n">
        <v>0</v>
      </c>
      <c r="U8" s="829" t="n">
        <v>0</v>
      </c>
      <c r="V8" s="829" t="n">
        <v>0</v>
      </c>
      <c r="W8" s="829" t="n">
        <v>0</v>
      </c>
      <c r="X8" s="829" t="n">
        <v>0</v>
      </c>
      <c r="Y8" s="0"/>
      <c r="Z8" s="0"/>
      <c r="AA8" s="0"/>
      <c r="AB8" s="0"/>
      <c r="AC8" s="0"/>
      <c r="AD8" s="0"/>
      <c r="BO8" s="0"/>
      <c r="BP8" s="0"/>
      <c r="BQ8" s="0"/>
      <c r="BR8" s="0"/>
      <c r="BS8" s="0"/>
      <c r="BT8" s="0"/>
      <c r="BU8" s="0"/>
      <c r="BV8" s="0"/>
      <c r="BW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DD8" s="811"/>
      <c r="DE8" s="811"/>
      <c r="DF8" s="811"/>
      <c r="DG8" s="811"/>
      <c r="EL8" s="816"/>
      <c r="EM8" s="834" t="s">
        <v>760</v>
      </c>
      <c r="EN8" s="408"/>
      <c r="EO8" s="408"/>
      <c r="EP8" s="832" t="n">
        <f aca="false">SUMPRODUCT($EB$17:$EB$292,$BW$17:$BW$292)</f>
        <v>0</v>
      </c>
      <c r="ER8" s="823" t="s">
        <v>761</v>
      </c>
      <c r="ES8" s="824"/>
      <c r="ET8" s="824"/>
      <c r="EU8" s="835" t="e">
        <f aca="false">EP8/EX8</f>
        <v>#DIV/0!</v>
      </c>
      <c r="EV8" s="823" t="s">
        <v>762</v>
      </c>
      <c r="EW8" s="824"/>
      <c r="EX8" s="836" t="n">
        <v>0</v>
      </c>
      <c r="FC8" s="0" t="s">
        <v>763</v>
      </c>
      <c r="FF8" s="0" t="s">
        <v>764</v>
      </c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 t="s">
        <v>0</v>
      </c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</row>
    <row r="9" customFormat="false" ht="12.75" hidden="false" customHeight="false" outlineLevel="0" collapsed="false">
      <c r="J9" s="0" t="s">
        <v>0</v>
      </c>
      <c r="K9" s="0"/>
      <c r="L9" s="837" t="s">
        <v>765</v>
      </c>
      <c r="M9" s="829" t="n">
        <v>0</v>
      </c>
      <c r="N9" s="829" t="n">
        <v>0</v>
      </c>
      <c r="O9" s="829" t="n">
        <v>0</v>
      </c>
      <c r="P9" s="829" t="n">
        <v>0</v>
      </c>
      <c r="Q9" s="829" t="n">
        <v>0</v>
      </c>
      <c r="R9" s="829" t="n">
        <v>0</v>
      </c>
      <c r="S9" s="829" t="n">
        <v>0</v>
      </c>
      <c r="T9" s="829" t="n">
        <v>0</v>
      </c>
      <c r="U9" s="829" t="n">
        <v>0</v>
      </c>
      <c r="V9" s="829" t="n">
        <v>0</v>
      </c>
      <c r="W9" s="829" t="n">
        <v>0</v>
      </c>
      <c r="X9" s="829" t="n">
        <v>0</v>
      </c>
      <c r="Y9" s="0"/>
      <c r="Z9" s="0"/>
      <c r="AA9" s="0"/>
      <c r="AB9" s="0"/>
      <c r="AC9" s="0"/>
      <c r="AD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838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DD9" s="811"/>
      <c r="DE9" s="811"/>
      <c r="DF9" s="811"/>
      <c r="DG9" s="811"/>
      <c r="DH9" s="839" t="s">
        <v>766</v>
      </c>
      <c r="EL9" s="816"/>
      <c r="EM9" s="834" t="s">
        <v>767</v>
      </c>
      <c r="EN9" s="408"/>
      <c r="EO9" s="408"/>
      <c r="EP9" s="832" t="n">
        <f aca="false">SUM($EV$17:$EV$292)</f>
        <v>0</v>
      </c>
      <c r="ER9" s="830" t="s">
        <v>768</v>
      </c>
      <c r="ES9" s="827"/>
      <c r="ET9" s="831"/>
      <c r="EU9" s="840" t="e">
        <f aca="false">EP8/EX9</f>
        <v>#DIV/0!</v>
      </c>
      <c r="EV9" s="841" t="s">
        <v>769</v>
      </c>
      <c r="EW9" s="807"/>
      <c r="EX9" s="842" t="n">
        <v>0</v>
      </c>
      <c r="FC9" s="0" t="s">
        <v>770</v>
      </c>
      <c r="FF9" s="0" t="s">
        <v>771</v>
      </c>
      <c r="FP9" s="807" t="s">
        <v>0</v>
      </c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843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222" t="n">
        <f aca="false">+HR17-IC17</f>
        <v>0</v>
      </c>
      <c r="HU9" s="0"/>
      <c r="HV9" s="0"/>
      <c r="HW9" s="0"/>
      <c r="HX9" s="0"/>
      <c r="HY9" s="0"/>
      <c r="HZ9" s="222"/>
      <c r="IA9" s="0"/>
      <c r="IB9" s="0"/>
      <c r="IC9" s="222"/>
      <c r="ID9" s="0"/>
      <c r="IE9" s="0"/>
      <c r="IF9" s="0"/>
      <c r="IG9" s="0"/>
      <c r="IH9" s="0"/>
      <c r="II9" s="0"/>
      <c r="IJ9" s="0"/>
      <c r="IK9" s="0"/>
      <c r="IL9" s="0"/>
      <c r="IM9" s="222"/>
    </row>
    <row r="10" customFormat="false" ht="13.5" hidden="false" customHeight="false" outlineLevel="0" collapsed="false">
      <c r="L10" s="814" t="s">
        <v>772</v>
      </c>
      <c r="M10" s="829" t="n">
        <v>0</v>
      </c>
      <c r="N10" s="829" t="n">
        <v>0</v>
      </c>
      <c r="O10" s="829" t="n">
        <v>0</v>
      </c>
      <c r="P10" s="829" t="n">
        <v>0</v>
      </c>
      <c r="Q10" s="829" t="n">
        <v>0</v>
      </c>
      <c r="R10" s="829" t="n">
        <v>0</v>
      </c>
      <c r="S10" s="829" t="n">
        <v>0</v>
      </c>
      <c r="T10" s="829" t="n">
        <v>0</v>
      </c>
      <c r="U10" s="829" t="n">
        <v>0</v>
      </c>
      <c r="V10" s="829" t="n">
        <v>0</v>
      </c>
      <c r="W10" s="829" t="n">
        <v>0</v>
      </c>
      <c r="X10" s="829" t="n">
        <v>0</v>
      </c>
      <c r="Y10" s="0"/>
      <c r="Z10" s="0"/>
      <c r="AA10" s="0"/>
      <c r="AB10" s="0"/>
      <c r="AC10" s="0"/>
      <c r="AD10" s="0"/>
      <c r="BD10" s="844"/>
      <c r="BE10" s="0"/>
      <c r="BF10" s="0"/>
      <c r="BG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845" t="s">
        <v>0</v>
      </c>
      <c r="CV10" s="0"/>
      <c r="CW10" s="0"/>
      <c r="CX10" s="0"/>
      <c r="CY10" s="0"/>
      <c r="DS10" s="807"/>
      <c r="EL10" s="816"/>
      <c r="EM10" s="846" t="s">
        <v>773</v>
      </c>
      <c r="EN10" s="847"/>
      <c r="EO10" s="847"/>
      <c r="EP10" s="848" t="n">
        <f aca="false">EP8-EP9</f>
        <v>0</v>
      </c>
      <c r="ER10" s="846" t="s">
        <v>774</v>
      </c>
      <c r="ES10" s="847"/>
      <c r="ET10" s="847"/>
      <c r="EU10" s="849" t="e">
        <f aca="false">EP8/EX10</f>
        <v>#DIV/0!</v>
      </c>
      <c r="EV10" s="846" t="s">
        <v>775</v>
      </c>
      <c r="EW10" s="847"/>
      <c r="EX10" s="850" t="n">
        <f aca="false">SUM(EW17:EW292)*1000</f>
        <v>0</v>
      </c>
      <c r="FC10" s="0" t="s">
        <v>776</v>
      </c>
      <c r="FF10" s="0" t="s">
        <v>777</v>
      </c>
      <c r="FP10" s="0" t="s">
        <v>0</v>
      </c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806"/>
      <c r="GC10" s="806"/>
      <c r="GD10" s="806"/>
      <c r="GE10" s="806"/>
      <c r="GF10" s="806"/>
      <c r="GG10" s="806"/>
      <c r="GH10" s="806" t="n">
        <f aca="false">IF($C10&lt;Summary!$N$84,Summary!$O$79,Summary!$O$86)*(5000*(EOMONTH(C10,0)-C10+1))*IF(OR($C10&lt;Summary!$M$81,$C10&gt;Summary!$N$78),GB10,IF(Summary!$O$74=1,VLOOKUP(C10,GasTable,17)+Summary!$O$78,VLOOKUP(C10,GasTable,22)))</f>
        <v>0</v>
      </c>
      <c r="GI10" s="806"/>
      <c r="GJ10" s="851"/>
      <c r="GK10" s="806"/>
      <c r="GL10" s="843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</row>
    <row r="11" customFormat="false" ht="13.5" hidden="false" customHeight="false" outlineLevel="0" collapsed="false">
      <c r="I11" s="0"/>
      <c r="J11" s="0"/>
      <c r="K11" s="0"/>
      <c r="L11" s="837" t="s">
        <v>778</v>
      </c>
      <c r="M11" s="813" t="n">
        <v>0</v>
      </c>
      <c r="N11" s="813" t="n">
        <v>0</v>
      </c>
      <c r="O11" s="813" t="n">
        <v>0</v>
      </c>
      <c r="P11" s="813" t="n">
        <v>0</v>
      </c>
      <c r="Q11" s="813" t="n">
        <v>0</v>
      </c>
      <c r="R11" s="813" t="n">
        <v>0</v>
      </c>
      <c r="S11" s="813" t="n">
        <v>0</v>
      </c>
      <c r="T11" s="813" t="n">
        <v>0</v>
      </c>
      <c r="U11" s="813" t="n">
        <v>0</v>
      </c>
      <c r="V11" s="813" t="n">
        <v>0</v>
      </c>
      <c r="W11" s="813" t="n">
        <v>0</v>
      </c>
      <c r="X11" s="813" t="n">
        <v>0</v>
      </c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852" t="s">
        <v>0</v>
      </c>
      <c r="CD11" s="0"/>
      <c r="CE11" s="0"/>
      <c r="CF11" s="0"/>
      <c r="CG11" s="0"/>
      <c r="CH11" s="0"/>
      <c r="CI11" s="852" t="s">
        <v>0</v>
      </c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DS11" s="852" t="s">
        <v>0</v>
      </c>
      <c r="FC11" s="853" t="s">
        <v>779</v>
      </c>
      <c r="FD11" s="853"/>
      <c r="FE11" s="853"/>
      <c r="FF11" s="853" t="s">
        <v>780</v>
      </c>
      <c r="FG11" s="853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K11" s="806"/>
      <c r="GL11" s="1"/>
      <c r="GM11" s="0" t="s">
        <v>781</v>
      </c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222"/>
      <c r="ID11" s="0"/>
      <c r="IE11" s="0"/>
      <c r="IF11" s="0"/>
      <c r="IG11" s="0"/>
      <c r="IH11" s="0"/>
      <c r="II11" s="0"/>
      <c r="IJ11" s="0"/>
      <c r="IK11" s="0"/>
      <c r="IL11" s="0"/>
      <c r="IN11" s="222"/>
    </row>
    <row r="12" customFormat="false" ht="13.5" hidden="false" customHeight="false" outlineLevel="0" collapsed="false">
      <c r="A12" s="806"/>
      <c r="B12" s="806"/>
      <c r="C12" s="854" t="s">
        <v>782</v>
      </c>
      <c r="D12" s="854"/>
      <c r="E12" s="854"/>
      <c r="F12" s="854"/>
      <c r="G12" s="854"/>
      <c r="H12" s="854"/>
      <c r="I12" s="855" t="s">
        <v>783</v>
      </c>
      <c r="J12" s="855"/>
      <c r="K12" s="855"/>
      <c r="L12" s="855"/>
      <c r="M12" s="856" t="e">
        <f aca="false">IF(BasisNumber=1,"Prices","Basis-Adjusted Prices")</f>
        <v>#REF!</v>
      </c>
      <c r="N12" s="856"/>
      <c r="O12" s="856"/>
      <c r="P12" s="856"/>
      <c r="Q12" s="856"/>
      <c r="R12" s="856"/>
      <c r="S12" s="856"/>
      <c r="T12" s="856"/>
      <c r="U12" s="856"/>
      <c r="V12" s="856"/>
      <c r="W12" s="856"/>
      <c r="X12" s="856"/>
      <c r="Y12" s="857" t="s">
        <v>784</v>
      </c>
      <c r="Z12" s="857"/>
      <c r="AA12" s="857"/>
      <c r="AB12" s="857"/>
      <c r="AC12" s="857"/>
      <c r="AD12" s="857"/>
      <c r="AE12" s="857"/>
      <c r="AF12" s="857"/>
      <c r="AG12" s="857"/>
      <c r="AH12" s="857"/>
      <c r="AI12" s="857"/>
      <c r="AJ12" s="857"/>
      <c r="AK12" s="857"/>
      <c r="AL12" s="857"/>
      <c r="AM12" s="857"/>
      <c r="AN12" s="857"/>
      <c r="AO12" s="857"/>
      <c r="AP12" s="857"/>
      <c r="AQ12" s="857"/>
      <c r="AR12" s="857"/>
      <c r="AS12" s="857"/>
      <c r="AT12" s="857"/>
      <c r="AU12" s="857"/>
      <c r="AV12" s="857"/>
      <c r="AW12" s="858" t="s">
        <v>785</v>
      </c>
      <c r="AX12" s="859" t="s">
        <v>786</v>
      </c>
      <c r="AY12" s="860"/>
      <c r="AZ12" s="860"/>
      <c r="BA12" s="860"/>
      <c r="BB12" s="861"/>
      <c r="BC12" s="862"/>
      <c r="BD12" s="863" t="s">
        <v>787</v>
      </c>
      <c r="BE12" s="863"/>
      <c r="BF12" s="863"/>
      <c r="BG12" s="863"/>
      <c r="BH12" s="863"/>
      <c r="BI12" s="863"/>
      <c r="BJ12" s="863"/>
      <c r="BK12" s="863"/>
      <c r="BL12" s="863" t="s">
        <v>788</v>
      </c>
      <c r="BM12" s="863"/>
      <c r="BN12" s="863"/>
      <c r="BO12" s="863"/>
      <c r="BP12" s="863"/>
      <c r="BQ12" s="863"/>
      <c r="BR12" s="863"/>
      <c r="BS12" s="863"/>
      <c r="BT12" s="864" t="s">
        <v>204</v>
      </c>
      <c r="BU12" s="865"/>
      <c r="BV12" s="864" t="s">
        <v>789</v>
      </c>
      <c r="BW12" s="865"/>
      <c r="BX12" s="866"/>
      <c r="BY12" s="867"/>
      <c r="BZ12" s="867"/>
      <c r="CA12" s="867"/>
      <c r="CB12" s="867"/>
      <c r="CC12" s="867"/>
      <c r="CD12" s="867"/>
      <c r="CE12" s="867"/>
      <c r="CF12" s="867"/>
      <c r="CG12" s="867"/>
      <c r="CH12" s="867"/>
      <c r="CI12" s="867"/>
      <c r="CJ12" s="867"/>
      <c r="CK12" s="868"/>
      <c r="CL12" s="868"/>
      <c r="CM12" s="868"/>
      <c r="CN12" s="868"/>
      <c r="CO12" s="868"/>
      <c r="CP12" s="868"/>
      <c r="CQ12" s="868"/>
      <c r="CR12" s="868"/>
      <c r="CS12" s="868"/>
      <c r="CT12" s="868"/>
      <c r="CU12" s="868"/>
      <c r="CV12" s="868"/>
      <c r="CW12" s="868"/>
      <c r="CX12" s="868"/>
      <c r="CY12" s="868"/>
      <c r="CZ12" s="869" t="s">
        <v>790</v>
      </c>
      <c r="DA12" s="870"/>
      <c r="DB12" s="870"/>
      <c r="DC12" s="870"/>
      <c r="DD12" s="870"/>
      <c r="DE12" s="870"/>
      <c r="DF12" s="871"/>
      <c r="DG12" s="871"/>
      <c r="DH12" s="871"/>
      <c r="DI12" s="871"/>
      <c r="DJ12" s="871"/>
      <c r="DK12" s="871"/>
      <c r="DL12" s="871"/>
      <c r="DM12" s="871"/>
      <c r="DN12" s="871"/>
      <c r="DO12" s="871"/>
      <c r="DP12" s="871"/>
      <c r="DQ12" s="871"/>
      <c r="DR12" s="871"/>
      <c r="DS12" s="871"/>
      <c r="DT12" s="871"/>
      <c r="DU12" s="871"/>
      <c r="DV12" s="871"/>
      <c r="DW12" s="871"/>
      <c r="DX12" s="871"/>
      <c r="DY12" s="871"/>
      <c r="DZ12" s="871"/>
      <c r="EA12" s="871"/>
      <c r="EB12" s="871"/>
      <c r="EC12" s="871"/>
      <c r="ED12" s="871"/>
      <c r="EE12" s="871"/>
      <c r="EF12" s="871"/>
      <c r="EG12" s="871"/>
      <c r="EH12" s="871"/>
      <c r="EI12" s="871"/>
      <c r="EJ12" s="871"/>
      <c r="EK12" s="871"/>
      <c r="EL12" s="871"/>
      <c r="EM12" s="871"/>
      <c r="EN12" s="871"/>
      <c r="EO12" s="871"/>
      <c r="EP12" s="871"/>
      <c r="EQ12" s="871"/>
      <c r="ER12" s="871"/>
      <c r="ES12" s="871"/>
      <c r="ET12" s="871"/>
      <c r="EU12" s="871"/>
      <c r="EV12" s="871"/>
      <c r="EW12" s="872"/>
      <c r="EX12" s="873"/>
      <c r="EY12" s="865"/>
      <c r="EZ12" s="874"/>
      <c r="FA12" s="875"/>
      <c r="FB12" s="875"/>
      <c r="FC12" s="875"/>
      <c r="FD12" s="875"/>
      <c r="FE12" s="875"/>
      <c r="FF12" s="875"/>
      <c r="FG12" s="875"/>
      <c r="FH12" s="875"/>
      <c r="FI12" s="875"/>
      <c r="FJ12" s="875"/>
      <c r="FK12" s="875"/>
      <c r="FL12" s="875"/>
      <c r="FM12" s="875"/>
      <c r="FN12" s="875"/>
      <c r="FO12" s="875"/>
      <c r="FP12" s="876" t="s">
        <v>0</v>
      </c>
      <c r="FQ12" s="876"/>
      <c r="FR12" s="876" t="s">
        <v>0</v>
      </c>
      <c r="FS12" s="876"/>
      <c r="FT12" s="876" t="s">
        <v>0</v>
      </c>
      <c r="FU12" s="876"/>
      <c r="FV12" s="877" t="s">
        <v>0</v>
      </c>
      <c r="FW12" s="878"/>
      <c r="FX12" s="878"/>
      <c r="FY12" s="878"/>
      <c r="FZ12" s="878"/>
      <c r="GA12" s="875" t="s">
        <v>0</v>
      </c>
      <c r="GB12" s="875"/>
      <c r="GC12" s="875"/>
      <c r="GD12" s="875"/>
      <c r="GE12" s="875"/>
      <c r="GF12" s="875"/>
      <c r="GG12" s="875"/>
      <c r="GH12" s="875"/>
      <c r="GI12" s="875"/>
      <c r="GJ12" s="875"/>
      <c r="GK12" s="875" t="s">
        <v>0</v>
      </c>
      <c r="GL12" s="875"/>
      <c r="GM12" s="875"/>
      <c r="GN12" s="875"/>
      <c r="GO12" s="875"/>
      <c r="GP12" s="875"/>
      <c r="GQ12" s="879"/>
      <c r="GR12" s="875"/>
      <c r="GS12" s="875"/>
      <c r="GT12" s="880"/>
      <c r="GU12" s="881" t="s">
        <v>0</v>
      </c>
      <c r="GV12" s="881" t="s">
        <v>0</v>
      </c>
      <c r="GW12" s="881" t="s">
        <v>0</v>
      </c>
      <c r="GX12" s="881" t="s">
        <v>0</v>
      </c>
      <c r="GY12" s="878"/>
      <c r="GZ12" s="878"/>
      <c r="HA12" s="878"/>
      <c r="HB12" s="878"/>
      <c r="HC12" s="878"/>
      <c r="HD12" s="878"/>
      <c r="HE12" s="878"/>
      <c r="HF12" s="878"/>
      <c r="HG12" s="878"/>
      <c r="HH12" s="878"/>
      <c r="HI12" s="878"/>
      <c r="HJ12" s="882" t="s">
        <v>0</v>
      </c>
      <c r="HK12" s="882"/>
      <c r="HL12" s="882"/>
      <c r="HM12" s="882"/>
      <c r="HN12" s="882"/>
      <c r="HO12" s="882"/>
      <c r="HP12" s="883"/>
      <c r="HQ12" s="884"/>
      <c r="HR12" s="882"/>
      <c r="HS12" s="882"/>
      <c r="HT12" s="882"/>
      <c r="HU12" s="882"/>
      <c r="HV12" s="882"/>
      <c r="HW12" s="882"/>
      <c r="HX12" s="882"/>
      <c r="HY12" s="882"/>
      <c r="HZ12" s="882"/>
      <c r="IA12" s="882"/>
      <c r="IB12" s="882"/>
      <c r="IC12" s="882"/>
      <c r="ID12" s="882"/>
      <c r="IE12" s="882"/>
      <c r="IF12" s="882"/>
      <c r="IG12" s="882"/>
      <c r="IH12" s="882"/>
      <c r="II12" s="882"/>
      <c r="IJ12" s="882"/>
      <c r="IK12" s="882"/>
      <c r="IL12" s="883"/>
      <c r="IR12" s="806"/>
      <c r="IS12" s="806"/>
      <c r="IT12" s="806"/>
      <c r="IU12" s="806"/>
      <c r="IV12" s="806"/>
      <c r="IW12" s="806"/>
    </row>
    <row r="13" customFormat="false" ht="13.5" hidden="false" customHeight="false" outlineLevel="0" collapsed="false">
      <c r="A13" s="885"/>
      <c r="B13" s="885"/>
      <c r="C13" s="886"/>
      <c r="D13" s="886"/>
      <c r="E13" s="887"/>
      <c r="F13" s="853"/>
      <c r="G13" s="888"/>
      <c r="H13" s="889"/>
      <c r="I13" s="890"/>
      <c r="J13" s="891"/>
      <c r="K13" s="892"/>
      <c r="L13" s="892"/>
      <c r="M13" s="893" t="s">
        <v>791</v>
      </c>
      <c r="N13" s="893"/>
      <c r="O13" s="893"/>
      <c r="P13" s="894" t="s">
        <v>792</v>
      </c>
      <c r="Q13" s="894"/>
      <c r="R13" s="894"/>
      <c r="S13" s="895" t="s">
        <v>793</v>
      </c>
      <c r="T13" s="896"/>
      <c r="U13" s="897"/>
      <c r="V13" s="898" t="s">
        <v>23</v>
      </c>
      <c r="W13" s="896"/>
      <c r="X13" s="899"/>
      <c r="Y13" s="900" t="s">
        <v>794</v>
      </c>
      <c r="Z13" s="900"/>
      <c r="AA13" s="900"/>
      <c r="AB13" s="901" t="s">
        <v>794</v>
      </c>
      <c r="AC13" s="901"/>
      <c r="AD13" s="901"/>
      <c r="AE13" s="901" t="s">
        <v>794</v>
      </c>
      <c r="AF13" s="901"/>
      <c r="AG13" s="901"/>
      <c r="AH13" s="901" t="s">
        <v>794</v>
      </c>
      <c r="AI13" s="901"/>
      <c r="AJ13" s="901"/>
      <c r="AK13" s="901" t="s">
        <v>795</v>
      </c>
      <c r="AL13" s="901"/>
      <c r="AM13" s="901"/>
      <c r="AN13" s="902" t="s">
        <v>795</v>
      </c>
      <c r="AO13" s="902"/>
      <c r="AP13" s="902"/>
      <c r="AQ13" s="903" t="s">
        <v>795</v>
      </c>
      <c r="AR13" s="903"/>
      <c r="AS13" s="903"/>
      <c r="AT13" s="904" t="s">
        <v>795</v>
      </c>
      <c r="AU13" s="904"/>
      <c r="AV13" s="904"/>
      <c r="AW13" s="905" t="s">
        <v>23</v>
      </c>
      <c r="AX13" s="906" t="s">
        <v>796</v>
      </c>
      <c r="AY13" s="907"/>
      <c r="AZ13" s="907"/>
      <c r="BA13" s="907"/>
      <c r="BB13" s="908"/>
      <c r="BC13" s="909" t="s">
        <v>553</v>
      </c>
      <c r="BD13" s="910" t="s">
        <v>797</v>
      </c>
      <c r="BE13" s="910"/>
      <c r="BF13" s="910"/>
      <c r="BG13" s="910"/>
      <c r="BH13" s="911" t="s">
        <v>798</v>
      </c>
      <c r="BI13" s="911"/>
      <c r="BJ13" s="911"/>
      <c r="BK13" s="911"/>
      <c r="BL13" s="910" t="s">
        <v>797</v>
      </c>
      <c r="BM13" s="910"/>
      <c r="BN13" s="910"/>
      <c r="BO13" s="910"/>
      <c r="BP13" s="911" t="s">
        <v>798</v>
      </c>
      <c r="BQ13" s="911"/>
      <c r="BR13" s="911"/>
      <c r="BS13" s="911"/>
      <c r="BT13" s="912" t="s">
        <v>799</v>
      </c>
      <c r="BU13" s="913"/>
      <c r="BV13" s="914" t="s">
        <v>799</v>
      </c>
      <c r="BW13" s="913"/>
      <c r="BX13" s="915" t="s">
        <v>800</v>
      </c>
      <c r="BY13" s="916" t="s">
        <v>801</v>
      </c>
      <c r="BZ13" s="917"/>
      <c r="CA13" s="917"/>
      <c r="CB13" s="917"/>
      <c r="CC13" s="917"/>
      <c r="CD13" s="918"/>
      <c r="CE13" s="916" t="s">
        <v>802</v>
      </c>
      <c r="CF13" s="917"/>
      <c r="CG13" s="917"/>
      <c r="CH13" s="917"/>
      <c r="CI13" s="917"/>
      <c r="CJ13" s="918"/>
      <c r="CK13" s="919" t="e">
        <f aca="false">+"Nevada Power Market Price Curve "&amp;IF(#REF!=1,"Mid","Offer")</f>
        <v>#REF!</v>
      </c>
      <c r="CL13" s="919"/>
      <c r="CM13" s="919"/>
      <c r="CN13" s="919"/>
      <c r="CO13" s="919"/>
      <c r="CP13" s="919"/>
      <c r="CQ13" s="896" t="s">
        <v>784</v>
      </c>
      <c r="CR13" s="896"/>
      <c r="CS13" s="896"/>
      <c r="CT13" s="896"/>
      <c r="CU13" s="896"/>
      <c r="CV13" s="896"/>
      <c r="CW13" s="896"/>
      <c r="CX13" s="896"/>
      <c r="CY13" s="920"/>
      <c r="CZ13" s="921" t="s">
        <v>803</v>
      </c>
      <c r="DA13" s="922"/>
      <c r="DB13" s="922"/>
      <c r="DC13" s="922"/>
      <c r="DD13" s="922"/>
      <c r="DE13" s="923"/>
      <c r="DF13" s="894" t="s">
        <v>243</v>
      </c>
      <c r="DG13" s="924" t="s">
        <v>804</v>
      </c>
      <c r="DH13" s="925" t="s">
        <v>805</v>
      </c>
      <c r="DI13" s="925"/>
      <c r="DJ13" s="925"/>
      <c r="DK13" s="925"/>
      <c r="DL13" s="925"/>
      <c r="DM13" s="924" t="s">
        <v>806</v>
      </c>
      <c r="DN13" s="924"/>
      <c r="DO13" s="924"/>
      <c r="DP13" s="924"/>
      <c r="DQ13" s="924"/>
      <c r="DR13" s="924"/>
      <c r="DS13" s="926" t="s">
        <v>807</v>
      </c>
      <c r="DT13" s="926"/>
      <c r="DU13" s="926"/>
      <c r="DV13" s="926"/>
      <c r="DW13" s="926"/>
      <c r="DX13" s="926"/>
      <c r="DY13" s="926"/>
      <c r="DZ13" s="926"/>
      <c r="EA13" s="926"/>
      <c r="EB13" s="926"/>
      <c r="EC13" s="927" t="s">
        <v>0</v>
      </c>
      <c r="ED13" s="927"/>
      <c r="EE13" s="927"/>
      <c r="EF13" s="927"/>
      <c r="EG13" s="927"/>
      <c r="EH13" s="928" t="s">
        <v>0</v>
      </c>
      <c r="EI13" s="928"/>
      <c r="EJ13" s="928"/>
      <c r="EK13" s="928"/>
      <c r="EL13" s="928"/>
      <c r="EM13" s="897" t="s">
        <v>0</v>
      </c>
      <c r="EN13" s="897"/>
      <c r="EO13" s="897"/>
      <c r="EP13" s="897"/>
      <c r="EQ13" s="897"/>
      <c r="ER13" s="925" t="s">
        <v>0</v>
      </c>
      <c r="ES13" s="925"/>
      <c r="ET13" s="925"/>
      <c r="EU13" s="925"/>
      <c r="EV13" s="925"/>
      <c r="EW13" s="929" t="s">
        <v>808</v>
      </c>
      <c r="EX13" s="909" t="s">
        <v>0</v>
      </c>
      <c r="EY13" s="909"/>
      <c r="EZ13" s="930" t="s">
        <v>0</v>
      </c>
      <c r="FA13" s="931" t="s">
        <v>809</v>
      </c>
      <c r="FB13" s="932"/>
      <c r="FC13" s="932"/>
      <c r="FD13" s="868"/>
      <c r="FE13" s="868"/>
      <c r="FF13" s="868"/>
      <c r="FG13" s="868"/>
      <c r="FH13" s="868"/>
      <c r="FI13" s="868"/>
      <c r="FJ13" s="868"/>
      <c r="FK13" s="868"/>
      <c r="FL13" s="868"/>
      <c r="FM13" s="868"/>
      <c r="FN13" s="868"/>
      <c r="FO13" s="868"/>
      <c r="FP13" s="931" t="s">
        <v>810</v>
      </c>
      <c r="FQ13" s="931"/>
      <c r="FR13" s="868"/>
      <c r="FS13" s="868"/>
      <c r="FT13" s="868"/>
      <c r="FU13" s="868"/>
      <c r="FV13" s="868"/>
      <c r="FW13" s="868"/>
      <c r="FX13" s="868"/>
      <c r="FY13" s="868"/>
      <c r="FZ13" s="933"/>
      <c r="GA13" s="934" t="s">
        <v>811</v>
      </c>
      <c r="GB13" s="934"/>
      <c r="GC13" s="934"/>
      <c r="GD13" s="934"/>
      <c r="GE13" s="934"/>
      <c r="GF13" s="934"/>
      <c r="GG13" s="934"/>
      <c r="GH13" s="934"/>
      <c r="GI13" s="934"/>
      <c r="GJ13" s="934"/>
      <c r="GK13" s="935" t="s">
        <v>416</v>
      </c>
      <c r="GL13" s="935"/>
      <c r="GM13" s="935"/>
      <c r="GN13" s="935"/>
      <c r="GO13" s="935"/>
      <c r="GP13" s="935"/>
      <c r="GQ13" s="936" t="s">
        <v>812</v>
      </c>
      <c r="GR13" s="936"/>
      <c r="GS13" s="936"/>
      <c r="GT13" s="936"/>
      <c r="GU13" s="937" t="s">
        <v>813</v>
      </c>
      <c r="GV13" s="938"/>
      <c r="GW13" s="938"/>
      <c r="GX13" s="938"/>
      <c r="GY13" s="938"/>
      <c r="GZ13" s="938"/>
      <c r="HA13" s="938"/>
      <c r="HB13" s="938"/>
      <c r="HC13" s="939"/>
      <c r="HD13" s="939"/>
      <c r="HE13" s="939"/>
      <c r="HF13" s="939"/>
      <c r="HG13" s="939"/>
      <c r="HH13" s="939"/>
      <c r="HI13" s="940"/>
      <c r="HJ13" s="941" t="s">
        <v>814</v>
      </c>
      <c r="HK13" s="942"/>
      <c r="HL13" s="942"/>
      <c r="HM13" s="942"/>
      <c r="HN13" s="942"/>
      <c r="HO13" s="942"/>
      <c r="HP13" s="943"/>
      <c r="HQ13" s="944"/>
      <c r="HR13" s="945"/>
      <c r="HS13" s="946"/>
      <c r="HT13" s="946"/>
      <c r="HU13" s="946"/>
      <c r="HV13" s="946"/>
      <c r="HW13" s="946"/>
      <c r="HX13" s="946"/>
      <c r="HY13" s="946"/>
      <c r="HZ13" s="946"/>
      <c r="IA13" s="946"/>
      <c r="IB13" s="946"/>
      <c r="IC13" s="946"/>
      <c r="ID13" s="946"/>
      <c r="IE13" s="946"/>
      <c r="IF13" s="946"/>
      <c r="IG13" s="946"/>
      <c r="IH13" s="946"/>
      <c r="II13" s="946"/>
      <c r="IJ13" s="946"/>
      <c r="IK13" s="946"/>
      <c r="IL13" s="947"/>
      <c r="IR13" s="885"/>
      <c r="IS13" s="885"/>
      <c r="IT13" s="885"/>
      <c r="IU13" s="885"/>
      <c r="IV13" s="885"/>
      <c r="IW13" s="885"/>
    </row>
    <row r="14" customFormat="false" ht="12.75" hidden="false" customHeight="false" outlineLevel="0" collapsed="false">
      <c r="A14" s="885"/>
      <c r="B14" s="885"/>
      <c r="C14" s="915" t="s">
        <v>815</v>
      </c>
      <c r="D14" s="886"/>
      <c r="E14" s="887"/>
      <c r="F14" s="948" t="s">
        <v>816</v>
      </c>
      <c r="G14" s="949" t="s">
        <v>817</v>
      </c>
      <c r="H14" s="929" t="s">
        <v>817</v>
      </c>
      <c r="I14" s="950" t="s">
        <v>818</v>
      </c>
      <c r="J14" s="951" t="s">
        <v>819</v>
      </c>
      <c r="K14" s="952" t="s">
        <v>328</v>
      </c>
      <c r="L14" s="952" t="s">
        <v>819</v>
      </c>
      <c r="M14" s="915" t="s">
        <v>20</v>
      </c>
      <c r="N14" s="915"/>
      <c r="O14" s="915"/>
      <c r="P14" s="894" t="s">
        <v>20</v>
      </c>
      <c r="Q14" s="894"/>
      <c r="R14" s="894"/>
      <c r="S14" s="953" t="s">
        <v>20</v>
      </c>
      <c r="T14" s="953"/>
      <c r="U14" s="953"/>
      <c r="V14" s="954"/>
      <c r="W14" s="955"/>
      <c r="X14" s="956"/>
      <c r="Y14" s="900" t="s">
        <v>20</v>
      </c>
      <c r="Z14" s="900"/>
      <c r="AA14" s="900"/>
      <c r="AB14" s="901" t="s">
        <v>820</v>
      </c>
      <c r="AC14" s="901"/>
      <c r="AD14" s="901"/>
      <c r="AE14" s="901" t="s">
        <v>821</v>
      </c>
      <c r="AF14" s="901"/>
      <c r="AG14" s="901"/>
      <c r="AH14" s="901" t="s">
        <v>23</v>
      </c>
      <c r="AI14" s="901"/>
      <c r="AJ14" s="901"/>
      <c r="AK14" s="901" t="s">
        <v>20</v>
      </c>
      <c r="AL14" s="901"/>
      <c r="AM14" s="901"/>
      <c r="AN14" s="901" t="s">
        <v>820</v>
      </c>
      <c r="AO14" s="901"/>
      <c r="AP14" s="901"/>
      <c r="AQ14" s="903" t="s">
        <v>821</v>
      </c>
      <c r="AR14" s="903"/>
      <c r="AS14" s="903"/>
      <c r="AT14" s="957" t="s">
        <v>23</v>
      </c>
      <c r="AU14" s="957"/>
      <c r="AV14" s="957"/>
      <c r="AW14" s="905" t="s">
        <v>822</v>
      </c>
      <c r="AX14" s="906" t="s">
        <v>823</v>
      </c>
      <c r="AY14" s="907"/>
      <c r="AZ14" s="907"/>
      <c r="BA14" s="907"/>
      <c r="BB14" s="908"/>
      <c r="BC14" s="909" t="s">
        <v>824</v>
      </c>
      <c r="BD14" s="958" t="s">
        <v>825</v>
      </c>
      <c r="BE14" s="958"/>
      <c r="BF14" s="958"/>
      <c r="BG14" s="958"/>
      <c r="BH14" s="959" t="s">
        <v>826</v>
      </c>
      <c r="BI14" s="959"/>
      <c r="BJ14" s="959"/>
      <c r="BK14" s="959"/>
      <c r="BL14" s="958" t="s">
        <v>825</v>
      </c>
      <c r="BM14" s="958"/>
      <c r="BN14" s="958"/>
      <c r="BO14" s="958"/>
      <c r="BP14" s="959" t="s">
        <v>826</v>
      </c>
      <c r="BQ14" s="959"/>
      <c r="BR14" s="959"/>
      <c r="BS14" s="959"/>
      <c r="BT14" s="914" t="s">
        <v>797</v>
      </c>
      <c r="BU14" s="913"/>
      <c r="BV14" s="960" t="s">
        <v>797</v>
      </c>
      <c r="BW14" s="913"/>
      <c r="BX14" s="915" t="s">
        <v>827</v>
      </c>
      <c r="BY14" s="924" t="s">
        <v>20</v>
      </c>
      <c r="BZ14" s="955" t="s">
        <v>20</v>
      </c>
      <c r="CA14" s="955" t="s">
        <v>20</v>
      </c>
      <c r="CB14" s="955" t="s">
        <v>23</v>
      </c>
      <c r="CC14" s="955" t="s">
        <v>20</v>
      </c>
      <c r="CD14" s="927" t="s">
        <v>553</v>
      </c>
      <c r="CE14" s="948" t="s">
        <v>20</v>
      </c>
      <c r="CF14" s="948" t="s">
        <v>20</v>
      </c>
      <c r="CG14" s="948" t="s">
        <v>20</v>
      </c>
      <c r="CH14" s="948" t="s">
        <v>23</v>
      </c>
      <c r="CI14" s="948" t="s">
        <v>828</v>
      </c>
      <c r="CJ14" s="927" t="s">
        <v>553</v>
      </c>
      <c r="CK14" s="955" t="s">
        <v>20</v>
      </c>
      <c r="CL14" s="955" t="s">
        <v>20</v>
      </c>
      <c r="CM14" s="955" t="s">
        <v>20</v>
      </c>
      <c r="CN14" s="955" t="s">
        <v>23</v>
      </c>
      <c r="CO14" s="955" t="s">
        <v>828</v>
      </c>
      <c r="CP14" s="955" t="s">
        <v>553</v>
      </c>
      <c r="CQ14" s="925" t="s">
        <v>829</v>
      </c>
      <c r="CR14" s="925"/>
      <c r="CS14" s="925"/>
      <c r="CT14" s="925"/>
      <c r="CU14" s="925"/>
      <c r="CV14" s="925"/>
      <c r="CW14" s="925"/>
      <c r="CX14" s="925"/>
      <c r="CY14" s="961" t="s">
        <v>245</v>
      </c>
      <c r="CZ14" s="948" t="s">
        <v>20</v>
      </c>
      <c r="DA14" s="955" t="s">
        <v>20</v>
      </c>
      <c r="DB14" s="955" t="s">
        <v>20</v>
      </c>
      <c r="DC14" s="948" t="s">
        <v>23</v>
      </c>
      <c r="DD14" s="955" t="s">
        <v>830</v>
      </c>
      <c r="DE14" s="927" t="s">
        <v>831</v>
      </c>
      <c r="DF14" s="961" t="s">
        <v>832</v>
      </c>
      <c r="DG14" s="949" t="s">
        <v>243</v>
      </c>
      <c r="DH14" s="949" t="s">
        <v>20</v>
      </c>
      <c r="DI14" s="955" t="s">
        <v>20</v>
      </c>
      <c r="DJ14" s="955" t="s">
        <v>20</v>
      </c>
      <c r="DK14" s="948" t="s">
        <v>23</v>
      </c>
      <c r="DL14" s="948" t="s">
        <v>833</v>
      </c>
      <c r="DM14" s="924" t="s">
        <v>20</v>
      </c>
      <c r="DN14" s="955" t="s">
        <v>20</v>
      </c>
      <c r="DO14" s="955" t="s">
        <v>20</v>
      </c>
      <c r="DP14" s="955" t="s">
        <v>23</v>
      </c>
      <c r="DQ14" s="955" t="s">
        <v>830</v>
      </c>
      <c r="DR14" s="927" t="s">
        <v>831</v>
      </c>
      <c r="DS14" s="955" t="s">
        <v>20</v>
      </c>
      <c r="DT14" s="955" t="s">
        <v>20</v>
      </c>
      <c r="DU14" s="955" t="s">
        <v>20</v>
      </c>
      <c r="DV14" s="955" t="s">
        <v>23</v>
      </c>
      <c r="DW14" s="955" t="s">
        <v>830</v>
      </c>
      <c r="DX14" s="955" t="s">
        <v>831</v>
      </c>
      <c r="DY14" s="955" t="s">
        <v>831</v>
      </c>
      <c r="DZ14" s="962" t="s">
        <v>831</v>
      </c>
      <c r="EA14" s="927" t="s">
        <v>831</v>
      </c>
      <c r="EB14" s="927" t="s">
        <v>831</v>
      </c>
      <c r="EC14" s="924" t="s">
        <v>20</v>
      </c>
      <c r="ED14" s="955" t="s">
        <v>20</v>
      </c>
      <c r="EE14" s="955" t="s">
        <v>20</v>
      </c>
      <c r="EF14" s="955" t="s">
        <v>23</v>
      </c>
      <c r="EG14" s="927" t="s">
        <v>0</v>
      </c>
      <c r="EH14" s="948" t="s">
        <v>0</v>
      </c>
      <c r="EI14" s="949" t="s">
        <v>0</v>
      </c>
      <c r="EJ14" s="949" t="s">
        <v>0</v>
      </c>
      <c r="EK14" s="949" t="s">
        <v>23</v>
      </c>
      <c r="EL14" s="961" t="s">
        <v>0</v>
      </c>
      <c r="EM14" s="948" t="s">
        <v>20</v>
      </c>
      <c r="EN14" s="949" t="s">
        <v>20</v>
      </c>
      <c r="EO14" s="949" t="s">
        <v>20</v>
      </c>
      <c r="EP14" s="949" t="s">
        <v>23</v>
      </c>
      <c r="EQ14" s="949" t="s">
        <v>0</v>
      </c>
      <c r="ER14" s="949" t="s">
        <v>20</v>
      </c>
      <c r="ES14" s="949" t="s">
        <v>20</v>
      </c>
      <c r="ET14" s="949" t="s">
        <v>20</v>
      </c>
      <c r="EU14" s="949" t="s">
        <v>23</v>
      </c>
      <c r="EV14" s="949" t="s">
        <v>553</v>
      </c>
      <c r="EW14" s="929" t="s">
        <v>834</v>
      </c>
      <c r="EX14" s="915" t="s">
        <v>87</v>
      </c>
      <c r="EY14" s="963" t="s">
        <v>835</v>
      </c>
      <c r="EZ14" s="930" t="s">
        <v>0</v>
      </c>
      <c r="FA14" s="964" t="s">
        <v>836</v>
      </c>
      <c r="FB14" s="965" t="s">
        <v>837</v>
      </c>
      <c r="FC14" s="966"/>
      <c r="FD14" s="967"/>
      <c r="FE14" s="967"/>
      <c r="FF14" s="967"/>
      <c r="FG14" s="967"/>
      <c r="FH14" s="967"/>
      <c r="FI14" s="894" t="s">
        <v>838</v>
      </c>
      <c r="FJ14" s="894" t="s">
        <v>839</v>
      </c>
      <c r="FK14" s="894" t="s">
        <v>838</v>
      </c>
      <c r="FL14" s="894" t="s">
        <v>840</v>
      </c>
      <c r="FM14" s="894" t="s">
        <v>840</v>
      </c>
      <c r="FN14" s="894" t="s">
        <v>841</v>
      </c>
      <c r="FO14" s="924" t="s">
        <v>553</v>
      </c>
      <c r="FP14" s="968" t="s">
        <v>842</v>
      </c>
      <c r="FQ14" s="969"/>
      <c r="FR14" s="917"/>
      <c r="FS14" s="917"/>
      <c r="FT14" s="917"/>
      <c r="FU14" s="917"/>
      <c r="FV14" s="918"/>
      <c r="FW14" s="970" t="s">
        <v>843</v>
      </c>
      <c r="FX14" s="917"/>
      <c r="FY14" s="917"/>
      <c r="FZ14" s="971"/>
      <c r="GA14" s="972" t="s">
        <v>844</v>
      </c>
      <c r="GB14" s="973" t="s">
        <v>845</v>
      </c>
      <c r="GC14" s="974" t="s">
        <v>846</v>
      </c>
      <c r="GD14" s="974"/>
      <c r="GE14" s="974"/>
      <c r="GF14" s="974"/>
      <c r="GG14" s="974"/>
      <c r="GH14" s="974"/>
      <c r="GI14" s="974"/>
      <c r="GJ14" s="974"/>
      <c r="GK14" s="975" t="s">
        <v>416</v>
      </c>
      <c r="GL14" s="917"/>
      <c r="GM14" s="918"/>
      <c r="GN14" s="922" t="s">
        <v>847</v>
      </c>
      <c r="GO14" s="922"/>
      <c r="GP14" s="922"/>
      <c r="GQ14" s="976" t="s">
        <v>842</v>
      </c>
      <c r="GR14" s="977"/>
      <c r="GS14" s="977"/>
      <c r="GT14" s="978"/>
      <c r="GU14" s="979" t="s">
        <v>842</v>
      </c>
      <c r="GV14" s="977"/>
      <c r="GW14" s="977"/>
      <c r="GX14" s="980"/>
      <c r="GY14" s="981" t="s">
        <v>848</v>
      </c>
      <c r="GZ14" s="977"/>
      <c r="HA14" s="977"/>
      <c r="HB14" s="977"/>
      <c r="HC14" s="925" t="s">
        <v>849</v>
      </c>
      <c r="HD14" s="925"/>
      <c r="HE14" s="925"/>
      <c r="HF14" s="928" t="s">
        <v>850</v>
      </c>
      <c r="HG14" s="928"/>
      <c r="HH14" s="928"/>
      <c r="HI14" s="928"/>
      <c r="HJ14" s="982" t="s">
        <v>851</v>
      </c>
      <c r="HK14" s="983"/>
      <c r="HL14" s="983"/>
      <c r="HM14" s="984"/>
      <c r="HN14" s="985" t="s">
        <v>852</v>
      </c>
      <c r="HO14" s="983"/>
      <c r="HP14" s="986"/>
      <c r="HQ14" s="909"/>
      <c r="HR14" s="987" t="s">
        <v>853</v>
      </c>
      <c r="HS14" s="988"/>
      <c r="HT14" s="988"/>
      <c r="HU14" s="988"/>
      <c r="HV14" s="988"/>
      <c r="HW14" s="988"/>
      <c r="HX14" s="988"/>
      <c r="HY14" s="989"/>
      <c r="HZ14" s="990" t="s">
        <v>854</v>
      </c>
      <c r="IA14" s="991"/>
      <c r="IB14" s="991"/>
      <c r="IC14" s="991"/>
      <c r="ID14" s="991"/>
      <c r="IE14" s="991"/>
      <c r="IF14" s="991"/>
      <c r="IG14" s="991"/>
      <c r="IH14" s="991"/>
      <c r="II14" s="988"/>
      <c r="IJ14" s="988"/>
      <c r="IK14" s="988"/>
      <c r="IL14" s="992" t="s">
        <v>855</v>
      </c>
      <c r="IM14" s="885"/>
      <c r="IN14" s="885"/>
      <c r="IQ14" s="885"/>
      <c r="IR14" s="885"/>
      <c r="IS14" s="993"/>
      <c r="IT14" s="885"/>
      <c r="IU14" s="885"/>
      <c r="IV14" s="885"/>
      <c r="IW14" s="885"/>
    </row>
    <row r="15" customFormat="false" ht="12.75" hidden="false" customHeight="false" outlineLevel="0" collapsed="false">
      <c r="A15" s="885"/>
      <c r="B15" s="885"/>
      <c r="C15" s="915" t="s">
        <v>259</v>
      </c>
      <c r="D15" s="886"/>
      <c r="E15" s="887"/>
      <c r="F15" s="948" t="s">
        <v>856</v>
      </c>
      <c r="G15" s="949" t="s">
        <v>857</v>
      </c>
      <c r="H15" s="929" t="s">
        <v>858</v>
      </c>
      <c r="I15" s="950" t="s">
        <v>266</v>
      </c>
      <c r="J15" s="951" t="s">
        <v>859</v>
      </c>
      <c r="K15" s="952" t="s">
        <v>860</v>
      </c>
      <c r="L15" s="952" t="s">
        <v>859</v>
      </c>
      <c r="M15" s="915" t="s">
        <v>249</v>
      </c>
      <c r="N15" s="915"/>
      <c r="O15" s="915"/>
      <c r="P15" s="961" t="s">
        <v>249</v>
      </c>
      <c r="Q15" s="961"/>
      <c r="R15" s="961"/>
      <c r="S15" s="953" t="s">
        <v>249</v>
      </c>
      <c r="T15" s="953"/>
      <c r="U15" s="953"/>
      <c r="V15" s="963" t="s">
        <v>249</v>
      </c>
      <c r="W15" s="963"/>
      <c r="X15" s="963"/>
      <c r="Y15" s="900" t="s">
        <v>832</v>
      </c>
      <c r="Z15" s="900"/>
      <c r="AA15" s="900"/>
      <c r="AB15" s="901" t="s">
        <v>832</v>
      </c>
      <c r="AC15" s="901"/>
      <c r="AD15" s="901"/>
      <c r="AE15" s="901" t="s">
        <v>832</v>
      </c>
      <c r="AF15" s="901"/>
      <c r="AG15" s="901"/>
      <c r="AH15" s="901" t="s">
        <v>832</v>
      </c>
      <c r="AI15" s="901"/>
      <c r="AJ15" s="901"/>
      <c r="AK15" s="901" t="s">
        <v>832</v>
      </c>
      <c r="AL15" s="901"/>
      <c r="AM15" s="901"/>
      <c r="AN15" s="901" t="s">
        <v>832</v>
      </c>
      <c r="AO15" s="901"/>
      <c r="AP15" s="901"/>
      <c r="AQ15" s="903" t="s">
        <v>832</v>
      </c>
      <c r="AR15" s="903"/>
      <c r="AS15" s="903"/>
      <c r="AT15" s="957" t="s">
        <v>832</v>
      </c>
      <c r="AU15" s="957"/>
      <c r="AV15" s="957"/>
      <c r="AW15" s="905" t="s">
        <v>861</v>
      </c>
      <c r="AX15" s="915" t="s">
        <v>862</v>
      </c>
      <c r="AY15" s="948" t="s">
        <v>863</v>
      </c>
      <c r="AZ15" s="948" t="s">
        <v>864</v>
      </c>
      <c r="BA15" s="948" t="s">
        <v>865</v>
      </c>
      <c r="BB15" s="963" t="s">
        <v>553</v>
      </c>
      <c r="BC15" s="909"/>
      <c r="BD15" s="897" t="s">
        <v>866</v>
      </c>
      <c r="BE15" s="928" t="s">
        <v>867</v>
      </c>
      <c r="BF15" s="928" t="s">
        <v>868</v>
      </c>
      <c r="BG15" s="974" t="s">
        <v>23</v>
      </c>
      <c r="BH15" s="893" t="s">
        <v>866</v>
      </c>
      <c r="BI15" s="928" t="s">
        <v>867</v>
      </c>
      <c r="BJ15" s="928" t="s">
        <v>868</v>
      </c>
      <c r="BK15" s="974" t="s">
        <v>23</v>
      </c>
      <c r="BL15" s="893" t="s">
        <v>866</v>
      </c>
      <c r="BM15" s="928" t="s">
        <v>867</v>
      </c>
      <c r="BN15" s="928" t="s">
        <v>868</v>
      </c>
      <c r="BO15" s="974" t="s">
        <v>23</v>
      </c>
      <c r="BP15" s="893" t="s">
        <v>866</v>
      </c>
      <c r="BQ15" s="928" t="s">
        <v>867</v>
      </c>
      <c r="BR15" s="928" t="s">
        <v>868</v>
      </c>
      <c r="BS15" s="974" t="s">
        <v>23</v>
      </c>
      <c r="BT15" s="994" t="s">
        <v>825</v>
      </c>
      <c r="BU15" s="995"/>
      <c r="BV15" s="996" t="s">
        <v>825</v>
      </c>
      <c r="BW15" s="995"/>
      <c r="BX15" s="915" t="s">
        <v>869</v>
      </c>
      <c r="BY15" s="949" t="s">
        <v>862</v>
      </c>
      <c r="BZ15" s="948" t="s">
        <v>863</v>
      </c>
      <c r="CA15" s="948" t="s">
        <v>864</v>
      </c>
      <c r="CB15" s="948"/>
      <c r="CC15" s="948" t="s">
        <v>553</v>
      </c>
      <c r="CD15" s="953" t="s">
        <v>833</v>
      </c>
      <c r="CE15" s="948" t="s">
        <v>862</v>
      </c>
      <c r="CF15" s="948" t="s">
        <v>863</v>
      </c>
      <c r="CG15" s="948" t="s">
        <v>864</v>
      </c>
      <c r="CH15" s="948"/>
      <c r="CI15" s="948" t="s">
        <v>553</v>
      </c>
      <c r="CJ15" s="953" t="s">
        <v>833</v>
      </c>
      <c r="CK15" s="948" t="s">
        <v>862</v>
      </c>
      <c r="CL15" s="948" t="s">
        <v>863</v>
      </c>
      <c r="CM15" s="948" t="s">
        <v>864</v>
      </c>
      <c r="CN15" s="948"/>
      <c r="CO15" s="948" t="s">
        <v>553</v>
      </c>
      <c r="CP15" s="948" t="s">
        <v>833</v>
      </c>
      <c r="CQ15" s="948" t="s">
        <v>20</v>
      </c>
      <c r="CR15" s="948" t="s">
        <v>20</v>
      </c>
      <c r="CS15" s="948" t="s">
        <v>20</v>
      </c>
      <c r="CT15" s="948" t="s">
        <v>870</v>
      </c>
      <c r="CU15" s="948" t="s">
        <v>871</v>
      </c>
      <c r="CV15" s="948" t="s">
        <v>23</v>
      </c>
      <c r="CW15" s="948" t="s">
        <v>830</v>
      </c>
      <c r="CX15" s="948" t="s">
        <v>831</v>
      </c>
      <c r="CY15" s="961" t="s">
        <v>266</v>
      </c>
      <c r="CZ15" s="948"/>
      <c r="DA15" s="948" t="s">
        <v>863</v>
      </c>
      <c r="DB15" s="948" t="s">
        <v>864</v>
      </c>
      <c r="DC15" s="948"/>
      <c r="DD15" s="948" t="s">
        <v>833</v>
      </c>
      <c r="DE15" s="953" t="s">
        <v>872</v>
      </c>
      <c r="DF15" s="961"/>
      <c r="DG15" s="949" t="s">
        <v>861</v>
      </c>
      <c r="DH15" s="949"/>
      <c r="DI15" s="948" t="s">
        <v>863</v>
      </c>
      <c r="DJ15" s="948" t="s">
        <v>864</v>
      </c>
      <c r="DK15" s="948"/>
      <c r="DL15" s="948"/>
      <c r="DM15" s="949"/>
      <c r="DN15" s="948" t="s">
        <v>863</v>
      </c>
      <c r="DO15" s="948" t="s">
        <v>864</v>
      </c>
      <c r="DP15" s="948"/>
      <c r="DQ15" s="948" t="s">
        <v>833</v>
      </c>
      <c r="DR15" s="953" t="s">
        <v>833</v>
      </c>
      <c r="DS15" s="948"/>
      <c r="DT15" s="948" t="s">
        <v>863</v>
      </c>
      <c r="DU15" s="948" t="s">
        <v>864</v>
      </c>
      <c r="DV15" s="948"/>
      <c r="DW15" s="948" t="s">
        <v>833</v>
      </c>
      <c r="DX15" s="948" t="s">
        <v>20</v>
      </c>
      <c r="DY15" s="948" t="s">
        <v>20</v>
      </c>
      <c r="DZ15" s="997" t="s">
        <v>873</v>
      </c>
      <c r="EA15" s="953" t="s">
        <v>23</v>
      </c>
      <c r="EB15" s="953" t="s">
        <v>833</v>
      </c>
      <c r="EC15" s="949"/>
      <c r="ED15" s="948" t="s">
        <v>863</v>
      </c>
      <c r="EE15" s="948" t="s">
        <v>864</v>
      </c>
      <c r="EF15" s="948"/>
      <c r="EG15" s="953"/>
      <c r="EH15" s="948"/>
      <c r="EI15" s="949" t="s">
        <v>863</v>
      </c>
      <c r="EJ15" s="949" t="s">
        <v>864</v>
      </c>
      <c r="EK15" s="949"/>
      <c r="EL15" s="961"/>
      <c r="EM15" s="948"/>
      <c r="EN15" s="949" t="s">
        <v>863</v>
      </c>
      <c r="EO15" s="949" t="s">
        <v>864</v>
      </c>
      <c r="EP15" s="949"/>
      <c r="EQ15" s="949"/>
      <c r="ER15" s="949"/>
      <c r="ES15" s="949" t="s">
        <v>863</v>
      </c>
      <c r="ET15" s="949" t="s">
        <v>864</v>
      </c>
      <c r="EU15" s="949"/>
      <c r="EV15" s="949"/>
      <c r="EW15" s="929" t="s">
        <v>874</v>
      </c>
      <c r="EX15" s="915" t="s">
        <v>833</v>
      </c>
      <c r="EY15" s="963" t="s">
        <v>875</v>
      </c>
      <c r="EZ15" s="930" t="s">
        <v>0</v>
      </c>
      <c r="FA15" s="998" t="s">
        <v>876</v>
      </c>
      <c r="FB15" s="923" t="s">
        <v>866</v>
      </c>
      <c r="FC15" s="923" t="s">
        <v>877</v>
      </c>
      <c r="FD15" s="999" t="s">
        <v>867</v>
      </c>
      <c r="FE15" s="999" t="s">
        <v>867</v>
      </c>
      <c r="FF15" s="999" t="s">
        <v>868</v>
      </c>
      <c r="FG15" s="999" t="s">
        <v>868</v>
      </c>
      <c r="FH15" s="1000" t="s">
        <v>23</v>
      </c>
      <c r="FI15" s="1001" t="s">
        <v>20</v>
      </c>
      <c r="FJ15" s="1001" t="s">
        <v>23</v>
      </c>
      <c r="FK15" s="1001" t="s">
        <v>378</v>
      </c>
      <c r="FL15" s="1001" t="s">
        <v>15</v>
      </c>
      <c r="FM15" s="1001" t="s">
        <v>16</v>
      </c>
      <c r="FN15" s="1001" t="s">
        <v>378</v>
      </c>
      <c r="FO15" s="1002" t="s">
        <v>378</v>
      </c>
      <c r="FP15" s="897" t="s">
        <v>866</v>
      </c>
      <c r="FQ15" s="923" t="s">
        <v>866</v>
      </c>
      <c r="FR15" s="999" t="s">
        <v>867</v>
      </c>
      <c r="FS15" s="999" t="s">
        <v>867</v>
      </c>
      <c r="FT15" s="999" t="s">
        <v>868</v>
      </c>
      <c r="FU15" s="999" t="s">
        <v>868</v>
      </c>
      <c r="FV15" s="894" t="s">
        <v>23</v>
      </c>
      <c r="FW15" s="897" t="s">
        <v>866</v>
      </c>
      <c r="FX15" s="928" t="s">
        <v>867</v>
      </c>
      <c r="FY15" s="928" t="s">
        <v>868</v>
      </c>
      <c r="FZ15" s="974" t="s">
        <v>23</v>
      </c>
      <c r="GA15" s="973" t="s">
        <v>849</v>
      </c>
      <c r="GB15" s="973" t="s">
        <v>878</v>
      </c>
      <c r="GC15" s="961" t="s">
        <v>845</v>
      </c>
      <c r="GD15" s="961" t="s">
        <v>879</v>
      </c>
      <c r="GE15" s="1001" t="str">
        <f aca="false">GD16</f>
        <v>Penalty</v>
      </c>
      <c r="GF15" s="961" t="s">
        <v>880</v>
      </c>
      <c r="GG15" s="961" t="s">
        <v>880</v>
      </c>
      <c r="GH15" s="894" t="s">
        <v>881</v>
      </c>
      <c r="GI15" s="894" t="s">
        <v>0</v>
      </c>
      <c r="GJ15" s="963" t="s">
        <v>553</v>
      </c>
      <c r="GK15" s="948" t="s">
        <v>849</v>
      </c>
      <c r="GL15" s="949" t="s">
        <v>878</v>
      </c>
      <c r="GM15" s="894" t="s">
        <v>553</v>
      </c>
      <c r="GN15" s="955" t="s">
        <v>882</v>
      </c>
      <c r="GO15" s="894" t="s">
        <v>878</v>
      </c>
      <c r="GP15" s="924" t="s">
        <v>553</v>
      </c>
      <c r="GQ15" s="893" t="s">
        <v>866</v>
      </c>
      <c r="GR15" s="928" t="s">
        <v>867</v>
      </c>
      <c r="GS15" s="928" t="s">
        <v>868</v>
      </c>
      <c r="GT15" s="974" t="s">
        <v>23</v>
      </c>
      <c r="GU15" s="897" t="s">
        <v>866</v>
      </c>
      <c r="GV15" s="928" t="s">
        <v>867</v>
      </c>
      <c r="GW15" s="928" t="s">
        <v>868</v>
      </c>
      <c r="GX15" s="928" t="s">
        <v>23</v>
      </c>
      <c r="GY15" s="928" t="s">
        <v>866</v>
      </c>
      <c r="GZ15" s="928" t="s">
        <v>867</v>
      </c>
      <c r="HA15" s="928" t="s">
        <v>868</v>
      </c>
      <c r="HB15" s="925" t="s">
        <v>23</v>
      </c>
      <c r="HC15" s="949" t="s">
        <v>20</v>
      </c>
      <c r="HD15" s="948" t="s">
        <v>23</v>
      </c>
      <c r="HE15" s="953" t="s">
        <v>553</v>
      </c>
      <c r="HF15" s="948" t="s">
        <v>20</v>
      </c>
      <c r="HG15" s="949" t="s">
        <v>23</v>
      </c>
      <c r="HH15" s="948" t="s">
        <v>883</v>
      </c>
      <c r="HI15" s="949" t="s">
        <v>553</v>
      </c>
      <c r="HJ15" s="893" t="s">
        <v>866</v>
      </c>
      <c r="HK15" s="928" t="s">
        <v>867</v>
      </c>
      <c r="HL15" s="928" t="s">
        <v>868</v>
      </c>
      <c r="HM15" s="928" t="s">
        <v>23</v>
      </c>
      <c r="HN15" s="924" t="s">
        <v>849</v>
      </c>
      <c r="HO15" s="894" t="s">
        <v>878</v>
      </c>
      <c r="HP15" s="956" t="s">
        <v>553</v>
      </c>
      <c r="HQ15" s="909"/>
      <c r="HR15" s="1003"/>
      <c r="HS15" s="1004"/>
      <c r="HT15" s="1005"/>
      <c r="HU15" s="1004"/>
      <c r="HV15" s="1004"/>
      <c r="HW15" s="1006"/>
      <c r="HX15" s="1007"/>
      <c r="HY15" s="1008"/>
      <c r="HZ15" s="1009" t="s">
        <v>884</v>
      </c>
      <c r="IA15" s="983"/>
      <c r="IB15" s="983"/>
      <c r="IC15" s="983"/>
      <c r="ID15" s="983"/>
      <c r="IE15" s="983"/>
      <c r="IF15" s="1010" t="s">
        <v>885</v>
      </c>
      <c r="IG15" s="1010"/>
      <c r="IH15" s="1010"/>
      <c r="II15" s="1011" t="s">
        <v>886</v>
      </c>
      <c r="IJ15" s="991"/>
      <c r="IK15" s="991"/>
      <c r="IL15" s="1012"/>
      <c r="IM15" s="885"/>
      <c r="IN15" s="885"/>
      <c r="IQ15" s="885"/>
      <c r="IR15" s="885"/>
      <c r="IS15" s="1013"/>
      <c r="IT15" s="885"/>
      <c r="IU15" s="885"/>
      <c r="IV15" s="885"/>
      <c r="IW15" s="885"/>
    </row>
    <row r="16" customFormat="false" ht="13.5" hidden="false" customHeight="false" outlineLevel="0" collapsed="false">
      <c r="A16" s="885"/>
      <c r="B16" s="885"/>
      <c r="C16" s="1014"/>
      <c r="D16" s="1014"/>
      <c r="E16" s="1015"/>
      <c r="F16" s="1016" t="e">
        <f aca="false">Holiday(YEAR(H7),MONTH(H7))</f>
        <v>#VALUE!</v>
      </c>
      <c r="G16" s="1017"/>
      <c r="H16" s="1018"/>
      <c r="I16" s="1019" t="s">
        <v>0</v>
      </c>
      <c r="J16" s="1020"/>
      <c r="K16" s="1021"/>
      <c r="L16" s="1021"/>
      <c r="M16" s="1022" t="s">
        <v>887</v>
      </c>
      <c r="N16" s="1023" t="s">
        <v>888</v>
      </c>
      <c r="O16" s="1023" t="s">
        <v>889</v>
      </c>
      <c r="P16" s="1024" t="s">
        <v>887</v>
      </c>
      <c r="Q16" s="1023" t="s">
        <v>888</v>
      </c>
      <c r="R16" s="1025" t="s">
        <v>889</v>
      </c>
      <c r="S16" s="1023" t="s">
        <v>887</v>
      </c>
      <c r="T16" s="1023" t="s">
        <v>888</v>
      </c>
      <c r="U16" s="1025" t="s">
        <v>889</v>
      </c>
      <c r="V16" s="1023" t="s">
        <v>887</v>
      </c>
      <c r="W16" s="1023" t="s">
        <v>888</v>
      </c>
      <c r="X16" s="1026" t="s">
        <v>889</v>
      </c>
      <c r="Y16" s="1027" t="s">
        <v>887</v>
      </c>
      <c r="Z16" s="1027" t="s">
        <v>888</v>
      </c>
      <c r="AA16" s="1028" t="s">
        <v>889</v>
      </c>
      <c r="AB16" s="1029" t="s">
        <v>887</v>
      </c>
      <c r="AC16" s="1027" t="s">
        <v>888</v>
      </c>
      <c r="AD16" s="1028" t="s">
        <v>889</v>
      </c>
      <c r="AE16" s="1029" t="s">
        <v>887</v>
      </c>
      <c r="AF16" s="1027" t="s">
        <v>888</v>
      </c>
      <c r="AG16" s="1028" t="s">
        <v>889</v>
      </c>
      <c r="AH16" s="1029" t="s">
        <v>887</v>
      </c>
      <c r="AI16" s="1027" t="s">
        <v>888</v>
      </c>
      <c r="AJ16" s="1028" t="s">
        <v>889</v>
      </c>
      <c r="AK16" s="1029" t="s">
        <v>887</v>
      </c>
      <c r="AL16" s="1027" t="s">
        <v>888</v>
      </c>
      <c r="AM16" s="1028" t="s">
        <v>889</v>
      </c>
      <c r="AN16" s="1029" t="s">
        <v>887</v>
      </c>
      <c r="AO16" s="1027" t="s">
        <v>888</v>
      </c>
      <c r="AP16" s="1028" t="s">
        <v>889</v>
      </c>
      <c r="AQ16" s="1029" t="s">
        <v>887</v>
      </c>
      <c r="AR16" s="1027" t="s">
        <v>888</v>
      </c>
      <c r="AS16" s="1027" t="s">
        <v>889</v>
      </c>
      <c r="AT16" s="1029" t="s">
        <v>887</v>
      </c>
      <c r="AU16" s="1027" t="s">
        <v>888</v>
      </c>
      <c r="AV16" s="1030" t="s">
        <v>889</v>
      </c>
      <c r="AW16" s="1027"/>
      <c r="AX16" s="1031" t="s">
        <v>890</v>
      </c>
      <c r="AY16" s="1032" t="s">
        <v>890</v>
      </c>
      <c r="AZ16" s="1032" t="s">
        <v>890</v>
      </c>
      <c r="BA16" s="1032"/>
      <c r="BB16" s="1033"/>
      <c r="BC16" s="1034"/>
      <c r="BD16" s="1035" t="n">
        <v>4164422.4</v>
      </c>
      <c r="BE16" s="1036" t="n">
        <v>844657.200000002</v>
      </c>
      <c r="BF16" s="1036" t="n">
        <v>948909.600000001</v>
      </c>
      <c r="BG16" s="1037" t="n">
        <v>0</v>
      </c>
      <c r="BH16" s="1038"/>
      <c r="BI16" s="1036"/>
      <c r="BJ16" s="1036"/>
      <c r="BK16" s="1037"/>
      <c r="BL16" s="1038" t="n">
        <v>832884.48</v>
      </c>
      <c r="BM16" s="1036" t="n">
        <v>168931.44</v>
      </c>
      <c r="BN16" s="1036" t="n">
        <v>189781.92</v>
      </c>
      <c r="BO16" s="1037" t="s">
        <v>0</v>
      </c>
      <c r="BP16" s="1038"/>
      <c r="BQ16" s="1036"/>
      <c r="BR16" s="1036"/>
      <c r="BS16" s="1037"/>
      <c r="BT16" s="1039" t="s">
        <v>891</v>
      </c>
      <c r="BU16" s="1040" t="s">
        <v>553</v>
      </c>
      <c r="BV16" s="1039" t="s">
        <v>891</v>
      </c>
      <c r="BW16" s="1040" t="s">
        <v>553</v>
      </c>
      <c r="BX16" s="1014"/>
      <c r="BY16" s="1024"/>
      <c r="BZ16" s="1023"/>
      <c r="CA16" s="1023"/>
      <c r="CB16" s="1023"/>
      <c r="CC16" s="1023" t="s">
        <v>0</v>
      </c>
      <c r="CD16" s="1025"/>
      <c r="CE16" s="1023"/>
      <c r="CF16" s="1023"/>
      <c r="CG16" s="1023"/>
      <c r="CH16" s="1023"/>
      <c r="CI16" s="1023" t="s">
        <v>0</v>
      </c>
      <c r="CJ16" s="1025"/>
      <c r="CK16" s="1023"/>
      <c r="CL16" s="1023"/>
      <c r="CM16" s="1023"/>
      <c r="CN16" s="1023"/>
      <c r="CO16" s="1023" t="s">
        <v>0</v>
      </c>
      <c r="CP16" s="1023"/>
      <c r="CQ16" s="1023" t="s">
        <v>862</v>
      </c>
      <c r="CR16" s="1023" t="s">
        <v>863</v>
      </c>
      <c r="CS16" s="1023" t="s">
        <v>864</v>
      </c>
      <c r="CT16" s="1023" t="s">
        <v>553</v>
      </c>
      <c r="CU16" s="1023" t="s">
        <v>553</v>
      </c>
      <c r="CV16" s="1023"/>
      <c r="CW16" s="1023" t="s">
        <v>833</v>
      </c>
      <c r="CX16" s="1041" t="s">
        <v>833</v>
      </c>
      <c r="CY16" s="1042"/>
      <c r="CZ16" s="853"/>
      <c r="DA16" s="853"/>
      <c r="DB16" s="853"/>
      <c r="DC16" s="853"/>
      <c r="DD16" s="853"/>
      <c r="DE16" s="853"/>
      <c r="DF16" s="1042"/>
      <c r="DG16" s="1017"/>
      <c r="DH16" s="1017"/>
      <c r="DI16" s="1041"/>
      <c r="DJ16" s="1041"/>
      <c r="DK16" s="1041"/>
      <c r="DL16" s="1015"/>
      <c r="DM16" s="1041"/>
      <c r="DN16" s="1041"/>
      <c r="DO16" s="1041"/>
      <c r="DP16" s="1041"/>
      <c r="DQ16" s="1041"/>
      <c r="DR16" s="1015"/>
      <c r="DS16" s="1041"/>
      <c r="DT16" s="1041"/>
      <c r="DU16" s="1041"/>
      <c r="DV16" s="1041"/>
      <c r="DW16" s="1041"/>
      <c r="DX16" s="1023" t="s">
        <v>892</v>
      </c>
      <c r="DY16" s="1023" t="s">
        <v>863</v>
      </c>
      <c r="DZ16" s="1043"/>
      <c r="EA16" s="1041"/>
      <c r="EB16" s="1044"/>
      <c r="EC16" s="1045"/>
      <c r="ED16" s="1046"/>
      <c r="EE16" s="1046"/>
      <c r="EF16" s="1046"/>
      <c r="EG16" s="1047"/>
      <c r="EH16" s="1048"/>
      <c r="EI16" s="1049"/>
      <c r="EJ16" s="1049"/>
      <c r="EK16" s="1049"/>
      <c r="EL16" s="1050"/>
      <c r="EM16" s="1048"/>
      <c r="EN16" s="1049"/>
      <c r="EO16" s="1049"/>
      <c r="EP16" s="1049"/>
      <c r="EQ16" s="1049"/>
      <c r="ER16" s="1050"/>
      <c r="ES16" s="1049"/>
      <c r="ET16" s="1049"/>
      <c r="EU16" s="1049"/>
      <c r="EV16" s="1049"/>
      <c r="EW16" s="1051"/>
      <c r="EX16" s="1052"/>
      <c r="EY16" s="1053"/>
      <c r="EZ16" s="1054" t="s">
        <v>0</v>
      </c>
      <c r="FA16" s="1055" t="s">
        <v>893</v>
      </c>
      <c r="FB16" s="1056" t="s">
        <v>894</v>
      </c>
      <c r="FC16" s="1056" t="s">
        <v>895</v>
      </c>
      <c r="FD16" s="1057" t="s">
        <v>894</v>
      </c>
      <c r="FE16" s="1057" t="s">
        <v>895</v>
      </c>
      <c r="FF16" s="1057" t="s">
        <v>894</v>
      </c>
      <c r="FG16" s="1058" t="s">
        <v>895</v>
      </c>
      <c r="FH16" s="1059" t="e">
        <f aca="false">SUM(FH17:FH292)</f>
        <v>#VALUE!</v>
      </c>
      <c r="FI16" s="1060" t="n">
        <f aca="false">+Summary!N10</f>
        <v>26.67</v>
      </c>
      <c r="FJ16" s="1060" t="n">
        <f aca="false">+Summary!N11</f>
        <v>23.31</v>
      </c>
      <c r="FK16" s="1061" t="s">
        <v>896</v>
      </c>
      <c r="FL16" s="1060" t="n">
        <f aca="false">+Summary!N12</f>
        <v>56.09</v>
      </c>
      <c r="FM16" s="1060" t="n">
        <f aca="false">+Summary!O12</f>
        <v>26.77</v>
      </c>
      <c r="FN16" s="1061" t="s">
        <v>896</v>
      </c>
      <c r="FO16" s="1062" t="s">
        <v>896</v>
      </c>
      <c r="FP16" s="1063" t="s">
        <v>894</v>
      </c>
      <c r="FQ16" s="1063" t="s">
        <v>895</v>
      </c>
      <c r="FR16" s="1064" t="s">
        <v>894</v>
      </c>
      <c r="FS16" s="1065" t="s">
        <v>895</v>
      </c>
      <c r="FT16" s="1065" t="s">
        <v>894</v>
      </c>
      <c r="FU16" s="1065" t="s">
        <v>895</v>
      </c>
      <c r="FV16" s="1066" t="e">
        <f aca="false">SUM(FV17:FV292)</f>
        <v>#VALUE!</v>
      </c>
      <c r="FW16" s="1067" t="n">
        <f aca="false">SUM(FW17:FW292)</f>
        <v>0</v>
      </c>
      <c r="FX16" s="1066" t="n">
        <f aca="false">SUM(FX17:FX292)</f>
        <v>0</v>
      </c>
      <c r="FY16" s="1066" t="n">
        <f aca="false">SUM(FY17:FY292)</f>
        <v>0</v>
      </c>
      <c r="FZ16" s="1068" t="n">
        <f aca="false">SUM(FZ17:FZ292)</f>
        <v>0</v>
      </c>
      <c r="GA16" s="1069" t="s">
        <v>897</v>
      </c>
      <c r="GB16" s="1069" t="s">
        <v>898</v>
      </c>
      <c r="GC16" s="1061" t="s">
        <v>897</v>
      </c>
      <c r="GD16" s="1061" t="s">
        <v>899</v>
      </c>
      <c r="GE16" s="1061" t="s">
        <v>333</v>
      </c>
      <c r="GF16" s="1061" t="s">
        <v>262</v>
      </c>
      <c r="GG16" s="1061" t="s">
        <v>333</v>
      </c>
      <c r="GH16" s="1061" t="s">
        <v>900</v>
      </c>
      <c r="GI16" s="1061" t="s">
        <v>0</v>
      </c>
      <c r="GJ16" s="1040" t="s">
        <v>541</v>
      </c>
      <c r="GK16" s="1070" t="s">
        <v>901</v>
      </c>
      <c r="GL16" s="1071" t="s">
        <v>902</v>
      </c>
      <c r="GM16" s="1072" t="s">
        <v>896</v>
      </c>
      <c r="GN16" s="1070" t="s">
        <v>893</v>
      </c>
      <c r="GO16" s="1061" t="s">
        <v>902</v>
      </c>
      <c r="GP16" s="1071" t="s">
        <v>896</v>
      </c>
      <c r="GQ16" s="1038" t="n">
        <f aca="false">SUM(GQ17:GQ292)</f>
        <v>0</v>
      </c>
      <c r="GR16" s="1036" t="n">
        <f aca="false">SUM(GR17:GR292)</f>
        <v>0</v>
      </c>
      <c r="GS16" s="1036" t="n">
        <f aca="false">SUM(GS17:GS292)</f>
        <v>0</v>
      </c>
      <c r="GT16" s="1037" t="n">
        <f aca="false">SUM(GT17:GT292)</f>
        <v>0</v>
      </c>
      <c r="GU16" s="1035" t="n">
        <f aca="false">SUM(GU17:GU292)</f>
        <v>1191758.73975</v>
      </c>
      <c r="GV16" s="1036" t="n">
        <f aca="false">SUM(GV17:GV292)</f>
        <v>241842.07575</v>
      </c>
      <c r="GW16" s="1036" t="n">
        <f aca="false">SUM(GW17:GW292)</f>
        <v>268532.81775</v>
      </c>
      <c r="GX16" s="1059" t="s">
        <v>0</v>
      </c>
      <c r="GY16" s="1038" t="n">
        <f aca="false">SUM(GY17:GY292)</f>
        <v>760070.2068</v>
      </c>
      <c r="GZ16" s="1036" t="n">
        <f aca="false">SUM(GZ17:GZ292)</f>
        <v>154258.8012</v>
      </c>
      <c r="HA16" s="1036" t="n">
        <f aca="false">SUM(HA17:HA292)</f>
        <v>171778.878</v>
      </c>
      <c r="HB16" s="1059" t="s">
        <v>0</v>
      </c>
      <c r="HC16" s="1071" t="s">
        <v>902</v>
      </c>
      <c r="HD16" s="1070" t="s">
        <v>902</v>
      </c>
      <c r="HE16" s="1072" t="s">
        <v>901</v>
      </c>
      <c r="HF16" s="1071" t="s">
        <v>896</v>
      </c>
      <c r="HG16" s="1071" t="s">
        <v>896</v>
      </c>
      <c r="HH16" s="1070" t="s">
        <v>902</v>
      </c>
      <c r="HI16" s="1071" t="s">
        <v>896</v>
      </c>
      <c r="HJ16" s="1038" t="e">
        <f aca="false">SUM(HJ17:HJ292)</f>
        <v>#VALUE!</v>
      </c>
      <c r="HK16" s="1036" t="e">
        <f aca="false">SUM(HK17:HK292)</f>
        <v>#VALUE!</v>
      </c>
      <c r="HL16" s="1036" t="e">
        <f aca="false">SUM(HL17:HL292)</f>
        <v>#VALUE!</v>
      </c>
      <c r="HM16" s="1036" t="e">
        <f aca="false">SUM(HM17:HM292)</f>
        <v>#VALUE!</v>
      </c>
      <c r="HN16" s="1070" t="s">
        <v>901</v>
      </c>
      <c r="HO16" s="1061" t="s">
        <v>902</v>
      </c>
      <c r="HP16" s="1040" t="s">
        <v>896</v>
      </c>
      <c r="HQ16" s="1073"/>
      <c r="HR16" s="1069" t="s">
        <v>903</v>
      </c>
      <c r="HS16" s="1070" t="s">
        <v>904</v>
      </c>
      <c r="HT16" s="1072" t="s">
        <v>905</v>
      </c>
      <c r="HU16" s="1070" t="s">
        <v>906</v>
      </c>
      <c r="HV16" s="1070" t="s">
        <v>907</v>
      </c>
      <c r="HW16" s="1070" t="s">
        <v>850</v>
      </c>
      <c r="HX16" s="1061" t="s">
        <v>381</v>
      </c>
      <c r="HY16" s="1040" t="s">
        <v>908</v>
      </c>
      <c r="HZ16" s="1070" t="s">
        <v>909</v>
      </c>
      <c r="IA16" s="1070" t="s">
        <v>910</v>
      </c>
      <c r="IB16" s="1072" t="s">
        <v>911</v>
      </c>
      <c r="IC16" s="1070" t="s">
        <v>912</v>
      </c>
      <c r="ID16" s="1070" t="s">
        <v>913</v>
      </c>
      <c r="IE16" s="1072" t="s">
        <v>914</v>
      </c>
      <c r="IF16" s="1070" t="s">
        <v>915</v>
      </c>
      <c r="IG16" s="1070" t="s">
        <v>834</v>
      </c>
      <c r="IH16" s="1056" t="s">
        <v>916</v>
      </c>
      <c r="II16" s="1070" t="s">
        <v>906</v>
      </c>
      <c r="IJ16" s="1070" t="s">
        <v>917</v>
      </c>
      <c r="IK16" s="1070" t="s">
        <v>918</v>
      </c>
      <c r="IL16" s="1074" t="s">
        <v>0</v>
      </c>
      <c r="IM16" s="885"/>
      <c r="IN16" s="885"/>
      <c r="IQ16" s="885"/>
      <c r="IR16" s="885"/>
      <c r="IS16" s="944"/>
      <c r="IT16" s="885"/>
      <c r="IU16" s="885"/>
      <c r="IV16" s="885"/>
      <c r="IW16" s="885"/>
    </row>
    <row r="17" customFormat="false" ht="13.5" hidden="false" customHeight="false" outlineLevel="0" collapsed="false">
      <c r="A17" s="0" t="str">
        <f aca="false">+D17&amp;"Q"&amp;ROUNDUP(E17/3,0)</f>
        <v>2000Q1</v>
      </c>
      <c r="B17" s="0" t="n">
        <f aca="false">YEAR(C17)</f>
        <v>2000</v>
      </c>
      <c r="C17" s="1075" t="n">
        <f aca="false">EOMONTH(H7,0)+1</f>
        <v>36526</v>
      </c>
      <c r="D17" s="841" t="n">
        <f aca="false">+YEAR(C17)</f>
        <v>2000</v>
      </c>
      <c r="E17" s="824" t="n">
        <f aca="false">MONTH(C17)</f>
        <v>1</v>
      </c>
      <c r="F17" s="1076" t="e">
        <f aca="false">IF(G17="","",Holiday(D17,E17))</f>
        <v>#VALUE!</v>
      </c>
      <c r="G17" s="1077" t="n">
        <v>36526</v>
      </c>
      <c r="H17" s="1078" t="n">
        <v>36556</v>
      </c>
      <c r="I17" s="1079" t="n">
        <v>0.0715</v>
      </c>
      <c r="J17" s="1080" t="n">
        <f aca="false">(1+I17/2)^(-2*(DATE(D18,E18,20)-$H$7)/365.25)</f>
        <v>0.987196004233523</v>
      </c>
      <c r="K17" s="1081" t="e">
        <f aca="false">IF(#REF!=1,+#REF!,I17+#REF!/10000)</f>
        <v>#REF!</v>
      </c>
      <c r="L17" s="1080" t="e">
        <f aca="false">(1+K17/2)^(-2*(DATE(D18,E18,20)-$H$7)/365.25)</f>
        <v>#REF!</v>
      </c>
      <c r="M17" s="1082" t="n">
        <v>0</v>
      </c>
      <c r="N17" s="1082" t="n">
        <v>0</v>
      </c>
      <c r="O17" s="1083" t="n">
        <v>0</v>
      </c>
      <c r="P17" s="1084" t="n">
        <v>0</v>
      </c>
      <c r="Q17" s="1082" t="n">
        <v>0</v>
      </c>
      <c r="R17" s="1083" t="n">
        <v>0</v>
      </c>
      <c r="S17" s="1082" t="n">
        <v>0</v>
      </c>
      <c r="T17" s="1082" t="n">
        <v>0</v>
      </c>
      <c r="U17" s="1082" t="n">
        <v>0</v>
      </c>
      <c r="V17" s="1084" t="n">
        <v>0</v>
      </c>
      <c r="W17" s="1082" t="n">
        <v>0</v>
      </c>
      <c r="X17" s="1085" t="n">
        <v>0</v>
      </c>
      <c r="Y17" s="1086" t="n">
        <v>0</v>
      </c>
      <c r="Z17" s="1086" t="n">
        <v>0</v>
      </c>
      <c r="AA17" s="1087" t="n">
        <v>0</v>
      </c>
      <c r="AB17" s="1086" t="n">
        <v>0</v>
      </c>
      <c r="AC17" s="1086" t="n">
        <v>0</v>
      </c>
      <c r="AD17" s="1087" t="n">
        <v>0</v>
      </c>
      <c r="AE17" s="1086" t="n">
        <v>0</v>
      </c>
      <c r="AF17" s="1086" t="n">
        <v>0</v>
      </c>
      <c r="AG17" s="1087" t="n">
        <v>0</v>
      </c>
      <c r="AH17" s="1086" t="n">
        <v>0</v>
      </c>
      <c r="AI17" s="1086" t="n">
        <v>0</v>
      </c>
      <c r="AJ17" s="1087" t="n">
        <v>0</v>
      </c>
      <c r="AK17" s="1086" t="n">
        <v>0</v>
      </c>
      <c r="AL17" s="1086" t="n">
        <v>0</v>
      </c>
      <c r="AM17" s="1087" t="n">
        <v>0</v>
      </c>
      <c r="AN17" s="1086" t="n">
        <v>0</v>
      </c>
      <c r="AO17" s="1086" t="n">
        <v>0</v>
      </c>
      <c r="AP17" s="1087" t="n">
        <v>0</v>
      </c>
      <c r="AQ17" s="1086" t="n">
        <v>0</v>
      </c>
      <c r="AR17" s="1086" t="n">
        <v>0</v>
      </c>
      <c r="AS17" s="1087" t="n">
        <v>0</v>
      </c>
      <c r="AT17" s="1086" t="n">
        <v>0</v>
      </c>
      <c r="AU17" s="1086" t="n">
        <v>0</v>
      </c>
      <c r="AV17" s="1086" t="n">
        <v>0</v>
      </c>
      <c r="AW17" s="1088" t="n">
        <v>0</v>
      </c>
      <c r="AX17" s="823" t="e">
        <f aca="false">BB17-SUM(AY17:BA17)</f>
        <v>#VALUE!</v>
      </c>
      <c r="AY17" s="824" t="e">
        <f aca="false">IF(AND($E17=MONTH(Summary!$E$24),$D17=YEAR(Summary!$E$24)),Summary!$E$25,1)*IF(G17="",0,INT((H17-MOD(H17,7)-G17)/7)+1-IF(BA17,IF(WEEKDAY(F17)=7,1,0),0))</f>
        <v>#VALUE!</v>
      </c>
      <c r="AZ17" s="824" t="e">
        <f aca="false">IF(AND($E17=MONTH(Summary!$E$24),$D17=YEAR(Summary!$E$24)),Summary!$E$25,1)*IF(G17="",0,INT((H17-MOD(H17-1,7)-G17)/7)+1-IF(BA17,IF(WEEKDAY(F17)=1,1,0),0))</f>
        <v>#VALUE!</v>
      </c>
      <c r="BA17" s="824" t="n">
        <v>1</v>
      </c>
      <c r="BB17" s="824" t="n">
        <f aca="false">IF(AND($E17=MONTH(Summary!$E$24),$D17=YEAR(Summary!$E$24)),Summary!$E$25,1)*IF(G17="",0,H17-G17+1)</f>
        <v>31</v>
      </c>
      <c r="BC17" s="1089" t="n">
        <f aca="false">Summary!$E$19</f>
        <v>0.015</v>
      </c>
      <c r="BD17" s="1090" t="n">
        <v>14893.2</v>
      </c>
      <c r="BE17" s="1091" t="n">
        <v>2836.8</v>
      </c>
      <c r="BF17" s="1091" t="n">
        <v>4255.2</v>
      </c>
      <c r="BG17" s="836"/>
      <c r="BH17" s="1092" t="n">
        <v>1</v>
      </c>
      <c r="BI17" s="1092" t="n">
        <v>1</v>
      </c>
      <c r="BJ17" s="1092" t="n">
        <v>1</v>
      </c>
      <c r="BK17" s="1092" t="n">
        <v>1</v>
      </c>
      <c r="BL17" s="1093" t="n">
        <v>2978.64</v>
      </c>
      <c r="BM17" s="1091" t="n">
        <v>567.36</v>
      </c>
      <c r="BN17" s="1091" t="n">
        <v>851.04</v>
      </c>
      <c r="BO17" s="836"/>
      <c r="BP17" s="1092" t="n">
        <v>1</v>
      </c>
      <c r="BQ17" s="1094" t="n">
        <v>1</v>
      </c>
      <c r="BR17" s="1094" t="n">
        <v>1</v>
      </c>
      <c r="BS17" s="1095" t="n">
        <v>1</v>
      </c>
      <c r="BT17" s="1096" t="n">
        <f aca="false">SUM(BD17:BF17)</f>
        <v>21985.2</v>
      </c>
      <c r="BU17" s="1097" t="n">
        <f aca="false">SUM(BD17:BG17)</f>
        <v>21985.2</v>
      </c>
      <c r="BV17" s="1090" t="n">
        <f aca="false">SUM(BL17:BN17)</f>
        <v>4397.04</v>
      </c>
      <c r="BW17" s="1098" t="n">
        <f aca="false">SUM(BL17:BO17)</f>
        <v>4397.04</v>
      </c>
      <c r="BX17" s="852" t="n">
        <v>0.0465434633812457</v>
      </c>
      <c r="BY17" s="1099" t="n">
        <v>0</v>
      </c>
      <c r="BZ17" s="852" t="n">
        <v>0</v>
      </c>
      <c r="CA17" s="852" t="n">
        <v>0</v>
      </c>
      <c r="CB17" s="852" t="n">
        <v>0</v>
      </c>
      <c r="CC17" s="852" t="n">
        <v>0</v>
      </c>
      <c r="CD17" s="852" t="n">
        <v>0</v>
      </c>
      <c r="CE17" s="1100" t="n">
        <v>0</v>
      </c>
      <c r="CF17" s="852" t="n">
        <v>0</v>
      </c>
      <c r="CG17" s="852" t="n">
        <v>0</v>
      </c>
      <c r="CH17" s="852" t="n">
        <v>0</v>
      </c>
      <c r="CI17" s="852" t="n">
        <v>0</v>
      </c>
      <c r="CJ17" s="1101" t="n">
        <v>0</v>
      </c>
      <c r="CK17" s="852" t="n">
        <v>0</v>
      </c>
      <c r="CL17" s="852" t="n">
        <v>0</v>
      </c>
      <c r="CM17" s="852" t="n">
        <v>0</v>
      </c>
      <c r="CN17" s="852" t="n">
        <v>0</v>
      </c>
      <c r="CO17" s="852" t="n">
        <v>0</v>
      </c>
      <c r="CP17" s="852" t="n">
        <v>0</v>
      </c>
      <c r="CQ17" s="1102" t="n">
        <v>0</v>
      </c>
      <c r="CR17" s="1103" t="n">
        <v>0</v>
      </c>
      <c r="CS17" s="1103" t="n">
        <v>0</v>
      </c>
      <c r="CT17" s="1103" t="n">
        <v>0</v>
      </c>
      <c r="CU17" s="1103" t="n">
        <v>0</v>
      </c>
      <c r="CV17" s="1103" t="n">
        <v>0</v>
      </c>
      <c r="CW17" s="1103" t="n">
        <v>0</v>
      </c>
      <c r="CX17" s="1104" t="n">
        <v>0</v>
      </c>
      <c r="CY17" s="1105" t="n">
        <v>7669.86296</v>
      </c>
      <c r="CZ17" s="1106" t="n">
        <v>0</v>
      </c>
      <c r="DA17" s="1107" t="n">
        <v>0</v>
      </c>
      <c r="DB17" s="1107" t="n">
        <v>0</v>
      </c>
      <c r="DC17" s="1107" t="n">
        <v>0</v>
      </c>
      <c r="DD17" s="1107" t="n">
        <v>0</v>
      </c>
      <c r="DE17" s="1108" t="s">
        <v>919</v>
      </c>
      <c r="DF17" s="1109" t="n">
        <v>0</v>
      </c>
      <c r="DG17" s="1110" t="n">
        <v>0</v>
      </c>
      <c r="DH17" s="1111" t="n">
        <v>0</v>
      </c>
      <c r="DI17" s="1112" t="n">
        <v>0</v>
      </c>
      <c r="DJ17" s="1112" t="n">
        <v>0</v>
      </c>
      <c r="DK17" s="1112" t="n">
        <v>0</v>
      </c>
      <c r="DL17" s="1113" t="n">
        <v>0</v>
      </c>
      <c r="DM17" s="1114" t="n">
        <v>0</v>
      </c>
      <c r="DN17" s="1114" t="n">
        <v>0</v>
      </c>
      <c r="DO17" s="1114" t="n">
        <v>0</v>
      </c>
      <c r="DP17" s="1114" t="n">
        <v>0</v>
      </c>
      <c r="DQ17" s="1114" t="n">
        <v>0</v>
      </c>
      <c r="DR17" s="1109" t="n">
        <v>0</v>
      </c>
      <c r="DS17" s="852" t="n">
        <v>0</v>
      </c>
      <c r="DT17" s="852" t="n">
        <v>0</v>
      </c>
      <c r="DU17" s="852" t="n">
        <v>0</v>
      </c>
      <c r="DV17" s="852" t="n">
        <v>0</v>
      </c>
      <c r="DW17" s="852" t="n">
        <v>0</v>
      </c>
      <c r="DX17" s="852" t="n">
        <v>0</v>
      </c>
      <c r="DY17" s="852" t="n">
        <v>0</v>
      </c>
      <c r="DZ17" s="852" t="n">
        <v>0</v>
      </c>
      <c r="EA17" s="852" t="n">
        <v>0</v>
      </c>
      <c r="EB17" s="1113" t="n">
        <v>0</v>
      </c>
      <c r="EC17" s="1115" t="n">
        <f aca="false">DS17*BD17</f>
        <v>0</v>
      </c>
      <c r="ED17" s="1115" t="n">
        <f aca="false">DT17*BE17</f>
        <v>0</v>
      </c>
      <c r="EE17" s="1115" t="n">
        <f aca="false">DU17*BF17</f>
        <v>0</v>
      </c>
      <c r="EF17" s="1115" t="n">
        <f aca="false">DV17*BG17</f>
        <v>0</v>
      </c>
      <c r="EG17" s="1115" t="n">
        <f aca="false">DS17*BD17+DT17*BE17+DU17*BF17+DV17*BG17</f>
        <v>0</v>
      </c>
      <c r="EH17" s="1116" t="n">
        <v>0</v>
      </c>
      <c r="EI17" s="1117" t="n">
        <v>0</v>
      </c>
      <c r="EJ17" s="1117" t="n">
        <v>0</v>
      </c>
      <c r="EK17" s="1117" t="n">
        <v>0</v>
      </c>
      <c r="EL17" s="1118" t="n">
        <f aca="false">IF(C17&gt;=Summary!$E$26,MAX(0,SUM(EH17:EK17)),0)</f>
        <v>0</v>
      </c>
      <c r="EM17" s="1115" t="n">
        <f aca="false">IF(C17&gt;=Summary!$E$26,DX17*BL17,0)</f>
        <v>0</v>
      </c>
      <c r="EN17" s="1115" t="n">
        <f aca="false">IF(C17&gt;=Summary!$E$26,DY17*BM17,0)</f>
        <v>0</v>
      </c>
      <c r="EO17" s="1115" t="n">
        <f aca="false">IF(C17&gt;=Summary!$E$26,DZ17*BN17,0)</f>
        <v>0</v>
      </c>
      <c r="EP17" s="1115" t="n">
        <f aca="false">IF(C17&gt;=Summary!$E$26,EA17*BO17,0)</f>
        <v>0</v>
      </c>
      <c r="EQ17" s="1115" t="n">
        <f aca="false">IF(C17&gt;=Summary!$E$26,DX17*BL17+DY17*BM17+DZ17*BN17+EA17*BO17,0)</f>
        <v>0</v>
      </c>
      <c r="ER17" s="1119" t="n">
        <v>0</v>
      </c>
      <c r="ES17" s="1120" t="n">
        <v>0</v>
      </c>
      <c r="ET17" s="1120" t="n">
        <v>0</v>
      </c>
      <c r="EU17" s="1120" t="n">
        <v>0</v>
      </c>
      <c r="EV17" s="1121" t="n">
        <f aca="false">IF(C17&gt;=Summary!$E$26,MAX(0,SUM(ER17:EU17)),0)</f>
        <v>0</v>
      </c>
      <c r="EW17" s="1090"/>
      <c r="EX17" s="1119" t="n">
        <f aca="false">(EQ17-EV17)+IF(EZ17="Yes",(EG17-EL17),0)</f>
        <v>0</v>
      </c>
      <c r="EY17" s="1120" t="str">
        <f aca="false">IF(EX17,EX17/EQ17,"")</f>
        <v/>
      </c>
      <c r="EZ17" s="1122" t="s">
        <v>37</v>
      </c>
      <c r="FA17" s="1096" t="n">
        <f aca="false">Summary!O14</f>
        <v>45</v>
      </c>
      <c r="FB17" s="1123" t="e">
        <f aca="false">IF(EZ17="No",IF((OR(MONTH(C17)=5,MONTH(C17)=6,MONTH(C17)=7,MONTH(C17)=8,MONTH(C17)=9)),$FA17*12*AX17*(1-$BC17),$FA17*10*AX17*(1-$BC17)),0)</f>
        <v>#VALUE!</v>
      </c>
      <c r="FC17" s="1124" t="e">
        <f aca="false">IF(EZ17="No",IF((OR(MONTH(C17)=5,MONTH(C17)=6,MONTH(C17)=7,MONTH(C17)=8,MONTH(C17)=9)),0,$FA17*3*AX17*(1-$BC17)),0)</f>
        <v>#VALUE!</v>
      </c>
      <c r="FD17" s="1124" t="e">
        <f aca="false">IF(EZ17="No",IF((OR(MONTH(C17)=5,MONTH(C17)=6,MONTH(C17)=7,MONTH(C17)=8,MONTH(C17)=9)),$FA17*12*AY17*(1-$BC17),$FA17*10*AY17*(1-$BC17)),0)</f>
        <v>#VALUE!</v>
      </c>
      <c r="FE17" s="1124" t="e">
        <f aca="false">IF(EZ17="No",IF((OR(MONTH(C17)=5,MONTH(C17)=6,MONTH(C17)=7,MONTH(C17)=8,MONTH(C17)=9)),0,$FA17*3*AY17*(1-$BC17)),0)</f>
        <v>#VALUE!</v>
      </c>
      <c r="FF17" s="1124" t="e">
        <f aca="false">IF(EZ17="No",IF((OR(MONTH(C17)=5,MONTH(C17)=6,MONTH(C17)=7,MONTH(C17)=8,MONTH(C17)=9)),$FA17*12*(AZ17+BA17)*(1-$BC17),$FA17*10*(AZ17+BA17)*(1-$BC17)),0)</f>
        <v>#VALUE!</v>
      </c>
      <c r="FG17" s="1124" t="e">
        <f aca="false">IF(EZ17="No",IF((OR(MONTH(C17)=5,MONTH(C17)=6,MONTH(C17)=7,MONTH(C17)=8,MONTH(C17)=9)),0,$FA17*3*(AZ17+BA17)*(1-$BC17)),0)</f>
        <v>#VALUE!</v>
      </c>
      <c r="FH17" s="1125" t="e">
        <f aca="false">IF(EZ17="No",IF((OR(MONTH(C17)=5,MONTH(C17)=6,MONTH(C17)=7,MONTH(C17)=8,MONTH(C17)=9)),Summary!$O$15*12*(AX17+AY17+AZ17+BA17)*(1-$BC17),Summary!$O$15*13*(AX17+AY17+AZ17+BA17)*(1-$BC17)+IF(Summary!$O$16="Yes",(CALC!FA17+Summary!$O$15)*6*(AX17+AY17+AZ17+BA17)*(1-$BC17),0)),0)</f>
        <v>#VALUE!</v>
      </c>
      <c r="FI17" s="1126" t="n">
        <f aca="false">IF(MONTH(C17)=5,FI16*(IF(Summary!$E$70="no",(1+(Summary!$E$71*0.8)),1+HLOOKUP(YEAR(C17)-1,CCFMODEL!$I$127:$AF$128,2)*0.8)),+FI16)</f>
        <v>26.67</v>
      </c>
      <c r="FJ17" s="1127" t="n">
        <f aca="false">IF(MONTH(C17)=5,FJ16*(IF(Summary!$E$70="no",(1+(Summary!$E$71*0.8)),1+HLOOKUP(YEAR(CALC!C17)-1,CCFMODEL!$I$127:$AF$128,2)*0.8)),FJ16)</f>
        <v>23.31</v>
      </c>
      <c r="FK17" s="1128" t="e">
        <f aca="false">SUM(FB17:FG17)*FI17+FH17*FJ17</f>
        <v>#VALUE!</v>
      </c>
      <c r="FL17" s="1126" t="n">
        <f aca="false">IF(MONTH(C17)=5,FL16*(IF(Summary!$E$70="no",(1+(Summary!$E$71*0.8)),1+HLOOKUP(YEAR(CALC!C17)-1,CCFMODEL!$I$127:$AF$128,2)*0.8)),+FL16)</f>
        <v>56.09</v>
      </c>
      <c r="FM17" s="1127" t="n">
        <f aca="false">IF(MONTH(C17)=5,FM16*(IF(Summary!$E$70="no",(1+(Summary!$E$71*0.8)),1+HLOOKUP(YEAR(CALC!C17)-1,CCFMODEL!$I$127:$AF$128,2)*0.8)),+FM16)</f>
        <v>26.77</v>
      </c>
      <c r="FN17" s="1128" t="e">
        <f aca="false">IF((OR(MONTH(C17)=5,MONTH(C17)=6,MONTH(C17)=7,MONTH(C17)=8,MONTH(C17)=9)),SUM(FB17:FG17)/(1-BC17)*FL17,SUM(FB17:FG17)/(1-BC17)*FM17)</f>
        <v>#VALUE!</v>
      </c>
      <c r="FO17" s="1129" t="e">
        <f aca="false">FK17+FN17</f>
        <v>#VALUE!</v>
      </c>
      <c r="FP17" s="1130" t="e">
        <f aca="false">FB17</f>
        <v>#VALUE!</v>
      </c>
      <c r="FQ17" s="1124" t="e">
        <f aca="false">FC17</f>
        <v>#VALUE!</v>
      </c>
      <c r="FR17" s="1124" t="e">
        <f aca="false">FD17</f>
        <v>#VALUE!</v>
      </c>
      <c r="FS17" s="1124" t="e">
        <f aca="false">FE17</f>
        <v>#VALUE!</v>
      </c>
      <c r="FT17" s="1124" t="e">
        <f aca="false">FF17</f>
        <v>#VALUE!</v>
      </c>
      <c r="FU17" s="1124" t="e">
        <f aca="false">FG17</f>
        <v>#VALUE!</v>
      </c>
      <c r="FV17" s="1131" t="e">
        <f aca="false">FH17</f>
        <v>#VALUE!</v>
      </c>
      <c r="FW17" s="1120" t="n">
        <f aca="false">IF(ER17&gt;0,MIN(FB17-FP17,BL17),0)</f>
        <v>0</v>
      </c>
      <c r="FX17" s="1120" t="n">
        <f aca="false">IF(ES17&gt;0,MIN(FD17-FR17,BM17),0)</f>
        <v>0</v>
      </c>
      <c r="FY17" s="1120" t="n">
        <f aca="false">IF(ET17&gt;0,MIN(FF17-FT17,BN17),0)</f>
        <v>0</v>
      </c>
      <c r="FZ17" s="1121" t="n">
        <f aca="false">IF(EU17&gt;0,MIN(FH17-FV17,BO17),0)</f>
        <v>0</v>
      </c>
      <c r="GA17" s="1132" t="e">
        <f aca="false">(SUM(FP17:FV17)+SUM(GU17:HB17)/(1-Summary!$O$25))*CY17/1000</f>
        <v>#VALUE!</v>
      </c>
      <c r="GB17" s="1133" t="n">
        <f aca="false">IF($C17&lt;Summary!$M$81,+Summary!$O$81,VLOOKUP(C17,GasTable,19))</f>
        <v>2.045</v>
      </c>
      <c r="GC17" s="1134" t="e">
        <f aca="false">IF(H17&lt;=Summary!$N$84,MIN(GA17,Summary!$O$75*(H17-G17+1)),0)</f>
        <v>#VALUE!</v>
      </c>
      <c r="GD17" s="1135" t="e">
        <f aca="false">IF(Summary!$O$75*(H17-G17+1)*0.8&gt;GC17,1,0)</f>
        <v>#VALUE!</v>
      </c>
      <c r="GE17" s="1136" t="n">
        <v>0</v>
      </c>
      <c r="GF17" s="1134" t="e">
        <f aca="false">ABS(MIN(0,GC17-$GA17))</f>
        <v>#VALUE!</v>
      </c>
      <c r="GG17" s="1135" t="e">
        <f aca="false">GF17*(IF(Summary!$O$74=1,VLOOKUP($C17,GasTable,16)+Summary!$O$92+Summary!$O$93,VLOOKUP($C17,GasTable,19)+Summary!$O$92+Summary!$O$93))</f>
        <v>#VALUE!</v>
      </c>
      <c r="GH17" s="1137" t="n">
        <v>12679</v>
      </c>
      <c r="GI17" s="1138" t="n">
        <v>0</v>
      </c>
      <c r="GJ17" s="1139" t="e">
        <f aca="false">+GB17*GC17+GE17+GG17+GH17-GI17</f>
        <v>#VALUE!</v>
      </c>
      <c r="GK17" s="1115" t="e">
        <f aca="false">SUM(FP17:FV17,GU17:GX17,GY17:HB17)</f>
        <v>#VALUE!</v>
      </c>
      <c r="GL17" s="1140" t="n">
        <v>0.753180542672</v>
      </c>
      <c r="GM17" s="1141" t="e">
        <f aca="false">IF(GK17&gt;GC17/(CY17/1000),GC17/(CY17/1000),+GK17)*GL17</f>
        <v>#VALUE!</v>
      </c>
      <c r="GN17" s="1115" t="n">
        <f aca="false">IF(SUM(GU17:HB17)=0,0,IF(Summary!$O$16="Yes",SUM(GX17:HB17),IF(Summary!$O$17="Yes",SUM(GY17:HB17),SUM(GU17:HB17))))</f>
        <v>0</v>
      </c>
      <c r="GO17" s="1142" t="n">
        <v>5.55222627737226</v>
      </c>
      <c r="GP17" s="1143" t="n">
        <f aca="false">GN17*GO17</f>
        <v>0</v>
      </c>
      <c r="GQ17" s="1115"/>
      <c r="GR17" s="1115"/>
      <c r="GS17" s="1115"/>
      <c r="GT17" s="1115"/>
      <c r="GU17" s="1119" t="n">
        <v>0</v>
      </c>
      <c r="GV17" s="1115" t="n">
        <v>0</v>
      </c>
      <c r="GW17" s="1115" t="n">
        <v>0</v>
      </c>
      <c r="GX17" s="1144"/>
      <c r="GY17" s="1120" t="n">
        <v>0</v>
      </c>
      <c r="GZ17" s="1120" t="n">
        <v>0</v>
      </c>
      <c r="HA17" s="1120" t="n">
        <v>0</v>
      </c>
      <c r="HB17" s="1144"/>
      <c r="HC17" s="1115" t="n">
        <v>0</v>
      </c>
      <c r="HD17" s="1115"/>
      <c r="HE17" s="1115" t="n">
        <v>0</v>
      </c>
      <c r="HF17" s="1115" t="n">
        <v>0</v>
      </c>
      <c r="HG17" s="1115"/>
      <c r="HH17" s="1145" t="n">
        <v>0</v>
      </c>
      <c r="HI17" s="1120" t="n">
        <v>0</v>
      </c>
      <c r="HJ17" s="1119" t="e">
        <f aca="false">MAX(FB17-FP17-FW17,0)</f>
        <v>#VALUE!</v>
      </c>
      <c r="HK17" s="1120" t="e">
        <f aca="false">MAX(FD17-FR17-FX17,0)</f>
        <v>#VALUE!</v>
      </c>
      <c r="HL17" s="1120" t="e">
        <f aca="false">MAX(FF17-FT17-FY17,0)</f>
        <v>#VALUE!</v>
      </c>
      <c r="HM17" s="1144" t="e">
        <f aca="false">MAX(FH17-FV17-FZ17,0)</f>
        <v>#VALUE!</v>
      </c>
      <c r="HN17" s="1120" t="e">
        <f aca="false">SUM(HJ17:HM17)</f>
        <v>#VALUE!</v>
      </c>
      <c r="HO17" s="1145" t="n">
        <f aca="false">IF(ISERROR(+HP17/HN17),0,+HP17/HN17)</f>
        <v>0</v>
      </c>
      <c r="HP17" s="1121" t="e">
        <f aca="false">(HJ17*CE17+HK17*CF17+HL17*CG17+HM17*CH17)</f>
        <v>#VALUE!</v>
      </c>
      <c r="HQ17" s="1146" t="n">
        <v>1999</v>
      </c>
      <c r="HR17" s="1119" t="n">
        <f aca="false">SUMIF($D$17:$D$292,HQ17,$FB$17:$FB$292)+SUMIF($D$17:$D$292,HQ17,$FC$17:$FC$292)+SUMIF($D$17:$D$292,HQ17,$FD$17:$FD$292)+SUMIF($D$17:$D$292,HQ17,$FE$17:$FE$292)+SUMIF($D$17:$D$292,HQ17,$FF$17:$FF$292)+SUMIF($D$17:$D$292,HQ17,$FG$17:$FG$292)+SUMIF($D$17:$D$292,HQ17,$FH$17:$FH$292)</f>
        <v>0</v>
      </c>
      <c r="HS17" s="1147" t="n">
        <f aca="false">IF(HT17=0,0,HT17/HR17)</f>
        <v>0</v>
      </c>
      <c r="HT17" s="1144" t="n">
        <f aca="false">SUMIF($D$17:$D$292,HQ17,$FO$17:$FO$292)</f>
        <v>0</v>
      </c>
      <c r="HU17" s="1148" t="n">
        <f aca="false">SUMIF($D$17:$D$292,HQ17,$HE$17:$HE$292)</f>
        <v>0</v>
      </c>
      <c r="HV17" s="1145" t="n">
        <f aca="false">+IF(HU17&gt;0,HW17/HU17,0)</f>
        <v>0</v>
      </c>
      <c r="HW17" s="1120" t="n">
        <f aca="false">SUMIF($D$17:$D$292,HQ17,$HI$17:$HI$292)</f>
        <v>0</v>
      </c>
      <c r="HX17" s="1149" t="n">
        <v>0</v>
      </c>
      <c r="HY17" s="1121" t="n">
        <f aca="false">HT17+HW17+HX17</f>
        <v>0</v>
      </c>
      <c r="HZ17" s="1150" t="n">
        <f aca="false">SUMIF($D$17:$D$292,HQ17,$GA$17:$GA$292)</f>
        <v>0</v>
      </c>
      <c r="IA17" s="1142" t="n">
        <f aca="false">IF(IB17=0,0,IB17/HZ17)</f>
        <v>0</v>
      </c>
      <c r="IB17" s="1141" t="n">
        <f aca="false">-SUMIF($D$17:$D$292,HQ17,$GJ$17:$GJ$292)</f>
        <v>-0</v>
      </c>
      <c r="IC17" s="1151" t="n">
        <f aca="false">SUMIF($D$17:$D$292,HQ17,$GK$17:$GK$292)</f>
        <v>0</v>
      </c>
      <c r="ID17" s="1142" t="n">
        <f aca="false">IF(IE17=0,0,IE17/IC17)</f>
        <v>0</v>
      </c>
      <c r="IE17" s="1141" t="n">
        <f aca="false">-SUMIF($D$17:$D$292,HQ17,$GM$17:$GM$292)</f>
        <v>-0</v>
      </c>
      <c r="IF17" s="1151" t="n">
        <f aca="false">SUMIF($D$17:$D$292,HQ17,$GN$17:$GN$292)</f>
        <v>0</v>
      </c>
      <c r="IG17" s="1142" t="n">
        <f aca="false">IF(IH17=0,0,IH17/IF17)</f>
        <v>0</v>
      </c>
      <c r="IH17" s="1141" t="n">
        <f aca="false">-SUMIF($D$17:$D$292,HQ17,$GP$17:$GP$292)</f>
        <v>-0</v>
      </c>
      <c r="II17" s="1115" t="n">
        <f aca="false">SUMIF($D$17:$D$292,HQ17,$HN$17:$HN$292)</f>
        <v>0</v>
      </c>
      <c r="IJ17" s="1142" t="n">
        <f aca="false">IF(IK17=0,0,IK17/II17)</f>
        <v>0</v>
      </c>
      <c r="IK17" s="1115" t="n">
        <f aca="false">-SUMIF($D$17:$D$292,HQ17,$HP$17:$HP$292)</f>
        <v>-0</v>
      </c>
      <c r="IL17" s="1152" t="n">
        <f aca="false">HY17+IB17+IE17+IH17</f>
        <v>0</v>
      </c>
      <c r="IN17" s="162"/>
      <c r="IO17" s="162"/>
      <c r="IR17" s="844"/>
    </row>
    <row r="18" customFormat="false" ht="13.5" hidden="false" customHeight="false" outlineLevel="0" collapsed="false">
      <c r="A18" s="0" t="str">
        <f aca="false">+D18&amp;"Q"&amp;ROUNDUP(E18/3,0)</f>
        <v>2000Q1</v>
      </c>
      <c r="B18" s="0" t="n">
        <f aca="false">YEAR(C18)</f>
        <v>2000</v>
      </c>
      <c r="C18" s="1153" t="n">
        <f aca="false">EOMONTH(C17,0)+1</f>
        <v>36557</v>
      </c>
      <c r="D18" s="841" t="n">
        <f aca="false">+YEAR(C18)</f>
        <v>2000</v>
      </c>
      <c r="E18" s="807" t="n">
        <f aca="false">MONTH(C18)</f>
        <v>2</v>
      </c>
      <c r="F18" s="1154" t="e">
        <f aca="false">IF(G18="","",Holiday(D18,E18))</f>
        <v>#VALUE!</v>
      </c>
      <c r="G18" s="1155" t="n">
        <v>36557</v>
      </c>
      <c r="H18" s="1156" t="n">
        <v>36585</v>
      </c>
      <c r="I18" s="1157" t="n">
        <f aca="false">I17</f>
        <v>0.0715</v>
      </c>
      <c r="J18" s="1158" t="n">
        <f aca="false">(1+I18/2)^(-2*(DATE(D19,E19,20)-$H$7)/365.25)</f>
        <v>0.981704936984632</v>
      </c>
      <c r="K18" s="1159" t="e">
        <f aca="false">IF(#REF!=1,+#REF!,I18+#REF!/10000)</f>
        <v>#REF!</v>
      </c>
      <c r="L18" s="1158" t="e">
        <f aca="false">(1+K18/2)^(-2*(DATE(D19,E19,20)-$H$7)/365.25)</f>
        <v>#REF!</v>
      </c>
      <c r="M18" s="1082" t="n">
        <v>0</v>
      </c>
      <c r="N18" s="1160" t="n">
        <v>0</v>
      </c>
      <c r="O18" s="1161" t="n">
        <v>0</v>
      </c>
      <c r="P18" s="1162" t="n">
        <v>0</v>
      </c>
      <c r="Q18" s="1160" t="n">
        <v>0</v>
      </c>
      <c r="R18" s="1161" t="n">
        <v>0</v>
      </c>
      <c r="S18" s="1160" t="n">
        <v>0</v>
      </c>
      <c r="T18" s="1160" t="n">
        <v>0</v>
      </c>
      <c r="U18" s="1160" t="n">
        <v>0</v>
      </c>
      <c r="V18" s="1162" t="n">
        <v>0</v>
      </c>
      <c r="W18" s="1160" t="n">
        <v>0</v>
      </c>
      <c r="X18" s="1163" t="n">
        <v>0</v>
      </c>
      <c r="Y18" s="1086" t="n">
        <v>0</v>
      </c>
      <c r="Z18" s="1086" t="n">
        <v>0</v>
      </c>
      <c r="AA18" s="1087" t="n">
        <v>0</v>
      </c>
      <c r="AB18" s="1086" t="n">
        <v>0</v>
      </c>
      <c r="AC18" s="1086" t="n">
        <v>0</v>
      </c>
      <c r="AD18" s="1087" t="n">
        <v>0</v>
      </c>
      <c r="AE18" s="1086" t="n">
        <v>0</v>
      </c>
      <c r="AF18" s="1086" t="n">
        <v>0</v>
      </c>
      <c r="AG18" s="1087" t="n">
        <v>0</v>
      </c>
      <c r="AH18" s="1086" t="n">
        <v>0</v>
      </c>
      <c r="AI18" s="1086" t="n">
        <v>0</v>
      </c>
      <c r="AJ18" s="1087" t="n">
        <v>0</v>
      </c>
      <c r="AK18" s="1086" t="n">
        <v>0</v>
      </c>
      <c r="AL18" s="1086" t="n">
        <v>0</v>
      </c>
      <c r="AM18" s="1087" t="n">
        <v>0</v>
      </c>
      <c r="AN18" s="1086" t="n">
        <v>0</v>
      </c>
      <c r="AO18" s="1086" t="n">
        <v>0</v>
      </c>
      <c r="AP18" s="1087" t="n">
        <v>0</v>
      </c>
      <c r="AQ18" s="1086" t="n">
        <v>0</v>
      </c>
      <c r="AR18" s="1086" t="n">
        <v>0</v>
      </c>
      <c r="AS18" s="1087" t="n">
        <v>0</v>
      </c>
      <c r="AT18" s="1086" t="n">
        <v>0</v>
      </c>
      <c r="AU18" s="1086" t="n">
        <v>0</v>
      </c>
      <c r="AV18" s="1086" t="n">
        <v>0</v>
      </c>
      <c r="AW18" s="1164" t="n">
        <v>0</v>
      </c>
      <c r="AX18" s="807" t="n">
        <f aca="false">BB18-SUM(AY18:BA18)</f>
        <v>21</v>
      </c>
      <c r="AY18" s="807" t="n">
        <f aca="false">IF(AND($E18=MONTH(Summary!$E$24),$D18=YEAR(Summary!$E$24)),Summary!$E$25,1)*IF(G18="",0,INT((H18-MOD(H18,7)-G18)/7)+1-IF(BA18,IF(WEEKDAY(F18)=7,1,0),0))</f>
        <v>4</v>
      </c>
      <c r="AZ18" s="807" t="n">
        <f aca="false">IF(AND($E18=MONTH(Summary!$E$24),$D18=YEAR(Summary!$E$24)),Summary!$E$25,1)*IF(G18="",0,INT((H18-MOD(H18-1,7)-G18)/7)+1-IF(BA18,IF(WEEKDAY(F18)=1,1,0),0))</f>
        <v>4</v>
      </c>
      <c r="BA18" s="807" t="n">
        <v>0</v>
      </c>
      <c r="BB18" s="807" t="n">
        <f aca="false">IF(AND($E18=MONTH(Summary!$E$24),$D18=YEAR(Summary!$E$24)),Summary!$E$25,1)*IF(G18="",0,H18-G18+1)</f>
        <v>29</v>
      </c>
      <c r="BC18" s="1089" t="n">
        <f aca="false">Summary!$E$19</f>
        <v>0.015</v>
      </c>
      <c r="BD18" s="1090" t="n">
        <v>14893.2</v>
      </c>
      <c r="BE18" s="1091" t="n">
        <v>2836.8</v>
      </c>
      <c r="BF18" s="1091" t="n">
        <v>2836.8</v>
      </c>
      <c r="BG18" s="842"/>
      <c r="BH18" s="1092" t="n">
        <v>1</v>
      </c>
      <c r="BI18" s="1092" t="n">
        <v>1</v>
      </c>
      <c r="BJ18" s="1092" t="n">
        <v>1</v>
      </c>
      <c r="BK18" s="1092" t="n">
        <v>1</v>
      </c>
      <c r="BL18" s="1093" t="n">
        <v>2978.64</v>
      </c>
      <c r="BM18" s="1091" t="n">
        <v>567.36</v>
      </c>
      <c r="BN18" s="1091" t="n">
        <v>567.36</v>
      </c>
      <c r="BO18" s="842"/>
      <c r="BP18" s="1092" t="n">
        <v>1</v>
      </c>
      <c r="BQ18" s="1094" t="n">
        <v>1</v>
      </c>
      <c r="BR18" s="1094" t="n">
        <v>1</v>
      </c>
      <c r="BS18" s="1095" t="n">
        <v>1</v>
      </c>
      <c r="BT18" s="1093" t="n">
        <f aca="false">SUM(BD18:BF18)</f>
        <v>20566.8</v>
      </c>
      <c r="BU18" s="1098" t="n">
        <f aca="false">SUM(BD18:BG18)</f>
        <v>20566.8</v>
      </c>
      <c r="BV18" s="1090" t="n">
        <f aca="false">SUM(BL18:BN18)</f>
        <v>4113.36</v>
      </c>
      <c r="BW18" s="1098" t="n">
        <f aca="false">SUM(BL18:BO18)</f>
        <v>4113.36</v>
      </c>
      <c r="BX18" s="852" t="n">
        <v>0.131416837782341</v>
      </c>
      <c r="BY18" s="1099" t="n">
        <v>0</v>
      </c>
      <c r="BZ18" s="852" t="n">
        <v>0</v>
      </c>
      <c r="CA18" s="852" t="n">
        <v>0</v>
      </c>
      <c r="CB18" s="852" t="n">
        <v>0</v>
      </c>
      <c r="CC18" s="852" t="n">
        <v>0</v>
      </c>
      <c r="CD18" s="852" t="n">
        <v>0</v>
      </c>
      <c r="CE18" s="1100" t="n">
        <v>0</v>
      </c>
      <c r="CF18" s="852" t="n">
        <v>0</v>
      </c>
      <c r="CG18" s="852" t="n">
        <v>0</v>
      </c>
      <c r="CH18" s="852" t="n">
        <v>0</v>
      </c>
      <c r="CI18" s="852" t="n">
        <v>0</v>
      </c>
      <c r="CJ18" s="1101" t="n">
        <v>0</v>
      </c>
      <c r="CK18" s="852" t="n">
        <v>0</v>
      </c>
      <c r="CL18" s="852" t="n">
        <v>0</v>
      </c>
      <c r="CM18" s="852" t="n">
        <v>0</v>
      </c>
      <c r="CN18" s="852" t="n">
        <v>0</v>
      </c>
      <c r="CO18" s="852" t="n">
        <v>0</v>
      </c>
      <c r="CP18" s="852" t="n">
        <v>0</v>
      </c>
      <c r="CQ18" s="1102" t="n">
        <v>0</v>
      </c>
      <c r="CR18" s="1103" t="n">
        <v>0</v>
      </c>
      <c r="CS18" s="1103" t="n">
        <v>0</v>
      </c>
      <c r="CT18" s="1103" t="n">
        <v>0</v>
      </c>
      <c r="CU18" s="1103" t="n">
        <v>0</v>
      </c>
      <c r="CV18" s="1103" t="n">
        <v>0</v>
      </c>
      <c r="CW18" s="1103" t="n">
        <v>0</v>
      </c>
      <c r="CX18" s="1104" t="n">
        <v>0</v>
      </c>
      <c r="CY18" s="1105" t="n">
        <v>7671.81728</v>
      </c>
      <c r="CZ18" s="1099" t="n">
        <v>0</v>
      </c>
      <c r="DA18" s="852" t="n">
        <v>0</v>
      </c>
      <c r="DB18" s="852" t="n">
        <v>0</v>
      </c>
      <c r="DC18" s="852" t="n">
        <v>0</v>
      </c>
      <c r="DD18" s="852" t="n">
        <v>0</v>
      </c>
      <c r="DE18" s="1113" t="n">
        <v>0</v>
      </c>
      <c r="DF18" s="1109" t="n">
        <v>0</v>
      </c>
      <c r="DG18" s="1110" t="n">
        <v>0</v>
      </c>
      <c r="DH18" s="1111" t="n">
        <v>0</v>
      </c>
      <c r="DI18" s="1112" t="n">
        <v>0</v>
      </c>
      <c r="DJ18" s="1112" t="n">
        <v>0</v>
      </c>
      <c r="DK18" s="1112" t="n">
        <v>0</v>
      </c>
      <c r="DL18" s="1113" t="n">
        <v>0</v>
      </c>
      <c r="DM18" s="1114" t="n">
        <v>0</v>
      </c>
      <c r="DN18" s="1114" t="n">
        <v>0</v>
      </c>
      <c r="DO18" s="1114" t="n">
        <v>0</v>
      </c>
      <c r="DP18" s="1114" t="n">
        <v>0</v>
      </c>
      <c r="DQ18" s="1114" t="n">
        <v>0</v>
      </c>
      <c r="DR18" s="1109" t="n">
        <v>0</v>
      </c>
      <c r="DS18" s="852" t="n">
        <v>0</v>
      </c>
      <c r="DT18" s="852" t="n">
        <v>0</v>
      </c>
      <c r="DU18" s="852" t="n">
        <v>0</v>
      </c>
      <c r="DV18" s="852" t="n">
        <v>0</v>
      </c>
      <c r="DW18" s="852" t="n">
        <v>0</v>
      </c>
      <c r="DX18" s="852" t="n">
        <v>0</v>
      </c>
      <c r="DY18" s="852" t="n">
        <v>0</v>
      </c>
      <c r="DZ18" s="852" t="n">
        <v>0</v>
      </c>
      <c r="EA18" s="852" t="n">
        <v>0</v>
      </c>
      <c r="EB18" s="1113" t="n">
        <v>0</v>
      </c>
      <c r="EC18" s="1115" t="n">
        <f aca="false">DS18*BD18</f>
        <v>0</v>
      </c>
      <c r="ED18" s="1115" t="n">
        <f aca="false">DT18*BE18</f>
        <v>0</v>
      </c>
      <c r="EE18" s="1115" t="n">
        <f aca="false">DU18*BF18</f>
        <v>0</v>
      </c>
      <c r="EF18" s="1115" t="n">
        <f aca="false">DV18*BG18</f>
        <v>0</v>
      </c>
      <c r="EG18" s="1115" t="n">
        <f aca="false">DS18*BD18+DT18*BE18+DU18*BF18+DV18*BG18</f>
        <v>0</v>
      </c>
      <c r="EH18" s="1116" t="n">
        <v>0</v>
      </c>
      <c r="EI18" s="1117" t="n">
        <v>0</v>
      </c>
      <c r="EJ18" s="1117" t="n">
        <v>0</v>
      </c>
      <c r="EK18" s="1117" t="n">
        <v>0</v>
      </c>
      <c r="EL18" s="1118" t="n">
        <f aca="false">IF(C18&gt;=Summary!$E$26,MAX(0,SUM(EH18:EK18)),0)</f>
        <v>0</v>
      </c>
      <c r="EM18" s="1115" t="n">
        <f aca="false">IF(C18&gt;=Summary!$E$26,DX18*BL18,0)</f>
        <v>0</v>
      </c>
      <c r="EN18" s="1115" t="n">
        <f aca="false">IF(C18&gt;=Summary!$E$26,DY18*BM18,0)</f>
        <v>0</v>
      </c>
      <c r="EO18" s="1115" t="n">
        <f aca="false">IF(C18&gt;=Summary!$E$26,DZ18*BN18,0)</f>
        <v>0</v>
      </c>
      <c r="EP18" s="1115" t="n">
        <f aca="false">IF(C18&gt;=Summary!$E$26,EA18*BO18,0)</f>
        <v>0</v>
      </c>
      <c r="EQ18" s="1115" t="n">
        <f aca="false">IF(C18&gt;=Summary!$E$26,DX18*BL18+DY18*BM18+DZ18*BN18+EA18*BO18,0)</f>
        <v>0</v>
      </c>
      <c r="ER18" s="1119" t="n">
        <v>0</v>
      </c>
      <c r="ES18" s="1120" t="n">
        <v>0</v>
      </c>
      <c r="ET18" s="1120" t="n">
        <v>0</v>
      </c>
      <c r="EU18" s="1120" t="n">
        <v>0</v>
      </c>
      <c r="EV18" s="1143" t="n">
        <f aca="false">IF(C18&gt;=Summary!$E$26,MAX(0,SUM(ER18:EU18)),0)</f>
        <v>0</v>
      </c>
      <c r="EW18" s="1115"/>
      <c r="EX18" s="1165" t="n">
        <f aca="false">(EQ18-EV18)+IF(EZ18="Yes",(EG18-EL18),0)</f>
        <v>0</v>
      </c>
      <c r="EY18" s="1166" t="str">
        <f aca="false">IF(EX18,EX18/EQ18,"")</f>
        <v/>
      </c>
      <c r="EZ18" s="1122" t="s">
        <v>37</v>
      </c>
      <c r="FA18" s="1096" t="n">
        <f aca="false">FA17</f>
        <v>45</v>
      </c>
      <c r="FB18" s="1167" t="n">
        <f aca="false">IF(EZ18="No",IF((OR(MONTH(C18)=5,MONTH(C18)=6,MONTH(C18)=7,MONTH(C18)=8,MONTH(C18)=9)),$FA18*12*AX18*(1-$BC18),$FA18*10*AX18*(1-$BC18)),0)</f>
        <v>9308.25</v>
      </c>
      <c r="FC18" s="1129" t="n">
        <f aca="false">IF(EZ18="No",IF((OR(MONTH(C18)=5,MONTH(C18)=6,MONTH(C18)=7,MONTH(C18)=8,MONTH(C18)=9)),0,$FA18*3*AX18*(1-$BC18)),0)</f>
        <v>2792.475</v>
      </c>
      <c r="FD18" s="1129" t="n">
        <f aca="false">IF(EZ18="No",IF((OR(MONTH(C18)=5,MONTH(C18)=6,MONTH(C18)=7,MONTH(C18)=8,MONTH(C18)=9)),$FA18*12*AY18*(1-$BC18),$FA18*10*AY18*(1-$BC18)),0)</f>
        <v>1773</v>
      </c>
      <c r="FE18" s="1129" t="n">
        <f aca="false">IF(EZ18="No",IF((OR(MONTH(C18)=5,MONTH(C18)=6,MONTH(C18)=7,MONTH(C18)=8,MONTH(C18)=9)),0,$FA18*3*AY18*(1-$BC18)),0)</f>
        <v>531.9</v>
      </c>
      <c r="FF18" s="1129" t="n">
        <f aca="false">IF(EZ18="No",IF((OR(MONTH(C18)=5,MONTH(C18)=6,MONTH(C18)=7,MONTH(C18)=8,MONTH(C18)=9)),$FA18*12*(AZ18+BA18)*(1-$BC18),$FA18*10*(AZ18+BA18)*(1-$BC18)),0)</f>
        <v>1773</v>
      </c>
      <c r="FG18" s="1129" t="n">
        <f aca="false">IF(EZ18="No",IF((OR(MONTH(C18)=5,MONTH(C18)=6,MONTH(C18)=7,MONTH(C18)=8,MONTH(C18)=9)),0,$FA18*3*(AZ18+BA18)*(1-$BC18)),0)</f>
        <v>531.9</v>
      </c>
      <c r="FH18" s="1168" t="n">
        <f aca="false">IF(EZ18="No",IF((OR(MONTH(C18)=5,MONTH(C18)=6,MONTH(C18)=7,MONTH(C18)=8,MONTH(C18)=9)),Summary!$O$15*12*(AX18+AY18+AZ18+BA18)*(1-$BC18),Summary!$O$15*13*(AX18+AY18+AZ18+BA18)*(1-$BC18)+IF(Summary!$O$16="Yes",(CALC!FA18+Summary!$O$15)*6*(AX18+AY18+AZ18+BA18)*(1-$BC18),0)),0)</f>
        <v>0</v>
      </c>
      <c r="FI18" s="1126" t="n">
        <f aca="false">IF(MONTH(C18)=5,FI17*(IF(Summary!$E$70="no",(1+(Summary!$E$71*0.8)),1+HLOOKUP(YEAR(C18)-1,CCFMODEL!$I$127:$AF$128,2)*0.8)),+FI17)</f>
        <v>26.67</v>
      </c>
      <c r="FJ18" s="1127" t="n">
        <f aca="false">IF(MONTH(C18)=5,FJ17*(IF(Summary!$E$70="no",(1+(Summary!$E$71*0.8)),1+HLOOKUP(YEAR(CALC!C18)-1,CCFMODEL!$I$127:$AF$128,2)*0.8)),FJ17)</f>
        <v>23.31</v>
      </c>
      <c r="FK18" s="1128" t="n">
        <f aca="false">SUM(FB18:FG18)*FI18+FH18*FJ18</f>
        <v>445669.70175</v>
      </c>
      <c r="FL18" s="1126" t="n">
        <f aca="false">IF(MONTH(C18)=5,FL17*(IF(Summary!$E$70="no",(1+(Summary!$E$71*0.8)),1+HLOOKUP(YEAR(CALC!C18)-1,CCFMODEL!$I$127:$AF$128,2)*0.8)),+FL17)</f>
        <v>56.09</v>
      </c>
      <c r="FM18" s="1127" t="n">
        <f aca="false">IF(MONTH(C18)=5,FM17*(IF(Summary!$E$70="no",(1+(Summary!$E$71*0.8)),1+HLOOKUP(YEAR(CALC!C18)-1,CCFMODEL!$I$127:$AF$128,2)*0.8)),+FM17)</f>
        <v>26.77</v>
      </c>
      <c r="FN18" s="1128" t="n">
        <f aca="false">IF((OR(MONTH(C18)=5,MONTH(C18)=6,MONTH(C18)=7,MONTH(C18)=8,MONTH(C18)=9)),SUM(FB18:FG18)/(1-BC18)*FL18,SUM(FB18:FG18)/(1-BC18)*FM18)</f>
        <v>454153.05</v>
      </c>
      <c r="FO18" s="1129" t="n">
        <f aca="false">FK18+FN18</f>
        <v>899822.75175</v>
      </c>
      <c r="FP18" s="1169" t="n">
        <f aca="false">FB18</f>
        <v>9308.25</v>
      </c>
      <c r="FQ18" s="1129" t="n">
        <f aca="false">FC18</f>
        <v>2792.475</v>
      </c>
      <c r="FR18" s="1129" t="n">
        <f aca="false">FD18</f>
        <v>1773</v>
      </c>
      <c r="FS18" s="1129" t="n">
        <f aca="false">FE18</f>
        <v>531.9</v>
      </c>
      <c r="FT18" s="1129" t="n">
        <f aca="false">FF18</f>
        <v>1773</v>
      </c>
      <c r="FU18" s="1129" t="n">
        <f aca="false">FG18</f>
        <v>531.9</v>
      </c>
      <c r="FV18" s="1170" t="n">
        <f aca="false">FH18</f>
        <v>0</v>
      </c>
      <c r="FW18" s="1115" t="n">
        <f aca="false">IF(ER18&gt;0,MIN(FB18-FP18,BL18),0)</f>
        <v>0</v>
      </c>
      <c r="FX18" s="1115" t="n">
        <f aca="false">IF(ES18&gt;0,MIN(FD18-FR18,BM18),0)</f>
        <v>0</v>
      </c>
      <c r="FY18" s="1115" t="n">
        <f aca="false">IF(ET18&gt;0,MIN(FF18-FT18,BN18),0)</f>
        <v>0</v>
      </c>
      <c r="FZ18" s="1143" t="n">
        <f aca="false">IF(EU18&gt;0,MIN(FH18-FV18,BO18),0)</f>
        <v>0</v>
      </c>
      <c r="GA18" s="1132" t="n">
        <f aca="false">(SUM(FP18:FV18)+SUM(GU18:HB18)/(1-Summary!$O$25))*CY18/1000</f>
        <v>128200.094452872</v>
      </c>
      <c r="GB18" s="1133" t="n">
        <f aca="false">IF($C18&lt;Summary!$M$81,+Summary!$O$81,VLOOKUP(C18,GasTable,19))</f>
        <v>2.045</v>
      </c>
      <c r="GC18" s="1134" t="n">
        <f aca="false">IF(H18&lt;=Summary!$N$84,MIN(GA18,Summary!$O$75*(H18-G18+1)),0)</f>
        <v>128200.094452872</v>
      </c>
      <c r="GD18" s="1135" t="n">
        <f aca="false">IF(Summary!$O$75*(H18-G18+1)*0.8&gt;GC18,1,0)</f>
        <v>0</v>
      </c>
      <c r="GE18" s="1136" t="n">
        <v>0</v>
      </c>
      <c r="GF18" s="1134" t="n">
        <f aca="false">ABS(MIN(0,GC18-$GA18))</f>
        <v>0</v>
      </c>
      <c r="GG18" s="1135" t="n">
        <f aca="false">GF18*(IF(Summary!$O$74=1,VLOOKUP($C18,GasTable,16)+Summary!$O$92+Summary!$O$93,VLOOKUP($C18,GasTable,19)+Summary!$O$92+Summary!$O$93))</f>
        <v>0</v>
      </c>
      <c r="GH18" s="1137" t="n">
        <v>11861</v>
      </c>
      <c r="GI18" s="1138"/>
      <c r="GJ18" s="1139" t="n">
        <f aca="false">+GB18*GC18+GE18+GG18+GH18-GI18</f>
        <v>274030.193156123</v>
      </c>
      <c r="GK18" s="1115" t="n">
        <f aca="false">SUM(FP18:FV18,GU18:GX18,GY18:HB18)</f>
        <v>16710.525</v>
      </c>
      <c r="GL18" s="1140" t="n">
        <v>0.753372456896</v>
      </c>
      <c r="GM18" s="1141" t="n">
        <f aca="false">IF(GK18&gt;GC18/(CY18/1000),GC18/(CY18/1000),+GK18)*GL18</f>
        <v>12589.249275272</v>
      </c>
      <c r="GN18" s="1115" t="n">
        <f aca="false">IF(SUM(GU18:HB18)=0,0,IF(Summary!$O$16="Yes",SUM(GX18:HB18),IF(Summary!$O$17="Yes",SUM(GY18:HB18),SUM(GU18:HB18))))</f>
        <v>0</v>
      </c>
      <c r="GO18" s="1142" t="n">
        <v>5.55222627737226</v>
      </c>
      <c r="GP18" s="1143" t="n">
        <f aca="false">GN18*GO18</f>
        <v>0</v>
      </c>
      <c r="GQ18" s="1115"/>
      <c r="GR18" s="1115"/>
      <c r="GS18" s="1115"/>
      <c r="GT18" s="1115"/>
      <c r="GU18" s="1150" t="n">
        <v>0</v>
      </c>
      <c r="GV18" s="1115" t="n">
        <v>0</v>
      </c>
      <c r="GW18" s="1115" t="n">
        <v>0</v>
      </c>
      <c r="GX18" s="1115"/>
      <c r="GY18" s="1151" t="n">
        <v>0</v>
      </c>
      <c r="GZ18" s="1115" t="n">
        <v>0</v>
      </c>
      <c r="HA18" s="1115" t="n">
        <v>0</v>
      </c>
      <c r="HB18" s="1141"/>
      <c r="HC18" s="1115" t="n">
        <v>0</v>
      </c>
      <c r="HD18" s="1115"/>
      <c r="HE18" s="1115" t="n">
        <v>0</v>
      </c>
      <c r="HF18" s="1115" t="n">
        <v>0</v>
      </c>
      <c r="HG18" s="1115"/>
      <c r="HH18" s="1142" t="n">
        <v>0</v>
      </c>
      <c r="HI18" s="1115" t="n">
        <v>0</v>
      </c>
      <c r="HJ18" s="1150" t="n">
        <f aca="false">MAX(FB18-FP18-FW18,0)</f>
        <v>0</v>
      </c>
      <c r="HK18" s="1115" t="n">
        <f aca="false">MAX(FD18-FR18-FX18,0)</f>
        <v>0</v>
      </c>
      <c r="HL18" s="1115" t="n">
        <f aca="false">MAX(FF18-FT18-FY18,0)</f>
        <v>0</v>
      </c>
      <c r="HM18" s="1141" t="n">
        <f aca="false">MAX(FH18-FV18-FZ18,0)</f>
        <v>0</v>
      </c>
      <c r="HN18" s="1115" t="n">
        <f aca="false">SUM(HJ18:HM18)</f>
        <v>0</v>
      </c>
      <c r="HO18" s="1142" t="n">
        <f aca="false">IF(ISERROR(+HP18/HN18),0,+HP18/HN18)</f>
        <v>0</v>
      </c>
      <c r="HP18" s="1143" t="n">
        <f aca="false">(HJ18*CE18+HK18*CF18+HL18*CG18+HM18*CH18)</f>
        <v>0</v>
      </c>
      <c r="HQ18" s="1146" t="n">
        <v>2000</v>
      </c>
      <c r="HR18" s="1150" t="e">
        <f aca="false">SUMIF($D$17:$D$292,HQ18,$FB$17:$FB$292)+SUMIF($D$17:$D$292,HQ18,$FC$17:$FC$292)+SUMIF($D$17:$D$292,HQ18,$FD$17:$FD$292)+SUMIF($D$17:$D$292,HQ18,$FE$17:$FE$292)+SUMIF($D$17:$D$292,HQ18,$FF$17:$FF$292)+SUMIF($D$17:$D$292,HQ18,$FG$17:$FG$292)+SUMIF($D$17:$D$292,HQ18,$FH$17:$FH$292)</f>
        <v>#VALUE!</v>
      </c>
      <c r="HS18" s="1110" t="e">
        <f aca="false">IF(HT18=0,0,HT18/HR18)</f>
        <v>#VALUE!</v>
      </c>
      <c r="HT18" s="1141" t="e">
        <f aca="false">SUMIF($D$17:$D$292,HQ18,$FO$17:$FO$292)</f>
        <v>#VALUE!</v>
      </c>
      <c r="HU18" s="1151" t="n">
        <v>67479.6708</v>
      </c>
      <c r="HV18" s="1142" t="n">
        <v>72.4298578610685</v>
      </c>
      <c r="HW18" s="1115" t="n">
        <v>4887542.96455569</v>
      </c>
      <c r="HX18" s="1171" t="n">
        <v>0</v>
      </c>
      <c r="HY18" s="1143" t="e">
        <f aca="false">HT18+HW18+HX18</f>
        <v>#VALUE!</v>
      </c>
      <c r="HZ18" s="1150" t="n">
        <v>2105170.54236439</v>
      </c>
      <c r="IA18" s="1142" t="n">
        <v>-2.8664851708039</v>
      </c>
      <c r="IB18" s="1141" t="n">
        <v>-6034440.1417007</v>
      </c>
      <c r="IC18" s="1151" t="n">
        <v>271596.2958</v>
      </c>
      <c r="ID18" s="1142" t="e">
        <f aca="false">IF(IE18=0,0,IE18/IC18)</f>
        <v>#VALUE!</v>
      </c>
      <c r="IE18" s="1141" t="e">
        <f aca="false">-SUMIF($D$17:$D$292,HQ18,$GM$17:$GM$292)</f>
        <v>#VALUE!</v>
      </c>
      <c r="IF18" s="1115" t="n">
        <f aca="false">SUMIF($D$17:$D$292,HQ18,$GN$17:$GN$292)</f>
        <v>69447.25755</v>
      </c>
      <c r="IG18" s="1142" t="n">
        <f aca="false">IF(IH18=0,0,IH18/IF18)</f>
        <v>-5.39492003891505</v>
      </c>
      <c r="IH18" s="1141" t="n">
        <v>-374662.40140419</v>
      </c>
      <c r="II18" s="1115" t="e">
        <f aca="false">SUMIF($D$17:$D$292,HQ18,$HN$17:$HN$292)</f>
        <v>#VALUE!</v>
      </c>
      <c r="IJ18" s="1142" t="e">
        <f aca="false">IF(IK18=0,0,IK18/II18)</f>
        <v>#VALUE!</v>
      </c>
      <c r="IK18" s="1115" t="e">
        <f aca="false">-SUMIF($D$17:$D$292,HQ18,$HP$17:$HP$292)</f>
        <v>#VALUE!</v>
      </c>
      <c r="IL18" s="1152" t="e">
        <f aca="false">HY18+IB18+IE18+IH18</f>
        <v>#VALUE!</v>
      </c>
      <c r="IN18" s="162"/>
      <c r="IO18" s="162"/>
      <c r="IR18" s="844"/>
    </row>
    <row r="19" customFormat="false" ht="13.5" hidden="false" customHeight="false" outlineLevel="0" collapsed="false">
      <c r="A19" s="0" t="str">
        <f aca="false">+D19&amp;"Q"&amp;ROUNDUP(E19/3,0)</f>
        <v>2000Q1</v>
      </c>
      <c r="B19" s="0" t="n">
        <f aca="false">YEAR(C19)</f>
        <v>2000</v>
      </c>
      <c r="C19" s="1153" t="n">
        <f aca="false">EOMONTH(C18,0)+1</f>
        <v>36586</v>
      </c>
      <c r="D19" s="841" t="n">
        <f aca="false">+YEAR(C19)</f>
        <v>2000</v>
      </c>
      <c r="E19" s="807" t="n">
        <f aca="false">MONTH(C19)</f>
        <v>3</v>
      </c>
      <c r="F19" s="1154" t="e">
        <f aca="false">IF(G19="","",Holiday(D19,E19))</f>
        <v>#VALUE!</v>
      </c>
      <c r="G19" s="1155" t="n">
        <v>36586</v>
      </c>
      <c r="H19" s="1156" t="n">
        <v>36616</v>
      </c>
      <c r="I19" s="1157" t="n">
        <f aca="false">I18</f>
        <v>0.0715</v>
      </c>
      <c r="J19" s="1158" t="n">
        <f aca="false">(1+I19/2)^(-2*(DATE(D20,E20,20)-$H$7)/365.25)</f>
        <v>0.97586894625297</v>
      </c>
      <c r="K19" s="1159" t="e">
        <f aca="false">IF(#REF!=1,+#REF!,I19+#REF!/10000)</f>
        <v>#REF!</v>
      </c>
      <c r="L19" s="1158" t="e">
        <f aca="false">(1+K19/2)^(-2*(DATE(D20,E20,20)-$H$7)/365.25)</f>
        <v>#REF!</v>
      </c>
      <c r="M19" s="1082" t="n">
        <v>0</v>
      </c>
      <c r="N19" s="1160" t="n">
        <v>0</v>
      </c>
      <c r="O19" s="1161" t="n">
        <v>0</v>
      </c>
      <c r="P19" s="1162" t="n">
        <v>0</v>
      </c>
      <c r="Q19" s="1160" t="n">
        <v>0</v>
      </c>
      <c r="R19" s="1161" t="n">
        <v>0</v>
      </c>
      <c r="S19" s="1160" t="n">
        <v>0</v>
      </c>
      <c r="T19" s="1160" t="n">
        <v>0</v>
      </c>
      <c r="U19" s="1160" t="n">
        <v>0</v>
      </c>
      <c r="V19" s="1162" t="n">
        <v>0</v>
      </c>
      <c r="W19" s="1160" t="n">
        <v>0</v>
      </c>
      <c r="X19" s="1163" t="n">
        <v>0</v>
      </c>
      <c r="Y19" s="1086" t="n">
        <v>0</v>
      </c>
      <c r="Z19" s="1086" t="n">
        <v>0</v>
      </c>
      <c r="AA19" s="1087" t="n">
        <v>0</v>
      </c>
      <c r="AB19" s="1086" t="n">
        <v>0</v>
      </c>
      <c r="AC19" s="1086" t="n">
        <v>0</v>
      </c>
      <c r="AD19" s="1087" t="n">
        <v>0</v>
      </c>
      <c r="AE19" s="1086" t="n">
        <v>0</v>
      </c>
      <c r="AF19" s="1086" t="n">
        <v>0</v>
      </c>
      <c r="AG19" s="1087" t="n">
        <v>0</v>
      </c>
      <c r="AH19" s="1086" t="n">
        <v>0</v>
      </c>
      <c r="AI19" s="1086" t="n">
        <v>0</v>
      </c>
      <c r="AJ19" s="1087" t="n">
        <v>0</v>
      </c>
      <c r="AK19" s="1086" t="n">
        <v>0</v>
      </c>
      <c r="AL19" s="1086" t="n">
        <v>0</v>
      </c>
      <c r="AM19" s="1087" t="n">
        <v>0</v>
      </c>
      <c r="AN19" s="1086" t="n">
        <v>0</v>
      </c>
      <c r="AO19" s="1086" t="n">
        <v>0</v>
      </c>
      <c r="AP19" s="1087" t="n">
        <v>0</v>
      </c>
      <c r="AQ19" s="1086" t="n">
        <v>0</v>
      </c>
      <c r="AR19" s="1086" t="n">
        <v>0</v>
      </c>
      <c r="AS19" s="1087" t="n">
        <v>0</v>
      </c>
      <c r="AT19" s="1086" t="n">
        <v>0</v>
      </c>
      <c r="AU19" s="1086" t="n">
        <v>0</v>
      </c>
      <c r="AV19" s="1086" t="n">
        <v>0</v>
      </c>
      <c r="AW19" s="1172" t="n">
        <v>0</v>
      </c>
      <c r="AX19" s="1173" t="n">
        <f aca="false">BB19-SUM(AY19:BA19)</f>
        <v>23</v>
      </c>
      <c r="AY19" s="1173" t="n">
        <f aca="false">IF(AND($E19=MONTH(Summary!$E$24),$D19=YEAR(Summary!$E$24)),Summary!$E$25,1)*IF(G19="",0,INT((H19-MOD(H19,7)-G19)/7)+1-IF(BA19,IF(WEEKDAY(F19)=7,1,0),0))</f>
        <v>4</v>
      </c>
      <c r="AZ19" s="1173" t="n">
        <f aca="false">IF(AND($E19=MONTH(Summary!$E$24),$D19=YEAR(Summary!$E$24)),Summary!$E$25,1)*IF(G19="",0,INT((H19-MOD(H19-1,7)-G19)/7)+1-IF(BA19,IF(WEEKDAY(F19)=1,1,0),0))</f>
        <v>4</v>
      </c>
      <c r="BA19" s="1173" t="n">
        <v>0</v>
      </c>
      <c r="BB19" s="1173" t="n">
        <f aca="false">IF(AND($E19=MONTH(Summary!$E$24),$D19=YEAR(Summary!$E$24)),Summary!$E$25,1)*IF(G19="",0,H19-G19+1)</f>
        <v>31</v>
      </c>
      <c r="BC19" s="1089" t="n">
        <f aca="false">Summary!$E$19</f>
        <v>0.015</v>
      </c>
      <c r="BD19" s="1090" t="n">
        <v>16311.6</v>
      </c>
      <c r="BE19" s="1091" t="n">
        <v>2836.8</v>
      </c>
      <c r="BF19" s="1091" t="n">
        <v>2836.8</v>
      </c>
      <c r="BG19" s="842"/>
      <c r="BH19" s="1092" t="n">
        <v>1</v>
      </c>
      <c r="BI19" s="1092" t="n">
        <v>1</v>
      </c>
      <c r="BJ19" s="1092" t="n">
        <v>1</v>
      </c>
      <c r="BK19" s="1092" t="n">
        <v>1</v>
      </c>
      <c r="BL19" s="1093" t="n">
        <v>3262.32</v>
      </c>
      <c r="BM19" s="1091" t="n">
        <v>567.36</v>
      </c>
      <c r="BN19" s="1091" t="n">
        <v>567.36</v>
      </c>
      <c r="BO19" s="842"/>
      <c r="BP19" s="1092" t="n">
        <v>1</v>
      </c>
      <c r="BQ19" s="1094" t="n">
        <v>1</v>
      </c>
      <c r="BR19" s="1094" t="n">
        <v>1</v>
      </c>
      <c r="BS19" s="1095" t="n">
        <v>1</v>
      </c>
      <c r="BT19" s="1093" t="n">
        <f aca="false">SUM(BD19:BF19)</f>
        <v>21985.2</v>
      </c>
      <c r="BU19" s="1098" t="n">
        <f aca="false">SUM(BD19:BG19)</f>
        <v>21985.2</v>
      </c>
      <c r="BV19" s="1090" t="n">
        <f aca="false">SUM(BL19:BN19)</f>
        <v>4397.04</v>
      </c>
      <c r="BW19" s="1098" t="n">
        <f aca="false">SUM(BL19:BO19)</f>
        <v>4397.04</v>
      </c>
      <c r="BX19" s="852" t="n">
        <v>0.210814510609172</v>
      </c>
      <c r="BY19" s="1099" t="n">
        <v>0</v>
      </c>
      <c r="BZ19" s="852" t="n">
        <v>0</v>
      </c>
      <c r="CA19" s="852" t="n">
        <v>0</v>
      </c>
      <c r="CB19" s="852" t="n">
        <v>0</v>
      </c>
      <c r="CC19" s="852" t="n">
        <v>0</v>
      </c>
      <c r="CD19" s="852" t="n">
        <v>0</v>
      </c>
      <c r="CE19" s="1100" t="n">
        <v>0</v>
      </c>
      <c r="CF19" s="852" t="n">
        <v>0</v>
      </c>
      <c r="CG19" s="852" t="n">
        <v>0</v>
      </c>
      <c r="CH19" s="852" t="n">
        <v>0</v>
      </c>
      <c r="CI19" s="852" t="n">
        <v>0</v>
      </c>
      <c r="CJ19" s="1101" t="n">
        <v>0</v>
      </c>
      <c r="CK19" s="852" t="n">
        <v>0</v>
      </c>
      <c r="CL19" s="852" t="n">
        <v>0</v>
      </c>
      <c r="CM19" s="852" t="n">
        <v>0</v>
      </c>
      <c r="CN19" s="852" t="n">
        <v>0</v>
      </c>
      <c r="CO19" s="852" t="n">
        <v>0</v>
      </c>
      <c r="CP19" s="852" t="n">
        <v>0</v>
      </c>
      <c r="CQ19" s="1102" t="n">
        <v>0</v>
      </c>
      <c r="CR19" s="1103" t="n">
        <v>0</v>
      </c>
      <c r="CS19" s="1103" t="n">
        <v>0</v>
      </c>
      <c r="CT19" s="1103" t="n">
        <v>0</v>
      </c>
      <c r="CU19" s="1103" t="n">
        <v>0</v>
      </c>
      <c r="CV19" s="1103" t="n">
        <v>0</v>
      </c>
      <c r="CW19" s="1103" t="n">
        <v>0</v>
      </c>
      <c r="CX19" s="1104" t="n">
        <v>0</v>
      </c>
      <c r="CY19" s="1105" t="n">
        <v>7673.7716</v>
      </c>
      <c r="CZ19" s="1099" t="n">
        <v>0</v>
      </c>
      <c r="DA19" s="852" t="n">
        <v>0</v>
      </c>
      <c r="DB19" s="852" t="n">
        <v>0</v>
      </c>
      <c r="DC19" s="852" t="n">
        <v>0</v>
      </c>
      <c r="DD19" s="852" t="n">
        <v>0</v>
      </c>
      <c r="DE19" s="1113" t="n">
        <v>0</v>
      </c>
      <c r="DF19" s="1109" t="n">
        <v>0</v>
      </c>
      <c r="DG19" s="1110" t="n">
        <v>0</v>
      </c>
      <c r="DH19" s="1111" t="n">
        <v>0</v>
      </c>
      <c r="DI19" s="1112" t="n">
        <v>0</v>
      </c>
      <c r="DJ19" s="1112" t="n">
        <v>0</v>
      </c>
      <c r="DK19" s="1112" t="n">
        <v>0</v>
      </c>
      <c r="DL19" s="1113" t="n">
        <v>0</v>
      </c>
      <c r="DM19" s="1114" t="n">
        <v>0</v>
      </c>
      <c r="DN19" s="1114" t="n">
        <v>0</v>
      </c>
      <c r="DO19" s="1114" t="n">
        <v>0</v>
      </c>
      <c r="DP19" s="1114" t="n">
        <v>0</v>
      </c>
      <c r="DQ19" s="1114" t="n">
        <v>0</v>
      </c>
      <c r="DR19" s="1109" t="n">
        <v>0</v>
      </c>
      <c r="DS19" s="852" t="n">
        <v>0</v>
      </c>
      <c r="DT19" s="852" t="n">
        <v>0</v>
      </c>
      <c r="DU19" s="852" t="n">
        <v>0</v>
      </c>
      <c r="DV19" s="852" t="n">
        <v>0</v>
      </c>
      <c r="DW19" s="852" t="n">
        <v>0</v>
      </c>
      <c r="DX19" s="852" t="n">
        <v>0</v>
      </c>
      <c r="DY19" s="852" t="n">
        <v>0</v>
      </c>
      <c r="DZ19" s="852" t="n">
        <v>0</v>
      </c>
      <c r="EA19" s="852" t="n">
        <v>0</v>
      </c>
      <c r="EB19" s="1113" t="n">
        <v>0</v>
      </c>
      <c r="EC19" s="1115" t="n">
        <f aca="false">DS19*BD19</f>
        <v>0</v>
      </c>
      <c r="ED19" s="1115" t="n">
        <f aca="false">DT19*BE19</f>
        <v>0</v>
      </c>
      <c r="EE19" s="1115" t="n">
        <f aca="false">DU19*BF19</f>
        <v>0</v>
      </c>
      <c r="EF19" s="1115" t="n">
        <f aca="false">DV19*BG19</f>
        <v>0</v>
      </c>
      <c r="EG19" s="1115" t="n">
        <f aca="false">DS19*BD19+DT19*BE19+DU19*BF19+DV19*BG19</f>
        <v>0</v>
      </c>
      <c r="EH19" s="1116" t="n">
        <v>0</v>
      </c>
      <c r="EI19" s="1117" t="n">
        <v>0</v>
      </c>
      <c r="EJ19" s="1117" t="n">
        <v>0</v>
      </c>
      <c r="EK19" s="1117" t="n">
        <v>0</v>
      </c>
      <c r="EL19" s="1118" t="n">
        <f aca="false">IF(C19&gt;=Summary!$E$26,MAX(0,SUM(EH19:EK19)),0)</f>
        <v>0</v>
      </c>
      <c r="EM19" s="1115" t="n">
        <f aca="false">IF(C19&gt;=Summary!$E$26,DX19*BL19,0)</f>
        <v>0</v>
      </c>
      <c r="EN19" s="1115" t="n">
        <f aca="false">IF(C19&gt;=Summary!$E$26,DY19*BM19,0)</f>
        <v>0</v>
      </c>
      <c r="EO19" s="1115" t="n">
        <f aca="false">IF(C19&gt;=Summary!$E$26,DZ19*BN19,0)</f>
        <v>0</v>
      </c>
      <c r="EP19" s="1115" t="n">
        <f aca="false">IF(C19&gt;=Summary!$E$26,EA19*BO19,0)</f>
        <v>0</v>
      </c>
      <c r="EQ19" s="1115" t="n">
        <f aca="false">IF(C19&gt;=Summary!$E$26,DX19*BL19+DY19*BM19+DZ19*BN19+EA19*BO19,0)</f>
        <v>0</v>
      </c>
      <c r="ER19" s="1119" t="n">
        <v>0</v>
      </c>
      <c r="ES19" s="1120" t="n">
        <v>0</v>
      </c>
      <c r="ET19" s="1120" t="n">
        <v>0</v>
      </c>
      <c r="EU19" s="1120" t="n">
        <v>0</v>
      </c>
      <c r="EV19" s="1143" t="n">
        <f aca="false">IF(C19&gt;=Summary!$E$26,MAX(0,SUM(ER19:EU19)),0)</f>
        <v>0</v>
      </c>
      <c r="EW19" s="1115"/>
      <c r="EX19" s="1165" t="n">
        <f aca="false">(EQ19-EV19)+IF(EZ19="Yes",(EG19-EL19),0)</f>
        <v>0</v>
      </c>
      <c r="EY19" s="1166" t="str">
        <f aca="false">IF(EX19,EX19/EQ19,"")</f>
        <v/>
      </c>
      <c r="EZ19" s="1122" t="s">
        <v>37</v>
      </c>
      <c r="FA19" s="1096" t="n">
        <f aca="false">FA18</f>
        <v>45</v>
      </c>
      <c r="FB19" s="1167" t="n">
        <f aca="false">IF(EZ19="No",IF((OR(MONTH(C19)=5,MONTH(C19)=6,MONTH(C19)=7,MONTH(C19)=8,MONTH(C19)=9)),$FA19*12*AX19*(1-$BC19),$FA19*10*AX19*(1-$BC19)),0)</f>
        <v>10194.75</v>
      </c>
      <c r="FC19" s="1129" t="n">
        <f aca="false">IF(EZ19="No",IF((OR(MONTH(C19)=5,MONTH(C19)=6,MONTH(C19)=7,MONTH(C19)=8,MONTH(C19)=9)),0,$FA19*3*AX19*(1-$BC19)),0)</f>
        <v>3058.425</v>
      </c>
      <c r="FD19" s="1129" t="n">
        <f aca="false">IF(EZ19="No",IF((OR(MONTH(C19)=5,MONTH(C19)=6,MONTH(C19)=7,MONTH(C19)=8,MONTH(C19)=9)),$FA19*12*AY19*(1-$BC19),$FA19*10*AY19*(1-$BC19)),0)</f>
        <v>1773</v>
      </c>
      <c r="FE19" s="1129" t="n">
        <f aca="false">IF(EZ19="No",IF((OR(MONTH(C19)=5,MONTH(C19)=6,MONTH(C19)=7,MONTH(C19)=8,MONTH(C19)=9)),0,$FA19*3*AY19*(1-$BC19)),0)</f>
        <v>531.9</v>
      </c>
      <c r="FF19" s="1129" t="n">
        <f aca="false">IF(EZ19="No",IF((OR(MONTH(C19)=5,MONTH(C19)=6,MONTH(C19)=7,MONTH(C19)=8,MONTH(C19)=9)),$FA19*12*(AZ19+BA19)*(1-$BC19),$FA19*10*(AZ19+BA19)*(1-$BC19)),0)</f>
        <v>1773</v>
      </c>
      <c r="FG19" s="1129" t="n">
        <f aca="false">IF(EZ19="No",IF((OR(MONTH(C19)=5,MONTH(C19)=6,MONTH(C19)=7,MONTH(C19)=8,MONTH(C19)=9)),0,$FA19*3*(AZ19+BA19)*(1-$BC19)),0)</f>
        <v>531.9</v>
      </c>
      <c r="FH19" s="1168" t="n">
        <f aca="false">IF(EZ19="No",IF((OR(MONTH(C19)=5,MONTH(C19)=6,MONTH(C19)=7,MONTH(C19)=8,MONTH(C19)=9)),Summary!$O$15*12*(AX19+AY19+AZ19+BA19)*(1-$BC19),Summary!$O$15*13*(AX19+AY19+AZ19+BA19)*(1-$BC19)+IF(Summary!$O$16="Yes",(CALC!FA19+Summary!$O$15)*6*(AX19+AY19+AZ19+BA19)*(1-$BC19),0)),0)</f>
        <v>0</v>
      </c>
      <c r="FI19" s="1126" t="n">
        <f aca="false">IF(MONTH(C19)=5,FI18*(IF(Summary!$E$70="no",(1+(Summary!$E$71*0.8)),1+HLOOKUP(YEAR(C19)-1,CCFMODEL!$I$127:$AF$128,2)*0.8)),+FI18)</f>
        <v>26.67</v>
      </c>
      <c r="FJ19" s="1127" t="n">
        <f aca="false">IF(MONTH(C19)=5,FJ18*(IF(Summary!$E$70="no",(1+(Summary!$E$71*0.8)),1+HLOOKUP(YEAR(CALC!C19)-1,CCFMODEL!$I$127:$AF$128,2)*0.8)),FJ18)</f>
        <v>23.31</v>
      </c>
      <c r="FK19" s="1128" t="n">
        <f aca="false">SUM(FB19:FG19)*FI19+FH19*FJ19</f>
        <v>476405.54325</v>
      </c>
      <c r="FL19" s="1126" t="n">
        <f aca="false">IF(MONTH(C19)=5,FL18*(IF(Summary!$E$70="no",(1+(Summary!$E$71*0.8)),1+HLOOKUP(YEAR(CALC!C19)-1,CCFMODEL!$I$127:$AF$128,2)*0.8)),+FL18)</f>
        <v>56.09</v>
      </c>
      <c r="FM19" s="1127" t="n">
        <f aca="false">IF(MONTH(C19)=5,FM18*(IF(Summary!$E$70="no",(1+(Summary!$E$71*0.8)),1+HLOOKUP(YEAR(CALC!C19)-1,CCFMODEL!$I$127:$AF$128,2)*0.8)),+FM18)</f>
        <v>26.77</v>
      </c>
      <c r="FN19" s="1128" t="n">
        <f aca="false">IF((OR(MONTH(C19)=5,MONTH(C19)=6,MONTH(C19)=7,MONTH(C19)=8,MONTH(C19)=9)),SUM(FB19:FG19)/(1-BC19)*FL19,SUM(FB19:FG19)/(1-BC19)*FM19)</f>
        <v>485473.95</v>
      </c>
      <c r="FO19" s="1129" t="n">
        <f aca="false">FK19+FN19</f>
        <v>961879.49325</v>
      </c>
      <c r="FP19" s="1169" t="n">
        <f aca="false">FB19</f>
        <v>10194.75</v>
      </c>
      <c r="FQ19" s="1129" t="n">
        <f aca="false">FC19</f>
        <v>3058.425</v>
      </c>
      <c r="FR19" s="1129" t="n">
        <f aca="false">FD19</f>
        <v>1773</v>
      </c>
      <c r="FS19" s="1129" t="n">
        <f aca="false">FE19</f>
        <v>531.9</v>
      </c>
      <c r="FT19" s="1129" t="n">
        <f aca="false">FF19</f>
        <v>1773</v>
      </c>
      <c r="FU19" s="1129" t="n">
        <f aca="false">FG19</f>
        <v>531.9</v>
      </c>
      <c r="FV19" s="1170" t="n">
        <f aca="false">FH19</f>
        <v>0</v>
      </c>
      <c r="FW19" s="1115" t="n">
        <f aca="false">IF(ER19&gt;0,MIN(FB19-FP19,BL19),0)</f>
        <v>0</v>
      </c>
      <c r="FX19" s="1115" t="n">
        <f aca="false">IF(ES19&gt;0,MIN(FD19-FR19,BM19),0)</f>
        <v>0</v>
      </c>
      <c r="FY19" s="1115" t="n">
        <f aca="false">IF(ET19&gt;0,MIN(FF19-FT19,BN19),0)</f>
        <v>0</v>
      </c>
      <c r="FZ19" s="1143" t="n">
        <f aca="false">IF(EU19&gt;0,MIN(FH19-FV19,BO19),0)</f>
        <v>0</v>
      </c>
      <c r="GA19" s="1132" t="n">
        <f aca="false">(SUM(FP19:FV19)+SUM(GU19:HB19)/(1-Summary!$O$25))*CY19/1000</f>
        <v>137076.39024651</v>
      </c>
      <c r="GB19" s="1133" t="n">
        <f aca="false">IF($C19&lt;Summary!$M$81,+Summary!$O$81,VLOOKUP(C19,GasTable,19))</f>
        <v>2.045</v>
      </c>
      <c r="GC19" s="1134" t="n">
        <f aca="false">IF(H19&lt;=Summary!$N$84,MIN(GA19,Summary!$O$75*(H19-G19+1)),0)</f>
        <v>137076.39024651</v>
      </c>
      <c r="GD19" s="1135" t="n">
        <f aca="false">IF(Summary!$O$75*(H19-G19+1)*0.8&gt;GC19,1,0)</f>
        <v>0</v>
      </c>
      <c r="GE19" s="1136" t="n">
        <v>0</v>
      </c>
      <c r="GF19" s="1134" t="n">
        <f aca="false">ABS(MIN(0,GC19-$GA19))</f>
        <v>0</v>
      </c>
      <c r="GG19" s="1135" t="n">
        <f aca="false">GF19*(IF(Summary!$O$74=1,VLOOKUP($C19,GasTable,16)+Summary!$O$92+Summary!$O$93,VLOOKUP($C19,GasTable,19)+Summary!$O$92+Summary!$O$93))</f>
        <v>0</v>
      </c>
      <c r="GH19" s="1137" t="n">
        <v>12679</v>
      </c>
      <c r="GI19" s="1138" t="n">
        <v>0</v>
      </c>
      <c r="GJ19" s="1139" t="n">
        <f aca="false">+GB19*GC19+GE19+GG19+GH19-GI19</f>
        <v>293000.218054113</v>
      </c>
      <c r="GK19" s="1115" t="n">
        <f aca="false">SUM(FP19:FV19,GU19:GX19,GY19:HB19)</f>
        <v>17862.975</v>
      </c>
      <c r="GL19" s="1140" t="n">
        <v>0.75356437112</v>
      </c>
      <c r="GM19" s="1141" t="n">
        <f aca="false">IF(GK19&gt;GC19/(CY19/1000),GC19/(CY19/1000),+GK19)*GL19</f>
        <v>13460.9015222073</v>
      </c>
      <c r="GN19" s="1115" t="n">
        <f aca="false">IF(SUM(GU19:HB19)=0,0,IF(Summary!$O$16="Yes",SUM(GX19:HB19),IF(Summary!$O$17="Yes",SUM(GY19:HB19),SUM(GU19:HB19))))</f>
        <v>0</v>
      </c>
      <c r="GO19" s="1142" t="n">
        <v>5.55222627737226</v>
      </c>
      <c r="GP19" s="1143" t="n">
        <f aca="false">GN19*GO19</f>
        <v>0</v>
      </c>
      <c r="GQ19" s="1115"/>
      <c r="GR19" s="1115"/>
      <c r="GS19" s="1115"/>
      <c r="GT19" s="1115"/>
      <c r="GU19" s="1150" t="n">
        <v>0</v>
      </c>
      <c r="GV19" s="1115" t="n">
        <v>0</v>
      </c>
      <c r="GW19" s="1115" t="n">
        <v>0</v>
      </c>
      <c r="GX19" s="1115"/>
      <c r="GY19" s="1151" t="n">
        <v>0</v>
      </c>
      <c r="GZ19" s="1115" t="n">
        <v>0</v>
      </c>
      <c r="HA19" s="1115" t="n">
        <v>0</v>
      </c>
      <c r="HB19" s="1141"/>
      <c r="HC19" s="1115" t="n">
        <v>0</v>
      </c>
      <c r="HD19" s="1115"/>
      <c r="HE19" s="1115" t="n">
        <v>0</v>
      </c>
      <c r="HF19" s="1115" t="n">
        <v>0</v>
      </c>
      <c r="HG19" s="1115"/>
      <c r="HH19" s="1142" t="n">
        <v>0</v>
      </c>
      <c r="HI19" s="1115" t="n">
        <v>0</v>
      </c>
      <c r="HJ19" s="1150" t="n">
        <f aca="false">MAX(FB19-FP19-FW19,0)</f>
        <v>0</v>
      </c>
      <c r="HK19" s="1115" t="n">
        <f aca="false">MAX(FD19-FR19-FX19,0)</f>
        <v>0</v>
      </c>
      <c r="HL19" s="1115" t="n">
        <f aca="false">MAX(FF19-FT19-FY19,0)</f>
        <v>0</v>
      </c>
      <c r="HM19" s="1141" t="n">
        <f aca="false">MAX(FH19-FV19-FZ19,0)</f>
        <v>0</v>
      </c>
      <c r="HN19" s="1115" t="n">
        <f aca="false">SUM(HJ19:HM19)</f>
        <v>0</v>
      </c>
      <c r="HO19" s="1142" t="n">
        <f aca="false">IF(ISERROR(+HP19/HN19),0,+HP19/HN19)</f>
        <v>0</v>
      </c>
      <c r="HP19" s="1143" t="n">
        <f aca="false">(HJ19*CE19+HK19*CF19+HL19*CG19+HM19*CH19)</f>
        <v>0</v>
      </c>
      <c r="HQ19" s="1146" t="n">
        <v>2001</v>
      </c>
      <c r="HR19" s="1150" t="e">
        <f aca="false">SUMIF($D$17:$D$292,HQ19,$FB$17:$FB$292)+SUMIF($D$17:$D$292,HQ19,$FC$17:$FC$292)+SUMIF($D$17:$D$292,HQ19,$FD$17:$FD$292)+SUMIF($D$17:$D$292,HQ19,$FE$17:$FE$292)+SUMIF($D$17:$D$292,HQ19,$FF$17:$FF$292)+SUMIF($D$17:$D$292,HQ19,$FG$17:$FG$292)+SUMIF($D$17:$D$292,HQ19,$FH$17:$FH$292)</f>
        <v>#VALUE!</v>
      </c>
      <c r="HS19" s="1110" t="e">
        <f aca="false">IF(HT19=0,0,HT19/HR19)</f>
        <v>#VALUE!</v>
      </c>
      <c r="HT19" s="1141" t="e">
        <f aca="false">SUMIF($D$17:$D$292,HQ19,$FO$17:$FO$292)</f>
        <v>#VALUE!</v>
      </c>
      <c r="HU19" s="1151" t="n">
        <v>126216.41265</v>
      </c>
      <c r="HV19" s="1142" t="n">
        <v>59.8233409909264</v>
      </c>
      <c r="HW19" s="1115" t="n">
        <v>7550687.49261242</v>
      </c>
      <c r="HX19" s="1171" t="n">
        <v>0</v>
      </c>
      <c r="HY19" s="1143" t="e">
        <f aca="false">HT19+HW19+HX19</f>
        <v>#VALUE!</v>
      </c>
      <c r="HZ19" s="1150" t="n">
        <v>2575689.50354968</v>
      </c>
      <c r="IA19" s="1142" t="n">
        <v>-2.6665848742915</v>
      </c>
      <c r="IB19" s="1141" t="n">
        <v>-6868294.67103697</v>
      </c>
      <c r="IC19" s="1151" t="n">
        <v>329756.81265</v>
      </c>
      <c r="ID19" s="1142" t="e">
        <f aca="false">IF(IE19=0,0,IE19/IC19)</f>
        <v>#VALUE!</v>
      </c>
      <c r="IE19" s="1141" t="e">
        <f aca="false">-SUMIF($D$17:$D$292,HQ19,$GM$17:$GM$292)</f>
        <v>#VALUE!</v>
      </c>
      <c r="IF19" s="1115" t="n">
        <f aca="false">SUMIF($D$17:$D$292,HQ19,$GN$17:$GN$292)</f>
        <v>130545.1035</v>
      </c>
      <c r="IG19" s="1142" t="n">
        <f aca="false">IF(IH19=0,0,IH19/IF19)</f>
        <v>-5.529165982388</v>
      </c>
      <c r="IH19" s="1141" t="n">
        <v>-721805.545439521</v>
      </c>
      <c r="II19" s="1115" t="e">
        <f aca="false">SUMIF($D$17:$D$292,HQ19,$HN$17:$HN$292)</f>
        <v>#VALUE!</v>
      </c>
      <c r="IJ19" s="1142" t="e">
        <f aca="false">IF(IK19=0,0,IK19/II19)</f>
        <v>#VALUE!</v>
      </c>
      <c r="IK19" s="1115" t="e">
        <f aca="false">-SUMIF($D$17:$D$292,HQ19,$HP$17:$HP$292)</f>
        <v>#VALUE!</v>
      </c>
      <c r="IL19" s="1152" t="e">
        <f aca="false">HY19+IB19+IE19+IH19</f>
        <v>#VALUE!</v>
      </c>
      <c r="IN19" s="162"/>
      <c r="IO19" s="162"/>
      <c r="IR19" s="844"/>
    </row>
    <row r="20" customFormat="false" ht="13.5" hidden="false" customHeight="false" outlineLevel="0" collapsed="false">
      <c r="A20" s="0" t="str">
        <f aca="false">+D20&amp;"Q"&amp;ROUNDUP(E20/3,0)</f>
        <v>2000Q2</v>
      </c>
      <c r="B20" s="0" t="n">
        <f aca="false">YEAR(C20)</f>
        <v>2000</v>
      </c>
      <c r="C20" s="1153" t="n">
        <f aca="false">EOMONTH(C19,0)+1</f>
        <v>36617</v>
      </c>
      <c r="D20" s="841" t="n">
        <f aca="false">+YEAR(C20)</f>
        <v>2000</v>
      </c>
      <c r="E20" s="807" t="n">
        <f aca="false">MONTH(C20)</f>
        <v>4</v>
      </c>
      <c r="F20" s="1154" t="e">
        <f aca="false">IF(G20="","",Holiday(D20,E20))</f>
        <v>#VALUE!</v>
      </c>
      <c r="G20" s="1155" t="n">
        <v>36617</v>
      </c>
      <c r="H20" s="1156" t="n">
        <v>36646</v>
      </c>
      <c r="I20" s="1157" t="n">
        <f aca="false">I19</f>
        <v>0.0715</v>
      </c>
      <c r="J20" s="1158" t="n">
        <f aca="false">(1+I20/2)^(-2*(DATE(D21,E21,20)-$H$7)/365.25)</f>
        <v>0.970254248241966</v>
      </c>
      <c r="K20" s="1159" t="e">
        <f aca="false">IF(#REF!=1,+#REF!,I20+#REF!/10000)</f>
        <v>#REF!</v>
      </c>
      <c r="L20" s="1158" t="e">
        <f aca="false">(1+K20/2)^(-2*(DATE(D21,E21,20)-$H$7)/365.25)</f>
        <v>#REF!</v>
      </c>
      <c r="M20" s="1082" t="n">
        <v>0</v>
      </c>
      <c r="N20" s="1160" t="n">
        <v>0</v>
      </c>
      <c r="O20" s="1161" t="n">
        <v>0</v>
      </c>
      <c r="P20" s="1162" t="n">
        <v>0</v>
      </c>
      <c r="Q20" s="1160" t="n">
        <v>0</v>
      </c>
      <c r="R20" s="1161" t="n">
        <v>0</v>
      </c>
      <c r="S20" s="1160" t="n">
        <v>0</v>
      </c>
      <c r="T20" s="1160" t="n">
        <v>0</v>
      </c>
      <c r="U20" s="1160" t="n">
        <v>0</v>
      </c>
      <c r="V20" s="1162" t="n">
        <v>0</v>
      </c>
      <c r="W20" s="1160" t="n">
        <v>0</v>
      </c>
      <c r="X20" s="1163" t="n">
        <v>0</v>
      </c>
      <c r="Y20" s="1086" t="n">
        <v>0</v>
      </c>
      <c r="Z20" s="1086" t="n">
        <v>0</v>
      </c>
      <c r="AA20" s="1087" t="n">
        <v>0</v>
      </c>
      <c r="AB20" s="1086" t="n">
        <v>0</v>
      </c>
      <c r="AC20" s="1086" t="n">
        <v>0</v>
      </c>
      <c r="AD20" s="1087" t="n">
        <v>0</v>
      </c>
      <c r="AE20" s="1086" t="n">
        <v>0</v>
      </c>
      <c r="AF20" s="1086" t="n">
        <v>0</v>
      </c>
      <c r="AG20" s="1087" t="n">
        <v>0</v>
      </c>
      <c r="AH20" s="1086" t="n">
        <v>0</v>
      </c>
      <c r="AI20" s="1086" t="n">
        <v>0</v>
      </c>
      <c r="AJ20" s="1087" t="n">
        <v>0</v>
      </c>
      <c r="AK20" s="1086" t="n">
        <v>0</v>
      </c>
      <c r="AL20" s="1086" t="n">
        <v>0</v>
      </c>
      <c r="AM20" s="1087" t="n">
        <v>0</v>
      </c>
      <c r="AN20" s="1086" t="n">
        <v>0</v>
      </c>
      <c r="AO20" s="1086" t="n">
        <v>0</v>
      </c>
      <c r="AP20" s="1087" t="n">
        <v>0</v>
      </c>
      <c r="AQ20" s="1086" t="n">
        <v>0</v>
      </c>
      <c r="AR20" s="1086" t="n">
        <v>0</v>
      </c>
      <c r="AS20" s="1087" t="n">
        <v>0</v>
      </c>
      <c r="AT20" s="1086" t="n">
        <v>0</v>
      </c>
      <c r="AU20" s="1086" t="n">
        <v>0</v>
      </c>
      <c r="AV20" s="1086" t="n">
        <v>0</v>
      </c>
      <c r="AW20" s="1172" t="n">
        <v>0</v>
      </c>
      <c r="AX20" s="807" t="n">
        <f aca="false">BB20-SUM(AY20:BA20)</f>
        <v>20</v>
      </c>
      <c r="AY20" s="807" t="n">
        <f aca="false">IF(AND($E20=MONTH(Summary!$E$24),$D20=YEAR(Summary!$E$24)),Summary!$E$25,1)*IF(G20="",0,INT((H20-MOD(H20,7)-G20)/7)+1-IF(BA20,IF(WEEKDAY(F20)=7,1,0),0))</f>
        <v>5</v>
      </c>
      <c r="AZ20" s="807" t="n">
        <f aca="false">IF(AND($E20=MONTH(Summary!$E$24),$D20=YEAR(Summary!$E$24)),Summary!$E$25,1)*IF(G20="",0,INT((H20-MOD(H20-1,7)-G20)/7)+1-IF(BA20,IF(WEEKDAY(F20)=1,1,0),0))</f>
        <v>5</v>
      </c>
      <c r="BA20" s="807" t="n">
        <v>0</v>
      </c>
      <c r="BB20" s="807" t="n">
        <f aca="false">IF(AND($E20=MONTH(Summary!$E$24),$D20=YEAR(Summary!$E$24)),Summary!$E$25,1)*IF(G20="",0,H20-G20+1)</f>
        <v>30</v>
      </c>
      <c r="BC20" s="1089" t="n">
        <f aca="false">Summary!$E$19</f>
        <v>0.015</v>
      </c>
      <c r="BD20" s="1090" t="n">
        <v>14184</v>
      </c>
      <c r="BE20" s="1091" t="n">
        <v>3546</v>
      </c>
      <c r="BF20" s="1091" t="n">
        <v>3546</v>
      </c>
      <c r="BG20" s="842"/>
      <c r="BH20" s="1092" t="n">
        <v>1</v>
      </c>
      <c r="BI20" s="1092" t="n">
        <v>1</v>
      </c>
      <c r="BJ20" s="1092" t="n">
        <v>1</v>
      </c>
      <c r="BK20" s="1092" t="n">
        <v>1</v>
      </c>
      <c r="BL20" s="1093" t="n">
        <v>2836.8</v>
      </c>
      <c r="BM20" s="1091" t="n">
        <v>709.2</v>
      </c>
      <c r="BN20" s="1091" t="n">
        <v>709.2</v>
      </c>
      <c r="BO20" s="842"/>
      <c r="BP20" s="1092" t="n">
        <v>1</v>
      </c>
      <c r="BQ20" s="1094" t="n">
        <v>1</v>
      </c>
      <c r="BR20" s="1094" t="n">
        <v>1</v>
      </c>
      <c r="BS20" s="1095" t="n">
        <v>1</v>
      </c>
      <c r="BT20" s="1093" t="n">
        <f aca="false">SUM(BD20:BF20)</f>
        <v>21276</v>
      </c>
      <c r="BU20" s="1098" t="n">
        <f aca="false">SUM(BD20:BG20)</f>
        <v>21276</v>
      </c>
      <c r="BV20" s="1090" t="n">
        <f aca="false">SUM(BL20:BN20)</f>
        <v>4255.2</v>
      </c>
      <c r="BW20" s="1098" t="n">
        <f aca="false">SUM(BL20:BO20)</f>
        <v>4255.2</v>
      </c>
      <c r="BX20" s="852" t="n">
        <v>0.295687885010267</v>
      </c>
      <c r="BY20" s="1099" t="n">
        <v>0</v>
      </c>
      <c r="BZ20" s="852" t="n">
        <v>0</v>
      </c>
      <c r="CA20" s="852" t="n">
        <v>0</v>
      </c>
      <c r="CB20" s="852" t="n">
        <v>0</v>
      </c>
      <c r="CC20" s="852" t="n">
        <v>0</v>
      </c>
      <c r="CD20" s="852" t="n">
        <v>0</v>
      </c>
      <c r="CE20" s="1100" t="n">
        <v>0</v>
      </c>
      <c r="CF20" s="852" t="n">
        <v>0</v>
      </c>
      <c r="CG20" s="852" t="n">
        <v>0</v>
      </c>
      <c r="CH20" s="852" t="n">
        <v>0</v>
      </c>
      <c r="CI20" s="852" t="n">
        <v>0</v>
      </c>
      <c r="CJ20" s="1101" t="n">
        <v>0</v>
      </c>
      <c r="CK20" s="852" t="n">
        <v>0</v>
      </c>
      <c r="CL20" s="852" t="n">
        <v>0</v>
      </c>
      <c r="CM20" s="852" t="n">
        <v>0</v>
      </c>
      <c r="CN20" s="852" t="n">
        <v>0</v>
      </c>
      <c r="CO20" s="852" t="n">
        <v>0</v>
      </c>
      <c r="CP20" s="852" t="n">
        <v>0</v>
      </c>
      <c r="CQ20" s="1102" t="n">
        <v>0</v>
      </c>
      <c r="CR20" s="1103" t="n">
        <v>0</v>
      </c>
      <c r="CS20" s="1103" t="n">
        <v>0</v>
      </c>
      <c r="CT20" s="1103" t="n">
        <v>0</v>
      </c>
      <c r="CU20" s="1103" t="n">
        <v>0</v>
      </c>
      <c r="CV20" s="1103" t="n">
        <v>0</v>
      </c>
      <c r="CW20" s="1103" t="n">
        <v>0</v>
      </c>
      <c r="CX20" s="1104" t="n">
        <v>0</v>
      </c>
      <c r="CY20" s="1105" t="n">
        <v>7675.72592</v>
      </c>
      <c r="CZ20" s="1099" t="n">
        <v>0</v>
      </c>
      <c r="DA20" s="852" t="n">
        <v>0</v>
      </c>
      <c r="DB20" s="852" t="n">
        <v>0</v>
      </c>
      <c r="DC20" s="852" t="n">
        <v>0</v>
      </c>
      <c r="DD20" s="852" t="n">
        <v>0</v>
      </c>
      <c r="DE20" s="1113" t="n">
        <v>0</v>
      </c>
      <c r="DF20" s="1109" t="n">
        <v>0</v>
      </c>
      <c r="DG20" s="1110" t="n">
        <v>0</v>
      </c>
      <c r="DH20" s="1111" t="n">
        <v>0</v>
      </c>
      <c r="DI20" s="1112" t="n">
        <v>0</v>
      </c>
      <c r="DJ20" s="1112" t="n">
        <v>0</v>
      </c>
      <c r="DK20" s="1112" t="n">
        <v>0</v>
      </c>
      <c r="DL20" s="1113" t="n">
        <v>0</v>
      </c>
      <c r="DM20" s="1114" t="n">
        <v>0</v>
      </c>
      <c r="DN20" s="1114" t="n">
        <v>0</v>
      </c>
      <c r="DO20" s="1114" t="n">
        <v>0</v>
      </c>
      <c r="DP20" s="1114" t="n">
        <v>0</v>
      </c>
      <c r="DQ20" s="1114" t="n">
        <v>0</v>
      </c>
      <c r="DR20" s="1109" t="n">
        <v>0</v>
      </c>
      <c r="DS20" s="852" t="n">
        <v>0</v>
      </c>
      <c r="DT20" s="852" t="n">
        <v>0</v>
      </c>
      <c r="DU20" s="852" t="n">
        <v>0</v>
      </c>
      <c r="DV20" s="852" t="n">
        <v>0</v>
      </c>
      <c r="DW20" s="852" t="n">
        <v>0</v>
      </c>
      <c r="DX20" s="852" t="n">
        <v>0</v>
      </c>
      <c r="DY20" s="852" t="n">
        <v>0</v>
      </c>
      <c r="DZ20" s="852" t="n">
        <v>0</v>
      </c>
      <c r="EA20" s="852" t="n">
        <v>0</v>
      </c>
      <c r="EB20" s="1113" t="n">
        <v>0</v>
      </c>
      <c r="EC20" s="1115" t="n">
        <f aca="false">DS20*BD20</f>
        <v>0</v>
      </c>
      <c r="ED20" s="1115" t="n">
        <f aca="false">DT20*BE20</f>
        <v>0</v>
      </c>
      <c r="EE20" s="1115" t="n">
        <f aca="false">DU20*BF20</f>
        <v>0</v>
      </c>
      <c r="EF20" s="1115" t="n">
        <f aca="false">DV20*BG20</f>
        <v>0</v>
      </c>
      <c r="EG20" s="1115" t="n">
        <f aca="false">DS20*BD20+DT20*BE20+DU20*BF20+DV20*BG20</f>
        <v>0</v>
      </c>
      <c r="EH20" s="1116" t="n">
        <v>0</v>
      </c>
      <c r="EI20" s="1117" t="n">
        <v>0</v>
      </c>
      <c r="EJ20" s="1117" t="n">
        <v>0</v>
      </c>
      <c r="EK20" s="1117" t="n">
        <v>0</v>
      </c>
      <c r="EL20" s="1118" t="n">
        <f aca="false">IF(C20&gt;=Summary!$E$26,MAX(0,SUM(EH20:EK20)),0)</f>
        <v>0</v>
      </c>
      <c r="EM20" s="1115" t="n">
        <f aca="false">IF(C20&gt;=Summary!$E$26,DX20*BL20,0)</f>
        <v>0</v>
      </c>
      <c r="EN20" s="1115" t="n">
        <f aca="false">IF(C20&gt;=Summary!$E$26,DY20*BM20,0)</f>
        <v>0</v>
      </c>
      <c r="EO20" s="1115" t="n">
        <f aca="false">IF(C20&gt;=Summary!$E$26,DZ20*BN20,0)</f>
        <v>0</v>
      </c>
      <c r="EP20" s="1115" t="n">
        <f aca="false">IF(C20&gt;=Summary!$E$26,EA20*BO20,0)</f>
        <v>0</v>
      </c>
      <c r="EQ20" s="1115" t="n">
        <f aca="false">IF(C20&gt;=Summary!$E$26,DX20*BL20+DY20*BM20+DZ20*BN20+EA20*BO20,0)</f>
        <v>0</v>
      </c>
      <c r="ER20" s="1119" t="n">
        <v>0</v>
      </c>
      <c r="ES20" s="1120" t="n">
        <v>0</v>
      </c>
      <c r="ET20" s="1120" t="n">
        <v>0</v>
      </c>
      <c r="EU20" s="1120" t="n">
        <v>0</v>
      </c>
      <c r="EV20" s="1143" t="n">
        <f aca="false">IF(C20&gt;=Summary!$E$26,MAX(0,SUM(ER20:EU20)),0)</f>
        <v>0</v>
      </c>
      <c r="EW20" s="1115"/>
      <c r="EX20" s="1165" t="n">
        <f aca="false">(EQ20-EV20)+IF(EZ20="Yes",(EG20-EL20),0)</f>
        <v>0</v>
      </c>
      <c r="EY20" s="1166" t="str">
        <f aca="false">IF(EX20,EX20/EQ20,"")</f>
        <v/>
      </c>
      <c r="EZ20" s="1122" t="s">
        <v>37</v>
      </c>
      <c r="FA20" s="1096" t="n">
        <f aca="false">FA19</f>
        <v>45</v>
      </c>
      <c r="FB20" s="1167" t="n">
        <f aca="false">IF(EZ20="No",IF((OR(MONTH(C20)=5,MONTH(C20)=6,MONTH(C20)=7,MONTH(C20)=8,MONTH(C20)=9)),$FA20*12*AX20*(1-$BC20),$FA20*10*AX20*(1-$BC20)),0)</f>
        <v>8865</v>
      </c>
      <c r="FC20" s="1129" t="n">
        <f aca="false">IF(EZ20="No",IF((OR(MONTH(C20)=5,MONTH(C20)=6,MONTH(C20)=7,MONTH(C20)=8,MONTH(C20)=9)),0,$FA20*3*AX20*(1-$BC20)),0)</f>
        <v>2659.5</v>
      </c>
      <c r="FD20" s="1129" t="n">
        <f aca="false">IF(EZ20="No",IF((OR(MONTH(C20)=5,MONTH(C20)=6,MONTH(C20)=7,MONTH(C20)=8,MONTH(C20)=9)),$FA20*12*AY20*(1-$BC20),$FA20*10*AY20*(1-$BC20)),0)</f>
        <v>2216.25</v>
      </c>
      <c r="FE20" s="1129" t="n">
        <f aca="false">IF(EZ20="No",IF((OR(MONTH(C20)=5,MONTH(C20)=6,MONTH(C20)=7,MONTH(C20)=8,MONTH(C20)=9)),0,$FA20*3*AY20*(1-$BC20)),0)</f>
        <v>664.875</v>
      </c>
      <c r="FF20" s="1129" t="n">
        <f aca="false">IF(EZ20="No",IF((OR(MONTH(C20)=5,MONTH(C20)=6,MONTH(C20)=7,MONTH(C20)=8,MONTH(C20)=9)),$FA20*12*(AZ20+BA20)*(1-$BC20),$FA20*10*(AZ20+BA20)*(1-$BC20)),0)</f>
        <v>2216.25</v>
      </c>
      <c r="FG20" s="1129" t="n">
        <f aca="false">IF(EZ20="No",IF((OR(MONTH(C20)=5,MONTH(C20)=6,MONTH(C20)=7,MONTH(C20)=8,MONTH(C20)=9)),0,$FA20*3*(AZ20+BA20)*(1-$BC20)),0)</f>
        <v>664.875</v>
      </c>
      <c r="FH20" s="1168" t="n">
        <f aca="false">IF(EZ20="No",IF((OR(MONTH(C20)=5,MONTH(C20)=6,MONTH(C20)=7,MONTH(C20)=8,MONTH(C20)=9)),Summary!$O$15*12*(AX20+AY20+AZ20+BA20)*(1-$BC20),Summary!$O$15*13*(AX20+AY20+AZ20+BA20)*(1-$BC20)+IF(Summary!$O$16="Yes",(CALC!FA20+Summary!$O$15)*6*(AX20+AY20+AZ20+BA20)*(1-$BC20),0)),0)</f>
        <v>0</v>
      </c>
      <c r="FI20" s="1126" t="n">
        <f aca="false">IF(MONTH(C20)=5,FI19*(IF(Summary!$E$70="no",(1+(Summary!$E$71*0.8)),1+HLOOKUP(YEAR(C20)-1,CCFMODEL!$I$127:$AF$128,2)*0.8)),+FI19)</f>
        <v>26.67</v>
      </c>
      <c r="FJ20" s="1127" t="n">
        <f aca="false">IF(MONTH(C20)=5,FJ19*(IF(Summary!$E$70="no",(1+(Summary!$E$71*0.8)),1+HLOOKUP(YEAR(CALC!C20)-1,CCFMODEL!$I$127:$AF$128,2)*0.8)),FJ19)</f>
        <v>23.31</v>
      </c>
      <c r="FK20" s="1128" t="n">
        <f aca="false">SUM(FB20:FG20)*FI20+FH20*FJ20</f>
        <v>461037.6225</v>
      </c>
      <c r="FL20" s="1126" t="n">
        <f aca="false">IF(MONTH(C20)=5,FL19*(IF(Summary!$E$70="no",(1+(Summary!$E$71*0.8)),1+HLOOKUP(YEAR(CALC!C20)-1,CCFMODEL!$I$127:$AF$128,2)*0.8)),+FL19)</f>
        <v>56.09</v>
      </c>
      <c r="FM20" s="1127" t="n">
        <f aca="false">IF(MONTH(C20)=5,FM19*(IF(Summary!$E$70="no",(1+(Summary!$E$71*0.8)),1+HLOOKUP(YEAR(CALC!C20)-1,CCFMODEL!$I$127:$AF$128,2)*0.8)),+FM19)</f>
        <v>26.77</v>
      </c>
      <c r="FN20" s="1128" t="n">
        <f aca="false">IF((OR(MONTH(C20)=5,MONTH(C20)=6,MONTH(C20)=7,MONTH(C20)=8,MONTH(C20)=9)),SUM(FB20:FG20)/(1-BC20)*FL20,SUM(FB20:FG20)/(1-BC20)*FM20)</f>
        <v>469813.5</v>
      </c>
      <c r="FO20" s="1129" t="n">
        <f aca="false">FK20+FN20</f>
        <v>930851.1225</v>
      </c>
      <c r="FP20" s="1169" t="n">
        <f aca="false">FB20</f>
        <v>8865</v>
      </c>
      <c r="FQ20" s="1129" t="n">
        <f aca="false">FC20</f>
        <v>2659.5</v>
      </c>
      <c r="FR20" s="1129" t="n">
        <f aca="false">FD20</f>
        <v>2216.25</v>
      </c>
      <c r="FS20" s="1129" t="n">
        <f aca="false">FE20</f>
        <v>664.875</v>
      </c>
      <c r="FT20" s="1129" t="n">
        <f aca="false">FF20</f>
        <v>2216.25</v>
      </c>
      <c r="FU20" s="1129" t="n">
        <f aca="false">FG20</f>
        <v>664.875</v>
      </c>
      <c r="FV20" s="1170" t="n">
        <f aca="false">FH20</f>
        <v>0</v>
      </c>
      <c r="FW20" s="1115" t="n">
        <f aca="false">IF(ER20&gt;0,MIN(FB20-FP20,BL20),0)</f>
        <v>0</v>
      </c>
      <c r="FX20" s="1115" t="n">
        <f aca="false">IF(ES20&gt;0,MIN(FD20-FR20,BM20),0)</f>
        <v>0</v>
      </c>
      <c r="FY20" s="1115" t="n">
        <f aca="false">IF(ET20&gt;0,MIN(FF20-FT20,BN20),0)</f>
        <v>0</v>
      </c>
      <c r="FZ20" s="1143" t="n">
        <f aca="false">IF(EU20&gt;0,MIN(FH20-FV20,BO20),0)</f>
        <v>0</v>
      </c>
      <c r="GA20" s="1132" t="n">
        <f aca="false">(SUM(FP20:FV20)+SUM(GU20:HB20)/(1-Summary!$O$25))*CY20/1000</f>
        <v>132688.35504756</v>
      </c>
      <c r="GB20" s="1133" t="n">
        <f aca="false">IF($C20&lt;Summary!$M$81,+Summary!$O$81,VLOOKUP(C20,GasTable,19))</f>
        <v>2.045</v>
      </c>
      <c r="GC20" s="1134" t="n">
        <f aca="false">IF(H20&lt;=Summary!$N$84,MIN(GA20,Summary!$O$75*(H20-G20+1)),0)</f>
        <v>132688.35504756</v>
      </c>
      <c r="GD20" s="1135" t="n">
        <f aca="false">IF(Summary!$O$75*(H20-G20+1)*0.8&gt;GC20,1,0)</f>
        <v>0</v>
      </c>
      <c r="GE20" s="1136" t="n">
        <v>0</v>
      </c>
      <c r="GF20" s="1134" t="n">
        <f aca="false">ABS(MIN(0,GC20-$GA20))</f>
        <v>0</v>
      </c>
      <c r="GG20" s="1135" t="n">
        <f aca="false">GF20*(IF(Summary!$O$74=1,VLOOKUP($C20,GasTable,16)+Summary!$O$92+Summary!$O$93,VLOOKUP($C20,GasTable,19)+Summary!$O$92+Summary!$O$93))</f>
        <v>0</v>
      </c>
      <c r="GH20" s="1137" t="n">
        <v>12270</v>
      </c>
      <c r="GI20" s="1138" t="n">
        <v>0</v>
      </c>
      <c r="GJ20" s="1139" t="n">
        <f aca="false">+GB20*GC20+GE20+GG20+GH20-GI20</f>
        <v>283617.68607226</v>
      </c>
      <c r="GK20" s="1115" t="n">
        <f aca="false">SUM(FP20:FV20,GU20:GX20,GY20:HB20)</f>
        <v>17286.75</v>
      </c>
      <c r="GL20" s="1140" t="n">
        <v>0.753756285344</v>
      </c>
      <c r="GM20" s="1141" t="n">
        <f aca="false">IF(GK20&gt;GC20/(CY20/1000),GC20/(CY20/1000),+GK20)*GL20</f>
        <v>13029.9964656704</v>
      </c>
      <c r="GN20" s="1115" t="n">
        <f aca="false">IF(SUM(GU20:HB20)=0,0,IF(Summary!$O$16="Yes",SUM(GX20:HB20),IF(Summary!$O$17="Yes",SUM(GY20:HB20),SUM(GU20:HB20))))</f>
        <v>0</v>
      </c>
      <c r="GO20" s="1142" t="n">
        <v>5.55222627737226</v>
      </c>
      <c r="GP20" s="1143" t="n">
        <f aca="false">GN20*GO20</f>
        <v>0</v>
      </c>
      <c r="GQ20" s="1115"/>
      <c r="GR20" s="1115"/>
      <c r="GS20" s="1115"/>
      <c r="GT20" s="1115"/>
      <c r="GU20" s="1150" t="n">
        <v>0</v>
      </c>
      <c r="GV20" s="1115" t="n">
        <v>0</v>
      </c>
      <c r="GW20" s="1115" t="n">
        <v>0</v>
      </c>
      <c r="GX20" s="1115"/>
      <c r="GY20" s="1151" t="n">
        <v>0</v>
      </c>
      <c r="GZ20" s="1115" t="n">
        <v>0</v>
      </c>
      <c r="HA20" s="1115" t="n">
        <v>0</v>
      </c>
      <c r="HB20" s="1141"/>
      <c r="HC20" s="1115" t="n">
        <v>0</v>
      </c>
      <c r="HD20" s="1115"/>
      <c r="HE20" s="1115" t="n">
        <v>0</v>
      </c>
      <c r="HF20" s="1115" t="n">
        <v>0</v>
      </c>
      <c r="HG20" s="1115"/>
      <c r="HH20" s="1142" t="n">
        <v>0</v>
      </c>
      <c r="HI20" s="1115" t="n">
        <v>0</v>
      </c>
      <c r="HJ20" s="1150" t="n">
        <f aca="false">MAX(FB20-FP20-FW20,0)</f>
        <v>0</v>
      </c>
      <c r="HK20" s="1115" t="n">
        <f aca="false">MAX(FD20-FR20-FX20,0)</f>
        <v>0</v>
      </c>
      <c r="HL20" s="1115" t="n">
        <f aca="false">MAX(FF20-FT20-FY20,0)</f>
        <v>0</v>
      </c>
      <c r="HM20" s="1141" t="n">
        <f aca="false">MAX(FH20-FV20-FZ20,0)</f>
        <v>0</v>
      </c>
      <c r="HN20" s="1115" t="n">
        <f aca="false">SUM(HJ20:HM20)</f>
        <v>0</v>
      </c>
      <c r="HO20" s="1142" t="n">
        <f aca="false">IF(ISERROR(+HP20/HN20),0,+HP20/HN20)</f>
        <v>0</v>
      </c>
      <c r="HP20" s="1143" t="n">
        <f aca="false">(HJ20*CE20+HK20*CF20+HL20*CG20+HM20*CH20)</f>
        <v>0</v>
      </c>
      <c r="HQ20" s="1146" t="n">
        <v>2002</v>
      </c>
      <c r="HR20" s="1150" t="e">
        <f aca="false">SUMIF($D$17:$D$292,HQ20,$FB$17:$FB$292)+SUMIF($D$17:$D$292,HQ20,$FC$17:$FC$292)+SUMIF($D$17:$D$292,HQ20,$FD$17:$FD$292)+SUMIF($D$17:$D$292,HQ20,$FE$17:$FE$292)+SUMIF($D$17:$D$292,HQ20,$FF$17:$FF$292)+SUMIF($D$17:$D$292,HQ20,$FG$17:$FG$292)+SUMIF($D$17:$D$292,HQ20,$FH$17:$FH$292)</f>
        <v>#VALUE!</v>
      </c>
      <c r="HS20" s="1110" t="e">
        <f aca="false">IF(HT20=0,0,HT20/HR20)</f>
        <v>#VALUE!</v>
      </c>
      <c r="HT20" s="1141" t="e">
        <f aca="false">SUMIF($D$17:$D$292,HQ20,$FO$17:$FO$292)</f>
        <v>#VALUE!</v>
      </c>
      <c r="HU20" s="1151" t="n">
        <v>119680.60275</v>
      </c>
      <c r="HV20" s="1142" t="n">
        <v>47.6992015688297</v>
      </c>
      <c r="HW20" s="1115" t="n">
        <v>5708669.19445129</v>
      </c>
      <c r="HX20" s="1171" t="n">
        <v>0</v>
      </c>
      <c r="HY20" s="1143" t="e">
        <f aca="false">HT20+HW20+HX20</f>
        <v>#VALUE!</v>
      </c>
      <c r="HZ20" s="1150" t="n">
        <v>2531231.65883256</v>
      </c>
      <c r="IA20" s="1142" t="n">
        <v>-2.59664408432636</v>
      </c>
      <c r="IB20" s="1141" t="n">
        <v>-6572707.71296716</v>
      </c>
      <c r="IC20" s="1151" t="n">
        <v>323221.00275</v>
      </c>
      <c r="ID20" s="1142" t="e">
        <f aca="false">IF(IE20=0,0,IE20/IC20)</f>
        <v>#VALUE!</v>
      </c>
      <c r="IE20" s="1141" t="e">
        <f aca="false">-SUMIF($D$17:$D$292,HQ20,$GM$17:$GM$292)</f>
        <v>#VALUE!</v>
      </c>
      <c r="IF20" s="1115" t="n">
        <f aca="false">SUMIF($D$17:$D$292,HQ20,$GN$17:$GN$292)</f>
        <v>125412.2685</v>
      </c>
      <c r="IG20" s="1142" t="n">
        <f aca="false">IF(IH20=0,0,IH20/IF20)</f>
        <v>-5.6211522809497</v>
      </c>
      <c r="IH20" s="1141" t="n">
        <v>-704961.459137851</v>
      </c>
      <c r="II20" s="1115" t="e">
        <f aca="false">SUMIF($D$17:$D$292,HQ20,$HN$17:$HN$292)</f>
        <v>#VALUE!</v>
      </c>
      <c r="IJ20" s="1142" t="e">
        <f aca="false">IF(IK20=0,0,IK20/II20)</f>
        <v>#VALUE!</v>
      </c>
      <c r="IK20" s="1115" t="e">
        <f aca="false">-SUMIF($D$17:$D$292,HQ20,$HP$17:$HP$292)</f>
        <v>#VALUE!</v>
      </c>
      <c r="IL20" s="1152" t="e">
        <f aca="false">HY20+IB20+IE20+IH20</f>
        <v>#VALUE!</v>
      </c>
      <c r="IN20" s="222"/>
      <c r="IO20" s="162"/>
      <c r="IR20" s="844"/>
    </row>
    <row r="21" customFormat="false" ht="13.5" hidden="false" customHeight="false" outlineLevel="0" collapsed="false">
      <c r="A21" s="0" t="str">
        <f aca="false">+D21&amp;"Q"&amp;ROUNDUP(E21/3,0)</f>
        <v>2000Q2</v>
      </c>
      <c r="B21" s="0" t="n">
        <f aca="false">YEAR(C21)</f>
        <v>2000</v>
      </c>
      <c r="C21" s="1153" t="n">
        <f aca="false">EOMONTH(C20,0)+1</f>
        <v>36647</v>
      </c>
      <c r="D21" s="841" t="n">
        <f aca="false">+YEAR(C21)</f>
        <v>2000</v>
      </c>
      <c r="E21" s="807" t="n">
        <f aca="false">MONTH(C21)</f>
        <v>5</v>
      </c>
      <c r="F21" s="1154" t="e">
        <f aca="false">IF(G21="","",Holiday(D21,E21))</f>
        <v>#VALUE!</v>
      </c>
      <c r="G21" s="1155" t="n">
        <v>36647</v>
      </c>
      <c r="H21" s="1156" t="n">
        <v>36677</v>
      </c>
      <c r="I21" s="1157" t="n">
        <f aca="false">I20</f>
        <v>0.0715</v>
      </c>
      <c r="J21" s="1158" t="n">
        <f aca="false">(1+I21/2)^(-2*(DATE(D22,E22,20)-$H$7)/365.25)</f>
        <v>0.964486328995794</v>
      </c>
      <c r="K21" s="1159" t="e">
        <f aca="false">IF(#REF!=1,+#REF!,I21+#REF!/10000)</f>
        <v>#REF!</v>
      </c>
      <c r="L21" s="1158" t="e">
        <f aca="false">(1+K21/2)^(-2*(DATE(D22,E22,20)-$H$7)/365.25)</f>
        <v>#REF!</v>
      </c>
      <c r="M21" s="1082" t="n">
        <v>0</v>
      </c>
      <c r="N21" s="1160" t="n">
        <v>0</v>
      </c>
      <c r="O21" s="1161" t="n">
        <v>0</v>
      </c>
      <c r="P21" s="1162" t="n">
        <v>0</v>
      </c>
      <c r="Q21" s="1160" t="n">
        <v>0</v>
      </c>
      <c r="R21" s="1161" t="n">
        <v>0</v>
      </c>
      <c r="S21" s="1160" t="n">
        <v>0</v>
      </c>
      <c r="T21" s="1160" t="n">
        <v>0</v>
      </c>
      <c r="U21" s="1160" t="n">
        <v>0</v>
      </c>
      <c r="V21" s="1162" t="n">
        <v>0</v>
      </c>
      <c r="W21" s="1160" t="n">
        <v>0</v>
      </c>
      <c r="X21" s="1163" t="n">
        <v>0</v>
      </c>
      <c r="Y21" s="1086" t="n">
        <v>0</v>
      </c>
      <c r="Z21" s="1086" t="n">
        <v>0</v>
      </c>
      <c r="AA21" s="1087" t="n">
        <v>0</v>
      </c>
      <c r="AB21" s="1086" t="n">
        <v>0</v>
      </c>
      <c r="AC21" s="1086" t="n">
        <v>0</v>
      </c>
      <c r="AD21" s="1087" t="n">
        <v>0</v>
      </c>
      <c r="AE21" s="1086" t="n">
        <v>0</v>
      </c>
      <c r="AF21" s="1086" t="n">
        <v>0</v>
      </c>
      <c r="AG21" s="1087" t="n">
        <v>0</v>
      </c>
      <c r="AH21" s="1086" t="n">
        <v>0</v>
      </c>
      <c r="AI21" s="1086" t="n">
        <v>0</v>
      </c>
      <c r="AJ21" s="1087" t="n">
        <v>0</v>
      </c>
      <c r="AK21" s="1086" t="n">
        <v>0</v>
      </c>
      <c r="AL21" s="1086" t="n">
        <v>0</v>
      </c>
      <c r="AM21" s="1087" t="n">
        <v>0</v>
      </c>
      <c r="AN21" s="1086" t="n">
        <v>0</v>
      </c>
      <c r="AO21" s="1086" t="n">
        <v>0</v>
      </c>
      <c r="AP21" s="1087" t="n">
        <v>0</v>
      </c>
      <c r="AQ21" s="1086" t="n">
        <v>0</v>
      </c>
      <c r="AR21" s="1086" t="n">
        <v>0</v>
      </c>
      <c r="AS21" s="1087" t="n">
        <v>0</v>
      </c>
      <c r="AT21" s="1086" t="n">
        <v>0</v>
      </c>
      <c r="AU21" s="1086" t="n">
        <v>0</v>
      </c>
      <c r="AV21" s="1086" t="n">
        <v>0</v>
      </c>
      <c r="AW21" s="1172" t="n">
        <v>0</v>
      </c>
      <c r="AX21" s="807" t="e">
        <f aca="false">BB21-SUM(AY21:BA21)</f>
        <v>#VALUE!</v>
      </c>
      <c r="AY21" s="807" t="e">
        <f aca="false">IF(AND($E21=MONTH(Summary!$E$24),$D21=YEAR(Summary!$E$24)),Summary!$E$25,1)*IF(G21="",0,INT((H21-MOD(H21,7)-G21)/7)+1-IF(BA21,IF(WEEKDAY(F21)=7,1,0),0))</f>
        <v>#VALUE!</v>
      </c>
      <c r="AZ21" s="807" t="e">
        <f aca="false">IF(AND($E21=MONTH(Summary!$E$24),$D21=YEAR(Summary!$E$24)),Summary!$E$25,1)*IF(G21="",0,INT((H21-MOD(H21-1,7)-G21)/7)+1-IF(BA21,IF(WEEKDAY(F21)=1,1,0),0))</f>
        <v>#VALUE!</v>
      </c>
      <c r="BA21" s="807" t="n">
        <v>1</v>
      </c>
      <c r="BB21" s="807" t="n">
        <f aca="false">IF(AND($E21=MONTH(Summary!$E$24),$D21=YEAR(Summary!$E$24)),Summary!$E$25,1)*IF(G21="",0,H21-G21+1)</f>
        <v>31</v>
      </c>
      <c r="BC21" s="1089" t="n">
        <f aca="false">Summary!$E$19</f>
        <v>0.015</v>
      </c>
      <c r="BD21" s="1090" t="n">
        <v>15602.4</v>
      </c>
      <c r="BE21" s="1091" t="n">
        <v>2836.8</v>
      </c>
      <c r="BF21" s="1091" t="n">
        <v>3546</v>
      </c>
      <c r="BG21" s="842"/>
      <c r="BH21" s="1092" t="n">
        <v>1</v>
      </c>
      <c r="BI21" s="1092" t="n">
        <v>1</v>
      </c>
      <c r="BJ21" s="1092" t="n">
        <v>1</v>
      </c>
      <c r="BK21" s="1092" t="n">
        <v>1</v>
      </c>
      <c r="BL21" s="1093" t="n">
        <v>3120.48</v>
      </c>
      <c r="BM21" s="1091" t="n">
        <v>567.36</v>
      </c>
      <c r="BN21" s="1091" t="n">
        <v>709.2</v>
      </c>
      <c r="BO21" s="842"/>
      <c r="BP21" s="1092" t="n">
        <v>1</v>
      </c>
      <c r="BQ21" s="1094" t="n">
        <v>1</v>
      </c>
      <c r="BR21" s="1094" t="n">
        <v>1</v>
      </c>
      <c r="BS21" s="1095" t="n">
        <v>1</v>
      </c>
      <c r="BT21" s="1093" t="n">
        <f aca="false">SUM(BD21:BF21)</f>
        <v>21985.2</v>
      </c>
      <c r="BU21" s="1098" t="n">
        <f aca="false">SUM(BD21:BG21)</f>
        <v>21985.2</v>
      </c>
      <c r="BV21" s="1090" t="n">
        <f aca="false">SUM(BL21:BN21)</f>
        <v>4397.04</v>
      </c>
      <c r="BW21" s="1098" t="n">
        <f aca="false">SUM(BL21:BO21)</f>
        <v>4397.04</v>
      </c>
      <c r="BX21" s="852" t="n">
        <v>0.37782340862423</v>
      </c>
      <c r="BY21" s="1099" t="n">
        <v>0</v>
      </c>
      <c r="BZ21" s="852" t="n">
        <v>0</v>
      </c>
      <c r="CA21" s="852" t="n">
        <v>0</v>
      </c>
      <c r="CB21" s="852" t="n">
        <v>0</v>
      </c>
      <c r="CC21" s="852" t="n">
        <v>0</v>
      </c>
      <c r="CD21" s="852" t="n">
        <v>0</v>
      </c>
      <c r="CE21" s="1100" t="n">
        <v>0</v>
      </c>
      <c r="CF21" s="852" t="n">
        <v>0</v>
      </c>
      <c r="CG21" s="852" t="n">
        <v>0</v>
      </c>
      <c r="CH21" s="852" t="n">
        <v>0</v>
      </c>
      <c r="CI21" s="852" t="n">
        <v>0</v>
      </c>
      <c r="CJ21" s="1101" t="n">
        <v>0</v>
      </c>
      <c r="CK21" s="852" t="n">
        <v>0</v>
      </c>
      <c r="CL21" s="852" t="n">
        <v>0</v>
      </c>
      <c r="CM21" s="852" t="n">
        <v>0</v>
      </c>
      <c r="CN21" s="852" t="n">
        <v>0</v>
      </c>
      <c r="CO21" s="852" t="n">
        <v>0</v>
      </c>
      <c r="CP21" s="852" t="n">
        <v>0</v>
      </c>
      <c r="CQ21" s="1102" t="n">
        <v>0</v>
      </c>
      <c r="CR21" s="1103" t="n">
        <v>0</v>
      </c>
      <c r="CS21" s="1103" t="n">
        <v>0</v>
      </c>
      <c r="CT21" s="1103" t="n">
        <v>0</v>
      </c>
      <c r="CU21" s="1103" t="n">
        <v>0</v>
      </c>
      <c r="CV21" s="1103" t="n">
        <v>0</v>
      </c>
      <c r="CW21" s="1103" t="n">
        <v>0</v>
      </c>
      <c r="CX21" s="1104" t="n">
        <v>0</v>
      </c>
      <c r="CY21" s="1105" t="n">
        <v>7677.68024</v>
      </c>
      <c r="CZ21" s="1099" t="n">
        <v>0</v>
      </c>
      <c r="DA21" s="852" t="n">
        <v>0</v>
      </c>
      <c r="DB21" s="852" t="n">
        <v>0</v>
      </c>
      <c r="DC21" s="852" t="n">
        <v>0</v>
      </c>
      <c r="DD21" s="852" t="n">
        <v>0</v>
      </c>
      <c r="DE21" s="1113" t="n">
        <v>0</v>
      </c>
      <c r="DF21" s="1109" t="n">
        <v>0</v>
      </c>
      <c r="DG21" s="1110" t="n">
        <v>0</v>
      </c>
      <c r="DH21" s="1111" t="n">
        <v>0</v>
      </c>
      <c r="DI21" s="1112" t="n">
        <v>0</v>
      </c>
      <c r="DJ21" s="1112" t="n">
        <v>0</v>
      </c>
      <c r="DK21" s="1112" t="n">
        <v>0</v>
      </c>
      <c r="DL21" s="1113" t="n">
        <v>0</v>
      </c>
      <c r="DM21" s="1114" t="n">
        <v>0</v>
      </c>
      <c r="DN21" s="1114" t="n">
        <v>0</v>
      </c>
      <c r="DO21" s="1114" t="n">
        <v>0</v>
      </c>
      <c r="DP21" s="1114" t="n">
        <v>0</v>
      </c>
      <c r="DQ21" s="1114" t="n">
        <v>0</v>
      </c>
      <c r="DR21" s="1109" t="n">
        <v>0</v>
      </c>
      <c r="DS21" s="852" t="n">
        <v>0</v>
      </c>
      <c r="DT21" s="852" t="n">
        <v>0</v>
      </c>
      <c r="DU21" s="852" t="n">
        <v>0</v>
      </c>
      <c r="DV21" s="852" t="n">
        <v>0</v>
      </c>
      <c r="DW21" s="852" t="n">
        <v>0</v>
      </c>
      <c r="DX21" s="852" t="n">
        <v>0</v>
      </c>
      <c r="DY21" s="852" t="n">
        <v>0</v>
      </c>
      <c r="DZ21" s="852" t="n">
        <v>0</v>
      </c>
      <c r="EA21" s="852" t="n">
        <v>0</v>
      </c>
      <c r="EB21" s="1113" t="n">
        <v>0</v>
      </c>
      <c r="EC21" s="1115" t="n">
        <f aca="false">DS21*BD21</f>
        <v>0</v>
      </c>
      <c r="ED21" s="1115" t="n">
        <f aca="false">DT21*BE21</f>
        <v>0</v>
      </c>
      <c r="EE21" s="1115" t="n">
        <f aca="false">DU21*BF21</f>
        <v>0</v>
      </c>
      <c r="EF21" s="1115" t="n">
        <f aca="false">DV21*BG21</f>
        <v>0</v>
      </c>
      <c r="EG21" s="1115" t="n">
        <f aca="false">DS21*BD21+DT21*BE21+DU21*BF21+DV21*BG21</f>
        <v>0</v>
      </c>
      <c r="EH21" s="1116" t="n">
        <v>0</v>
      </c>
      <c r="EI21" s="1117" t="n">
        <v>0</v>
      </c>
      <c r="EJ21" s="1117" t="n">
        <v>0</v>
      </c>
      <c r="EK21" s="1117" t="n">
        <v>0</v>
      </c>
      <c r="EL21" s="1118" t="n">
        <f aca="false">IF(C21&gt;=Summary!$E$26,MAX(0,SUM(EH21:EK21)),0)</f>
        <v>0</v>
      </c>
      <c r="EM21" s="1115" t="n">
        <f aca="false">IF(C21&gt;=Summary!$E$26,DX21*BL21,0)</f>
        <v>0</v>
      </c>
      <c r="EN21" s="1115" t="n">
        <f aca="false">IF(C21&gt;=Summary!$E$26,DY21*BM21,0)</f>
        <v>0</v>
      </c>
      <c r="EO21" s="1115" t="n">
        <f aca="false">IF(C21&gt;=Summary!$E$26,DZ21*BN21,0)</f>
        <v>0</v>
      </c>
      <c r="EP21" s="1115" t="n">
        <f aca="false">IF(C21&gt;=Summary!$E$26,EA21*BO21,0)</f>
        <v>0</v>
      </c>
      <c r="EQ21" s="1115" t="n">
        <f aca="false">IF(C21&gt;=Summary!$E$26,DX21*BL21+DY21*BM21+DZ21*BN21+EA21*BO21,0)</f>
        <v>0</v>
      </c>
      <c r="ER21" s="1119" t="n">
        <v>0</v>
      </c>
      <c r="ES21" s="1120" t="n">
        <v>0</v>
      </c>
      <c r="ET21" s="1120" t="n">
        <v>0</v>
      </c>
      <c r="EU21" s="1120" t="n">
        <v>0</v>
      </c>
      <c r="EV21" s="1143" t="n">
        <f aca="false">IF(C21&gt;=Summary!$E$26,MAX(0,SUM(ER21:EU21)),0)</f>
        <v>0</v>
      </c>
      <c r="EW21" s="1115"/>
      <c r="EX21" s="1165" t="n">
        <f aca="false">(EQ21-EV21)+IF(EZ21="Yes",(EG21-EL21),0)</f>
        <v>0</v>
      </c>
      <c r="EY21" s="1166" t="str">
        <f aca="false">IF(EX21,EX21/EQ21,"")</f>
        <v/>
      </c>
      <c r="EZ21" s="1122" t="s">
        <v>37</v>
      </c>
      <c r="FA21" s="1096" t="n">
        <f aca="false">FA20</f>
        <v>45</v>
      </c>
      <c r="FB21" s="1167" t="e">
        <f aca="false">IF(EZ21="No",IF((OR(MONTH(C21)=5,MONTH(C21)=6,MONTH(C21)=7,MONTH(C21)=8,MONTH(C21)=9)),$FA21*12*AX21*(1-$BC21),$FA21*10*AX21*(1-$BC21)),0)</f>
        <v>#VALUE!</v>
      </c>
      <c r="FC21" s="1129" t="n">
        <f aca="false">IF(EZ21="No",IF((OR(MONTH(C21)=5,MONTH(C21)=6,MONTH(C21)=7,MONTH(C21)=8,MONTH(C21)=9)),0,$FA21*3*AX21*(1-$BC21)),0)</f>
        <v>0</v>
      </c>
      <c r="FD21" s="1129" t="e">
        <f aca="false">IF(EZ21="No",IF((OR(MONTH(C21)=5,MONTH(C21)=6,MONTH(C21)=7,MONTH(C21)=8,MONTH(C21)=9)),$FA21*12*AY21*(1-$BC21),$FA21*10*AY21*(1-$BC21)),0)</f>
        <v>#VALUE!</v>
      </c>
      <c r="FE21" s="1129" t="n">
        <f aca="false">IF(EZ21="No",IF((OR(MONTH(C21)=5,MONTH(C21)=6,MONTH(C21)=7,MONTH(C21)=8,MONTH(C21)=9)),0,$FA21*3*AY21*(1-$BC21)),0)</f>
        <v>0</v>
      </c>
      <c r="FF21" s="1129" t="e">
        <f aca="false">IF(EZ21="No",IF((OR(MONTH(C21)=5,MONTH(C21)=6,MONTH(C21)=7,MONTH(C21)=8,MONTH(C21)=9)),$FA21*12*(AZ21+BA21)*(1-$BC21),$FA21*10*(AZ21+BA21)*(1-$BC21)),0)</f>
        <v>#VALUE!</v>
      </c>
      <c r="FG21" s="1129" t="n">
        <f aca="false">IF(EZ21="No",IF((OR(MONTH(C21)=5,MONTH(C21)=6,MONTH(C21)=7,MONTH(C21)=8,MONTH(C21)=9)),0,$FA21*3*(AZ21+BA21)*(1-$BC21)),0)</f>
        <v>0</v>
      </c>
      <c r="FH21" s="1170" t="e">
        <f aca="false">IF(EZ21="No",IF((OR(MONTH(C21)=5,MONTH(C21)=6,MONTH(C21)=7,MONTH(C21)=8,MONTH(C21)=9)),Summary!$O$15*12*(AX21+AY21+AZ21+BA21)*(1-$BC21),Summary!$O$15*13*(AX21+AY21+AZ21+BA21)*(1-$BC21)+IF(Summary!$O$16="Yes",(CALC!FA21+Summary!$O$15)*6*(AX21+AY21+AZ21+BA21)*(1-$BC21),0)),0)</f>
        <v>#VALUE!</v>
      </c>
      <c r="FI21" s="1126" t="n">
        <f aca="false">IF(MONTH(C21)=5,FI20*(IF(Summary!$E$70="no",(1+(Summary!$E$71*0.8)),1+HLOOKUP(YEAR(C21)-1,CCFMODEL!$I$127:$AF$128,2)*0.8)),+FI20)</f>
        <v>27.2410364963504</v>
      </c>
      <c r="FJ21" s="1127" t="n">
        <f aca="false">IF(MONTH(C21)=5,FJ20*(IF(Summary!$E$70="no",(1+(Summary!$E$71*0.8)),1+HLOOKUP(YEAR(CALC!C21)-1,CCFMODEL!$I$127:$AF$128,2)*0.8)),FJ20)</f>
        <v>23.8090948905109</v>
      </c>
      <c r="FK21" s="1128" t="e">
        <f aca="false">SUM(FB21:FG21)*FI21+FH21*FJ21</f>
        <v>#VALUE!</v>
      </c>
      <c r="FL21" s="1126" t="n">
        <f aca="false">IF(MONTH(C21)=5,FL20*(IF(Summary!$E$70="no",(1+(Summary!$E$71*0.8)),1+HLOOKUP(YEAR(CALC!C21)-1,CCFMODEL!$I$127:$AF$128,2)*0.8)),+FL20)</f>
        <v>57.2909537712895</v>
      </c>
      <c r="FM21" s="1127" t="n">
        <f aca="false">IF(MONTH(C21)=5,FM20*(IF(Summary!$E$70="no",(1+(Summary!$E$71*0.8)),1+HLOOKUP(YEAR(CALC!C21)-1,CCFMODEL!$I$127:$AF$128,2)*0.8)),+FM20)</f>
        <v>27.3431776155718</v>
      </c>
      <c r="FN21" s="1128" t="e">
        <f aca="false">IF((OR(MONTH(C21)=5,MONTH(C21)=6,MONTH(C21)=7,MONTH(C21)=8,MONTH(C21)=9)),SUM(FB21:FG21)/(1-BC21)*FL21,SUM(FB21:FG21)/(1-BC21)*FM21)</f>
        <v>#VALUE!</v>
      </c>
      <c r="FO21" s="1129" t="e">
        <f aca="false">FK21+FN21</f>
        <v>#VALUE!</v>
      </c>
      <c r="FP21" s="1169" t="e">
        <f aca="false">FB21</f>
        <v>#VALUE!</v>
      </c>
      <c r="FQ21" s="1129" t="n">
        <f aca="false">FC21</f>
        <v>0</v>
      </c>
      <c r="FR21" s="1129" t="e">
        <f aca="false">FD21</f>
        <v>#VALUE!</v>
      </c>
      <c r="FS21" s="1129" t="n">
        <f aca="false">FE21</f>
        <v>0</v>
      </c>
      <c r="FT21" s="1129" t="e">
        <f aca="false">FF21</f>
        <v>#VALUE!</v>
      </c>
      <c r="FU21" s="1129" t="n">
        <f aca="false">FG21</f>
        <v>0</v>
      </c>
      <c r="FV21" s="1170" t="e">
        <f aca="false">FH21</f>
        <v>#VALUE!</v>
      </c>
      <c r="FW21" s="1115" t="n">
        <f aca="false">IF(ER21&gt;0,MIN(FB21-FP21,BL21),0)</f>
        <v>0</v>
      </c>
      <c r="FX21" s="1115" t="n">
        <f aca="false">IF(ES21&gt;0,MIN(FD21-FR21,BM21),0)</f>
        <v>0</v>
      </c>
      <c r="FY21" s="1115" t="n">
        <f aca="false">IF(ET21&gt;0,MIN(FF21-FT21,BN21),0)</f>
        <v>0</v>
      </c>
      <c r="FZ21" s="1143" t="n">
        <f aca="false">IF(EU21&gt;0,MIN(FH21-FV21,BO21),0)</f>
        <v>0</v>
      </c>
      <c r="GA21" s="1132" t="e">
        <f aca="false">(SUM(FP21:FV21)+SUM(GU21:HB21)/(1-Summary!$O$25))*CY21/1000</f>
        <v>#VALUE!</v>
      </c>
      <c r="GB21" s="1133" t="n">
        <f aca="false">IF($C21&lt;Summary!$M$81,+Summary!$O$81,VLOOKUP(C21,GasTable,19))</f>
        <v>2.4</v>
      </c>
      <c r="GC21" s="1134" t="e">
        <f aca="false">IF(H21&lt;=Summary!$N$84,MIN(GA21,Summary!$O$75*(H21-G21+1)),0)</f>
        <v>#VALUE!</v>
      </c>
      <c r="GD21" s="1135" t="e">
        <f aca="false">IF(Summary!$O$75*(H21-G21+1)*0.8&gt;GC21,1,0)</f>
        <v>#VALUE!</v>
      </c>
      <c r="GE21" s="1136" t="n">
        <v>0</v>
      </c>
      <c r="GF21" s="1134" t="e">
        <f aca="false">ABS(MIN(0,GC21-$GA21))</f>
        <v>#VALUE!</v>
      </c>
      <c r="GG21" s="1135" t="e">
        <f aca="false">GF21*(IF(Summary!$O$74=1,VLOOKUP($C21,GasTable,16)+Summary!$O$92+Summary!$O$93,VLOOKUP($C21,GasTable,19)+Summary!$O$92+Summary!$O$93))</f>
        <v>#VALUE!</v>
      </c>
      <c r="GH21" s="1137" t="n">
        <v>24713.2</v>
      </c>
      <c r="GI21" s="1138" t="n">
        <v>0</v>
      </c>
      <c r="GJ21" s="1139" t="e">
        <f aca="false">+GB21*GC21+GE21+GG21+GH21-GI21</f>
        <v>#VALUE!</v>
      </c>
      <c r="GK21" s="1115" t="e">
        <f aca="false">SUM(FP21:FV21,GU21:GX21,GY21:HB21)</f>
        <v>#VALUE!</v>
      </c>
      <c r="GL21" s="1140" t="n">
        <v>0.753948199568</v>
      </c>
      <c r="GM21" s="1141" t="e">
        <f aca="false">IF(GK21&gt;GC21/(CY21/1000),GC21/(CY21/1000),+GK21)*GL21</f>
        <v>#VALUE!</v>
      </c>
      <c r="GN21" s="1115" t="n">
        <f aca="false">IF(SUM(GU21:HB21)=0,0,IF(Summary!$O$16="Yes",SUM(GX21:HB21),IF(Summary!$O$17="Yes",SUM(GY21:HB21),SUM(GU21:HB21))))</f>
        <v>0</v>
      </c>
      <c r="GO21" s="1142" t="n">
        <v>5.55222627737226</v>
      </c>
      <c r="GP21" s="1143" t="n">
        <f aca="false">GN21*GO21</f>
        <v>0</v>
      </c>
      <c r="GQ21" s="1115"/>
      <c r="GR21" s="1115"/>
      <c r="GS21" s="1115"/>
      <c r="GT21" s="1115"/>
      <c r="GU21" s="1150" t="n">
        <v>0</v>
      </c>
      <c r="GV21" s="1115" t="n">
        <v>0</v>
      </c>
      <c r="GW21" s="1115" t="n">
        <v>0</v>
      </c>
      <c r="GX21" s="1115"/>
      <c r="GY21" s="1151" t="n">
        <v>0</v>
      </c>
      <c r="GZ21" s="1115" t="n">
        <v>0</v>
      </c>
      <c r="HA21" s="1115" t="n">
        <v>0</v>
      </c>
      <c r="HB21" s="1141"/>
      <c r="HC21" s="1115" t="n">
        <v>0</v>
      </c>
      <c r="HD21" s="1115"/>
      <c r="HE21" s="1115" t="n">
        <v>0</v>
      </c>
      <c r="HF21" s="1115" t="n">
        <v>0</v>
      </c>
      <c r="HG21" s="1115"/>
      <c r="HH21" s="1142" t="n">
        <v>0</v>
      </c>
      <c r="HI21" s="1115" t="n">
        <v>0</v>
      </c>
      <c r="HJ21" s="1150" t="e">
        <f aca="false">MAX(FB21-FP21-FW21,0)</f>
        <v>#VALUE!</v>
      </c>
      <c r="HK21" s="1115" t="e">
        <f aca="false">MAX(FD21-FR21-FX21,0)</f>
        <v>#VALUE!</v>
      </c>
      <c r="HL21" s="1115" t="e">
        <f aca="false">MAX(FF21-FT21-FY21,0)</f>
        <v>#VALUE!</v>
      </c>
      <c r="HM21" s="1141" t="e">
        <f aca="false">MAX(FH21-FV21-FZ21,0)</f>
        <v>#VALUE!</v>
      </c>
      <c r="HN21" s="1115" t="e">
        <f aca="false">SUM(HJ21:HM21)</f>
        <v>#VALUE!</v>
      </c>
      <c r="HO21" s="1142" t="n">
        <f aca="false">IF(ISERROR(+HP21/HN21),0,+HP21/HN21)</f>
        <v>0</v>
      </c>
      <c r="HP21" s="1143" t="e">
        <f aca="false">(HJ21*CE21+HK21*CF21+HL21*CG21+HM21*CH21)</f>
        <v>#VALUE!</v>
      </c>
      <c r="HQ21" s="1146" t="n">
        <v>2003</v>
      </c>
      <c r="HR21" s="1150" t="e">
        <f aca="false">SUMIF($D$17:$D$292,HQ21,$FB$17:$FB$292)+SUMIF($D$17:$D$292,HQ21,$FC$17:$FC$292)+SUMIF($D$17:$D$292,HQ21,$FD$17:$FD$292)+SUMIF($D$17:$D$292,HQ21,$FE$17:$FE$292)+SUMIF($D$17:$D$292,HQ21,$FF$17:$FF$292)+SUMIF($D$17:$D$292,HQ21,$FG$17:$FG$292)+SUMIF($D$17:$D$292,HQ21,$FH$17:$FH$292)</f>
        <v>#VALUE!</v>
      </c>
      <c r="HS21" s="1110" t="e">
        <f aca="false">IF(HT21=0,0,HT21/HR21)</f>
        <v>#VALUE!</v>
      </c>
      <c r="HT21" s="1141" t="e">
        <f aca="false">SUMIF($D$17:$D$292,HQ21,$FO$17:$FO$292)</f>
        <v>#VALUE!</v>
      </c>
      <c r="HU21" s="1151" t="n">
        <v>113025.0267</v>
      </c>
      <c r="HV21" s="1142" t="n">
        <v>40.0636989771749</v>
      </c>
      <c r="HW21" s="1115" t="n">
        <v>4528200.64659595</v>
      </c>
      <c r="HX21" s="1171" t="n">
        <v>0</v>
      </c>
      <c r="HY21" s="1143" t="e">
        <f aca="false">HT21+HW21+HX21</f>
        <v>#VALUE!</v>
      </c>
      <c r="HZ21" s="1150" t="n">
        <v>2484273.70862957</v>
      </c>
      <c r="IA21" s="1142" t="n">
        <v>-2.57946581623726</v>
      </c>
      <c r="IB21" s="1141" t="n">
        <v>-6408099.10958694</v>
      </c>
      <c r="IC21" s="1151" t="n">
        <v>316565.4267</v>
      </c>
      <c r="ID21" s="1142" t="e">
        <f aca="false">IF(IE21=0,0,IE21/IC21)</f>
        <v>#VALUE!</v>
      </c>
      <c r="IE21" s="1141" t="e">
        <f aca="false">-SUMIF($D$17:$D$292,HQ21,$GM$17:$GM$292)</f>
        <v>#VALUE!</v>
      </c>
      <c r="IF21" s="1115" t="n">
        <f aca="false">SUMIF($D$17:$D$292,HQ21,$GN$17:$GN$292)</f>
        <v>125412.2685</v>
      </c>
      <c r="IG21" s="1142" t="n">
        <f aca="false">IF(IH21=0,0,IH21/IF21)</f>
        <v>-2.34334720271576</v>
      </c>
      <c r="IH21" s="1141" t="n">
        <v>-293884.488575712</v>
      </c>
      <c r="II21" s="1115" t="e">
        <f aca="false">SUMIF($D$17:$D$292,HQ21,$HN$17:$HN$292)</f>
        <v>#VALUE!</v>
      </c>
      <c r="IJ21" s="1142" t="e">
        <f aca="false">IF(IK21=0,0,IK21/II21)</f>
        <v>#VALUE!</v>
      </c>
      <c r="IK21" s="1115" t="e">
        <f aca="false">-SUMIF($D$17:$D$292,HQ21,$HP$17:$HP$292)</f>
        <v>#VALUE!</v>
      </c>
      <c r="IL21" s="1152" t="e">
        <f aca="false">HY21+IB21+IE21+IH21</f>
        <v>#VALUE!</v>
      </c>
      <c r="IN21" s="222"/>
      <c r="IO21" s="162"/>
      <c r="IR21" s="844"/>
    </row>
    <row r="22" customFormat="false" ht="13.5" hidden="false" customHeight="false" outlineLevel="0" collapsed="false">
      <c r="A22" s="0" t="str">
        <f aca="false">+D22&amp;"Q"&amp;ROUNDUP(E22/3,0)</f>
        <v>2000Q2</v>
      </c>
      <c r="B22" s="0" t="n">
        <f aca="false">YEAR(C22)</f>
        <v>2000</v>
      </c>
      <c r="C22" s="1153" t="n">
        <f aca="false">EOMONTH(C21,0)+1</f>
        <v>36678</v>
      </c>
      <c r="D22" s="841" t="n">
        <f aca="false">+YEAR(C22)</f>
        <v>2000</v>
      </c>
      <c r="E22" s="807" t="n">
        <f aca="false">MONTH(C22)</f>
        <v>6</v>
      </c>
      <c r="F22" s="1154" t="e">
        <f aca="false">IF(G22="","",Holiday(D22,E22))</f>
        <v>#VALUE!</v>
      </c>
      <c r="G22" s="1155" t="n">
        <v>36678</v>
      </c>
      <c r="H22" s="1156" t="n">
        <v>36707</v>
      </c>
      <c r="I22" s="1157" t="n">
        <f aca="false">I21</f>
        <v>0.0715</v>
      </c>
      <c r="J22" s="1158" t="n">
        <f aca="false">(1+I22/2)^(-2*(DATE(D23,E23,20)-$H$7)/365.25)</f>
        <v>0.958937121293422</v>
      </c>
      <c r="K22" s="1159" t="e">
        <f aca="false">IF(#REF!=1,+#REF!,I22+#REF!/10000)</f>
        <v>#REF!</v>
      </c>
      <c r="L22" s="1158" t="e">
        <f aca="false">(1+K22/2)^(-2*(DATE(D23,E23,20)-$H$7)/365.25)</f>
        <v>#REF!</v>
      </c>
      <c r="M22" s="1082" t="n">
        <v>0</v>
      </c>
      <c r="N22" s="1160" t="n">
        <v>0</v>
      </c>
      <c r="O22" s="1161" t="n">
        <v>0</v>
      </c>
      <c r="P22" s="1162" t="n">
        <v>0</v>
      </c>
      <c r="Q22" s="1160" t="n">
        <v>0</v>
      </c>
      <c r="R22" s="1161" t="n">
        <v>0</v>
      </c>
      <c r="S22" s="1160" t="n">
        <v>0</v>
      </c>
      <c r="T22" s="1160" t="n">
        <v>0</v>
      </c>
      <c r="U22" s="1160" t="n">
        <v>0</v>
      </c>
      <c r="V22" s="1162" t="n">
        <v>0</v>
      </c>
      <c r="W22" s="1160" t="n">
        <v>0</v>
      </c>
      <c r="X22" s="1163" t="n">
        <v>0</v>
      </c>
      <c r="Y22" s="1086" t="n">
        <v>0</v>
      </c>
      <c r="Z22" s="1086" t="n">
        <v>0</v>
      </c>
      <c r="AA22" s="1087" t="n">
        <v>0</v>
      </c>
      <c r="AB22" s="1086" t="n">
        <v>0</v>
      </c>
      <c r="AC22" s="1086" t="n">
        <v>0</v>
      </c>
      <c r="AD22" s="1087" t="n">
        <v>0</v>
      </c>
      <c r="AE22" s="1086" t="n">
        <v>0</v>
      </c>
      <c r="AF22" s="1086" t="n">
        <v>0</v>
      </c>
      <c r="AG22" s="1087" t="n">
        <v>0</v>
      </c>
      <c r="AH22" s="1086" t="n">
        <v>0</v>
      </c>
      <c r="AI22" s="1086" t="n">
        <v>0</v>
      </c>
      <c r="AJ22" s="1087" t="n">
        <v>0</v>
      </c>
      <c r="AK22" s="1086" t="n">
        <v>0</v>
      </c>
      <c r="AL22" s="1086" t="n">
        <v>0</v>
      </c>
      <c r="AM22" s="1087" t="n">
        <v>0</v>
      </c>
      <c r="AN22" s="1086" t="n">
        <v>0</v>
      </c>
      <c r="AO22" s="1086" t="n">
        <v>0</v>
      </c>
      <c r="AP22" s="1087" t="n">
        <v>0</v>
      </c>
      <c r="AQ22" s="1086" t="n">
        <v>0</v>
      </c>
      <c r="AR22" s="1086" t="n">
        <v>0</v>
      </c>
      <c r="AS22" s="1087" t="n">
        <v>0</v>
      </c>
      <c r="AT22" s="1086" t="n">
        <v>0</v>
      </c>
      <c r="AU22" s="1086" t="n">
        <v>0</v>
      </c>
      <c r="AV22" s="1086" t="n">
        <v>0</v>
      </c>
      <c r="AW22" s="1172" t="n">
        <v>0</v>
      </c>
      <c r="AX22" s="807" t="n">
        <f aca="false">BB22-SUM(AY22:BA22)</f>
        <v>22</v>
      </c>
      <c r="AY22" s="807" t="n">
        <f aca="false">IF(AND($E22=MONTH(Summary!$E$24),$D22=YEAR(Summary!$E$24)),Summary!$E$25,1)*IF(G22="",0,INT((H22-MOD(H22,7)-G22)/7)+1-IF(BA22,IF(WEEKDAY(F22)=7,1,0),0))</f>
        <v>4</v>
      </c>
      <c r="AZ22" s="807" t="n">
        <f aca="false">IF(AND($E22=MONTH(Summary!$E$24),$D22=YEAR(Summary!$E$24)),Summary!$E$25,1)*IF(G22="",0,INT((H22-MOD(H22-1,7)-G22)/7)+1-IF(BA22,IF(WEEKDAY(F22)=1,1,0),0))</f>
        <v>4</v>
      </c>
      <c r="BA22" s="807" t="n">
        <v>0</v>
      </c>
      <c r="BB22" s="807" t="n">
        <f aca="false">IF(AND($E22=MONTH(Summary!$E$24),$D22=YEAR(Summary!$E$24)),Summary!$E$25,1)*IF(G22="",0,H22-G22+1)</f>
        <v>30</v>
      </c>
      <c r="BC22" s="1089" t="n">
        <f aca="false">Summary!$E$19</f>
        <v>0.015</v>
      </c>
      <c r="BD22" s="1090" t="n">
        <v>15602.4</v>
      </c>
      <c r="BE22" s="1091" t="n">
        <v>2836.8</v>
      </c>
      <c r="BF22" s="1091" t="n">
        <v>2836.8</v>
      </c>
      <c r="BG22" s="842"/>
      <c r="BH22" s="1092" t="n">
        <v>1</v>
      </c>
      <c r="BI22" s="1092" t="n">
        <v>1</v>
      </c>
      <c r="BJ22" s="1092" t="n">
        <v>1</v>
      </c>
      <c r="BK22" s="1092" t="n">
        <v>1</v>
      </c>
      <c r="BL22" s="1093" t="n">
        <v>3120.48</v>
      </c>
      <c r="BM22" s="1091" t="n">
        <v>567.36</v>
      </c>
      <c r="BN22" s="1091" t="n">
        <v>567.36</v>
      </c>
      <c r="BO22" s="842"/>
      <c r="BP22" s="1092" t="n">
        <v>1</v>
      </c>
      <c r="BQ22" s="1094" t="n">
        <v>1</v>
      </c>
      <c r="BR22" s="1094" t="n">
        <v>1</v>
      </c>
      <c r="BS22" s="1095" t="n">
        <v>1</v>
      </c>
      <c r="BT22" s="1093" t="n">
        <f aca="false">SUM(BD22:BF22)</f>
        <v>21276</v>
      </c>
      <c r="BU22" s="1098" t="n">
        <f aca="false">SUM(BD22:BG22)</f>
        <v>21276</v>
      </c>
      <c r="BV22" s="1090" t="n">
        <f aca="false">SUM(BL22:BN22)</f>
        <v>4255.2</v>
      </c>
      <c r="BW22" s="1098" t="n">
        <f aca="false">SUM(BL22:BO22)</f>
        <v>4255.2</v>
      </c>
      <c r="BX22" s="852" t="n">
        <v>0.462696783025325</v>
      </c>
      <c r="BY22" s="1099" t="n">
        <v>0</v>
      </c>
      <c r="BZ22" s="852" t="n">
        <v>0</v>
      </c>
      <c r="CA22" s="852" t="n">
        <v>0</v>
      </c>
      <c r="CB22" s="852" t="n">
        <v>0</v>
      </c>
      <c r="CC22" s="852" t="n">
        <v>0</v>
      </c>
      <c r="CD22" s="852" t="n">
        <v>0</v>
      </c>
      <c r="CE22" s="1100" t="n">
        <v>0</v>
      </c>
      <c r="CF22" s="852" t="n">
        <v>0</v>
      </c>
      <c r="CG22" s="852" t="n">
        <v>0</v>
      </c>
      <c r="CH22" s="852" t="n">
        <v>0</v>
      </c>
      <c r="CI22" s="852" t="n">
        <v>0</v>
      </c>
      <c r="CJ22" s="1101" t="n">
        <v>0</v>
      </c>
      <c r="CK22" s="852" t="n">
        <v>0</v>
      </c>
      <c r="CL22" s="852" t="n">
        <v>0</v>
      </c>
      <c r="CM22" s="852" t="n">
        <v>0</v>
      </c>
      <c r="CN22" s="852" t="n">
        <v>0</v>
      </c>
      <c r="CO22" s="852" t="n">
        <v>0</v>
      </c>
      <c r="CP22" s="852" t="n">
        <v>0</v>
      </c>
      <c r="CQ22" s="1102" t="n">
        <v>0</v>
      </c>
      <c r="CR22" s="1103" t="n">
        <v>0</v>
      </c>
      <c r="CS22" s="1103" t="n">
        <v>0</v>
      </c>
      <c r="CT22" s="1103" t="n">
        <v>0</v>
      </c>
      <c r="CU22" s="1103" t="n">
        <v>0</v>
      </c>
      <c r="CV22" s="1103" t="n">
        <v>0</v>
      </c>
      <c r="CW22" s="1103" t="n">
        <v>0</v>
      </c>
      <c r="CX22" s="1104" t="n">
        <v>0</v>
      </c>
      <c r="CY22" s="1105" t="n">
        <v>7679.63456</v>
      </c>
      <c r="CZ22" s="1099" t="n">
        <v>0</v>
      </c>
      <c r="DA22" s="852" t="n">
        <v>0</v>
      </c>
      <c r="DB22" s="852" t="n">
        <v>0</v>
      </c>
      <c r="DC22" s="852" t="n">
        <v>0</v>
      </c>
      <c r="DD22" s="852" t="n">
        <v>0</v>
      </c>
      <c r="DE22" s="1113" t="n">
        <v>0</v>
      </c>
      <c r="DF22" s="1109" t="n">
        <v>0</v>
      </c>
      <c r="DG22" s="1110" t="n">
        <v>0</v>
      </c>
      <c r="DH22" s="1111" t="n">
        <v>0</v>
      </c>
      <c r="DI22" s="1112" t="n">
        <v>0</v>
      </c>
      <c r="DJ22" s="1112" t="n">
        <v>0</v>
      </c>
      <c r="DK22" s="1112" t="n">
        <v>0</v>
      </c>
      <c r="DL22" s="1113" t="n">
        <v>0</v>
      </c>
      <c r="DM22" s="1114" t="n">
        <v>0</v>
      </c>
      <c r="DN22" s="1114" t="n">
        <v>0</v>
      </c>
      <c r="DO22" s="1114" t="n">
        <v>0</v>
      </c>
      <c r="DP22" s="1114" t="n">
        <v>0</v>
      </c>
      <c r="DQ22" s="1114" t="n">
        <v>0</v>
      </c>
      <c r="DR22" s="1109" t="n">
        <v>0</v>
      </c>
      <c r="DS22" s="852" t="n">
        <v>0</v>
      </c>
      <c r="DT22" s="852" t="n">
        <v>0</v>
      </c>
      <c r="DU22" s="852" t="n">
        <v>0</v>
      </c>
      <c r="DV22" s="852" t="n">
        <v>0</v>
      </c>
      <c r="DW22" s="852" t="n">
        <v>0</v>
      </c>
      <c r="DX22" s="852" t="n">
        <v>0</v>
      </c>
      <c r="DY22" s="852" t="n">
        <v>0</v>
      </c>
      <c r="DZ22" s="852" t="n">
        <v>0</v>
      </c>
      <c r="EA22" s="852" t="n">
        <v>0</v>
      </c>
      <c r="EB22" s="1113" t="n">
        <v>0</v>
      </c>
      <c r="EC22" s="1115" t="n">
        <f aca="false">DS22*BD22</f>
        <v>0</v>
      </c>
      <c r="ED22" s="1115" t="n">
        <f aca="false">DT22*BE22</f>
        <v>0</v>
      </c>
      <c r="EE22" s="1115" t="n">
        <f aca="false">DU22*BF22</f>
        <v>0</v>
      </c>
      <c r="EF22" s="1115" t="n">
        <f aca="false">DV22*BG22</f>
        <v>0</v>
      </c>
      <c r="EG22" s="1115" t="n">
        <f aca="false">DS22*BD22+DT22*BE22+DU22*BF22+DV22*BG22</f>
        <v>0</v>
      </c>
      <c r="EH22" s="1116" t="n">
        <v>0</v>
      </c>
      <c r="EI22" s="1117" t="n">
        <v>0</v>
      </c>
      <c r="EJ22" s="1117" t="n">
        <v>0</v>
      </c>
      <c r="EK22" s="1117" t="n">
        <v>0</v>
      </c>
      <c r="EL22" s="1118" t="n">
        <f aca="false">IF(C22&gt;=Summary!$E$26,MAX(0,SUM(EH22:EK22)),0)</f>
        <v>0</v>
      </c>
      <c r="EM22" s="1115" t="n">
        <f aca="false">IF(C22&gt;=Summary!$E$26,DX22*BL22,0)</f>
        <v>0</v>
      </c>
      <c r="EN22" s="1115" t="n">
        <f aca="false">IF(C22&gt;=Summary!$E$26,DY22*BM22,0)</f>
        <v>0</v>
      </c>
      <c r="EO22" s="1115" t="n">
        <f aca="false">IF(C22&gt;=Summary!$E$26,DZ22*BN22,0)</f>
        <v>0</v>
      </c>
      <c r="EP22" s="1115" t="n">
        <f aca="false">IF(C22&gt;=Summary!$E$26,EA22*BO22,0)</f>
        <v>0</v>
      </c>
      <c r="EQ22" s="1115" t="n">
        <f aca="false">IF(C22&gt;=Summary!$E$26,DX22*BL22+DY22*BM22+DZ22*BN22+EA22*BO22,0)</f>
        <v>0</v>
      </c>
      <c r="ER22" s="1119" t="n">
        <v>0</v>
      </c>
      <c r="ES22" s="1120" t="n">
        <v>0</v>
      </c>
      <c r="ET22" s="1120" t="n">
        <v>0</v>
      </c>
      <c r="EU22" s="1120" t="n">
        <v>0</v>
      </c>
      <c r="EV22" s="1143" t="n">
        <f aca="false">IF(C22&gt;=Summary!$E$26,MAX(0,SUM(ER22:EU22)),0)</f>
        <v>0</v>
      </c>
      <c r="EW22" s="1115"/>
      <c r="EX22" s="1165" t="n">
        <f aca="false">(EQ22-EV22)+IF(EZ22="Yes",(EG22-EL22),0)</f>
        <v>0</v>
      </c>
      <c r="EY22" s="1166" t="str">
        <f aca="false">IF(EX22,EX22/EQ22,"")</f>
        <v/>
      </c>
      <c r="EZ22" s="1122" t="s">
        <v>37</v>
      </c>
      <c r="FA22" s="1096" t="n">
        <f aca="false">FA21</f>
        <v>45</v>
      </c>
      <c r="FB22" s="1167" t="n">
        <f aca="false">IF(EZ22="No",IF((OR(MONTH(C22)=5,MONTH(C22)=6,MONTH(C22)=7,MONTH(C22)=8,MONTH(C22)=9)),$FA22*12*AX22*(1-$BC22),$FA22*10*AX22*(1-$BC22)),0)</f>
        <v>11701.8</v>
      </c>
      <c r="FC22" s="1129" t="n">
        <f aca="false">IF(EZ22="No",IF((OR(MONTH(C22)=5,MONTH(C22)=6,MONTH(C22)=7,MONTH(C22)=8,MONTH(C22)=9)),0,$FA22*3*AX22*(1-$BC22)),0)</f>
        <v>0</v>
      </c>
      <c r="FD22" s="1129" t="n">
        <f aca="false">IF(EZ22="No",IF((OR(MONTH(C22)=5,MONTH(C22)=6,MONTH(C22)=7,MONTH(C22)=8,MONTH(C22)=9)),$FA22*12*AY22*(1-$BC22),$FA22*10*AY22*(1-$BC22)),0)</f>
        <v>2127.6</v>
      </c>
      <c r="FE22" s="1129" t="n">
        <f aca="false">IF(EZ22="No",IF((OR(MONTH(C22)=5,MONTH(C22)=6,MONTH(C22)=7,MONTH(C22)=8,MONTH(C22)=9)),0,$FA22*3*AY22*(1-$BC22)),0)</f>
        <v>0</v>
      </c>
      <c r="FF22" s="1129" t="n">
        <f aca="false">IF(EZ22="No",IF((OR(MONTH(C22)=5,MONTH(C22)=6,MONTH(C22)=7,MONTH(C22)=8,MONTH(C22)=9)),$FA22*12*(AZ22+BA22)*(1-$BC22),$FA22*10*(AZ22+BA22)*(1-$BC22)),0)</f>
        <v>2127.6</v>
      </c>
      <c r="FG22" s="1129" t="n">
        <f aca="false">IF(EZ22="No",IF((OR(MONTH(C22)=5,MONTH(C22)=6,MONTH(C22)=7,MONTH(C22)=8,MONTH(C22)=9)),0,$FA22*3*(AZ22+BA22)*(1-$BC22)),0)</f>
        <v>0</v>
      </c>
      <c r="FH22" s="1170" t="n">
        <f aca="false">IF(EZ22="No",IF((OR(MONTH(C22)=5,MONTH(C22)=6,MONTH(C22)=7,MONTH(C22)=8,MONTH(C22)=9)),Summary!$O$15*12*(AX22+AY22+AZ22+BA22)*(1-$BC22),Summary!$O$15*13*(AX22+AY22+AZ22+BA22)*(1-$BC22)+IF(Summary!$O$16="Yes",(CALC!FA22+Summary!$O$15)*6*(AX22+AY22+AZ22+BA22)*(1-$BC22),0)),0)</f>
        <v>0</v>
      </c>
      <c r="FI22" s="1126" t="n">
        <f aca="false">IF(MONTH(C22)=5,FI21*(IF(Summary!$E$70="no",(1+(Summary!$E$71*0.8)),1+HLOOKUP(YEAR(C22)-1,CCFMODEL!$I$127:$AF$128,2)*0.8)),+FI21)</f>
        <v>27.2410364963504</v>
      </c>
      <c r="FJ22" s="1127" t="n">
        <f aca="false">IF(MONTH(C22)=5,FJ21*(IF(Summary!$E$70="no",(1+(Summary!$E$71*0.8)),1+HLOOKUP(YEAR(CALC!C22)-1,CCFMODEL!$I$127:$AF$128,2)*0.8)),FJ21)</f>
        <v>23.8090948905109</v>
      </c>
      <c r="FK22" s="1128" t="n">
        <f aca="false">SUM(FB22:FG22)*FI22+FH22*FJ22</f>
        <v>434685.219372263</v>
      </c>
      <c r="FL22" s="1126" t="n">
        <f aca="false">IF(MONTH(C22)=5,FL21*(IF(Summary!$E$70="no",(1+(Summary!$E$71*0.8)),1+HLOOKUP(YEAR(CALC!C22)-1,CCFMODEL!$I$127:$AF$128,2)*0.8)),+FL21)</f>
        <v>57.2909537712895</v>
      </c>
      <c r="FM22" s="1127" t="n">
        <f aca="false">IF(MONTH(C22)=5,FM21*(IF(Summary!$E$70="no",(1+(Summary!$E$71*0.8)),1+HLOOKUP(YEAR(CALC!C22)-1,CCFMODEL!$I$127:$AF$128,2)*0.8)),+FM21)</f>
        <v>27.3431776155718</v>
      </c>
      <c r="FN22" s="1128" t="n">
        <f aca="false">IF((OR(MONTH(C22)=5,MONTH(C22)=6,MONTH(C22)=7,MONTH(C22)=8,MONTH(C22)=9)),SUM(FB22:FG22)/(1-BC22)*FL22,SUM(FB22:FG22)/(1-BC22)*FM22)</f>
        <v>928113.451094891</v>
      </c>
      <c r="FO22" s="1129" t="n">
        <f aca="false">FK22+FN22</f>
        <v>1362798.67046715</v>
      </c>
      <c r="FP22" s="1169" t="n">
        <f aca="false">FB22</f>
        <v>11701.8</v>
      </c>
      <c r="FQ22" s="1129" t="n">
        <f aca="false">FC22</f>
        <v>0</v>
      </c>
      <c r="FR22" s="1129" t="n">
        <f aca="false">FD22</f>
        <v>2127.6</v>
      </c>
      <c r="FS22" s="1129" t="n">
        <f aca="false">FE22</f>
        <v>0</v>
      </c>
      <c r="FT22" s="1129" t="n">
        <f aca="false">FF22</f>
        <v>2127.6</v>
      </c>
      <c r="FU22" s="1129" t="n">
        <f aca="false">FG22</f>
        <v>0</v>
      </c>
      <c r="FV22" s="1170" t="n">
        <f aca="false">FH22</f>
        <v>0</v>
      </c>
      <c r="FW22" s="1115" t="n">
        <f aca="false">IF(ER22&gt;0,MIN(FB22-FP22,BL22),0)</f>
        <v>0</v>
      </c>
      <c r="FX22" s="1115" t="n">
        <f aca="false">IF(ES22&gt;0,MIN(FD22-FR22,BM22),0)</f>
        <v>0</v>
      </c>
      <c r="FY22" s="1115" t="n">
        <f aca="false">IF(ET22&gt;0,MIN(FF22-FT22,BN22),0)</f>
        <v>0</v>
      </c>
      <c r="FZ22" s="1143" t="n">
        <f aca="false">IF(EU22&gt;0,MIN(FH22-FV22,BO22),0)</f>
        <v>0</v>
      </c>
      <c r="GA22" s="1132" t="n">
        <f aca="false">(SUM(FP22:FV22)+SUM(GU22:HB22)/(1-Summary!$O$25))*CY22/1000</f>
        <v>196070.285878272</v>
      </c>
      <c r="GB22" s="1133" t="n">
        <f aca="false">IF($C22&lt;Summary!$M$81,+Summary!$O$81,VLOOKUP(C22,GasTable,19))</f>
        <v>2.4</v>
      </c>
      <c r="GC22" s="1134" t="n">
        <f aca="false">IF(H22&lt;=Summary!$N$84,MIN(GA22,Summary!$O$75*(H22-G22+1)),0)</f>
        <v>150000</v>
      </c>
      <c r="GD22" s="1135" t="n">
        <f aca="false">IF(Summary!$O$75*(H22-G22+1)*0.8&gt;GC22,1,0)</f>
        <v>0</v>
      </c>
      <c r="GE22" s="1136" t="n">
        <v>0</v>
      </c>
      <c r="GF22" s="1134" t="n">
        <f aca="false">ABS(MIN(0,GC22-$GA22))</f>
        <v>46070.285878272</v>
      </c>
      <c r="GG22" s="1135" t="n">
        <f aca="false">GF22*(IF(Summary!$O$74=1,VLOOKUP($C22,GasTable,16)+Summary!$O$92+Summary!$O$93,VLOOKUP($C22,GasTable,19)+Summary!$O$92+Summary!$O$93))</f>
        <v>2400.26189425797</v>
      </c>
      <c r="GH22" s="1137" t="n">
        <v>24936</v>
      </c>
      <c r="GI22" s="1138" t="n">
        <v>0</v>
      </c>
      <c r="GJ22" s="1139" t="n">
        <f aca="false">+GB22*GC22+GE22+GG22+GH22-GI22</f>
        <v>387336.261894258</v>
      </c>
      <c r="GK22" s="1115" t="n">
        <f aca="false">SUM(FP22:FV22,GU22:GX22,GY22:HB22)</f>
        <v>25196.103</v>
      </c>
      <c r="GL22" s="1140" t="n">
        <v>0.754140113792</v>
      </c>
      <c r="GM22" s="1141" t="n">
        <f aca="false">IF(GK22&gt;GC22/(CY22/1000),GC22/(CY22/1000),+GK22)*GL22</f>
        <v>14730</v>
      </c>
      <c r="GN22" s="1115" t="n">
        <f aca="false">IF(SUM(GU22:HB22)=0,0,IF(Summary!$O$16="Yes",SUM(GX22:HB22),IF(Summary!$O$17="Yes",SUM(GY22:HB22),SUM(GU22:HB22))))</f>
        <v>9239.103</v>
      </c>
      <c r="GO22" s="1142" t="n">
        <v>5.55222627737226</v>
      </c>
      <c r="GP22" s="1143" t="n">
        <f aca="false">GN22*GO22</f>
        <v>51297.5904559489</v>
      </c>
      <c r="GQ22" s="1115"/>
      <c r="GR22" s="1115"/>
      <c r="GS22" s="1115"/>
      <c r="GT22" s="1115"/>
      <c r="GU22" s="1150" t="n">
        <v>3764.079</v>
      </c>
      <c r="GV22" s="1115" t="n">
        <v>684.378</v>
      </c>
      <c r="GW22" s="1115" t="n">
        <v>684.378</v>
      </c>
      <c r="GX22" s="1115"/>
      <c r="GY22" s="1151" t="n">
        <v>3011.2632</v>
      </c>
      <c r="GZ22" s="1115" t="n">
        <v>547.5024</v>
      </c>
      <c r="HA22" s="1115" t="n">
        <v>547.5024</v>
      </c>
      <c r="HB22" s="1141"/>
      <c r="HC22" s="1115" t="n">
        <v>9239.103</v>
      </c>
      <c r="HD22" s="1115"/>
      <c r="HE22" s="1115" t="n">
        <v>9239.103</v>
      </c>
      <c r="HF22" s="1115" t="n">
        <v>571486.89504465</v>
      </c>
      <c r="HG22" s="1115"/>
      <c r="HH22" s="1142" t="n">
        <v>61.8552358432036</v>
      </c>
      <c r="HI22" s="1115" t="n">
        <v>571486.89504465</v>
      </c>
      <c r="HJ22" s="1150" t="n">
        <f aca="false">MAX(FB22-FP22-FW22,0)</f>
        <v>0</v>
      </c>
      <c r="HK22" s="1115" t="n">
        <f aca="false">MAX(FD22-FR22-FX22,0)</f>
        <v>0</v>
      </c>
      <c r="HL22" s="1115" t="n">
        <f aca="false">MAX(FF22-FT22-FY22,0)</f>
        <v>0</v>
      </c>
      <c r="HM22" s="1141" t="n">
        <f aca="false">MAX(FH22-FV22-FZ22,0)</f>
        <v>0</v>
      </c>
      <c r="HN22" s="1115" t="n">
        <f aca="false">SUM(HJ22:HM22)</f>
        <v>0</v>
      </c>
      <c r="HO22" s="1142" t="n">
        <f aca="false">IF(ISERROR(+HP22/HN22),0,+HP22/HN22)</f>
        <v>0</v>
      </c>
      <c r="HP22" s="1143" t="n">
        <f aca="false">(HJ22*CE22+HK22*CF22+HL22*CG22+HM22*CH22)</f>
        <v>0</v>
      </c>
      <c r="HQ22" s="1146" t="n">
        <v>2004</v>
      </c>
      <c r="HR22" s="1150" t="e">
        <f aca="false">SUMIF($D$17:$D$292,HQ22,$FB$17:$FB$292)+SUMIF($D$17:$D$292,HQ22,$FC$17:$FC$292)+SUMIF($D$17:$D$292,HQ22,$FD$17:$FD$292)+SUMIF($D$17:$D$292,HQ22,$FE$17:$FE$292)+SUMIF($D$17:$D$292,HQ22,$FF$17:$FF$292)+SUMIF($D$17:$D$292,HQ22,$FG$17:$FG$292)+SUMIF($D$17:$D$292,HQ22,$FH$17:$FH$292)</f>
        <v>#VALUE!</v>
      </c>
      <c r="HS22" s="1110" t="e">
        <f aca="false">IF(HT22=0,0,HT22/HR22)</f>
        <v>#VALUE!</v>
      </c>
      <c r="HT22" s="1141" t="e">
        <f aca="false">SUMIF($D$17:$D$292,HQ22,$FO$17:$FO$292)</f>
        <v>#VALUE!</v>
      </c>
      <c r="HU22" s="1151" t="n">
        <v>104333.4261</v>
      </c>
      <c r="HV22" s="1142" t="n">
        <v>36.8257065318567</v>
      </c>
      <c r="HW22" s="1115" t="n">
        <v>3842152.13102176</v>
      </c>
      <c r="HX22" s="1171" t="n">
        <v>0</v>
      </c>
      <c r="HY22" s="1143" t="e">
        <f aca="false">HT22+HW22+HX22</f>
        <v>#VALUE!</v>
      </c>
      <c r="HZ22" s="1150" t="n">
        <v>2412371.08742316</v>
      </c>
      <c r="IA22" s="1142" t="n">
        <v>-2.59592814324985</v>
      </c>
      <c r="IB22" s="1141" t="n">
        <v>-6262341.99780404</v>
      </c>
      <c r="IC22" s="1151" t="n">
        <v>308450.0511</v>
      </c>
      <c r="ID22" s="1142" t="e">
        <f aca="false">IF(IE22=0,0,IE22/IC22)</f>
        <v>#VALUE!</v>
      </c>
      <c r="IE22" s="1141" t="e">
        <f aca="false">-SUMIF($D$17:$D$292,HQ22,$GM$17:$GM$292)</f>
        <v>#VALUE!</v>
      </c>
      <c r="IF22" s="1115" t="n">
        <f aca="false">SUMIF($D$17:$D$292,HQ22,$GN$17:$GN$292)</f>
        <v>106301.01285</v>
      </c>
      <c r="IG22" s="1142" t="n">
        <f aca="false">IF(IH22=0,0,IH22/IF22)</f>
        <v>-2.62860504529385</v>
      </c>
      <c r="IH22" s="1141" t="n">
        <v>-279423.378697356</v>
      </c>
      <c r="II22" s="1115" t="e">
        <f aca="false">SUMIF($D$17:$D$292,HQ22,$HN$17:$HN$292)</f>
        <v>#VALUE!</v>
      </c>
      <c r="IJ22" s="1142" t="e">
        <f aca="false">IF(IK22=0,0,IK22/II22)</f>
        <v>#VALUE!</v>
      </c>
      <c r="IK22" s="1115" t="e">
        <f aca="false">-SUMIF($D$17:$D$292,HQ22,$HP$17:$HP$292)</f>
        <v>#VALUE!</v>
      </c>
      <c r="IL22" s="1152" t="e">
        <f aca="false">HY22+IB22+IE22+IH22</f>
        <v>#VALUE!</v>
      </c>
      <c r="IN22" s="222"/>
      <c r="IO22" s="162"/>
      <c r="IR22" s="844"/>
    </row>
    <row r="23" customFormat="false" ht="13.5" hidden="false" customHeight="false" outlineLevel="0" collapsed="false">
      <c r="A23" s="0" t="str">
        <f aca="false">+D23&amp;"Q"&amp;ROUNDUP(E23/3,0)</f>
        <v>2000Q3</v>
      </c>
      <c r="B23" s="0" t="n">
        <f aca="false">YEAR(C23)</f>
        <v>2000</v>
      </c>
      <c r="C23" s="1153" t="n">
        <f aca="false">EOMONTH(C22,0)+1</f>
        <v>36708</v>
      </c>
      <c r="D23" s="841" t="n">
        <f aca="false">+YEAR(C23)</f>
        <v>2000</v>
      </c>
      <c r="E23" s="807" t="n">
        <f aca="false">MONTH(C23)</f>
        <v>7</v>
      </c>
      <c r="F23" s="1154" t="e">
        <f aca="false">IF(G23="","",Holiday(D23,E23))</f>
        <v>#VALUE!</v>
      </c>
      <c r="G23" s="1155" t="n">
        <v>36708</v>
      </c>
      <c r="H23" s="1156" t="n">
        <v>36738</v>
      </c>
      <c r="I23" s="1157" t="n">
        <f aca="false">I22</f>
        <v>0.0715</v>
      </c>
      <c r="J23" s="1158" t="n">
        <f aca="false">(1+I23/2)^(-2*(DATE(D24,E24,20)-$H$7)/365.25)</f>
        <v>0.953236479541222</v>
      </c>
      <c r="K23" s="1159" t="e">
        <f aca="false">IF(#REF!=1,+#REF!,I23+#REF!/10000)</f>
        <v>#REF!</v>
      </c>
      <c r="L23" s="1158" t="e">
        <f aca="false">(1+K23/2)^(-2*(DATE(D24,E24,20)-$H$7)/365.25)</f>
        <v>#REF!</v>
      </c>
      <c r="M23" s="1082" t="n">
        <v>0</v>
      </c>
      <c r="N23" s="1160" t="n">
        <v>0</v>
      </c>
      <c r="O23" s="1161" t="n">
        <v>0</v>
      </c>
      <c r="P23" s="1162" t="n">
        <v>0</v>
      </c>
      <c r="Q23" s="1160" t="n">
        <v>0</v>
      </c>
      <c r="R23" s="1161" t="n">
        <v>0</v>
      </c>
      <c r="S23" s="1160" t="n">
        <v>0</v>
      </c>
      <c r="T23" s="1160" t="n">
        <v>0</v>
      </c>
      <c r="U23" s="1160" t="n">
        <v>0</v>
      </c>
      <c r="V23" s="1162" t="n">
        <v>0</v>
      </c>
      <c r="W23" s="1160" t="n">
        <v>0</v>
      </c>
      <c r="X23" s="1163" t="n">
        <v>0</v>
      </c>
      <c r="Y23" s="1086" t="n">
        <v>0</v>
      </c>
      <c r="Z23" s="1086" t="n">
        <v>0</v>
      </c>
      <c r="AA23" s="1087" t="n">
        <v>0</v>
      </c>
      <c r="AB23" s="1086" t="n">
        <v>0</v>
      </c>
      <c r="AC23" s="1086" t="n">
        <v>0</v>
      </c>
      <c r="AD23" s="1087" t="n">
        <v>0</v>
      </c>
      <c r="AE23" s="1086" t="n">
        <v>0</v>
      </c>
      <c r="AF23" s="1086" t="n">
        <v>0</v>
      </c>
      <c r="AG23" s="1087" t="n">
        <v>0</v>
      </c>
      <c r="AH23" s="1086" t="n">
        <v>0</v>
      </c>
      <c r="AI23" s="1086" t="n">
        <v>0</v>
      </c>
      <c r="AJ23" s="1087" t="n">
        <v>0</v>
      </c>
      <c r="AK23" s="1086" t="n">
        <v>0</v>
      </c>
      <c r="AL23" s="1086" t="n">
        <v>0</v>
      </c>
      <c r="AM23" s="1087" t="n">
        <v>0</v>
      </c>
      <c r="AN23" s="1086" t="n">
        <v>0</v>
      </c>
      <c r="AO23" s="1086" t="n">
        <v>0</v>
      </c>
      <c r="AP23" s="1087" t="n">
        <v>0</v>
      </c>
      <c r="AQ23" s="1086" t="n">
        <v>0</v>
      </c>
      <c r="AR23" s="1086" t="n">
        <v>0</v>
      </c>
      <c r="AS23" s="1087" t="n">
        <v>0</v>
      </c>
      <c r="AT23" s="1086" t="n">
        <v>0</v>
      </c>
      <c r="AU23" s="1086" t="n">
        <v>0</v>
      </c>
      <c r="AV23" s="1086" t="n">
        <v>0</v>
      </c>
      <c r="AW23" s="1172" t="n">
        <v>0</v>
      </c>
      <c r="AX23" s="807" t="e">
        <f aca="false">BB23-SUM(AY23:BA23)</f>
        <v>#VALUE!</v>
      </c>
      <c r="AY23" s="807" t="e">
        <f aca="false">IF(AND($E23=MONTH(Summary!$E$24),$D23=YEAR(Summary!$E$24)),Summary!$E$25,1)*IF(G23="",0,INT((H23-MOD(H23,7)-G23)/7)+1-IF(BA23,IF(WEEKDAY(F23)=7,1,0),0))</f>
        <v>#VALUE!</v>
      </c>
      <c r="AZ23" s="807" t="e">
        <f aca="false">IF(AND($E23=MONTH(Summary!$E$24),$D23=YEAR(Summary!$E$24)),Summary!$E$25,1)*IF(G23="",0,INT((H23-MOD(H23-1,7)-G23)/7)+1-IF(BA23,IF(WEEKDAY(F23)=1,1,0),0))</f>
        <v>#VALUE!</v>
      </c>
      <c r="BA23" s="807" t="n">
        <v>1</v>
      </c>
      <c r="BB23" s="807" t="n">
        <f aca="false">IF(AND($E23=MONTH(Summary!$E$24),$D23=YEAR(Summary!$E$24)),Summary!$E$25,1)*IF(G23="",0,H23-G23+1)</f>
        <v>31</v>
      </c>
      <c r="BC23" s="1089" t="n">
        <f aca="false">Summary!$E$19</f>
        <v>0.015</v>
      </c>
      <c r="BD23" s="1090" t="n">
        <v>14184</v>
      </c>
      <c r="BE23" s="1091" t="n">
        <v>3546</v>
      </c>
      <c r="BF23" s="1091" t="n">
        <v>4255.2</v>
      </c>
      <c r="BG23" s="842"/>
      <c r="BH23" s="1092" t="n">
        <v>1</v>
      </c>
      <c r="BI23" s="1092" t="n">
        <v>1</v>
      </c>
      <c r="BJ23" s="1092" t="n">
        <v>1</v>
      </c>
      <c r="BK23" s="1092" t="n">
        <v>1</v>
      </c>
      <c r="BL23" s="1093" t="n">
        <v>2836.8</v>
      </c>
      <c r="BM23" s="1091" t="n">
        <v>709.2</v>
      </c>
      <c r="BN23" s="1091" t="n">
        <v>851.04</v>
      </c>
      <c r="BO23" s="842"/>
      <c r="BP23" s="1092" t="n">
        <v>1</v>
      </c>
      <c r="BQ23" s="1094" t="n">
        <v>1</v>
      </c>
      <c r="BR23" s="1094" t="n">
        <v>1</v>
      </c>
      <c r="BS23" s="1095" t="n">
        <v>1</v>
      </c>
      <c r="BT23" s="1093" t="n">
        <f aca="false">SUM(BD23:BF23)</f>
        <v>21985.2</v>
      </c>
      <c r="BU23" s="1098" t="n">
        <f aca="false">SUM(BD23:BG23)</f>
        <v>21985.2</v>
      </c>
      <c r="BV23" s="1090" t="n">
        <f aca="false">SUM(BL23:BN23)</f>
        <v>4397.04</v>
      </c>
      <c r="BW23" s="1098" t="n">
        <f aca="false">SUM(BL23:BO23)</f>
        <v>4397.04</v>
      </c>
      <c r="BX23" s="852" t="n">
        <v>0.544832306639288</v>
      </c>
      <c r="BY23" s="1099" t="n">
        <v>0</v>
      </c>
      <c r="BZ23" s="852" t="n">
        <v>0</v>
      </c>
      <c r="CA23" s="852" t="n">
        <v>0</v>
      </c>
      <c r="CB23" s="852" t="n">
        <v>0</v>
      </c>
      <c r="CC23" s="852" t="n">
        <v>0</v>
      </c>
      <c r="CD23" s="852" t="n">
        <v>0</v>
      </c>
      <c r="CE23" s="1100" t="n">
        <v>0</v>
      </c>
      <c r="CF23" s="852" t="n">
        <v>0</v>
      </c>
      <c r="CG23" s="852" t="n">
        <v>0</v>
      </c>
      <c r="CH23" s="852" t="n">
        <v>0</v>
      </c>
      <c r="CI23" s="852" t="n">
        <v>0</v>
      </c>
      <c r="CJ23" s="1101" t="n">
        <v>0</v>
      </c>
      <c r="CK23" s="852" t="n">
        <v>0</v>
      </c>
      <c r="CL23" s="852" t="n">
        <v>0</v>
      </c>
      <c r="CM23" s="852" t="n">
        <v>0</v>
      </c>
      <c r="CN23" s="852" t="n">
        <v>0</v>
      </c>
      <c r="CO23" s="852" t="n">
        <v>0</v>
      </c>
      <c r="CP23" s="852" t="n">
        <v>0</v>
      </c>
      <c r="CQ23" s="1102" t="n">
        <v>0</v>
      </c>
      <c r="CR23" s="1103" t="n">
        <v>0</v>
      </c>
      <c r="CS23" s="1103" t="n">
        <v>0</v>
      </c>
      <c r="CT23" s="1103" t="n">
        <v>0</v>
      </c>
      <c r="CU23" s="1103" t="n">
        <v>0</v>
      </c>
      <c r="CV23" s="1103" t="n">
        <v>0</v>
      </c>
      <c r="CW23" s="1103" t="n">
        <v>0</v>
      </c>
      <c r="CX23" s="1104" t="n">
        <v>0</v>
      </c>
      <c r="CY23" s="1105" t="n">
        <v>7681.58888</v>
      </c>
      <c r="CZ23" s="1099" t="n">
        <v>0</v>
      </c>
      <c r="DA23" s="852" t="n">
        <v>0</v>
      </c>
      <c r="DB23" s="852" t="n">
        <v>0</v>
      </c>
      <c r="DC23" s="852" t="n">
        <v>0</v>
      </c>
      <c r="DD23" s="852" t="n">
        <v>0</v>
      </c>
      <c r="DE23" s="1113" t="n">
        <v>0</v>
      </c>
      <c r="DF23" s="1109" t="n">
        <v>0</v>
      </c>
      <c r="DG23" s="1110" t="n">
        <v>0</v>
      </c>
      <c r="DH23" s="1111" t="n">
        <v>0</v>
      </c>
      <c r="DI23" s="1112" t="n">
        <v>0</v>
      </c>
      <c r="DJ23" s="1112" t="n">
        <v>0</v>
      </c>
      <c r="DK23" s="1112" t="n">
        <v>0</v>
      </c>
      <c r="DL23" s="1113" t="n">
        <v>0</v>
      </c>
      <c r="DM23" s="1114" t="n">
        <v>0</v>
      </c>
      <c r="DN23" s="1114" t="n">
        <v>0</v>
      </c>
      <c r="DO23" s="1114" t="n">
        <v>0</v>
      </c>
      <c r="DP23" s="1114" t="n">
        <v>0</v>
      </c>
      <c r="DQ23" s="1114" t="n">
        <v>0</v>
      </c>
      <c r="DR23" s="1109" t="n">
        <v>0</v>
      </c>
      <c r="DS23" s="852" t="n">
        <v>0</v>
      </c>
      <c r="DT23" s="852" t="n">
        <v>0</v>
      </c>
      <c r="DU23" s="852" t="n">
        <v>0</v>
      </c>
      <c r="DV23" s="852" t="n">
        <v>0</v>
      </c>
      <c r="DW23" s="852" t="n">
        <v>0</v>
      </c>
      <c r="DX23" s="852" t="n">
        <v>0</v>
      </c>
      <c r="DY23" s="852" t="n">
        <v>0</v>
      </c>
      <c r="DZ23" s="852" t="n">
        <v>0</v>
      </c>
      <c r="EA23" s="852" t="n">
        <v>0</v>
      </c>
      <c r="EB23" s="1113" t="n">
        <v>0</v>
      </c>
      <c r="EC23" s="1115" t="n">
        <f aca="false">DS23*BD23</f>
        <v>0</v>
      </c>
      <c r="ED23" s="1115" t="n">
        <f aca="false">DT23*BE23</f>
        <v>0</v>
      </c>
      <c r="EE23" s="1115" t="n">
        <f aca="false">DU23*BF23</f>
        <v>0</v>
      </c>
      <c r="EF23" s="1115" t="n">
        <f aca="false">DV23*BG23</f>
        <v>0</v>
      </c>
      <c r="EG23" s="1115" t="n">
        <f aca="false">DS23*BD23+DT23*BE23+DU23*BF23+DV23*BG23</f>
        <v>0</v>
      </c>
      <c r="EH23" s="1116" t="n">
        <v>0</v>
      </c>
      <c r="EI23" s="1117" t="n">
        <v>0</v>
      </c>
      <c r="EJ23" s="1117" t="n">
        <v>0</v>
      </c>
      <c r="EK23" s="1117" t="n">
        <v>0</v>
      </c>
      <c r="EL23" s="1118" t="n">
        <f aca="false">IF(C23&gt;=Summary!$E$26,MAX(0,SUM(EH23:EK23)),0)</f>
        <v>0</v>
      </c>
      <c r="EM23" s="1115" t="n">
        <f aca="false">IF(C23&gt;=Summary!$E$26,DX23*BL23,0)</f>
        <v>0</v>
      </c>
      <c r="EN23" s="1115" t="n">
        <f aca="false">IF(C23&gt;=Summary!$E$26,DY23*BM23,0)</f>
        <v>0</v>
      </c>
      <c r="EO23" s="1115" t="n">
        <f aca="false">IF(C23&gt;=Summary!$E$26,DZ23*BN23,0)</f>
        <v>0</v>
      </c>
      <c r="EP23" s="1115" t="n">
        <f aca="false">IF(C23&gt;=Summary!$E$26,EA23*BO23,0)</f>
        <v>0</v>
      </c>
      <c r="EQ23" s="1115" t="n">
        <f aca="false">IF(C23&gt;=Summary!$E$26,DX23*BL23+DY23*BM23+DZ23*BN23+EA23*BO23,0)</f>
        <v>0</v>
      </c>
      <c r="ER23" s="1119" t="n">
        <v>0</v>
      </c>
      <c r="ES23" s="1120" t="n">
        <v>0</v>
      </c>
      <c r="ET23" s="1120" t="n">
        <v>0</v>
      </c>
      <c r="EU23" s="1120" t="n">
        <v>0</v>
      </c>
      <c r="EV23" s="1143" t="n">
        <f aca="false">IF(C23&gt;=Summary!$E$26,MAX(0,SUM(ER23:EU23)),0)</f>
        <v>0</v>
      </c>
      <c r="EW23" s="1115"/>
      <c r="EX23" s="1165" t="n">
        <f aca="false">(EQ23-EV23)+IF(EZ23="Yes",(EG23-EL23),0)</f>
        <v>0</v>
      </c>
      <c r="EY23" s="1166" t="str">
        <f aca="false">IF(EX23,EX23/EQ23,"")</f>
        <v/>
      </c>
      <c r="EZ23" s="1122" t="s">
        <v>37</v>
      </c>
      <c r="FA23" s="1096" t="n">
        <f aca="false">FA22</f>
        <v>45</v>
      </c>
      <c r="FB23" s="1167" t="e">
        <f aca="false">IF(EZ23="No",IF((OR(MONTH(C23)=5,MONTH(C23)=6,MONTH(C23)=7,MONTH(C23)=8,MONTH(C23)=9)),$FA23*12*AX23*(1-$BC23),$FA23*10*AX23*(1-$BC23)),0)</f>
        <v>#VALUE!</v>
      </c>
      <c r="FC23" s="1129" t="n">
        <f aca="false">IF(EZ23="No",IF((OR(MONTH(C23)=5,MONTH(C23)=6,MONTH(C23)=7,MONTH(C23)=8,MONTH(C23)=9)),0,$FA23*3*AX23*(1-$BC23)),0)</f>
        <v>0</v>
      </c>
      <c r="FD23" s="1129" t="e">
        <f aca="false">IF(EZ23="No",IF((OR(MONTH(C23)=5,MONTH(C23)=6,MONTH(C23)=7,MONTH(C23)=8,MONTH(C23)=9)),$FA23*12*AY23*(1-$BC23),$FA23*10*AY23*(1-$BC23)),0)</f>
        <v>#VALUE!</v>
      </c>
      <c r="FE23" s="1129" t="n">
        <f aca="false">IF(EZ23="No",IF((OR(MONTH(C23)=5,MONTH(C23)=6,MONTH(C23)=7,MONTH(C23)=8,MONTH(C23)=9)),0,$FA23*3*AY23*(1-$BC23)),0)</f>
        <v>0</v>
      </c>
      <c r="FF23" s="1129" t="e">
        <f aca="false">IF(EZ23="No",IF((OR(MONTH(C23)=5,MONTH(C23)=6,MONTH(C23)=7,MONTH(C23)=8,MONTH(C23)=9)),$FA23*12*(AZ23+BA23)*(1-$BC23),$FA23*10*(AZ23+BA23)*(1-$BC23)),0)</f>
        <v>#VALUE!</v>
      </c>
      <c r="FG23" s="1129" t="n">
        <f aca="false">IF(EZ23="No",IF((OR(MONTH(C23)=5,MONTH(C23)=6,MONTH(C23)=7,MONTH(C23)=8,MONTH(C23)=9)),0,$FA23*3*(AZ23+BA23)*(1-$BC23)),0)</f>
        <v>0</v>
      </c>
      <c r="FH23" s="1170" t="e">
        <f aca="false">IF(EZ23="No",IF((OR(MONTH(C23)=5,MONTH(C23)=6,MONTH(C23)=7,MONTH(C23)=8,MONTH(C23)=9)),Summary!$O$15*12*(AX23+AY23+AZ23+BA23)*(1-$BC23),Summary!$O$15*13*(AX23+AY23+AZ23+BA23)*(1-$BC23)+IF(Summary!$O$16="Yes",(CALC!FA23+Summary!$O$15)*6*(AX23+AY23+AZ23+BA23)*(1-$BC23),0)),0)</f>
        <v>#VALUE!</v>
      </c>
      <c r="FI23" s="1126" t="n">
        <f aca="false">IF(MONTH(C23)=5,FI22*(IF(Summary!$E$70="no",(1+(Summary!$E$71*0.8)),1+HLOOKUP(YEAR(C23)-1,CCFMODEL!$I$127:$AF$128,2)*0.8)),+FI22)</f>
        <v>27.2410364963504</v>
      </c>
      <c r="FJ23" s="1127" t="n">
        <f aca="false">IF(MONTH(C23)=5,FJ22*(IF(Summary!$E$70="no",(1+(Summary!$E$71*0.8)),1+HLOOKUP(YEAR(CALC!C23)-1,CCFMODEL!$I$127:$AF$128,2)*0.8)),FJ22)</f>
        <v>23.8090948905109</v>
      </c>
      <c r="FK23" s="1128" t="e">
        <f aca="false">SUM(FB23:FG23)*FI23+FH23*FJ23</f>
        <v>#VALUE!</v>
      </c>
      <c r="FL23" s="1126" t="n">
        <f aca="false">IF(MONTH(C23)=5,FL22*(IF(Summary!$E$70="no",(1+(Summary!$E$71*0.8)),1+HLOOKUP(YEAR(CALC!C23)-1,CCFMODEL!$I$127:$AF$128,2)*0.8)),+FL22)</f>
        <v>57.2909537712895</v>
      </c>
      <c r="FM23" s="1127" t="n">
        <f aca="false">IF(MONTH(C23)=5,FM22*(IF(Summary!$E$70="no",(1+(Summary!$E$71*0.8)),1+HLOOKUP(YEAR(CALC!C23)-1,CCFMODEL!$I$127:$AF$128,2)*0.8)),+FM22)</f>
        <v>27.3431776155718</v>
      </c>
      <c r="FN23" s="1128" t="e">
        <f aca="false">IF((OR(MONTH(C23)=5,MONTH(C23)=6,MONTH(C23)=7,MONTH(C23)=8,MONTH(C23)=9)),SUM(FB23:FG23)/(1-BC23)*FL23,SUM(FB23:FG23)/(1-BC23)*FM23)</f>
        <v>#VALUE!</v>
      </c>
      <c r="FO23" s="1129" t="e">
        <f aca="false">FK23+FN23</f>
        <v>#VALUE!</v>
      </c>
      <c r="FP23" s="1169" t="e">
        <f aca="false">FB23</f>
        <v>#VALUE!</v>
      </c>
      <c r="FQ23" s="1129" t="n">
        <f aca="false">FC23</f>
        <v>0</v>
      </c>
      <c r="FR23" s="1129" t="e">
        <f aca="false">FD23</f>
        <v>#VALUE!</v>
      </c>
      <c r="FS23" s="1129" t="n">
        <f aca="false">FE23</f>
        <v>0</v>
      </c>
      <c r="FT23" s="1129" t="e">
        <f aca="false">FF23</f>
        <v>#VALUE!</v>
      </c>
      <c r="FU23" s="1129" t="n">
        <f aca="false">FG23</f>
        <v>0</v>
      </c>
      <c r="FV23" s="1170" t="e">
        <f aca="false">FH23</f>
        <v>#VALUE!</v>
      </c>
      <c r="FW23" s="1115" t="n">
        <f aca="false">IF(ER23&gt;0,MIN(FB23-FP23,BL23),0)</f>
        <v>0</v>
      </c>
      <c r="FX23" s="1115" t="n">
        <f aca="false">IF(ES23&gt;0,MIN(FD23-FR23,BM23),0)</f>
        <v>0</v>
      </c>
      <c r="FY23" s="1115" t="n">
        <f aca="false">IF(ET23&gt;0,MIN(FF23-FT23,BN23),0)</f>
        <v>0</v>
      </c>
      <c r="FZ23" s="1143" t="n">
        <f aca="false">IF(EU23&gt;0,MIN(FH23-FV23,BO23),0)</f>
        <v>0</v>
      </c>
      <c r="GA23" s="1132" t="e">
        <f aca="false">(SUM(FP23:FV23)+SUM(GU23:HB23)/(1-Summary!$O$25))*CY23/1000</f>
        <v>#VALUE!</v>
      </c>
      <c r="GB23" s="1133" t="n">
        <f aca="false">IF($C23&lt;Summary!$M$81,+Summary!$O$81,VLOOKUP(C23,GasTable,19))</f>
        <v>2.4</v>
      </c>
      <c r="GC23" s="1134" t="e">
        <f aca="false">IF(H23&lt;=Summary!$N$84,MIN(GA23,Summary!$O$75*(H23-G23+1)),0)</f>
        <v>#VALUE!</v>
      </c>
      <c r="GD23" s="1135" t="e">
        <f aca="false">IF(Summary!$O$75*(H23-G23+1)*0.8&gt;GC23,1,0)</f>
        <v>#VALUE!</v>
      </c>
      <c r="GE23" s="1136" t="n">
        <v>0</v>
      </c>
      <c r="GF23" s="1134" t="e">
        <f aca="false">ABS(MIN(0,GC23-$GA23))</f>
        <v>#VALUE!</v>
      </c>
      <c r="GG23" s="1135" t="e">
        <f aca="false">GF23*(IF(Summary!$O$74=1,VLOOKUP($C23,GasTable,16)+Summary!$O$92+Summary!$O$93,VLOOKUP($C23,GasTable,19)+Summary!$O$92+Summary!$O$93))</f>
        <v>#VALUE!</v>
      </c>
      <c r="GH23" s="1137" t="n">
        <v>25444.8</v>
      </c>
      <c r="GI23" s="1138" t="n">
        <v>0</v>
      </c>
      <c r="GJ23" s="1139" t="e">
        <f aca="false">+GB23*GC23+GE23+GG23+GH23-GI23</f>
        <v>#VALUE!</v>
      </c>
      <c r="GK23" s="1115" t="e">
        <f aca="false">SUM(FP23:FV23,GU23:GX23,GY23:HB23)</f>
        <v>#VALUE!</v>
      </c>
      <c r="GL23" s="1140" t="n">
        <v>0.754332028016</v>
      </c>
      <c r="GM23" s="1141" t="e">
        <f aca="false">IF(GK23&gt;GC23/(CY23/1000),GC23/(CY23/1000),+GK23)*GL23</f>
        <v>#VALUE!</v>
      </c>
      <c r="GN23" s="1115" t="n">
        <f aca="false">IF(SUM(GU23:HB23)=0,0,IF(Summary!$O$16="Yes",SUM(GX23:HB23),IF(Summary!$O$17="Yes",SUM(GY23:HB23),SUM(GU23:HB23))))</f>
        <v>9547.0731</v>
      </c>
      <c r="GO23" s="1142" t="n">
        <v>5.55222627737226</v>
      </c>
      <c r="GP23" s="1143" t="n">
        <f aca="false">GN23*GO23</f>
        <v>53007.5101378139</v>
      </c>
      <c r="GQ23" s="1115"/>
      <c r="GR23" s="1115"/>
      <c r="GS23" s="1115"/>
      <c r="GT23" s="1115"/>
      <c r="GU23" s="1150" t="n">
        <v>3421.89</v>
      </c>
      <c r="GV23" s="1115" t="n">
        <v>855.4725</v>
      </c>
      <c r="GW23" s="1115" t="n">
        <v>1026.567</v>
      </c>
      <c r="GX23" s="1115"/>
      <c r="GY23" s="1151" t="n">
        <v>2737.512</v>
      </c>
      <c r="GZ23" s="1115" t="n">
        <v>684.378</v>
      </c>
      <c r="HA23" s="1115" t="n">
        <v>821.2536</v>
      </c>
      <c r="HB23" s="1141"/>
      <c r="HC23" s="1115" t="n">
        <v>9547.0731</v>
      </c>
      <c r="HD23" s="1115"/>
      <c r="HE23" s="1115" t="n">
        <v>9547.0731</v>
      </c>
      <c r="HF23" s="1115" t="n">
        <v>767185.530924375</v>
      </c>
      <c r="HG23" s="1115"/>
      <c r="HH23" s="1142" t="n">
        <v>80.3581917608209</v>
      </c>
      <c r="HI23" s="1115" t="n">
        <v>767185.530924375</v>
      </c>
      <c r="HJ23" s="1150" t="e">
        <f aca="false">MAX(FB23-FP23-FW23,0)</f>
        <v>#VALUE!</v>
      </c>
      <c r="HK23" s="1115" t="e">
        <f aca="false">MAX(FD23-FR23-FX23,0)</f>
        <v>#VALUE!</v>
      </c>
      <c r="HL23" s="1115" t="e">
        <f aca="false">MAX(FF23-FT23-FY23,0)</f>
        <v>#VALUE!</v>
      </c>
      <c r="HM23" s="1141" t="e">
        <f aca="false">MAX(FH23-FV23-FZ23,0)</f>
        <v>#VALUE!</v>
      </c>
      <c r="HN23" s="1115" t="e">
        <f aca="false">SUM(HJ23:HM23)</f>
        <v>#VALUE!</v>
      </c>
      <c r="HO23" s="1142" t="n">
        <f aca="false">IF(ISERROR(+HP23/HN23),0,+HP23/HN23)</f>
        <v>0</v>
      </c>
      <c r="HP23" s="1143" t="e">
        <f aca="false">(HJ23*CE23+HK23*CF23+HL23*CG23+HM23*CH23)</f>
        <v>#VALUE!</v>
      </c>
      <c r="HQ23" s="1146" t="n">
        <v>2005</v>
      </c>
      <c r="HR23" s="1150" t="e">
        <f aca="false">SUMIF($D$17:$D$292,HQ23,$FB$17:$FB$292)+SUMIF($D$17:$D$292,HQ23,$FC$17:$FC$292)+SUMIF($D$17:$D$292,HQ23,$FD$17:$FD$292)+SUMIF($D$17:$D$292,HQ23,$FE$17:$FE$292)+SUMIF($D$17:$D$292,HQ23,$FF$17:$FF$292)+SUMIF($D$17:$D$292,HQ23,$FG$17:$FG$292)+SUMIF($D$17:$D$292,HQ23,$FH$17:$FH$292)</f>
        <v>#VALUE!</v>
      </c>
      <c r="HS23" s="1110" t="e">
        <f aca="false">IF(HT23=0,0,HT23/HR23)</f>
        <v>#VALUE!</v>
      </c>
      <c r="HT23" s="1141" t="e">
        <f aca="false">SUMIF($D$17:$D$292,HQ23,$FO$17:$FO$292)</f>
        <v>#VALUE!</v>
      </c>
      <c r="HU23" s="1151" t="n">
        <v>90389.22435</v>
      </c>
      <c r="HV23" s="1142" t="n">
        <v>39.3386761756953</v>
      </c>
      <c r="HW23" s="1115" t="n">
        <v>3555792.42647693</v>
      </c>
      <c r="HX23" s="1171" t="n">
        <v>0</v>
      </c>
      <c r="HY23" s="1143" t="e">
        <f aca="false">HT23+HW23+HX23</f>
        <v>#VALUE!</v>
      </c>
      <c r="HZ23" s="1150" t="n">
        <v>2300969.8543195</v>
      </c>
      <c r="IA23" s="1142" t="n">
        <v>-2.60689368234549</v>
      </c>
      <c r="IB23" s="1141" t="n">
        <v>-5998383.77649293</v>
      </c>
      <c r="IC23" s="1151" t="n">
        <v>293929.62435</v>
      </c>
      <c r="ID23" s="1142" t="e">
        <f aca="false">IF(IE23=0,0,IE23/IC23)</f>
        <v>#VALUE!</v>
      </c>
      <c r="IE23" s="1141" t="e">
        <f aca="false">-SUMIF($D$17:$D$292,HQ23,$GM$17:$GM$292)</f>
        <v>#VALUE!</v>
      </c>
      <c r="IF23" s="1115" t="n">
        <f aca="false">SUMIF($D$17:$D$292,HQ23,$GN$17:$GN$292)</f>
        <v>125412.2685</v>
      </c>
      <c r="IG23" s="1142" t="n">
        <f aca="false">IF(IH23=0,0,IH23/IF23)</f>
        <v>-1.98816823814849</v>
      </c>
      <c r="IH23" s="1141" t="n">
        <v>-249340.688905851</v>
      </c>
      <c r="II23" s="1115" t="e">
        <f aca="false">SUMIF($D$17:$D$292,HQ23,$HN$17:$HN$292)</f>
        <v>#VALUE!</v>
      </c>
      <c r="IJ23" s="1142" t="e">
        <f aca="false">IF(IK23=0,0,IK23/II23)</f>
        <v>#VALUE!</v>
      </c>
      <c r="IK23" s="1115" t="e">
        <f aca="false">-SUMIF($D$17:$D$292,HQ23,$HP$17:$HP$292)</f>
        <v>#VALUE!</v>
      </c>
      <c r="IL23" s="1152" t="e">
        <f aca="false">HY23+IB23+IE23+IH23</f>
        <v>#VALUE!</v>
      </c>
      <c r="IN23" s="222"/>
      <c r="IO23" s="162"/>
      <c r="IR23" s="844"/>
    </row>
    <row r="24" customFormat="false" ht="13.5" hidden="false" customHeight="false" outlineLevel="0" collapsed="false">
      <c r="A24" s="0" t="str">
        <f aca="false">+D24&amp;"Q"&amp;ROUNDUP(E24/3,0)</f>
        <v>2000Q3</v>
      </c>
      <c r="B24" s="0" t="n">
        <f aca="false">YEAR(C24)</f>
        <v>2000</v>
      </c>
      <c r="C24" s="1153" t="n">
        <f aca="false">EOMONTH(C23,0)+1</f>
        <v>36739</v>
      </c>
      <c r="D24" s="841" t="n">
        <f aca="false">+YEAR(C24)</f>
        <v>2000</v>
      </c>
      <c r="E24" s="807" t="n">
        <f aca="false">MONTH(C24)</f>
        <v>8</v>
      </c>
      <c r="F24" s="1154" t="e">
        <f aca="false">IF(G24="","",Holiday(D24,E24))</f>
        <v>#VALUE!</v>
      </c>
      <c r="G24" s="1155" t="n">
        <v>36739</v>
      </c>
      <c r="H24" s="1156" t="n">
        <v>36769</v>
      </c>
      <c r="I24" s="1157" t="n">
        <f aca="false">I23</f>
        <v>0.0715</v>
      </c>
      <c r="J24" s="1158" t="n">
        <f aca="false">(1+I24/2)^(-2*(DATE(D25,E25,20)-$H$7)/365.25)</f>
        <v>0.947569726680865</v>
      </c>
      <c r="K24" s="1159" t="e">
        <f aca="false">IF(#REF!=1,+#REF!,I24+#REF!/10000)</f>
        <v>#REF!</v>
      </c>
      <c r="L24" s="1158" t="e">
        <f aca="false">(1+K24/2)^(-2*(DATE(D25,E25,20)-$H$7)/365.25)</f>
        <v>#REF!</v>
      </c>
      <c r="M24" s="1082" t="n">
        <v>0</v>
      </c>
      <c r="N24" s="1160" t="n">
        <v>0</v>
      </c>
      <c r="O24" s="1161" t="n">
        <v>0</v>
      </c>
      <c r="P24" s="1162" t="n">
        <v>0</v>
      </c>
      <c r="Q24" s="1160" t="n">
        <v>0</v>
      </c>
      <c r="R24" s="1161" t="n">
        <v>0</v>
      </c>
      <c r="S24" s="1160" t="n">
        <v>0</v>
      </c>
      <c r="T24" s="1160" t="n">
        <v>0</v>
      </c>
      <c r="U24" s="1160" t="n">
        <v>0</v>
      </c>
      <c r="V24" s="1162" t="n">
        <v>0</v>
      </c>
      <c r="W24" s="1160" t="n">
        <v>0</v>
      </c>
      <c r="X24" s="1163" t="n">
        <v>0</v>
      </c>
      <c r="Y24" s="1086" t="n">
        <v>0</v>
      </c>
      <c r="Z24" s="1086" t="n">
        <v>0</v>
      </c>
      <c r="AA24" s="1087" t="n">
        <v>0</v>
      </c>
      <c r="AB24" s="1086" t="n">
        <v>0</v>
      </c>
      <c r="AC24" s="1086" t="n">
        <v>0</v>
      </c>
      <c r="AD24" s="1087" t="n">
        <v>0</v>
      </c>
      <c r="AE24" s="1086" t="n">
        <v>0</v>
      </c>
      <c r="AF24" s="1086" t="n">
        <v>0</v>
      </c>
      <c r="AG24" s="1087" t="n">
        <v>0</v>
      </c>
      <c r="AH24" s="1086" t="n">
        <v>0</v>
      </c>
      <c r="AI24" s="1086" t="n">
        <v>0</v>
      </c>
      <c r="AJ24" s="1087" t="n">
        <v>0</v>
      </c>
      <c r="AK24" s="1086" t="n">
        <v>0</v>
      </c>
      <c r="AL24" s="1086" t="n">
        <v>0</v>
      </c>
      <c r="AM24" s="1087" t="n">
        <v>0</v>
      </c>
      <c r="AN24" s="1086" t="n">
        <v>0</v>
      </c>
      <c r="AO24" s="1086" t="n">
        <v>0</v>
      </c>
      <c r="AP24" s="1087" t="n">
        <v>0</v>
      </c>
      <c r="AQ24" s="1086" t="n">
        <v>0</v>
      </c>
      <c r="AR24" s="1086" t="n">
        <v>0</v>
      </c>
      <c r="AS24" s="1087" t="n">
        <v>0</v>
      </c>
      <c r="AT24" s="1086" t="n">
        <v>0</v>
      </c>
      <c r="AU24" s="1086" t="n">
        <v>0</v>
      </c>
      <c r="AV24" s="1086" t="n">
        <v>0</v>
      </c>
      <c r="AW24" s="1172" t="n">
        <v>0</v>
      </c>
      <c r="AX24" s="807" t="n">
        <f aca="false">BB24-SUM(AY24:BA24)</f>
        <v>23</v>
      </c>
      <c r="AY24" s="807" t="n">
        <f aca="false">IF(AND($E24=MONTH(Summary!$E$24),$D24=YEAR(Summary!$E$24)),Summary!$E$25,1)*IF(G24="",0,INT((H24-MOD(H24,7)-G24)/7)+1-IF(BA24,IF(WEEKDAY(F24)=7,1,0),0))</f>
        <v>4</v>
      </c>
      <c r="AZ24" s="807" t="n">
        <f aca="false">IF(AND($E24=MONTH(Summary!$E$24),$D24=YEAR(Summary!$E$24)),Summary!$E$25,1)*IF(G24="",0,INT((H24-MOD(H24-1,7)-G24)/7)+1-IF(BA24,IF(WEEKDAY(F24)=1,1,0),0))</f>
        <v>4</v>
      </c>
      <c r="BA24" s="807" t="n">
        <v>0</v>
      </c>
      <c r="BB24" s="807" t="n">
        <f aca="false">IF(AND($E24=MONTH(Summary!$E$24),$D24=YEAR(Summary!$E$24)),Summary!$E$25,1)*IF(G24="",0,H24-G24+1)</f>
        <v>31</v>
      </c>
      <c r="BC24" s="1089" t="n">
        <f aca="false">Summary!$E$19</f>
        <v>0.015</v>
      </c>
      <c r="BD24" s="1090" t="n">
        <v>16311.6</v>
      </c>
      <c r="BE24" s="1091" t="n">
        <v>2836.8</v>
      </c>
      <c r="BF24" s="1091" t="n">
        <v>2836.8</v>
      </c>
      <c r="BG24" s="842"/>
      <c r="BH24" s="1092" t="n">
        <v>1</v>
      </c>
      <c r="BI24" s="1092" t="n">
        <v>1</v>
      </c>
      <c r="BJ24" s="1092" t="n">
        <v>1</v>
      </c>
      <c r="BK24" s="1092" t="n">
        <v>1</v>
      </c>
      <c r="BL24" s="1093" t="n">
        <v>3262.32</v>
      </c>
      <c r="BM24" s="1091" t="n">
        <v>567.36</v>
      </c>
      <c r="BN24" s="1091" t="n">
        <v>567.36</v>
      </c>
      <c r="BO24" s="842"/>
      <c r="BP24" s="1092" t="n">
        <v>1</v>
      </c>
      <c r="BQ24" s="1094" t="n">
        <v>1</v>
      </c>
      <c r="BR24" s="1094" t="n">
        <v>1</v>
      </c>
      <c r="BS24" s="1095" t="n">
        <v>1</v>
      </c>
      <c r="BT24" s="1093" t="n">
        <f aca="false">SUM(BD24:BF24)</f>
        <v>21985.2</v>
      </c>
      <c r="BU24" s="1098" t="n">
        <f aca="false">SUM(BD24:BG24)</f>
        <v>21985.2</v>
      </c>
      <c r="BV24" s="1090" t="n">
        <f aca="false">SUM(BL24:BN24)</f>
        <v>4397.04</v>
      </c>
      <c r="BW24" s="1098" t="n">
        <f aca="false">SUM(BL24:BO24)</f>
        <v>4397.04</v>
      </c>
      <c r="BX24" s="852" t="n">
        <v>0.629705681040383</v>
      </c>
      <c r="BY24" s="1099" t="n">
        <v>0</v>
      </c>
      <c r="BZ24" s="852" t="n">
        <v>0</v>
      </c>
      <c r="CA24" s="852" t="n">
        <v>0</v>
      </c>
      <c r="CB24" s="852" t="n">
        <v>0</v>
      </c>
      <c r="CC24" s="852" t="n">
        <v>0</v>
      </c>
      <c r="CD24" s="852" t="n">
        <v>0</v>
      </c>
      <c r="CE24" s="1100" t="n">
        <v>0</v>
      </c>
      <c r="CF24" s="852" t="n">
        <v>0</v>
      </c>
      <c r="CG24" s="852" t="n">
        <v>0</v>
      </c>
      <c r="CH24" s="852" t="n">
        <v>0</v>
      </c>
      <c r="CI24" s="852" t="n">
        <v>0</v>
      </c>
      <c r="CJ24" s="1101" t="n">
        <v>0</v>
      </c>
      <c r="CK24" s="852" t="n">
        <v>0</v>
      </c>
      <c r="CL24" s="852" t="n">
        <v>0</v>
      </c>
      <c r="CM24" s="852" t="n">
        <v>0</v>
      </c>
      <c r="CN24" s="852" t="n">
        <v>0</v>
      </c>
      <c r="CO24" s="852" t="n">
        <v>0</v>
      </c>
      <c r="CP24" s="852" t="n">
        <v>0</v>
      </c>
      <c r="CQ24" s="1102" t="n">
        <v>0</v>
      </c>
      <c r="CR24" s="1103" t="n">
        <v>0</v>
      </c>
      <c r="CS24" s="1103" t="n">
        <v>0</v>
      </c>
      <c r="CT24" s="1103" t="n">
        <v>0</v>
      </c>
      <c r="CU24" s="1103" t="n">
        <v>0</v>
      </c>
      <c r="CV24" s="1103" t="n">
        <v>0</v>
      </c>
      <c r="CW24" s="1103" t="n">
        <v>0</v>
      </c>
      <c r="CX24" s="1104" t="n">
        <v>0</v>
      </c>
      <c r="CY24" s="1105" t="n">
        <v>7683.5432</v>
      </c>
      <c r="CZ24" s="1099" t="n">
        <v>0</v>
      </c>
      <c r="DA24" s="852" t="n">
        <v>0</v>
      </c>
      <c r="DB24" s="852" t="n">
        <v>0</v>
      </c>
      <c r="DC24" s="852" t="n">
        <v>0</v>
      </c>
      <c r="DD24" s="852" t="n">
        <v>0</v>
      </c>
      <c r="DE24" s="1113" t="n">
        <v>0</v>
      </c>
      <c r="DF24" s="1109" t="n">
        <v>0</v>
      </c>
      <c r="DG24" s="1110" t="n">
        <v>0</v>
      </c>
      <c r="DH24" s="1111" t="n">
        <v>0</v>
      </c>
      <c r="DI24" s="1112" t="n">
        <v>0</v>
      </c>
      <c r="DJ24" s="1112" t="n">
        <v>0</v>
      </c>
      <c r="DK24" s="1112" t="n">
        <v>0</v>
      </c>
      <c r="DL24" s="1113" t="n">
        <v>0</v>
      </c>
      <c r="DM24" s="1114" t="n">
        <v>0</v>
      </c>
      <c r="DN24" s="1114" t="n">
        <v>0</v>
      </c>
      <c r="DO24" s="1114" t="n">
        <v>0</v>
      </c>
      <c r="DP24" s="1114" t="n">
        <v>0</v>
      </c>
      <c r="DQ24" s="1114" t="n">
        <v>0</v>
      </c>
      <c r="DR24" s="1109" t="n">
        <v>0</v>
      </c>
      <c r="DS24" s="852" t="n">
        <v>0</v>
      </c>
      <c r="DT24" s="852" t="n">
        <v>0</v>
      </c>
      <c r="DU24" s="852" t="n">
        <v>0</v>
      </c>
      <c r="DV24" s="852" t="n">
        <v>0</v>
      </c>
      <c r="DW24" s="852" t="n">
        <v>0</v>
      </c>
      <c r="DX24" s="852" t="n">
        <v>0</v>
      </c>
      <c r="DY24" s="852" t="n">
        <v>0</v>
      </c>
      <c r="DZ24" s="852" t="n">
        <v>0</v>
      </c>
      <c r="EA24" s="852" t="n">
        <v>0</v>
      </c>
      <c r="EB24" s="1113" t="n">
        <v>0</v>
      </c>
      <c r="EC24" s="1115" t="n">
        <f aca="false">DS24*BD24</f>
        <v>0</v>
      </c>
      <c r="ED24" s="1115" t="n">
        <f aca="false">DT24*BE24</f>
        <v>0</v>
      </c>
      <c r="EE24" s="1115" t="n">
        <f aca="false">DU24*BF24</f>
        <v>0</v>
      </c>
      <c r="EF24" s="1115" t="n">
        <f aca="false">DV24*BG24</f>
        <v>0</v>
      </c>
      <c r="EG24" s="1115" t="n">
        <f aca="false">DS24*BD24+DT24*BE24+DU24*BF24+DV24*BG24</f>
        <v>0</v>
      </c>
      <c r="EH24" s="1116" t="n">
        <v>0</v>
      </c>
      <c r="EI24" s="1117" t="n">
        <v>0</v>
      </c>
      <c r="EJ24" s="1117" t="n">
        <v>0</v>
      </c>
      <c r="EK24" s="1117" t="n">
        <v>0</v>
      </c>
      <c r="EL24" s="1118" t="n">
        <f aca="false">IF(C24&gt;=Summary!$E$26,MAX(0,SUM(EH24:EK24)),0)</f>
        <v>0</v>
      </c>
      <c r="EM24" s="1115" t="n">
        <f aca="false">IF(C24&gt;=Summary!$E$26,DX24*BL24,0)</f>
        <v>0</v>
      </c>
      <c r="EN24" s="1115" t="n">
        <f aca="false">IF(C24&gt;=Summary!$E$26,DY24*BM24,0)</f>
        <v>0</v>
      </c>
      <c r="EO24" s="1115" t="n">
        <f aca="false">IF(C24&gt;=Summary!$E$26,DZ24*BN24,0)</f>
        <v>0</v>
      </c>
      <c r="EP24" s="1115" t="n">
        <f aca="false">IF(C24&gt;=Summary!$E$26,EA24*BO24,0)</f>
        <v>0</v>
      </c>
      <c r="EQ24" s="1115" t="n">
        <f aca="false">IF(C24&gt;=Summary!$E$26,DX24*BL24+DY24*BM24+DZ24*BN24+EA24*BO24,0)</f>
        <v>0</v>
      </c>
      <c r="ER24" s="1119" t="n">
        <v>0</v>
      </c>
      <c r="ES24" s="1120" t="n">
        <v>0</v>
      </c>
      <c r="ET24" s="1120" t="n">
        <v>0</v>
      </c>
      <c r="EU24" s="1120" t="n">
        <v>0</v>
      </c>
      <c r="EV24" s="1143" t="n">
        <f aca="false">IF(C24&gt;=Summary!$E$26,MAX(0,SUM(ER24:EU24)),0)</f>
        <v>0</v>
      </c>
      <c r="EW24" s="1115"/>
      <c r="EX24" s="1165" t="n">
        <f aca="false">(EQ24-EV24)+IF(EZ24="Yes",(EG24-EL24),0)</f>
        <v>0</v>
      </c>
      <c r="EY24" s="1166" t="str">
        <f aca="false">IF(EX24,EX24/EQ24,"")</f>
        <v/>
      </c>
      <c r="EZ24" s="1122" t="s">
        <v>37</v>
      </c>
      <c r="FA24" s="1096" t="n">
        <f aca="false">FA23</f>
        <v>45</v>
      </c>
      <c r="FB24" s="1167" t="n">
        <f aca="false">IF(EZ24="No",IF((OR(MONTH(C24)=5,MONTH(C24)=6,MONTH(C24)=7,MONTH(C24)=8,MONTH(C24)=9)),$FA24*12*AX24*(1-$BC24),$FA24*10*AX24*(1-$BC24)),0)</f>
        <v>12233.7</v>
      </c>
      <c r="FC24" s="1129" t="n">
        <f aca="false">IF(EZ24="No",IF((OR(MONTH(C24)=5,MONTH(C24)=6,MONTH(C24)=7,MONTH(C24)=8,MONTH(C24)=9)),0,$FA24*3*AX24*(1-$BC24)),0)</f>
        <v>0</v>
      </c>
      <c r="FD24" s="1129" t="n">
        <f aca="false">IF(EZ24="No",IF((OR(MONTH(C24)=5,MONTH(C24)=6,MONTH(C24)=7,MONTH(C24)=8,MONTH(C24)=9)),$FA24*12*AY24*(1-$BC24),$FA24*10*AY24*(1-$BC24)),0)</f>
        <v>2127.6</v>
      </c>
      <c r="FE24" s="1129" t="n">
        <f aca="false">IF(EZ24="No",IF((OR(MONTH(C24)=5,MONTH(C24)=6,MONTH(C24)=7,MONTH(C24)=8,MONTH(C24)=9)),0,$FA24*3*AY24*(1-$BC24)),0)</f>
        <v>0</v>
      </c>
      <c r="FF24" s="1129" t="n">
        <f aca="false">IF(EZ24="No",IF((OR(MONTH(C24)=5,MONTH(C24)=6,MONTH(C24)=7,MONTH(C24)=8,MONTH(C24)=9)),$FA24*12*(AZ24+BA24)*(1-$BC24),$FA24*10*(AZ24+BA24)*(1-$BC24)),0)</f>
        <v>2127.6</v>
      </c>
      <c r="FG24" s="1129" t="n">
        <f aca="false">IF(EZ24="No",IF((OR(MONTH(C24)=5,MONTH(C24)=6,MONTH(C24)=7,MONTH(C24)=8,MONTH(C24)=9)),0,$FA24*3*(AZ24+BA24)*(1-$BC24)),0)</f>
        <v>0</v>
      </c>
      <c r="FH24" s="1170" t="n">
        <f aca="false">IF(EZ24="No",IF((OR(MONTH(C24)=5,MONTH(C24)=6,MONTH(C24)=7,MONTH(C24)=8,MONTH(C24)=9)),Summary!$O$15*12*(AX24+AY24+AZ24+BA24)*(1-$BC24),Summary!$O$15*13*(AX24+AY24+AZ24+BA24)*(1-$BC24)+IF(Summary!$O$16="Yes",(CALC!FA24+Summary!$O$15)*6*(AX24+AY24+AZ24+BA24)*(1-$BC24),0)),0)</f>
        <v>0</v>
      </c>
      <c r="FI24" s="1126" t="n">
        <f aca="false">IF(MONTH(C24)=5,FI23*(IF(Summary!$E$70="no",(1+(Summary!$E$71*0.8)),1+HLOOKUP(YEAR(C24)-1,CCFMODEL!$I$127:$AF$128,2)*0.8)),+FI23)</f>
        <v>27.2410364963504</v>
      </c>
      <c r="FJ24" s="1127" t="n">
        <f aca="false">IF(MONTH(C24)=5,FJ23*(IF(Summary!$E$70="no",(1+(Summary!$E$71*0.8)),1+HLOOKUP(YEAR(CALC!C24)-1,CCFMODEL!$I$127:$AF$128,2)*0.8)),FJ23)</f>
        <v>23.8090948905109</v>
      </c>
      <c r="FK24" s="1128" t="n">
        <f aca="false">SUM(FB24:FG24)*FI24+FH24*FJ24</f>
        <v>449174.726684672</v>
      </c>
      <c r="FL24" s="1126" t="n">
        <f aca="false">IF(MONTH(C24)=5,FL23*(IF(Summary!$E$70="no",(1+(Summary!$E$71*0.8)),1+HLOOKUP(YEAR(CALC!C24)-1,CCFMODEL!$I$127:$AF$128,2)*0.8)),+FL23)</f>
        <v>57.2909537712895</v>
      </c>
      <c r="FM24" s="1127" t="n">
        <f aca="false">IF(MONTH(C24)=5,FM23*(IF(Summary!$E$70="no",(1+(Summary!$E$71*0.8)),1+HLOOKUP(YEAR(CALC!C24)-1,CCFMODEL!$I$127:$AF$128,2)*0.8)),+FM23)</f>
        <v>27.3431776155718</v>
      </c>
      <c r="FN24" s="1128" t="n">
        <f aca="false">IF((OR(MONTH(C24)=5,MONTH(C24)=6,MONTH(C24)=7,MONTH(C24)=8,MONTH(C24)=9)),SUM(FB24:FG24)/(1-BC24)*FL24,SUM(FB24:FG24)/(1-BC24)*FM24)</f>
        <v>959050.566131387</v>
      </c>
      <c r="FO24" s="1129" t="n">
        <f aca="false">FK24+FN24</f>
        <v>1408225.29281606</v>
      </c>
      <c r="FP24" s="1169" t="n">
        <f aca="false">FB24</f>
        <v>12233.7</v>
      </c>
      <c r="FQ24" s="1129" t="n">
        <f aca="false">FC24</f>
        <v>0</v>
      </c>
      <c r="FR24" s="1129" t="n">
        <f aca="false">FD24</f>
        <v>2127.6</v>
      </c>
      <c r="FS24" s="1129" t="n">
        <f aca="false">FE24</f>
        <v>0</v>
      </c>
      <c r="FT24" s="1129" t="n">
        <f aca="false">FF24</f>
        <v>2127.6</v>
      </c>
      <c r="FU24" s="1129" t="n">
        <f aca="false">FG24</f>
        <v>0</v>
      </c>
      <c r="FV24" s="1170" t="n">
        <f aca="false">FH24</f>
        <v>0</v>
      </c>
      <c r="FW24" s="1115" t="n">
        <f aca="false">IF(ER24&gt;0,MIN(FB24-FP24,BL24),0)</f>
        <v>0</v>
      </c>
      <c r="FX24" s="1115" t="n">
        <f aca="false">IF(ES24&gt;0,MIN(FD24-FR24,BM24),0)</f>
        <v>0</v>
      </c>
      <c r="FY24" s="1115" t="n">
        <f aca="false">IF(ET24&gt;0,MIN(FF24-FT24,BN24),0)</f>
        <v>0</v>
      </c>
      <c r="FZ24" s="1143" t="n">
        <f aca="false">IF(EU24&gt;0,MIN(FH24-FV24,BO24),0)</f>
        <v>0</v>
      </c>
      <c r="GA24" s="1132" t="n">
        <f aca="false">(SUM(FP24:FV24)+SUM(GU24:HB24)/(1-Summary!$O$25))*CY24/1000</f>
        <v>202709.080752768</v>
      </c>
      <c r="GB24" s="1133" t="n">
        <f aca="false">IF($C24&lt;Summary!$M$81,+Summary!$O$81,VLOOKUP(C24,GasTable,19))</f>
        <v>2.4</v>
      </c>
      <c r="GC24" s="1134" t="n">
        <f aca="false">IF(H24&lt;=Summary!$N$84,MIN(GA24,Summary!$O$75*(H24-G24+1)),0)</f>
        <v>155000</v>
      </c>
      <c r="GD24" s="1135" t="n">
        <f aca="false">IF(Summary!$O$75*(H24-G24+1)*0.8&gt;GC24,1,0)</f>
        <v>0</v>
      </c>
      <c r="GE24" s="1136" t="n">
        <v>0</v>
      </c>
      <c r="GF24" s="1134" t="n">
        <f aca="false">ABS(MIN(0,GC24-$GA24))</f>
        <v>47709.080752768</v>
      </c>
      <c r="GG24" s="1135" t="n">
        <f aca="false">GF24*(IF(Summary!$O$74=1,VLOOKUP($C24,GasTable,16)+Summary!$O$92+Summary!$O$93,VLOOKUP($C24,GasTable,19)+Summary!$O$92+Summary!$O$93))</f>
        <v>2485.64310721921</v>
      </c>
      <c r="GH24" s="1137" t="n">
        <v>22382</v>
      </c>
      <c r="GI24" s="1138" t="n">
        <v>0</v>
      </c>
      <c r="GJ24" s="1139" t="n">
        <f aca="false">+GB24*GC24+GE24+GG24+GH24-GI24</f>
        <v>396867.643107219</v>
      </c>
      <c r="GK24" s="1115" t="n">
        <f aca="false">SUM(FP24:FV24,GU24:GX24,GY24:HB24)</f>
        <v>26035.9731</v>
      </c>
      <c r="GL24" s="1140" t="n">
        <v>0.75452394224</v>
      </c>
      <c r="GM24" s="1141" t="n">
        <f aca="false">IF(GK24&gt;GC24/(CY24/1000),GC24/(CY24/1000),+GK24)*GL24</f>
        <v>15221</v>
      </c>
      <c r="GN24" s="1115" t="n">
        <f aca="false">IF(SUM(GU24:HB24)=0,0,IF(Summary!$O$16="Yes",SUM(GX24:HB24),IF(Summary!$O$17="Yes",SUM(GY24:HB24),SUM(GU24:HB24))))</f>
        <v>9547.0731</v>
      </c>
      <c r="GO24" s="1142" t="n">
        <v>5.55222627737226</v>
      </c>
      <c r="GP24" s="1143" t="n">
        <f aca="false">GN24*GO24</f>
        <v>53007.5101378139</v>
      </c>
      <c r="GQ24" s="1115"/>
      <c r="GR24" s="1115"/>
      <c r="GS24" s="1115"/>
      <c r="GT24" s="1115"/>
      <c r="GU24" s="1150" t="n">
        <v>3935.1735</v>
      </c>
      <c r="GV24" s="1115" t="n">
        <v>684.378</v>
      </c>
      <c r="GW24" s="1115" t="n">
        <v>684.378</v>
      </c>
      <c r="GX24" s="1115"/>
      <c r="GY24" s="1151" t="n">
        <v>3148.1388</v>
      </c>
      <c r="GZ24" s="1115" t="n">
        <v>547.5024</v>
      </c>
      <c r="HA24" s="1115" t="n">
        <v>547.5024</v>
      </c>
      <c r="HB24" s="1141"/>
      <c r="HC24" s="1115" t="n">
        <v>9547.0731</v>
      </c>
      <c r="HD24" s="1115"/>
      <c r="HE24" s="1115" t="n">
        <v>9547.0731</v>
      </c>
      <c r="HF24" s="1115" t="n">
        <v>823772.928949875</v>
      </c>
      <c r="HG24" s="1115"/>
      <c r="HH24" s="1142" t="n">
        <v>86.285390330768</v>
      </c>
      <c r="HI24" s="1115" t="n">
        <v>823772.928949875</v>
      </c>
      <c r="HJ24" s="1150" t="n">
        <f aca="false">MAX(FB24-FP24-FW24,0)</f>
        <v>0</v>
      </c>
      <c r="HK24" s="1115" t="n">
        <f aca="false">MAX(FD24-FR24-FX24,0)</f>
        <v>0</v>
      </c>
      <c r="HL24" s="1115" t="n">
        <f aca="false">MAX(FF24-FT24-FY24,0)</f>
        <v>0</v>
      </c>
      <c r="HM24" s="1141" t="n">
        <f aca="false">MAX(FH24-FV24-FZ24,0)</f>
        <v>0</v>
      </c>
      <c r="HN24" s="1115" t="n">
        <f aca="false">SUM(HJ24:HM24)</f>
        <v>0</v>
      </c>
      <c r="HO24" s="1142" t="n">
        <f aca="false">IF(ISERROR(+HP24/HN24),0,+HP24/HN24)</f>
        <v>0</v>
      </c>
      <c r="HP24" s="1143" t="n">
        <f aca="false">(HJ24*CE24+HK24*CF24+HL24*CG24+HM24*CH24)</f>
        <v>0</v>
      </c>
      <c r="HQ24" s="1146" t="n">
        <v>2006</v>
      </c>
      <c r="HR24" s="1150" t="e">
        <f aca="false">SUMIF($D$17:$D$292,HQ24,$FB$17:$FB$292)+SUMIF($D$17:$D$292,HQ24,$FC$17:$FC$292)+SUMIF($D$17:$D$292,HQ24,$FD$17:$FD$292)+SUMIF($D$17:$D$292,HQ24,$FE$17:$FE$292)+SUMIF($D$17:$D$292,HQ24,$FF$17:$FF$292)+SUMIF($D$17:$D$292,HQ24,$FG$17:$FG$292)+SUMIF($D$17:$D$292,HQ24,$FH$17:$FH$292)</f>
        <v>#VALUE!</v>
      </c>
      <c r="HS24" s="1110" t="e">
        <f aca="false">IF(HT24=0,0,HT24/HR24)</f>
        <v>#VALUE!</v>
      </c>
      <c r="HT24" s="1141" t="e">
        <f aca="false">SUMIF($D$17:$D$292,HQ24,$FO$17:$FO$292)</f>
        <v>#VALUE!</v>
      </c>
      <c r="HU24" s="1151" t="n">
        <v>98772.85485</v>
      </c>
      <c r="HV24" s="1142" t="n">
        <v>39.7719263511116</v>
      </c>
      <c r="HW24" s="1115" t="n">
        <v>3928386.70858324</v>
      </c>
      <c r="HX24" s="1171" t="n">
        <v>0</v>
      </c>
      <c r="HY24" s="1143" t="e">
        <f aca="false">HT24+HW24+HX24</f>
        <v>#VALUE!</v>
      </c>
      <c r="HZ24" s="1150" t="n">
        <v>2372972.52733147</v>
      </c>
      <c r="IA24" s="1142" t="n">
        <v>-2.63612490118586</v>
      </c>
      <c r="IB24" s="1141" t="n">
        <v>-6255451.96912843</v>
      </c>
      <c r="IC24" s="1151" t="n">
        <v>302313.25485</v>
      </c>
      <c r="ID24" s="1142" t="e">
        <f aca="false">IF(IE24=0,0,IE24/IC24)</f>
        <v>#VALUE!</v>
      </c>
      <c r="IE24" s="1141" t="e">
        <f aca="false">-SUMIF($D$17:$D$292,HQ24,$GM$17:$GM$292)</f>
        <v>#VALUE!</v>
      </c>
      <c r="IF24" s="1115" t="n">
        <f aca="false">SUMIF($D$17:$D$292,HQ24,$GN$17:$GN$292)</f>
        <v>125412.2685</v>
      </c>
      <c r="IG24" s="1142" t="n">
        <f aca="false">IF(IH24=0,0,IH24/IF24)</f>
        <v>-2.23774864584444</v>
      </c>
      <c r="IH24" s="1141" t="n">
        <v>-280641.134008154</v>
      </c>
      <c r="II24" s="1115" t="e">
        <f aca="false">SUMIF($D$17:$D$292,HQ24,$HN$17:$HN$292)</f>
        <v>#VALUE!</v>
      </c>
      <c r="IJ24" s="1142" t="e">
        <f aca="false">IF(IK24=0,0,IK24/II24)</f>
        <v>#VALUE!</v>
      </c>
      <c r="IK24" s="1115" t="e">
        <f aca="false">-SUMIF($D$17:$D$292,HQ24,$HP$17:$HP$292)</f>
        <v>#VALUE!</v>
      </c>
      <c r="IL24" s="1152" t="e">
        <f aca="false">HY24+IB24+IE24+IH24</f>
        <v>#VALUE!</v>
      </c>
      <c r="IN24" s="222"/>
      <c r="IO24" s="162"/>
      <c r="IR24" s="844"/>
    </row>
    <row r="25" customFormat="false" ht="13.5" hidden="false" customHeight="false" outlineLevel="0" collapsed="false">
      <c r="A25" s="0" t="str">
        <f aca="false">+D25&amp;"Q"&amp;ROUNDUP(E25/3,0)</f>
        <v>2000Q3</v>
      </c>
      <c r="B25" s="0" t="n">
        <f aca="false">YEAR(C25)</f>
        <v>2000</v>
      </c>
      <c r="C25" s="1153" t="n">
        <f aca="false">EOMONTH(C24,0)+1</f>
        <v>36770</v>
      </c>
      <c r="D25" s="841" t="n">
        <f aca="false">+YEAR(C25)</f>
        <v>2000</v>
      </c>
      <c r="E25" s="807" t="n">
        <f aca="false">MONTH(C25)</f>
        <v>9</v>
      </c>
      <c r="F25" s="1154" t="e">
        <f aca="false">IF(G25="","",Holiday(D25,E25))</f>
        <v>#VALUE!</v>
      </c>
      <c r="G25" s="1155" t="n">
        <v>36770</v>
      </c>
      <c r="H25" s="1156" t="n">
        <v>36799</v>
      </c>
      <c r="I25" s="1157" t="n">
        <f aca="false">I24</f>
        <v>0.0715</v>
      </c>
      <c r="J25" s="1158" t="n">
        <f aca="false">(1+I25/2)^(-2*(DATE(D26,E26,20)-$H$7)/365.25)</f>
        <v>0.942117849274467</v>
      </c>
      <c r="K25" s="1159" t="e">
        <f aca="false">IF(#REF!=1,+#REF!,I25+#REF!/10000)</f>
        <v>#REF!</v>
      </c>
      <c r="L25" s="1158" t="e">
        <f aca="false">(1+K25/2)^(-2*(DATE(D26,E26,20)-$H$7)/365.25)</f>
        <v>#REF!</v>
      </c>
      <c r="M25" s="1082" t="n">
        <v>0</v>
      </c>
      <c r="N25" s="1160" t="n">
        <v>0</v>
      </c>
      <c r="O25" s="1161" t="n">
        <v>0</v>
      </c>
      <c r="P25" s="1162" t="n">
        <v>0</v>
      </c>
      <c r="Q25" s="1160" t="n">
        <v>0</v>
      </c>
      <c r="R25" s="1161" t="n">
        <v>0</v>
      </c>
      <c r="S25" s="1160" t="n">
        <v>0</v>
      </c>
      <c r="T25" s="1160" t="n">
        <v>0</v>
      </c>
      <c r="U25" s="1160" t="n">
        <v>0</v>
      </c>
      <c r="V25" s="1162" t="n">
        <v>0</v>
      </c>
      <c r="W25" s="1160" t="n">
        <v>0</v>
      </c>
      <c r="X25" s="1163" t="n">
        <v>0</v>
      </c>
      <c r="Y25" s="1086" t="n">
        <v>0</v>
      </c>
      <c r="Z25" s="1086" t="n">
        <v>0</v>
      </c>
      <c r="AA25" s="1087" t="n">
        <v>0</v>
      </c>
      <c r="AB25" s="1086" t="n">
        <v>0</v>
      </c>
      <c r="AC25" s="1086" t="n">
        <v>0</v>
      </c>
      <c r="AD25" s="1087" t="n">
        <v>0</v>
      </c>
      <c r="AE25" s="1086" t="n">
        <v>0</v>
      </c>
      <c r="AF25" s="1086" t="n">
        <v>0</v>
      </c>
      <c r="AG25" s="1087" t="n">
        <v>0</v>
      </c>
      <c r="AH25" s="1086" t="n">
        <v>0</v>
      </c>
      <c r="AI25" s="1086" t="n">
        <v>0</v>
      </c>
      <c r="AJ25" s="1087" t="n">
        <v>0</v>
      </c>
      <c r="AK25" s="1086" t="n">
        <v>0</v>
      </c>
      <c r="AL25" s="1086" t="n">
        <v>0</v>
      </c>
      <c r="AM25" s="1087" t="n">
        <v>0</v>
      </c>
      <c r="AN25" s="1086" t="n">
        <v>0</v>
      </c>
      <c r="AO25" s="1086" t="n">
        <v>0</v>
      </c>
      <c r="AP25" s="1087" t="n">
        <v>0</v>
      </c>
      <c r="AQ25" s="1086" t="n">
        <v>0</v>
      </c>
      <c r="AR25" s="1086" t="n">
        <v>0</v>
      </c>
      <c r="AS25" s="1087" t="n">
        <v>0</v>
      </c>
      <c r="AT25" s="1086" t="n">
        <v>0</v>
      </c>
      <c r="AU25" s="1086" t="n">
        <v>0</v>
      </c>
      <c r="AV25" s="1086" t="n">
        <v>0</v>
      </c>
      <c r="AW25" s="1172" t="n">
        <v>0</v>
      </c>
      <c r="AX25" s="807" t="e">
        <f aca="false">BB25-SUM(AY25:BA25)</f>
        <v>#VALUE!</v>
      </c>
      <c r="AY25" s="807" t="e">
        <f aca="false">IF(AND($E25=MONTH(Summary!$E$24),$D25=YEAR(Summary!$E$24)),Summary!$E$25,1)*IF(G25="",0,INT((H25-MOD(H25,7)-G25)/7)+1-IF(BA25,IF(WEEKDAY(F25)=7,1,0),0))</f>
        <v>#VALUE!</v>
      </c>
      <c r="AZ25" s="807" t="e">
        <f aca="false">IF(AND($E25=MONTH(Summary!$E$24),$D25=YEAR(Summary!$E$24)),Summary!$E$25,1)*IF(G25="",0,INT((H25-MOD(H25-1,7)-G25)/7)+1-IF(BA25,IF(WEEKDAY(F25)=1,1,0),0))</f>
        <v>#VALUE!</v>
      </c>
      <c r="BA25" s="807" t="n">
        <v>1</v>
      </c>
      <c r="BB25" s="807" t="n">
        <f aca="false">IF(AND($E25=MONTH(Summary!$E$24),$D25=YEAR(Summary!$E$24)),Summary!$E$25,1)*IF(G25="",0,H25-G25+1)</f>
        <v>30</v>
      </c>
      <c r="BC25" s="1089" t="n">
        <f aca="false">Summary!$E$19</f>
        <v>0.015</v>
      </c>
      <c r="BD25" s="1090" t="n">
        <v>14184</v>
      </c>
      <c r="BE25" s="1091" t="n">
        <v>3546</v>
      </c>
      <c r="BF25" s="1091" t="n">
        <v>3546</v>
      </c>
      <c r="BG25" s="842"/>
      <c r="BH25" s="1092" t="n">
        <v>1</v>
      </c>
      <c r="BI25" s="1092" t="n">
        <v>1</v>
      </c>
      <c r="BJ25" s="1092" t="n">
        <v>1</v>
      </c>
      <c r="BK25" s="1092" t="n">
        <v>1</v>
      </c>
      <c r="BL25" s="1093" t="n">
        <v>2836.8</v>
      </c>
      <c r="BM25" s="1091" t="n">
        <v>709.2</v>
      </c>
      <c r="BN25" s="1091" t="n">
        <v>709.2</v>
      </c>
      <c r="BO25" s="842"/>
      <c r="BP25" s="1092" t="n">
        <v>1</v>
      </c>
      <c r="BQ25" s="1094" t="n">
        <v>1</v>
      </c>
      <c r="BR25" s="1094" t="n">
        <v>1</v>
      </c>
      <c r="BS25" s="1095" t="n">
        <v>1</v>
      </c>
      <c r="BT25" s="1093" t="n">
        <f aca="false">SUM(BD25:BF25)</f>
        <v>21276</v>
      </c>
      <c r="BU25" s="1098" t="n">
        <f aca="false">SUM(BD25:BG25)</f>
        <v>21276</v>
      </c>
      <c r="BV25" s="1090" t="n">
        <f aca="false">SUM(BL25:BN25)</f>
        <v>4255.2</v>
      </c>
      <c r="BW25" s="1098" t="n">
        <f aca="false">SUM(BL25:BO25)</f>
        <v>4255.2</v>
      </c>
      <c r="BX25" s="852" t="n">
        <v>0.714579055441479</v>
      </c>
      <c r="BY25" s="1099" t="n">
        <v>0</v>
      </c>
      <c r="BZ25" s="852" t="n">
        <v>0</v>
      </c>
      <c r="CA25" s="852" t="n">
        <v>0</v>
      </c>
      <c r="CB25" s="852" t="n">
        <v>0</v>
      </c>
      <c r="CC25" s="852" t="n">
        <v>0</v>
      </c>
      <c r="CD25" s="852" t="n">
        <v>0</v>
      </c>
      <c r="CE25" s="1100" t="n">
        <v>0</v>
      </c>
      <c r="CF25" s="852" t="n">
        <v>0</v>
      </c>
      <c r="CG25" s="852" t="n">
        <v>0</v>
      </c>
      <c r="CH25" s="852" t="n">
        <v>0</v>
      </c>
      <c r="CI25" s="852" t="n">
        <v>0</v>
      </c>
      <c r="CJ25" s="1101" t="n">
        <v>0</v>
      </c>
      <c r="CK25" s="852" t="n">
        <v>0</v>
      </c>
      <c r="CL25" s="852" t="n">
        <v>0</v>
      </c>
      <c r="CM25" s="852" t="n">
        <v>0</v>
      </c>
      <c r="CN25" s="852" t="n">
        <v>0</v>
      </c>
      <c r="CO25" s="852" t="n">
        <v>0</v>
      </c>
      <c r="CP25" s="852" t="n">
        <v>0</v>
      </c>
      <c r="CQ25" s="1102" t="n">
        <v>0</v>
      </c>
      <c r="CR25" s="1103" t="n">
        <v>0</v>
      </c>
      <c r="CS25" s="1103" t="n">
        <v>0</v>
      </c>
      <c r="CT25" s="1103" t="n">
        <v>0</v>
      </c>
      <c r="CU25" s="1103" t="n">
        <v>0</v>
      </c>
      <c r="CV25" s="1103" t="n">
        <v>0</v>
      </c>
      <c r="CW25" s="1103" t="n">
        <v>0</v>
      </c>
      <c r="CX25" s="1104" t="n">
        <v>0</v>
      </c>
      <c r="CY25" s="1105" t="n">
        <v>7685.49752</v>
      </c>
      <c r="CZ25" s="1099" t="n">
        <v>0</v>
      </c>
      <c r="DA25" s="852" t="n">
        <v>0</v>
      </c>
      <c r="DB25" s="852" t="n">
        <v>0</v>
      </c>
      <c r="DC25" s="852" t="n">
        <v>0</v>
      </c>
      <c r="DD25" s="852" t="n">
        <v>0</v>
      </c>
      <c r="DE25" s="1113" t="n">
        <v>0</v>
      </c>
      <c r="DF25" s="1109" t="n">
        <v>0</v>
      </c>
      <c r="DG25" s="1110" t="n">
        <v>0</v>
      </c>
      <c r="DH25" s="1111" t="n">
        <v>0</v>
      </c>
      <c r="DI25" s="1112" t="n">
        <v>0</v>
      </c>
      <c r="DJ25" s="1112" t="n">
        <v>0</v>
      </c>
      <c r="DK25" s="1112" t="n">
        <v>0</v>
      </c>
      <c r="DL25" s="1113" t="n">
        <v>0</v>
      </c>
      <c r="DM25" s="1114" t="n">
        <v>0</v>
      </c>
      <c r="DN25" s="1114" t="n">
        <v>0</v>
      </c>
      <c r="DO25" s="1114" t="n">
        <v>0</v>
      </c>
      <c r="DP25" s="1114" t="n">
        <v>0</v>
      </c>
      <c r="DQ25" s="1114" t="n">
        <v>0</v>
      </c>
      <c r="DR25" s="1109" t="n">
        <v>0</v>
      </c>
      <c r="DS25" s="852" t="n">
        <v>0</v>
      </c>
      <c r="DT25" s="852" t="n">
        <v>0</v>
      </c>
      <c r="DU25" s="852" t="n">
        <v>0</v>
      </c>
      <c r="DV25" s="852" t="n">
        <v>0</v>
      </c>
      <c r="DW25" s="852" t="n">
        <v>0</v>
      </c>
      <c r="DX25" s="852" t="n">
        <v>0</v>
      </c>
      <c r="DY25" s="852" t="n">
        <v>0</v>
      </c>
      <c r="DZ25" s="852" t="n">
        <v>0</v>
      </c>
      <c r="EA25" s="852" t="n">
        <v>0</v>
      </c>
      <c r="EB25" s="1113" t="n">
        <v>0</v>
      </c>
      <c r="EC25" s="1115" t="n">
        <f aca="false">DS25*BD25</f>
        <v>0</v>
      </c>
      <c r="ED25" s="1115" t="n">
        <f aca="false">DT25*BE25</f>
        <v>0</v>
      </c>
      <c r="EE25" s="1115" t="n">
        <f aca="false">DU25*BF25</f>
        <v>0</v>
      </c>
      <c r="EF25" s="1115" t="n">
        <f aca="false">DV25*BG25</f>
        <v>0</v>
      </c>
      <c r="EG25" s="1115" t="n">
        <f aca="false">DS25*BD25+DT25*BE25+DU25*BF25+DV25*BG25</f>
        <v>0</v>
      </c>
      <c r="EH25" s="1116" t="n">
        <v>0</v>
      </c>
      <c r="EI25" s="1117" t="n">
        <v>0</v>
      </c>
      <c r="EJ25" s="1117" t="n">
        <v>0</v>
      </c>
      <c r="EK25" s="1117" t="n">
        <v>0</v>
      </c>
      <c r="EL25" s="1118" t="n">
        <f aca="false">IF(C25&gt;=Summary!$E$26,MAX(0,SUM(EH25:EK25)),0)</f>
        <v>0</v>
      </c>
      <c r="EM25" s="1115" t="n">
        <f aca="false">IF(C25&gt;=Summary!$E$26,DX25*BL25,0)</f>
        <v>0</v>
      </c>
      <c r="EN25" s="1115" t="n">
        <f aca="false">IF(C25&gt;=Summary!$E$26,DY25*BM25,0)</f>
        <v>0</v>
      </c>
      <c r="EO25" s="1115" t="n">
        <f aca="false">IF(C25&gt;=Summary!$E$26,DZ25*BN25,0)</f>
        <v>0</v>
      </c>
      <c r="EP25" s="1115" t="n">
        <f aca="false">IF(C25&gt;=Summary!$E$26,EA25*BO25,0)</f>
        <v>0</v>
      </c>
      <c r="EQ25" s="1115" t="n">
        <f aca="false">IF(C25&gt;=Summary!$E$26,DX25*BL25+DY25*BM25+DZ25*BN25+EA25*BO25,0)</f>
        <v>0</v>
      </c>
      <c r="ER25" s="1119" t="n">
        <v>0</v>
      </c>
      <c r="ES25" s="1120" t="n">
        <v>0</v>
      </c>
      <c r="ET25" s="1120" t="n">
        <v>0</v>
      </c>
      <c r="EU25" s="1120" t="n">
        <v>0</v>
      </c>
      <c r="EV25" s="1143" t="n">
        <f aca="false">IF(C25&gt;=Summary!$E$26,MAX(0,SUM(ER25:EU25)),0)</f>
        <v>0</v>
      </c>
      <c r="EW25" s="1115"/>
      <c r="EX25" s="1165" t="n">
        <f aca="false">(EQ25-EV25)+IF(EZ25="Yes",(EG25-EL25),0)</f>
        <v>0</v>
      </c>
      <c r="EY25" s="1166" t="str">
        <f aca="false">IF(EX25,EX25/EQ25,"")</f>
        <v/>
      </c>
      <c r="EZ25" s="1122" t="s">
        <v>37</v>
      </c>
      <c r="FA25" s="1096" t="n">
        <f aca="false">FA24</f>
        <v>45</v>
      </c>
      <c r="FB25" s="1167" t="e">
        <f aca="false">IF(EZ25="No",IF((OR(MONTH(C25)=5,MONTH(C25)=6,MONTH(C25)=7,MONTH(C25)=8,MONTH(C25)=9)),$FA25*12*AX25*(1-$BC25),$FA25*10*AX25*(1-$BC25)),0)</f>
        <v>#VALUE!</v>
      </c>
      <c r="FC25" s="1129" t="n">
        <f aca="false">IF(EZ25="No",IF((OR(MONTH(C25)=5,MONTH(C25)=6,MONTH(C25)=7,MONTH(C25)=8,MONTH(C25)=9)),0,$FA25*3*AX25*(1-$BC25)),0)</f>
        <v>0</v>
      </c>
      <c r="FD25" s="1129" t="e">
        <f aca="false">IF(EZ25="No",IF((OR(MONTH(C25)=5,MONTH(C25)=6,MONTH(C25)=7,MONTH(C25)=8,MONTH(C25)=9)),$FA25*12*AY25*(1-$BC25),$FA25*10*AY25*(1-$BC25)),0)</f>
        <v>#VALUE!</v>
      </c>
      <c r="FE25" s="1129" t="n">
        <f aca="false">IF(EZ25="No",IF((OR(MONTH(C25)=5,MONTH(C25)=6,MONTH(C25)=7,MONTH(C25)=8,MONTH(C25)=9)),0,$FA25*3*AY25*(1-$BC25)),0)</f>
        <v>0</v>
      </c>
      <c r="FF25" s="1129" t="e">
        <f aca="false">IF(EZ25="No",IF((OR(MONTH(C25)=5,MONTH(C25)=6,MONTH(C25)=7,MONTH(C25)=8,MONTH(C25)=9)),$FA25*12*(AZ25+BA25)*(1-$BC25),$FA25*10*(AZ25+BA25)*(1-$BC25)),0)</f>
        <v>#VALUE!</v>
      </c>
      <c r="FG25" s="1129" t="n">
        <f aca="false">IF(EZ25="No",IF((OR(MONTH(C25)=5,MONTH(C25)=6,MONTH(C25)=7,MONTH(C25)=8,MONTH(C25)=9)),0,$FA25*3*(AZ25+BA25)*(1-$BC25)),0)</f>
        <v>0</v>
      </c>
      <c r="FH25" s="1170" t="e">
        <f aca="false">IF(EZ25="No",IF((OR(MONTH(C25)=5,MONTH(C25)=6,MONTH(C25)=7,MONTH(C25)=8,MONTH(C25)=9)),Summary!$O$15*12*(AX25+AY25+AZ25+BA25)*(1-$BC25),Summary!$O$15*13*(AX25+AY25+AZ25+BA25)*(1-$BC25)+IF(Summary!$O$16="Yes",(CALC!FA25+Summary!$O$15)*6*(AX25+AY25+AZ25+BA25)*(1-$BC25),0)),0)</f>
        <v>#VALUE!</v>
      </c>
      <c r="FI25" s="1126" t="n">
        <f aca="false">IF(MONTH(C25)=5,FI24*(IF(Summary!$E$70="no",(1+(Summary!$E$71*0.8)),1+HLOOKUP(YEAR(C25)-1,CCFMODEL!$I$127:$AF$128,2)*0.8)),+FI24)</f>
        <v>27.2410364963504</v>
      </c>
      <c r="FJ25" s="1127" t="n">
        <f aca="false">IF(MONTH(C25)=5,FJ24*(IF(Summary!$E$70="no",(1+(Summary!$E$71*0.8)),1+HLOOKUP(YEAR(CALC!C25)-1,CCFMODEL!$I$127:$AF$128,2)*0.8)),FJ24)</f>
        <v>23.8090948905109</v>
      </c>
      <c r="FK25" s="1128" t="e">
        <f aca="false">SUM(FB25:FG25)*FI25+FH25*FJ25</f>
        <v>#VALUE!</v>
      </c>
      <c r="FL25" s="1126" t="n">
        <f aca="false">IF(MONTH(C25)=5,FL24*(IF(Summary!$E$70="no",(1+(Summary!$E$71*0.8)),1+HLOOKUP(YEAR(CALC!C25)-1,CCFMODEL!$I$127:$AF$128,2)*0.8)),+FL24)</f>
        <v>57.2909537712895</v>
      </c>
      <c r="FM25" s="1127" t="n">
        <f aca="false">IF(MONTH(C25)=5,FM24*(IF(Summary!$E$70="no",(1+(Summary!$E$71*0.8)),1+HLOOKUP(YEAR(CALC!C25)-1,CCFMODEL!$I$127:$AF$128,2)*0.8)),+FM24)</f>
        <v>27.3431776155718</v>
      </c>
      <c r="FN25" s="1128" t="e">
        <f aca="false">IF((OR(MONTH(C25)=5,MONTH(C25)=6,MONTH(C25)=7,MONTH(C25)=8,MONTH(C25)=9)),SUM(FB25:FG25)/(1-BC25)*FL25,SUM(FB25:FG25)/(1-BC25)*FM25)</f>
        <v>#VALUE!</v>
      </c>
      <c r="FO25" s="1129" t="e">
        <f aca="false">FK25+FN25</f>
        <v>#VALUE!</v>
      </c>
      <c r="FP25" s="1169" t="e">
        <f aca="false">FB25</f>
        <v>#VALUE!</v>
      </c>
      <c r="FQ25" s="1129" t="n">
        <f aca="false">FC25</f>
        <v>0</v>
      </c>
      <c r="FR25" s="1129" t="e">
        <f aca="false">FD25</f>
        <v>#VALUE!</v>
      </c>
      <c r="FS25" s="1129" t="n">
        <f aca="false">FE25</f>
        <v>0</v>
      </c>
      <c r="FT25" s="1129" t="e">
        <f aca="false">FF25</f>
        <v>#VALUE!</v>
      </c>
      <c r="FU25" s="1129" t="n">
        <f aca="false">FG25</f>
        <v>0</v>
      </c>
      <c r="FV25" s="1170" t="e">
        <f aca="false">FH25</f>
        <v>#VALUE!</v>
      </c>
      <c r="FW25" s="1115" t="n">
        <f aca="false">IF(ER25&gt;0,MIN(FB25-FP25,BL25),0)</f>
        <v>0</v>
      </c>
      <c r="FX25" s="1115" t="n">
        <f aca="false">IF(ES25&gt;0,MIN(FD25-FR25,BM25),0)</f>
        <v>0</v>
      </c>
      <c r="FY25" s="1115" t="n">
        <f aca="false">IF(ET25&gt;0,MIN(FF25-FT25,BN25),0)</f>
        <v>0</v>
      </c>
      <c r="FZ25" s="1143" t="n">
        <f aca="false">IF(EU25&gt;0,MIN(FH25-FV25,BO25),0)</f>
        <v>0</v>
      </c>
      <c r="GA25" s="1132" t="e">
        <f aca="false">(SUM(FP25:FV25)+SUM(GU25:HB25)/(1-Summary!$O$25))*CY25/1000</f>
        <v>#VALUE!</v>
      </c>
      <c r="GB25" s="1133" t="n">
        <f aca="false">IF($C25&lt;Summary!$M$81,+Summary!$O$81,VLOOKUP(C25,GasTable,19))</f>
        <v>2.4</v>
      </c>
      <c r="GC25" s="1134" t="e">
        <f aca="false">IF(H25&lt;=Summary!$N$84,MIN(GA25,Summary!$O$75*(H25-G25+1)),0)</f>
        <v>#VALUE!</v>
      </c>
      <c r="GD25" s="1135" t="e">
        <f aca="false">IF(Summary!$O$75*(H25-G25+1)*0.8&gt;GC25,1,0)</f>
        <v>#VALUE!</v>
      </c>
      <c r="GE25" s="1136" t="n">
        <v>0</v>
      </c>
      <c r="GF25" s="1134" t="e">
        <f aca="false">ABS(MIN(0,GC25-$GA25))</f>
        <v>#VALUE!</v>
      </c>
      <c r="GG25" s="1135" t="e">
        <f aca="false">GF25*(IF(Summary!$O$74=1,VLOOKUP($C25,GasTable,16)+Summary!$O$92+Summary!$O$93,VLOOKUP($C25,GasTable,19)+Summary!$O$92+Summary!$O$93))</f>
        <v>#VALUE!</v>
      </c>
      <c r="GH25" s="1137" t="n">
        <v>24000</v>
      </c>
      <c r="GI25" s="1138" t="n">
        <v>0</v>
      </c>
      <c r="GJ25" s="1139" t="e">
        <f aca="false">+GB25*GC25+GE25+GG25+GH25-GI25</f>
        <v>#VALUE!</v>
      </c>
      <c r="GK25" s="1115" t="e">
        <f aca="false">SUM(FP25:FV25,GU25:GX25,GY25:HB25)</f>
        <v>#VALUE!</v>
      </c>
      <c r="GL25" s="1140" t="n">
        <v>0.754715856464</v>
      </c>
      <c r="GM25" s="1141" t="e">
        <f aca="false">IF(GK25&gt;GC25/(CY25/1000),GC25/(CY25/1000),+GK25)*GL25</f>
        <v>#VALUE!</v>
      </c>
      <c r="GN25" s="1115" t="n">
        <f aca="false">IF(SUM(GU25:HB25)=0,0,IF(Summary!$O$16="Yes",SUM(GX25:HB25),IF(Summary!$O$17="Yes",SUM(GY25:HB25),SUM(GU25:HB25))))</f>
        <v>9239.103</v>
      </c>
      <c r="GO25" s="1142" t="n">
        <v>5.55222627737226</v>
      </c>
      <c r="GP25" s="1143" t="n">
        <f aca="false">GN25*GO25</f>
        <v>51297.5904559489</v>
      </c>
      <c r="GQ25" s="1115"/>
      <c r="GR25" s="1115"/>
      <c r="GS25" s="1115"/>
      <c r="GT25" s="1115"/>
      <c r="GU25" s="1150" t="n">
        <v>3421.89</v>
      </c>
      <c r="GV25" s="1115" t="n">
        <v>855.4725</v>
      </c>
      <c r="GW25" s="1115" t="n">
        <v>855.4725</v>
      </c>
      <c r="GX25" s="1115"/>
      <c r="GY25" s="1151" t="n">
        <v>2737.512</v>
      </c>
      <c r="GZ25" s="1115" t="n">
        <v>684.378</v>
      </c>
      <c r="HA25" s="1115" t="n">
        <v>684.378</v>
      </c>
      <c r="HB25" s="1141"/>
      <c r="HC25" s="1115" t="n">
        <v>9239.103</v>
      </c>
      <c r="HD25" s="1115"/>
      <c r="HE25" s="1115" t="n">
        <v>9239.103</v>
      </c>
      <c r="HF25" s="1115" t="n">
        <v>866897.138739375</v>
      </c>
      <c r="HG25" s="1115"/>
      <c r="HH25" s="1142" t="n">
        <v>93.8291453985711</v>
      </c>
      <c r="HI25" s="1115" t="n">
        <v>866897.138739375</v>
      </c>
      <c r="HJ25" s="1150" t="e">
        <f aca="false">MAX(FB25-FP25-FW25,0)</f>
        <v>#VALUE!</v>
      </c>
      <c r="HK25" s="1115" t="e">
        <f aca="false">MAX(FD25-FR25-FX25,0)</f>
        <v>#VALUE!</v>
      </c>
      <c r="HL25" s="1115" t="e">
        <f aca="false">MAX(FF25-FT25-FY25,0)</f>
        <v>#VALUE!</v>
      </c>
      <c r="HM25" s="1141" t="e">
        <f aca="false">MAX(FH25-FV25-FZ25,0)</f>
        <v>#VALUE!</v>
      </c>
      <c r="HN25" s="1115" t="e">
        <f aca="false">SUM(HJ25:HM25)</f>
        <v>#VALUE!</v>
      </c>
      <c r="HO25" s="1142" t="n">
        <f aca="false">IF(ISERROR(+HP25/HN25),0,+HP25/HN25)</f>
        <v>0</v>
      </c>
      <c r="HP25" s="1143" t="e">
        <f aca="false">(HJ25*CE25+HK25*CF25+HL25*CG25+HM25*CH25)</f>
        <v>#VALUE!</v>
      </c>
      <c r="HQ25" s="1146" t="n">
        <v>2007</v>
      </c>
      <c r="HR25" s="1150" t="e">
        <f aca="false">SUMIF($D$17:$D$292,HQ25,$FB$17:$FB$292)+SUMIF($D$17:$D$292,HQ25,$FC$17:$FC$292)+SUMIF($D$17:$D$292,HQ25,$FD$17:$FD$292)+SUMIF($D$17:$D$292,HQ25,$FE$17:$FE$292)+SUMIF($D$17:$D$292,HQ25,$FF$17:$FF$292)+SUMIF($D$17:$D$292,HQ25,$FG$17:$FG$292)+SUMIF($D$17:$D$292,HQ25,$FH$17:$FH$292)</f>
        <v>#VALUE!</v>
      </c>
      <c r="HS25" s="1110" t="e">
        <f aca="false">IF(HT25=0,0,HT25/HR25)</f>
        <v>#VALUE!</v>
      </c>
      <c r="HT25" s="1141" t="e">
        <f aca="false">SUMIF($D$17:$D$292,HQ25,$FO$17:$FO$292)</f>
        <v>#VALUE!</v>
      </c>
      <c r="HU25" s="1151" t="n">
        <v>99730.98405</v>
      </c>
      <c r="HV25" s="1142" t="n">
        <v>41.5344250745401</v>
      </c>
      <c r="HW25" s="1115" t="n">
        <v>4142269.08463487</v>
      </c>
      <c r="HX25" s="1171" t="n">
        <v>0</v>
      </c>
      <c r="HY25" s="1143" t="e">
        <f aca="false">HT25+HW25+HX25</f>
        <v>#VALUE!</v>
      </c>
      <c r="HZ25" s="1150" t="n">
        <v>2382449.07790686</v>
      </c>
      <c r="IA25" s="1142" t="n">
        <v>-2.65943426414344</v>
      </c>
      <c r="IB25" s="1141" t="n">
        <v>-6335966.71036246</v>
      </c>
      <c r="IC25" s="1151" t="n">
        <v>303271.38405</v>
      </c>
      <c r="ID25" s="1142" t="e">
        <f aca="false">IF(IE25=0,0,IE25/IC25)</f>
        <v>#VALUE!</v>
      </c>
      <c r="IE25" s="1141" t="e">
        <f aca="false">-SUMIF($D$17:$D$292,HQ25,$GM$17:$GM$292)</f>
        <v>#VALUE!</v>
      </c>
      <c r="IF25" s="1115" t="n">
        <f aca="false">SUMIF($D$17:$D$292,HQ25,$GN$17:$GN$292)</f>
        <v>125412.2685</v>
      </c>
      <c r="IG25" s="1142" t="n">
        <f aca="false">IF(IH25=0,0,IH25/IF25)</f>
        <v>-2.32723921051898</v>
      </c>
      <c r="IH25" s="1141" t="n">
        <v>-291864.348733334</v>
      </c>
      <c r="II25" s="1115" t="e">
        <f aca="false">SUMIF($D$17:$D$292,HQ25,$HN$17:$HN$292)</f>
        <v>#VALUE!</v>
      </c>
      <c r="IJ25" s="1142" t="e">
        <f aca="false">IF(IK25=0,0,IK25/II25)</f>
        <v>#VALUE!</v>
      </c>
      <c r="IK25" s="1115" t="e">
        <f aca="false">-SUMIF($D$17:$D$292,HQ25,$HP$17:$HP$292)</f>
        <v>#VALUE!</v>
      </c>
      <c r="IL25" s="1152" t="e">
        <f aca="false">HY25+IB25+IE25+IH25</f>
        <v>#VALUE!</v>
      </c>
      <c r="IN25" s="222"/>
      <c r="IO25" s="162"/>
      <c r="IR25" s="844"/>
    </row>
    <row r="26" customFormat="false" ht="13.5" hidden="false" customHeight="false" outlineLevel="0" collapsed="false">
      <c r="A26" s="0" t="str">
        <f aca="false">+D26&amp;"Q"&amp;ROUNDUP(E26/3,0)</f>
        <v>2000Q4</v>
      </c>
      <c r="B26" s="0" t="n">
        <f aca="false">YEAR(C26)</f>
        <v>2000</v>
      </c>
      <c r="C26" s="1153" t="n">
        <f aca="false">EOMONTH(C25,0)+1</f>
        <v>36800</v>
      </c>
      <c r="D26" s="841" t="n">
        <f aca="false">+YEAR(C26)</f>
        <v>2000</v>
      </c>
      <c r="E26" s="807" t="n">
        <f aca="false">MONTH(C26)</f>
        <v>10</v>
      </c>
      <c r="F26" s="1154" t="e">
        <f aca="false">IF(G26="","",Holiday(D26,E26))</f>
        <v>#VALUE!</v>
      </c>
      <c r="G26" s="1155" t="n">
        <v>36800</v>
      </c>
      <c r="H26" s="1156" t="n">
        <v>36830</v>
      </c>
      <c r="I26" s="1157" t="n">
        <f aca="false">I25</f>
        <v>0.0715</v>
      </c>
      <c r="J26" s="1158" t="n">
        <f aca="false">(1+I26/2)^(-2*(DATE(D27,E27,20)-$H$7)/365.25)</f>
        <v>0.936517193894871</v>
      </c>
      <c r="K26" s="1159" t="e">
        <f aca="false">IF(#REF!=1,+#REF!,I26+#REF!/10000)</f>
        <v>#REF!</v>
      </c>
      <c r="L26" s="1158" t="e">
        <f aca="false">(1+K26/2)^(-2*(DATE(D27,E27,20)-$H$7)/365.25)</f>
        <v>#REF!</v>
      </c>
      <c r="M26" s="1082" t="n">
        <v>0</v>
      </c>
      <c r="N26" s="1160" t="n">
        <v>0</v>
      </c>
      <c r="O26" s="1161" t="n">
        <v>0</v>
      </c>
      <c r="P26" s="1162" t="n">
        <v>0</v>
      </c>
      <c r="Q26" s="1160" t="n">
        <v>0</v>
      </c>
      <c r="R26" s="1161" t="n">
        <v>0</v>
      </c>
      <c r="S26" s="1160" t="n">
        <v>0</v>
      </c>
      <c r="T26" s="1160" t="n">
        <v>0</v>
      </c>
      <c r="U26" s="1160" t="n">
        <v>0</v>
      </c>
      <c r="V26" s="1162" t="n">
        <v>0</v>
      </c>
      <c r="W26" s="1160" t="n">
        <v>0</v>
      </c>
      <c r="X26" s="1163" t="n">
        <v>0</v>
      </c>
      <c r="Y26" s="1086" t="n">
        <v>0</v>
      </c>
      <c r="Z26" s="1086" t="n">
        <v>0</v>
      </c>
      <c r="AA26" s="1087" t="n">
        <v>0</v>
      </c>
      <c r="AB26" s="1086" t="n">
        <v>0</v>
      </c>
      <c r="AC26" s="1086" t="n">
        <v>0</v>
      </c>
      <c r="AD26" s="1087" t="n">
        <v>0</v>
      </c>
      <c r="AE26" s="1086" t="n">
        <v>0</v>
      </c>
      <c r="AF26" s="1086" t="n">
        <v>0</v>
      </c>
      <c r="AG26" s="1087" t="n">
        <v>0</v>
      </c>
      <c r="AH26" s="1086" t="n">
        <v>0</v>
      </c>
      <c r="AI26" s="1086" t="n">
        <v>0</v>
      </c>
      <c r="AJ26" s="1087" t="n">
        <v>0</v>
      </c>
      <c r="AK26" s="1086" t="n">
        <v>0</v>
      </c>
      <c r="AL26" s="1086" t="n">
        <v>0</v>
      </c>
      <c r="AM26" s="1087" t="n">
        <v>0</v>
      </c>
      <c r="AN26" s="1086" t="n">
        <v>0</v>
      </c>
      <c r="AO26" s="1086" t="n">
        <v>0</v>
      </c>
      <c r="AP26" s="1087" t="n">
        <v>0</v>
      </c>
      <c r="AQ26" s="1086" t="n">
        <v>0</v>
      </c>
      <c r="AR26" s="1086" t="n">
        <v>0</v>
      </c>
      <c r="AS26" s="1087" t="n">
        <v>0</v>
      </c>
      <c r="AT26" s="1086" t="n">
        <v>0</v>
      </c>
      <c r="AU26" s="1086" t="n">
        <v>0</v>
      </c>
      <c r="AV26" s="1086" t="n">
        <v>0</v>
      </c>
      <c r="AW26" s="1172" t="n">
        <v>0</v>
      </c>
      <c r="AX26" s="807" t="n">
        <f aca="false">BB26-SUM(AY26:BA26)</f>
        <v>22</v>
      </c>
      <c r="AY26" s="807" t="n">
        <f aca="false">IF(AND($E26=MONTH(Summary!$E$24),$D26=YEAR(Summary!$E$24)),Summary!$E$25,1)*IF(G26="",0,INT((H26-MOD(H26,7)-G26)/7)+1-IF(BA26,IF(WEEKDAY(F26)=7,1,0),0))</f>
        <v>4</v>
      </c>
      <c r="AZ26" s="807" t="n">
        <f aca="false">IF(AND($E26=MONTH(Summary!$E$24),$D26=YEAR(Summary!$E$24)),Summary!$E$25,1)*IF(G26="",0,INT((H26-MOD(H26-1,7)-G26)/7)+1-IF(BA26,IF(WEEKDAY(F26)=1,1,0),0))</f>
        <v>5</v>
      </c>
      <c r="BA26" s="807" t="n">
        <v>0</v>
      </c>
      <c r="BB26" s="807" t="n">
        <f aca="false">IF(AND($E26=MONTH(Summary!$E$24),$D26=YEAR(Summary!$E$24)),Summary!$E$25,1)*IF(G26="",0,H26-G26+1)</f>
        <v>31</v>
      </c>
      <c r="BC26" s="1089" t="n">
        <f aca="false">Summary!$E$19</f>
        <v>0.015</v>
      </c>
      <c r="BD26" s="1090" t="n">
        <v>15602.4</v>
      </c>
      <c r="BE26" s="1091" t="n">
        <v>2836.8</v>
      </c>
      <c r="BF26" s="1091" t="n">
        <v>3546</v>
      </c>
      <c r="BG26" s="842"/>
      <c r="BH26" s="1092" t="n">
        <v>1</v>
      </c>
      <c r="BI26" s="1092" t="n">
        <v>1</v>
      </c>
      <c r="BJ26" s="1092" t="n">
        <v>1</v>
      </c>
      <c r="BK26" s="1092" t="n">
        <v>1</v>
      </c>
      <c r="BL26" s="1093" t="n">
        <v>3120.48</v>
      </c>
      <c r="BM26" s="1091" t="n">
        <v>567.36</v>
      </c>
      <c r="BN26" s="1091" t="n">
        <v>709.2</v>
      </c>
      <c r="BO26" s="842"/>
      <c r="BP26" s="1092" t="n">
        <v>1</v>
      </c>
      <c r="BQ26" s="1094" t="n">
        <v>1</v>
      </c>
      <c r="BR26" s="1094" t="n">
        <v>1</v>
      </c>
      <c r="BS26" s="1095" t="n">
        <v>1</v>
      </c>
      <c r="BT26" s="1093" t="n">
        <f aca="false">SUM(BD26:BF26)</f>
        <v>21985.2</v>
      </c>
      <c r="BU26" s="1098" t="n">
        <f aca="false">SUM(BD26:BG26)</f>
        <v>21985.2</v>
      </c>
      <c r="BV26" s="1090" t="n">
        <f aca="false">SUM(BL26:BN26)</f>
        <v>4397.04</v>
      </c>
      <c r="BW26" s="1098" t="n">
        <f aca="false">SUM(BL26:BO26)</f>
        <v>4397.04</v>
      </c>
      <c r="BX26" s="852" t="n">
        <v>0.796714579055442</v>
      </c>
      <c r="BY26" s="1099" t="n">
        <v>0</v>
      </c>
      <c r="BZ26" s="852" t="n">
        <v>0</v>
      </c>
      <c r="CA26" s="852" t="n">
        <v>0</v>
      </c>
      <c r="CB26" s="852" t="n">
        <v>0</v>
      </c>
      <c r="CC26" s="852" t="n">
        <v>0</v>
      </c>
      <c r="CD26" s="852" t="n">
        <v>0</v>
      </c>
      <c r="CE26" s="1100" t="n">
        <v>0</v>
      </c>
      <c r="CF26" s="852" t="n">
        <v>0</v>
      </c>
      <c r="CG26" s="852" t="n">
        <v>0</v>
      </c>
      <c r="CH26" s="852" t="n">
        <v>0</v>
      </c>
      <c r="CI26" s="852" t="n">
        <v>0</v>
      </c>
      <c r="CJ26" s="1101" t="n">
        <v>0</v>
      </c>
      <c r="CK26" s="852" t="n">
        <v>0</v>
      </c>
      <c r="CL26" s="852" t="n">
        <v>0</v>
      </c>
      <c r="CM26" s="852" t="n">
        <v>0</v>
      </c>
      <c r="CN26" s="852" t="n">
        <v>0</v>
      </c>
      <c r="CO26" s="852" t="n">
        <v>0</v>
      </c>
      <c r="CP26" s="852" t="n">
        <v>0</v>
      </c>
      <c r="CQ26" s="1102" t="n">
        <v>0</v>
      </c>
      <c r="CR26" s="1103" t="n">
        <v>0</v>
      </c>
      <c r="CS26" s="1103" t="n">
        <v>0</v>
      </c>
      <c r="CT26" s="1103" t="n">
        <v>0</v>
      </c>
      <c r="CU26" s="1103" t="n">
        <v>0</v>
      </c>
      <c r="CV26" s="1103" t="n">
        <v>0</v>
      </c>
      <c r="CW26" s="1103" t="n">
        <v>0</v>
      </c>
      <c r="CX26" s="1104" t="n">
        <v>0</v>
      </c>
      <c r="CY26" s="1105" t="n">
        <v>7687.45184</v>
      </c>
      <c r="CZ26" s="1099" t="n">
        <v>0</v>
      </c>
      <c r="DA26" s="852" t="n">
        <v>0</v>
      </c>
      <c r="DB26" s="852" t="n">
        <v>0</v>
      </c>
      <c r="DC26" s="852" t="n">
        <v>0</v>
      </c>
      <c r="DD26" s="852" t="n">
        <v>0</v>
      </c>
      <c r="DE26" s="1113" t="n">
        <v>0</v>
      </c>
      <c r="DF26" s="1109" t="n">
        <v>0</v>
      </c>
      <c r="DG26" s="1110" t="n">
        <v>0</v>
      </c>
      <c r="DH26" s="1111" t="n">
        <v>0</v>
      </c>
      <c r="DI26" s="1112" t="n">
        <v>0</v>
      </c>
      <c r="DJ26" s="1112" t="n">
        <v>0</v>
      </c>
      <c r="DK26" s="1112" t="n">
        <v>0</v>
      </c>
      <c r="DL26" s="1113" t="n">
        <v>0</v>
      </c>
      <c r="DM26" s="1114" t="n">
        <v>0</v>
      </c>
      <c r="DN26" s="1114" t="n">
        <v>0</v>
      </c>
      <c r="DO26" s="1114" t="n">
        <v>0</v>
      </c>
      <c r="DP26" s="1114" t="n">
        <v>0</v>
      </c>
      <c r="DQ26" s="1114" t="n">
        <v>0</v>
      </c>
      <c r="DR26" s="1109" t="n">
        <v>0</v>
      </c>
      <c r="DS26" s="852" t="n">
        <v>0</v>
      </c>
      <c r="DT26" s="852" t="n">
        <v>0</v>
      </c>
      <c r="DU26" s="852" t="n">
        <v>0</v>
      </c>
      <c r="DV26" s="852" t="n">
        <v>0</v>
      </c>
      <c r="DW26" s="852" t="n">
        <v>0</v>
      </c>
      <c r="DX26" s="852" t="n">
        <v>0</v>
      </c>
      <c r="DY26" s="852" t="n">
        <v>0</v>
      </c>
      <c r="DZ26" s="852" t="n">
        <v>0</v>
      </c>
      <c r="EA26" s="852" t="n">
        <v>0</v>
      </c>
      <c r="EB26" s="1113" t="n">
        <v>0</v>
      </c>
      <c r="EC26" s="1115" t="n">
        <f aca="false">DS26*BD26</f>
        <v>0</v>
      </c>
      <c r="ED26" s="1115" t="n">
        <f aca="false">DT26*BE26</f>
        <v>0</v>
      </c>
      <c r="EE26" s="1115" t="n">
        <f aca="false">DU26*BF26</f>
        <v>0</v>
      </c>
      <c r="EF26" s="1115" t="n">
        <f aca="false">DV26*BG26</f>
        <v>0</v>
      </c>
      <c r="EG26" s="1115" t="n">
        <f aca="false">DS26*BD26+DT26*BE26+DU26*BF26+DV26*BG26</f>
        <v>0</v>
      </c>
      <c r="EH26" s="1116" t="n">
        <v>0</v>
      </c>
      <c r="EI26" s="1117" t="n">
        <v>0</v>
      </c>
      <c r="EJ26" s="1117" t="n">
        <v>0</v>
      </c>
      <c r="EK26" s="1117" t="n">
        <v>0</v>
      </c>
      <c r="EL26" s="1118" t="n">
        <f aca="false">IF(C26&gt;=Summary!$E$26,MAX(0,SUM(EH26:EK26)),0)</f>
        <v>0</v>
      </c>
      <c r="EM26" s="1115" t="n">
        <f aca="false">IF(C26&gt;=Summary!$E$26,DX26*BL26,0)</f>
        <v>0</v>
      </c>
      <c r="EN26" s="1115" t="n">
        <f aca="false">IF(C26&gt;=Summary!$E$26,DY26*BM26,0)</f>
        <v>0</v>
      </c>
      <c r="EO26" s="1115" t="n">
        <f aca="false">IF(C26&gt;=Summary!$E$26,DZ26*BN26,0)</f>
        <v>0</v>
      </c>
      <c r="EP26" s="1115" t="n">
        <f aca="false">IF(C26&gt;=Summary!$E$26,EA26*BO26,0)</f>
        <v>0</v>
      </c>
      <c r="EQ26" s="1115" t="n">
        <f aca="false">IF(C26&gt;=Summary!$E$26,DX26*BL26+DY26*BM26+DZ26*BN26+EA26*BO26,0)</f>
        <v>0</v>
      </c>
      <c r="ER26" s="1119" t="n">
        <v>0</v>
      </c>
      <c r="ES26" s="1120" t="n">
        <v>0</v>
      </c>
      <c r="ET26" s="1120" t="n">
        <v>0</v>
      </c>
      <c r="EU26" s="1120" t="n">
        <v>0</v>
      </c>
      <c r="EV26" s="1143" t="n">
        <f aca="false">IF(C26&gt;=Summary!$E$26,MAX(0,SUM(ER26:EU26)),0)</f>
        <v>0</v>
      </c>
      <c r="EW26" s="1115"/>
      <c r="EX26" s="1165" t="n">
        <f aca="false">(EQ26-EV26)+IF(EZ26="Yes",(EG26-EL26),0)</f>
        <v>0</v>
      </c>
      <c r="EY26" s="1166" t="str">
        <f aca="false">IF(EX26,EX26/EQ26,"")</f>
        <v/>
      </c>
      <c r="EZ26" s="1122" t="s">
        <v>37</v>
      </c>
      <c r="FA26" s="1096" t="n">
        <f aca="false">FA25</f>
        <v>45</v>
      </c>
      <c r="FB26" s="1167" t="n">
        <f aca="false">IF(EZ26="No",IF((OR(MONTH(C26)=5,MONTH(C26)=6,MONTH(C26)=7,MONTH(C26)=8,MONTH(C26)=9)),$FA26*12*AX26*(1-$BC26),$FA26*10*AX26*(1-$BC26)),0)</f>
        <v>9751.5</v>
      </c>
      <c r="FC26" s="1129" t="n">
        <f aca="false">IF(EZ26="No",IF((OR(MONTH(C26)=5,MONTH(C26)=6,MONTH(C26)=7,MONTH(C26)=8,MONTH(C26)=9)),0,$FA26*3*AX26*(1-$BC26)),0)</f>
        <v>2925.45</v>
      </c>
      <c r="FD26" s="1129" t="n">
        <f aca="false">IF(EZ26="No",IF((OR(MONTH(C26)=5,MONTH(C26)=6,MONTH(C26)=7,MONTH(C26)=8,MONTH(C26)=9)),$FA26*12*AY26*(1-$BC26),$FA26*10*AY26*(1-$BC26)),0)</f>
        <v>1773</v>
      </c>
      <c r="FE26" s="1129" t="n">
        <f aca="false">IF(EZ26="No",IF((OR(MONTH(C26)=5,MONTH(C26)=6,MONTH(C26)=7,MONTH(C26)=8,MONTH(C26)=9)),0,$FA26*3*AY26*(1-$BC26)),0)</f>
        <v>531.9</v>
      </c>
      <c r="FF26" s="1129" t="n">
        <f aca="false">IF(EZ26="No",IF((OR(MONTH(C26)=5,MONTH(C26)=6,MONTH(C26)=7,MONTH(C26)=8,MONTH(C26)=9)),$FA26*12*(AZ26+BA26)*(1-$BC26),$FA26*10*(AZ26+BA26)*(1-$BC26)),0)</f>
        <v>2216.25</v>
      </c>
      <c r="FG26" s="1129" t="n">
        <f aca="false">IF(EZ26="No",IF((OR(MONTH(C26)=5,MONTH(C26)=6,MONTH(C26)=7,MONTH(C26)=8,MONTH(C26)=9)),0,$FA26*3*(AZ26+BA26)*(1-$BC26)),0)</f>
        <v>664.875</v>
      </c>
      <c r="FH26" s="1170" t="n">
        <f aca="false">IF(EZ26="No",IF((OR(MONTH(C26)=5,MONTH(C26)=6,MONTH(C26)=7,MONTH(C26)=8,MONTH(C26)=9)),Summary!$O$15*12*(AX26+AY26+AZ26+BA26)*(1-$BC26),Summary!$O$15*13*(AX26+AY26+AZ26+BA26)*(1-$BC26)+IF(Summary!$O$16="Yes",(CALC!FA26+Summary!$O$15)*6*(AX26+AY26+AZ26+BA26)*(1-$BC26),0)),0)</f>
        <v>0</v>
      </c>
      <c r="FI26" s="1126" t="n">
        <f aca="false">IF(MONTH(C26)=5,FI25*(IF(Summary!$E$70="no",(1+(Summary!$E$71*0.8)),1+HLOOKUP(YEAR(C26)-1,CCFMODEL!$I$127:$AF$128,2)*0.8)),+FI25)</f>
        <v>27.2410364963504</v>
      </c>
      <c r="FJ26" s="1127" t="n">
        <f aca="false">IF(MONTH(C26)=5,FJ25*(IF(Summary!$E$70="no",(1+(Summary!$E$71*0.8)),1+HLOOKUP(YEAR(CALC!C26)-1,CCFMODEL!$I$127:$AF$128,2)*0.8)),FJ25)</f>
        <v>23.8090948905109</v>
      </c>
      <c r="FK26" s="1128" t="n">
        <f aca="false">SUM(FB26:FG26)*FI26+FH26*FJ26</f>
        <v>486605.953908394</v>
      </c>
      <c r="FL26" s="1126" t="n">
        <f aca="false">IF(MONTH(C26)=5,FL25*(IF(Summary!$E$70="no",(1+(Summary!$E$71*0.8)),1+HLOOKUP(YEAR(CALC!C26)-1,CCFMODEL!$I$127:$AF$128,2)*0.8)),+FL25)</f>
        <v>57.2909537712895</v>
      </c>
      <c r="FM26" s="1127" t="n">
        <f aca="false">IF(MONTH(C26)=5,FM25*(IF(Summary!$E$70="no",(1+(Summary!$E$71*0.8)),1+HLOOKUP(YEAR(CALC!C26)-1,CCFMODEL!$I$127:$AF$128,2)*0.8)),+FM25)</f>
        <v>27.3431776155718</v>
      </c>
      <c r="FN26" s="1128" t="n">
        <f aca="false">IF((OR(MONTH(C26)=5,MONTH(C26)=6,MONTH(C26)=7,MONTH(C26)=8,MONTH(C26)=9)),SUM(FB26:FG26)/(1-BC26)*FL26,SUM(FB26:FG26)/(1-BC26)*FM26)</f>
        <v>495868.526058394</v>
      </c>
      <c r="FO26" s="1129" t="n">
        <f aca="false">FK26+FN26</f>
        <v>982474.479966788</v>
      </c>
      <c r="FP26" s="1169" t="n">
        <f aca="false">FB26</f>
        <v>9751.5</v>
      </c>
      <c r="FQ26" s="1129" t="n">
        <f aca="false">FC26</f>
        <v>2925.45</v>
      </c>
      <c r="FR26" s="1129" t="n">
        <f aca="false">FD26</f>
        <v>1773</v>
      </c>
      <c r="FS26" s="1129" t="n">
        <f aca="false">FE26</f>
        <v>531.9</v>
      </c>
      <c r="FT26" s="1129" t="n">
        <f aca="false">FF26</f>
        <v>2216.25</v>
      </c>
      <c r="FU26" s="1129" t="n">
        <f aca="false">FG26</f>
        <v>664.875</v>
      </c>
      <c r="FV26" s="1170" t="n">
        <f aca="false">FH26</f>
        <v>0</v>
      </c>
      <c r="FW26" s="1115" t="n">
        <f aca="false">IF(ER26&gt;0,MIN(FB26-FP26,BL26),0)</f>
        <v>0</v>
      </c>
      <c r="FX26" s="1115" t="n">
        <f aca="false">IF(ES26&gt;0,MIN(FD26-FR26,BM26),0)</f>
        <v>0</v>
      </c>
      <c r="FY26" s="1115" t="n">
        <f aca="false">IF(ET26&gt;0,MIN(FF26-FT26,BN26),0)</f>
        <v>0</v>
      </c>
      <c r="FZ26" s="1143" t="n">
        <f aca="false">IF(EU26&gt;0,MIN(FH26-FV26,BO26),0)</f>
        <v>0</v>
      </c>
      <c r="GA26" s="1132" t="n">
        <f aca="false">(SUM(FP26:FV26)+SUM(GU26:HB26)/(1-Summary!$O$25))*CY26/1000</f>
        <v>234501.605592466</v>
      </c>
      <c r="GB26" s="1133" t="n">
        <f aca="false">IF($C26&lt;Summary!$M$81,+Summary!$O$81,VLOOKUP(C26,GasTable,19))</f>
        <v>2.4</v>
      </c>
      <c r="GC26" s="1134" t="n">
        <f aca="false">IF(H26&lt;=Summary!$N$84,MIN(GA26,Summary!$O$75*(H26-G26+1)),0)</f>
        <v>155000</v>
      </c>
      <c r="GD26" s="1135" t="n">
        <f aca="false">IF(Summary!$O$75*(H26-G26+1)*0.8&gt;GC26,1,0)</f>
        <v>0</v>
      </c>
      <c r="GE26" s="1136" t="n">
        <v>0</v>
      </c>
      <c r="GF26" s="1134" t="n">
        <f aca="false">ABS(MIN(0,GC26-$GA26))</f>
        <v>79501.6055924656</v>
      </c>
      <c r="GG26" s="1135" t="n">
        <f aca="false">GF26*(IF(Summary!$O$74=1,VLOOKUP($C26,GasTable,16)+Summary!$O$92+Summary!$O$93,VLOOKUP($C26,GasTable,19)+Summary!$O$92+Summary!$O$93))</f>
        <v>4142.03365136746</v>
      </c>
      <c r="GH26" s="1137" t="n">
        <v>24812.4</v>
      </c>
      <c r="GI26" s="1138" t="n">
        <v>0</v>
      </c>
      <c r="GJ26" s="1139" t="n">
        <f aca="false">+GB26*GC26+GE26+GG26+GH26-GI26</f>
        <v>400954.433651368</v>
      </c>
      <c r="GK26" s="1115" t="n">
        <f aca="false">SUM(FP26:FV26,GU26:GX26,GY26:HB26)</f>
        <v>30062.01285</v>
      </c>
      <c r="GL26" s="1140" t="n">
        <v>0.754907770688</v>
      </c>
      <c r="GM26" s="1141" t="n">
        <f aca="false">IF(GK26&gt;GC26/(CY26/1000),GC26/(CY26/1000),+GK26)*GL26</f>
        <v>15221</v>
      </c>
      <c r="GN26" s="1115" t="n">
        <f aca="false">IF(SUM(GU26:HB26)=0,0,IF(Summary!$O$16="Yes",SUM(GX26:HB26),IF(Summary!$O$17="Yes",SUM(GY26:HB26),SUM(GU26:HB26))))</f>
        <v>12199.03785</v>
      </c>
      <c r="GO26" s="1142" t="n">
        <v>5.55222627737226</v>
      </c>
      <c r="GP26" s="1143" t="n">
        <f aca="false">GN26*GO26</f>
        <v>67731.8185094288</v>
      </c>
      <c r="GQ26" s="1115"/>
      <c r="GR26" s="1115"/>
      <c r="GS26" s="1115"/>
      <c r="GT26" s="1115"/>
      <c r="GU26" s="1150" t="n">
        <v>5646.1185</v>
      </c>
      <c r="GV26" s="1115" t="n">
        <v>1026.567</v>
      </c>
      <c r="GW26" s="1115" t="n">
        <v>1283.20875</v>
      </c>
      <c r="GX26" s="1115"/>
      <c r="GY26" s="1151" t="n">
        <v>3011.2632</v>
      </c>
      <c r="GZ26" s="1115" t="n">
        <v>547.5024</v>
      </c>
      <c r="HA26" s="1115" t="n">
        <v>684.378</v>
      </c>
      <c r="HB26" s="1141"/>
      <c r="HC26" s="1115" t="n">
        <v>12199.03785</v>
      </c>
      <c r="HD26" s="1115"/>
      <c r="HE26" s="1115" t="n">
        <v>12199.03785</v>
      </c>
      <c r="HF26" s="1115" t="n">
        <v>979658.4465</v>
      </c>
      <c r="HG26" s="1115"/>
      <c r="HH26" s="1142" t="n">
        <v>80.3062059931227</v>
      </c>
      <c r="HI26" s="1115" t="n">
        <v>979658.4465</v>
      </c>
      <c r="HJ26" s="1150" t="n">
        <f aca="false">MAX(FB26-FP26-FW26,0)</f>
        <v>0</v>
      </c>
      <c r="HK26" s="1115" t="n">
        <f aca="false">MAX(FD26-FR26-FX26,0)</f>
        <v>0</v>
      </c>
      <c r="HL26" s="1115" t="n">
        <f aca="false">MAX(FF26-FT26-FY26,0)</f>
        <v>0</v>
      </c>
      <c r="HM26" s="1141" t="n">
        <f aca="false">MAX(FH26-FV26-FZ26,0)</f>
        <v>0</v>
      </c>
      <c r="HN26" s="1115" t="n">
        <f aca="false">SUM(HJ26:HM26)</f>
        <v>0</v>
      </c>
      <c r="HO26" s="1142" t="n">
        <f aca="false">IF(ISERROR(+HP26/HN26),0,+HP26/HN26)</f>
        <v>0</v>
      </c>
      <c r="HP26" s="1143" t="n">
        <f aca="false">(HJ26*CE26+HK26*CF26+HL26*CG26+HM26*CH26)</f>
        <v>0</v>
      </c>
      <c r="HQ26" s="1146" t="n">
        <v>2008</v>
      </c>
      <c r="HR26" s="1150" t="e">
        <f aca="false">SUMIF($D$17:$D$292,HQ26,$FB$17:$FB$292)+SUMIF($D$17:$D$292,HQ26,$FC$17:$FC$292)+SUMIF($D$17:$D$292,HQ26,$FD$17:$FD$292)+SUMIF($D$17:$D$292,HQ26,$FE$17:$FE$292)+SUMIF($D$17:$D$292,HQ26,$FF$17:$FF$292)+SUMIF($D$17:$D$292,HQ26,$FG$17:$FG$292)+SUMIF($D$17:$D$292,HQ26,$FH$17:$FH$292)</f>
        <v>#VALUE!</v>
      </c>
      <c r="HS26" s="1110" t="e">
        <f aca="false">IF(HT26=0,0,HT26/HR26)</f>
        <v>#VALUE!</v>
      </c>
      <c r="HT26" s="1141" t="e">
        <f aca="false">SUMIF($D$17:$D$292,HQ26,$FO$17:$FO$292)</f>
        <v>#VALUE!</v>
      </c>
      <c r="HU26" s="1151" t="n">
        <v>103101.5457</v>
      </c>
      <c r="HV26" s="1142" t="n">
        <v>42.5271170723927</v>
      </c>
      <c r="HW26" s="1115" t="n">
        <v>4384611.50432855</v>
      </c>
      <c r="HX26" s="1171" t="n">
        <v>0</v>
      </c>
      <c r="HY26" s="1143" t="e">
        <f aca="false">HT26+HW26+HX26</f>
        <v>#VALUE!</v>
      </c>
      <c r="HZ26" s="1150" t="n">
        <v>2387307.83157001</v>
      </c>
      <c r="IA26" s="1142" t="n">
        <v>-2.68003673316144</v>
      </c>
      <c r="IB26" s="1141" t="n">
        <v>-6398072.6819716</v>
      </c>
      <c r="IC26" s="1151" t="n">
        <v>307218.1707</v>
      </c>
      <c r="ID26" s="1142" t="e">
        <f aca="false">IF(IE26=0,0,IE26/IC26)</f>
        <v>#VALUE!</v>
      </c>
      <c r="IE26" s="1141" t="e">
        <f aca="false">-SUMIF($D$17:$D$292,HQ26,$GM$17:$GM$292)</f>
        <v>#VALUE!</v>
      </c>
      <c r="IF26" s="1115" t="n">
        <f aca="false">SUMIF($D$17:$D$292,HQ26,$GN$17:$GN$292)</f>
        <v>130938.62085</v>
      </c>
      <c r="IG26" s="1142" t="n">
        <f aca="false">IF(IH26=0,0,IH26/IF26)</f>
        <v>-2.37348003847684</v>
      </c>
      <c r="IH26" s="1141" t="n">
        <v>-310780.202853162</v>
      </c>
      <c r="II26" s="1115" t="e">
        <f aca="false">SUMIF($D$17:$D$292,HQ26,$HN$17:$HN$292)</f>
        <v>#VALUE!</v>
      </c>
      <c r="IJ26" s="1142" t="e">
        <f aca="false">IF(IK26=0,0,IK26/II26)</f>
        <v>#VALUE!</v>
      </c>
      <c r="IK26" s="1115" t="e">
        <f aca="false">-SUMIF($D$17:$D$292,HQ26,$HP$17:$HP$292)</f>
        <v>#VALUE!</v>
      </c>
      <c r="IL26" s="1152" t="e">
        <f aca="false">HY26+IB26+IE26+IH26</f>
        <v>#VALUE!</v>
      </c>
      <c r="IN26" s="222"/>
      <c r="IO26" s="162"/>
      <c r="IR26" s="844"/>
    </row>
    <row r="27" customFormat="false" ht="13.5" hidden="false" customHeight="false" outlineLevel="0" collapsed="false">
      <c r="A27" s="0" t="str">
        <f aca="false">+D27&amp;"Q"&amp;ROUNDUP(E27/3,0)</f>
        <v>2000Q4</v>
      </c>
      <c r="B27" s="0" t="n">
        <f aca="false">YEAR(C27)</f>
        <v>2000</v>
      </c>
      <c r="C27" s="1153" t="n">
        <f aca="false">EOMONTH(C26,0)+1</f>
        <v>36831</v>
      </c>
      <c r="D27" s="841" t="n">
        <f aca="false">+YEAR(C27)</f>
        <v>2000</v>
      </c>
      <c r="E27" s="807" t="n">
        <f aca="false">MONTH(C27)</f>
        <v>11</v>
      </c>
      <c r="F27" s="1154" t="e">
        <f aca="false">IF(G27="","",Holiday(D27,E27))</f>
        <v>#VALUE!</v>
      </c>
      <c r="G27" s="1155" t="n">
        <v>36831</v>
      </c>
      <c r="H27" s="1156" t="n">
        <v>36860</v>
      </c>
      <c r="I27" s="1157" t="n">
        <f aca="false">I26</f>
        <v>0.0715</v>
      </c>
      <c r="J27" s="1158" t="n">
        <f aca="false">(1+I27/2)^(-2*(DATE(D28,E28,20)-$H$7)/365.25)</f>
        <v>0.931128907643912</v>
      </c>
      <c r="K27" s="1159" t="e">
        <f aca="false">IF(#REF!=1,+#REF!,I27+#REF!/10000)</f>
        <v>#REF!</v>
      </c>
      <c r="L27" s="1158" t="e">
        <f aca="false">(1+K27/2)^(-2*(DATE(D28,E28,20)-$H$7)/365.25)</f>
        <v>#REF!</v>
      </c>
      <c r="M27" s="1082" t="n">
        <v>0</v>
      </c>
      <c r="N27" s="1160" t="n">
        <v>0</v>
      </c>
      <c r="O27" s="1161" t="n">
        <v>0</v>
      </c>
      <c r="P27" s="1162" t="n">
        <v>0</v>
      </c>
      <c r="Q27" s="1160" t="n">
        <v>0</v>
      </c>
      <c r="R27" s="1161" t="n">
        <v>0</v>
      </c>
      <c r="S27" s="1160" t="n">
        <v>0</v>
      </c>
      <c r="T27" s="1160" t="n">
        <v>0</v>
      </c>
      <c r="U27" s="1160" t="n">
        <v>0</v>
      </c>
      <c r="V27" s="1162" t="n">
        <v>0</v>
      </c>
      <c r="W27" s="1160" t="n">
        <v>0</v>
      </c>
      <c r="X27" s="1163" t="n">
        <v>0</v>
      </c>
      <c r="Y27" s="1086" t="n">
        <v>0</v>
      </c>
      <c r="Z27" s="1086" t="n">
        <v>0</v>
      </c>
      <c r="AA27" s="1087" t="n">
        <v>0</v>
      </c>
      <c r="AB27" s="1086" t="n">
        <v>0</v>
      </c>
      <c r="AC27" s="1086" t="n">
        <v>0</v>
      </c>
      <c r="AD27" s="1087" t="n">
        <v>0</v>
      </c>
      <c r="AE27" s="1086" t="n">
        <v>0</v>
      </c>
      <c r="AF27" s="1086" t="n">
        <v>0</v>
      </c>
      <c r="AG27" s="1087" t="n">
        <v>0</v>
      </c>
      <c r="AH27" s="1086" t="n">
        <v>0</v>
      </c>
      <c r="AI27" s="1086" t="n">
        <v>0</v>
      </c>
      <c r="AJ27" s="1087" t="n">
        <v>0</v>
      </c>
      <c r="AK27" s="1086" t="n">
        <v>0</v>
      </c>
      <c r="AL27" s="1086" t="n">
        <v>0</v>
      </c>
      <c r="AM27" s="1087" t="n">
        <v>0</v>
      </c>
      <c r="AN27" s="1086" t="n">
        <v>0</v>
      </c>
      <c r="AO27" s="1086" t="n">
        <v>0</v>
      </c>
      <c r="AP27" s="1087" t="n">
        <v>0</v>
      </c>
      <c r="AQ27" s="1086" t="n">
        <v>0</v>
      </c>
      <c r="AR27" s="1086" t="n">
        <v>0</v>
      </c>
      <c r="AS27" s="1087" t="n">
        <v>0</v>
      </c>
      <c r="AT27" s="1086" t="n">
        <v>0</v>
      </c>
      <c r="AU27" s="1086" t="n">
        <v>0</v>
      </c>
      <c r="AV27" s="1086" t="n">
        <v>0</v>
      </c>
      <c r="AW27" s="1172" t="n">
        <v>0</v>
      </c>
      <c r="AX27" s="807" t="e">
        <f aca="false">BB27-SUM(AY27:BA27)</f>
        <v>#VALUE!</v>
      </c>
      <c r="AY27" s="807" t="e">
        <f aca="false">IF(AND($E27=MONTH(Summary!$E$24),$D27=YEAR(Summary!$E$24)),Summary!$E$25,1)*IF(G27="",0,INT((H27-MOD(H27,7)-G27)/7)+1-IF(BA27,IF(WEEKDAY(F27)=7,1,0),0))</f>
        <v>#VALUE!</v>
      </c>
      <c r="AZ27" s="807" t="e">
        <f aca="false">IF(AND($E27=MONTH(Summary!$E$24),$D27=YEAR(Summary!$E$24)),Summary!$E$25,1)*IF(G27="",0,INT((H27-MOD(H27-1,7)-G27)/7)+1-IF(BA27,IF(WEEKDAY(F27)=1,1,0),0))</f>
        <v>#VALUE!</v>
      </c>
      <c r="BA27" s="807" t="n">
        <v>1</v>
      </c>
      <c r="BB27" s="807" t="n">
        <f aca="false">IF(AND($E27=MONTH(Summary!$E$24),$D27=YEAR(Summary!$E$24)),Summary!$E$25,1)*IF(G27="",0,H27-G27+1)</f>
        <v>30</v>
      </c>
      <c r="BC27" s="1089" t="n">
        <f aca="false">Summary!$E$19</f>
        <v>0.015</v>
      </c>
      <c r="BD27" s="1090" t="n">
        <v>14893.2</v>
      </c>
      <c r="BE27" s="1091" t="n">
        <v>2836.8</v>
      </c>
      <c r="BF27" s="1091" t="n">
        <v>3546</v>
      </c>
      <c r="BG27" s="842"/>
      <c r="BH27" s="1092" t="n">
        <v>1</v>
      </c>
      <c r="BI27" s="1092" t="n">
        <v>1</v>
      </c>
      <c r="BJ27" s="1092" t="n">
        <v>1</v>
      </c>
      <c r="BK27" s="1092" t="n">
        <v>1</v>
      </c>
      <c r="BL27" s="1093" t="n">
        <v>2978.64</v>
      </c>
      <c r="BM27" s="1091" t="n">
        <v>567.36</v>
      </c>
      <c r="BN27" s="1091" t="n">
        <v>709.2</v>
      </c>
      <c r="BO27" s="842"/>
      <c r="BP27" s="1092" t="n">
        <v>1</v>
      </c>
      <c r="BQ27" s="1094" t="n">
        <v>1</v>
      </c>
      <c r="BR27" s="1094" t="n">
        <v>1</v>
      </c>
      <c r="BS27" s="1095" t="n">
        <v>1</v>
      </c>
      <c r="BT27" s="1093" t="n">
        <f aca="false">SUM(BD27:BF27)</f>
        <v>21276</v>
      </c>
      <c r="BU27" s="1098" t="n">
        <f aca="false">SUM(BD27:BG27)</f>
        <v>21276</v>
      </c>
      <c r="BV27" s="1090" t="n">
        <f aca="false">SUM(BL27:BN27)</f>
        <v>4255.2</v>
      </c>
      <c r="BW27" s="1098" t="n">
        <f aca="false">SUM(BL27:BO27)</f>
        <v>4255.2</v>
      </c>
      <c r="BX27" s="852" t="n">
        <v>0.881587953456537</v>
      </c>
      <c r="BY27" s="1099" t="n">
        <v>0</v>
      </c>
      <c r="BZ27" s="852" t="n">
        <v>0</v>
      </c>
      <c r="CA27" s="852" t="n">
        <v>0</v>
      </c>
      <c r="CB27" s="852" t="n">
        <v>0</v>
      </c>
      <c r="CC27" s="852" t="n">
        <v>0</v>
      </c>
      <c r="CD27" s="852" t="n">
        <v>0</v>
      </c>
      <c r="CE27" s="1100" t="n">
        <v>0</v>
      </c>
      <c r="CF27" s="852" t="n">
        <v>0</v>
      </c>
      <c r="CG27" s="852" t="n">
        <v>0</v>
      </c>
      <c r="CH27" s="852" t="n">
        <v>0</v>
      </c>
      <c r="CI27" s="852" t="n">
        <v>0</v>
      </c>
      <c r="CJ27" s="1101" t="n">
        <v>0</v>
      </c>
      <c r="CK27" s="852" t="n">
        <v>0</v>
      </c>
      <c r="CL27" s="852" t="n">
        <v>0</v>
      </c>
      <c r="CM27" s="852" t="n">
        <v>0</v>
      </c>
      <c r="CN27" s="852" t="n">
        <v>0</v>
      </c>
      <c r="CO27" s="852" t="n">
        <v>0</v>
      </c>
      <c r="CP27" s="852" t="n">
        <v>0</v>
      </c>
      <c r="CQ27" s="1102" t="n">
        <v>0</v>
      </c>
      <c r="CR27" s="1103" t="n">
        <v>0</v>
      </c>
      <c r="CS27" s="1103" t="n">
        <v>0</v>
      </c>
      <c r="CT27" s="1103" t="n">
        <v>0</v>
      </c>
      <c r="CU27" s="1103" t="n">
        <v>0</v>
      </c>
      <c r="CV27" s="1103" t="n">
        <v>0</v>
      </c>
      <c r="CW27" s="1103" t="n">
        <v>0</v>
      </c>
      <c r="CX27" s="1104" t="n">
        <v>0</v>
      </c>
      <c r="CY27" s="1105" t="n">
        <v>7689.40616</v>
      </c>
      <c r="CZ27" s="1099" t="n">
        <v>0</v>
      </c>
      <c r="DA27" s="852" t="n">
        <v>0</v>
      </c>
      <c r="DB27" s="852" t="n">
        <v>0</v>
      </c>
      <c r="DC27" s="852" t="n">
        <v>0</v>
      </c>
      <c r="DD27" s="852" t="n">
        <v>0</v>
      </c>
      <c r="DE27" s="1113" t="n">
        <v>0</v>
      </c>
      <c r="DF27" s="1109" t="n">
        <v>0</v>
      </c>
      <c r="DG27" s="1110" t="n">
        <v>0</v>
      </c>
      <c r="DH27" s="1111" t="n">
        <v>0</v>
      </c>
      <c r="DI27" s="1112" t="n">
        <v>0</v>
      </c>
      <c r="DJ27" s="1112" t="n">
        <v>0</v>
      </c>
      <c r="DK27" s="1112" t="n">
        <v>0</v>
      </c>
      <c r="DL27" s="1113" t="n">
        <v>0</v>
      </c>
      <c r="DM27" s="1114" t="n">
        <v>0</v>
      </c>
      <c r="DN27" s="1114" t="n">
        <v>0</v>
      </c>
      <c r="DO27" s="1114" t="n">
        <v>0</v>
      </c>
      <c r="DP27" s="1114" t="n">
        <v>0</v>
      </c>
      <c r="DQ27" s="1114" t="n">
        <v>0</v>
      </c>
      <c r="DR27" s="1109" t="n">
        <v>0</v>
      </c>
      <c r="DS27" s="852" t="n">
        <v>0</v>
      </c>
      <c r="DT27" s="852" t="n">
        <v>0</v>
      </c>
      <c r="DU27" s="852" t="n">
        <v>0</v>
      </c>
      <c r="DV27" s="852" t="n">
        <v>0</v>
      </c>
      <c r="DW27" s="852" t="n">
        <v>0</v>
      </c>
      <c r="DX27" s="852" t="n">
        <v>0</v>
      </c>
      <c r="DY27" s="852" t="n">
        <v>0</v>
      </c>
      <c r="DZ27" s="852" t="n">
        <v>0</v>
      </c>
      <c r="EA27" s="852" t="n">
        <v>0</v>
      </c>
      <c r="EB27" s="1113" t="n">
        <v>0</v>
      </c>
      <c r="EC27" s="1115" t="n">
        <f aca="false">DS27*BD27</f>
        <v>0</v>
      </c>
      <c r="ED27" s="1115" t="n">
        <f aca="false">DT27*BE27</f>
        <v>0</v>
      </c>
      <c r="EE27" s="1115" t="n">
        <f aca="false">DU27*BF27</f>
        <v>0</v>
      </c>
      <c r="EF27" s="1115" t="n">
        <f aca="false">DV27*BG27</f>
        <v>0</v>
      </c>
      <c r="EG27" s="1115" t="n">
        <f aca="false">DS27*BD27+DT27*BE27+DU27*BF27+DV27*BG27</f>
        <v>0</v>
      </c>
      <c r="EH27" s="1116" t="n">
        <v>0</v>
      </c>
      <c r="EI27" s="1117" t="n">
        <v>0</v>
      </c>
      <c r="EJ27" s="1117" t="n">
        <v>0</v>
      </c>
      <c r="EK27" s="1117" t="n">
        <v>0</v>
      </c>
      <c r="EL27" s="1118" t="n">
        <f aca="false">IF(C27&gt;=Summary!$E$26,MAX(0,SUM(EH27:EK27)),0)</f>
        <v>0</v>
      </c>
      <c r="EM27" s="1115" t="n">
        <f aca="false">IF(C27&gt;=Summary!$E$26,DX27*BL27,0)</f>
        <v>0</v>
      </c>
      <c r="EN27" s="1115" t="n">
        <f aca="false">IF(C27&gt;=Summary!$E$26,DY27*BM27,0)</f>
        <v>0</v>
      </c>
      <c r="EO27" s="1115" t="n">
        <f aca="false">IF(C27&gt;=Summary!$E$26,DZ27*BN27,0)</f>
        <v>0</v>
      </c>
      <c r="EP27" s="1115" t="n">
        <f aca="false">IF(C27&gt;=Summary!$E$26,EA27*BO27,0)</f>
        <v>0</v>
      </c>
      <c r="EQ27" s="1115" t="n">
        <f aca="false">IF(C27&gt;=Summary!$E$26,DX27*BL27+DY27*BM27+DZ27*BN27+EA27*BO27,0)</f>
        <v>0</v>
      </c>
      <c r="ER27" s="1119" t="n">
        <v>0</v>
      </c>
      <c r="ES27" s="1120" t="n">
        <v>0</v>
      </c>
      <c r="ET27" s="1120" t="n">
        <v>0</v>
      </c>
      <c r="EU27" s="1120" t="n">
        <v>0</v>
      </c>
      <c r="EV27" s="1143" t="n">
        <f aca="false">IF(C27&gt;=Summary!$E$26,MAX(0,SUM(ER27:EU27)),0)</f>
        <v>0</v>
      </c>
      <c r="EW27" s="1115"/>
      <c r="EX27" s="1165" t="n">
        <f aca="false">(EQ27-EV27)+IF(EZ27="Yes",(EG27-EL27),0)</f>
        <v>0</v>
      </c>
      <c r="EY27" s="1166" t="str">
        <f aca="false">IF(EX27,EX27/EQ27,"")</f>
        <v/>
      </c>
      <c r="EZ27" s="1122" t="s">
        <v>37</v>
      </c>
      <c r="FA27" s="1096" t="n">
        <f aca="false">FA26</f>
        <v>45</v>
      </c>
      <c r="FB27" s="1167" t="e">
        <f aca="false">IF(EZ27="No",IF((OR(MONTH(C27)=5,MONTH(C27)=6,MONTH(C27)=7,MONTH(C27)=8,MONTH(C27)=9)),$FA27*12*AX27*(1-$BC27),$FA27*10*AX27*(1-$BC27)),0)</f>
        <v>#VALUE!</v>
      </c>
      <c r="FC27" s="1129" t="e">
        <f aca="false">IF(EZ27="No",IF((OR(MONTH(C27)=5,MONTH(C27)=6,MONTH(C27)=7,MONTH(C27)=8,MONTH(C27)=9)),0,$FA27*3*AX27*(1-$BC27)),0)</f>
        <v>#VALUE!</v>
      </c>
      <c r="FD27" s="1129" t="e">
        <f aca="false">IF(EZ27="No",IF((OR(MONTH(C27)=5,MONTH(C27)=6,MONTH(C27)=7,MONTH(C27)=8,MONTH(C27)=9)),$FA27*12*AY27*(1-$BC27),$FA27*10*AY27*(1-$BC27)),0)</f>
        <v>#VALUE!</v>
      </c>
      <c r="FE27" s="1129" t="e">
        <f aca="false">IF(EZ27="No",IF((OR(MONTH(C27)=5,MONTH(C27)=6,MONTH(C27)=7,MONTH(C27)=8,MONTH(C27)=9)),0,$FA27*3*AY27*(1-$BC27)),0)</f>
        <v>#VALUE!</v>
      </c>
      <c r="FF27" s="1129" t="e">
        <f aca="false">IF(EZ27="No",IF((OR(MONTH(C27)=5,MONTH(C27)=6,MONTH(C27)=7,MONTH(C27)=8,MONTH(C27)=9)),$FA27*12*(AZ27+BA27)*(1-$BC27),$FA27*10*(AZ27+BA27)*(1-$BC27)),0)</f>
        <v>#VALUE!</v>
      </c>
      <c r="FG27" s="1129" t="e">
        <f aca="false">IF(EZ27="No",IF((OR(MONTH(C27)=5,MONTH(C27)=6,MONTH(C27)=7,MONTH(C27)=8,MONTH(C27)=9)),0,$FA27*3*(AZ27+BA27)*(1-$BC27)),0)</f>
        <v>#VALUE!</v>
      </c>
      <c r="FH27" s="1170" t="e">
        <f aca="false">IF(EZ27="No",IF((OR(MONTH(C27)=5,MONTH(C27)=6,MONTH(C27)=7,MONTH(C27)=8,MONTH(C27)=9)),Summary!$O$15*12*(AX27+AY27+AZ27+BA27)*(1-$BC27),Summary!$O$15*13*(AX27+AY27+AZ27+BA27)*(1-$BC27)+IF(Summary!$O$16="Yes",(CALC!FA27+Summary!$O$15)*6*(AX27+AY27+AZ27+BA27)*(1-$BC27),0)),0)</f>
        <v>#VALUE!</v>
      </c>
      <c r="FI27" s="1126" t="n">
        <f aca="false">IF(MONTH(C27)=5,FI26*(IF(Summary!$E$70="no",(1+(Summary!$E$71*0.8)),1+HLOOKUP(YEAR(C27)-1,CCFMODEL!$I$127:$AF$128,2)*0.8)),+FI26)</f>
        <v>27.2410364963504</v>
      </c>
      <c r="FJ27" s="1127" t="n">
        <f aca="false">IF(MONTH(C27)=5,FJ26*(IF(Summary!$E$70="no",(1+(Summary!$E$71*0.8)),1+HLOOKUP(YEAR(CALC!C27)-1,CCFMODEL!$I$127:$AF$128,2)*0.8)),FJ26)</f>
        <v>23.8090948905109</v>
      </c>
      <c r="FK27" s="1128" t="e">
        <f aca="false">SUM(FB27:FG27)*FI27+FH27*FJ27</f>
        <v>#VALUE!</v>
      </c>
      <c r="FL27" s="1126" t="n">
        <f aca="false">IF(MONTH(C27)=5,FL26*(IF(Summary!$E$70="no",(1+(Summary!$E$71*0.8)),1+HLOOKUP(YEAR(CALC!C27)-1,CCFMODEL!$I$127:$AF$128,2)*0.8)),+FL26)</f>
        <v>57.2909537712895</v>
      </c>
      <c r="FM27" s="1127" t="n">
        <f aca="false">IF(MONTH(C27)=5,FM26*(IF(Summary!$E$70="no",(1+(Summary!$E$71*0.8)),1+HLOOKUP(YEAR(CALC!C27)-1,CCFMODEL!$I$127:$AF$128,2)*0.8)),+FM26)</f>
        <v>27.3431776155718</v>
      </c>
      <c r="FN27" s="1128" t="e">
        <f aca="false">IF((OR(MONTH(C27)=5,MONTH(C27)=6,MONTH(C27)=7,MONTH(C27)=8,MONTH(C27)=9)),SUM(FB27:FG27)/(1-BC27)*FL27,SUM(FB27:FG27)/(1-BC27)*FM27)</f>
        <v>#VALUE!</v>
      </c>
      <c r="FO27" s="1129" t="e">
        <f aca="false">FK27+FN27</f>
        <v>#VALUE!</v>
      </c>
      <c r="FP27" s="1169" t="e">
        <f aca="false">FB27</f>
        <v>#VALUE!</v>
      </c>
      <c r="FQ27" s="1129" t="e">
        <f aca="false">FC27</f>
        <v>#VALUE!</v>
      </c>
      <c r="FR27" s="1129" t="e">
        <f aca="false">FD27</f>
        <v>#VALUE!</v>
      </c>
      <c r="FS27" s="1129" t="e">
        <f aca="false">FE27</f>
        <v>#VALUE!</v>
      </c>
      <c r="FT27" s="1129" t="e">
        <f aca="false">FF27</f>
        <v>#VALUE!</v>
      </c>
      <c r="FU27" s="1129" t="e">
        <f aca="false">FG27</f>
        <v>#VALUE!</v>
      </c>
      <c r="FV27" s="1170" t="e">
        <f aca="false">FH27</f>
        <v>#VALUE!</v>
      </c>
      <c r="FW27" s="1115" t="n">
        <f aca="false">IF(ER27&gt;0,MIN(FB27-FP27,BL27),0)</f>
        <v>0</v>
      </c>
      <c r="FX27" s="1115" t="n">
        <f aca="false">IF(ES27&gt;0,MIN(FD27-FR27,BM27),0)</f>
        <v>0</v>
      </c>
      <c r="FY27" s="1115" t="n">
        <f aca="false">IF(ET27&gt;0,MIN(FF27-FT27,BN27),0)</f>
        <v>0</v>
      </c>
      <c r="FZ27" s="1143" t="n">
        <f aca="false">IF(EU27&gt;0,MIN(FH27-FV27,BO27),0)</f>
        <v>0</v>
      </c>
      <c r="GA27" s="1132" t="e">
        <f aca="false">(SUM(FP27:FV27)+SUM(GU27:HB27)/(1-Summary!$O$25))*CY27/1000</f>
        <v>#VALUE!</v>
      </c>
      <c r="GB27" s="1133" t="n">
        <f aca="false">IF($C27&lt;Summary!$M$81,+Summary!$O$81,VLOOKUP(C27,GasTable,19))</f>
        <v>2.4</v>
      </c>
      <c r="GC27" s="1134" t="e">
        <f aca="false">IF(H27&lt;=Summary!$N$84,MIN(GA27,Summary!$O$75*(H27-G27+1)),0)</f>
        <v>#VALUE!</v>
      </c>
      <c r="GD27" s="1135" t="e">
        <f aca="false">IF(Summary!$O$75*(H27-G27+1)*0.8&gt;GC27,1,0)</f>
        <v>#VALUE!</v>
      </c>
      <c r="GE27" s="1136" t="n">
        <v>0</v>
      </c>
      <c r="GF27" s="1134" t="e">
        <f aca="false">ABS(MIN(0,GC27-$GA27))</f>
        <v>#VALUE!</v>
      </c>
      <c r="GG27" s="1135" t="e">
        <f aca="false">GF27*(IF(Summary!$O$74=1,VLOOKUP($C27,GasTable,16)+Summary!$O$92+Summary!$O$93,VLOOKUP($C27,GasTable,19)+Summary!$O$92+Summary!$O$93))</f>
        <v>#VALUE!</v>
      </c>
      <c r="GH27" s="1137" t="n">
        <v>24552</v>
      </c>
      <c r="GI27" s="1138" t="n">
        <v>0</v>
      </c>
      <c r="GJ27" s="1139" t="e">
        <f aca="false">+GB27*GC27+GE27+GG27+GH27-GI27</f>
        <v>#VALUE!</v>
      </c>
      <c r="GK27" s="1115" t="e">
        <f aca="false">SUM(FP27:FV27,GU27:GX27,GY27:HB27)</f>
        <v>#VALUE!</v>
      </c>
      <c r="GL27" s="1140" t="n">
        <v>0.755099684912</v>
      </c>
      <c r="GM27" s="1141" t="e">
        <f aca="false">IF(GK27&gt;GC27/(CY27/1000),GC27/(CY27/1000),+GK27)*GL27</f>
        <v>#VALUE!</v>
      </c>
      <c r="GN27" s="1115" t="n">
        <f aca="false">IF(SUM(GU27:HB27)=0,0,IF(Summary!$O$16="Yes",SUM(GX27:HB27),IF(Summary!$O$17="Yes",SUM(GY27:HB27),SUM(GU27:HB27))))</f>
        <v>9837.93375</v>
      </c>
      <c r="GO27" s="1142" t="n">
        <v>5.55222627737226</v>
      </c>
      <c r="GP27" s="1143" t="n">
        <f aca="false">GN27*GO27</f>
        <v>54622.4342817974</v>
      </c>
      <c r="GQ27" s="1115"/>
      <c r="GR27" s="1115"/>
      <c r="GS27" s="1115"/>
      <c r="GT27" s="1115"/>
      <c r="GU27" s="1150" t="n">
        <v>5389.47675</v>
      </c>
      <c r="GV27" s="1115" t="n">
        <v>1026.567</v>
      </c>
      <c r="GW27" s="1115" t="n">
        <v>0</v>
      </c>
      <c r="GX27" s="1115"/>
      <c r="GY27" s="1151" t="n">
        <v>2874.3876</v>
      </c>
      <c r="GZ27" s="1115" t="n">
        <v>547.5024</v>
      </c>
      <c r="HA27" s="1115" t="n">
        <v>0</v>
      </c>
      <c r="HB27" s="1141"/>
      <c r="HC27" s="1115" t="n">
        <v>9837.93375</v>
      </c>
      <c r="HD27" s="1115"/>
      <c r="HE27" s="1115" t="n">
        <v>9837.93375</v>
      </c>
      <c r="HF27" s="1115" t="n">
        <v>580426.625964375</v>
      </c>
      <c r="HG27" s="1115"/>
      <c r="HH27" s="1142" t="n">
        <v>58.9988345839771</v>
      </c>
      <c r="HI27" s="1115" t="n">
        <v>580426.625964375</v>
      </c>
      <c r="HJ27" s="1150" t="e">
        <f aca="false">MAX(FB27-FP27-FW27,0)</f>
        <v>#VALUE!</v>
      </c>
      <c r="HK27" s="1115" t="e">
        <f aca="false">MAX(FD27-FR27-FX27,0)</f>
        <v>#VALUE!</v>
      </c>
      <c r="HL27" s="1115" t="e">
        <f aca="false">MAX(FF27-FT27-FY27,0)</f>
        <v>#VALUE!</v>
      </c>
      <c r="HM27" s="1141" t="e">
        <f aca="false">MAX(FH27-FV27-FZ27,0)</f>
        <v>#VALUE!</v>
      </c>
      <c r="HN27" s="1115" t="e">
        <f aca="false">SUM(HJ27:HM27)</f>
        <v>#VALUE!</v>
      </c>
      <c r="HO27" s="1142" t="n">
        <f aca="false">IF(ISERROR(+HP27/HN27),0,+HP27/HN27)</f>
        <v>0</v>
      </c>
      <c r="HP27" s="1143" t="e">
        <f aca="false">(HJ27*CE27+HK27*CF27+HL27*CG27+HM27*CH27)</f>
        <v>#VALUE!</v>
      </c>
      <c r="HQ27" s="1146" t="n">
        <v>2009</v>
      </c>
      <c r="HR27" s="1150" t="e">
        <f aca="false">SUMIF($D$17:$D$292,HQ27,$FB$17:$FB$292)+SUMIF($D$17:$D$292,HQ27,$FC$17:$FC$292)+SUMIF($D$17:$D$292,HQ27,$FD$17:$FD$292)+SUMIF($D$17:$D$292,HQ27,$FE$17:$FE$292)+SUMIF($D$17:$D$292,HQ27,$FF$17:$FF$292)+SUMIF($D$17:$D$292,HQ27,$FG$17:$FG$292)+SUMIF($D$17:$D$292,HQ27,$FH$17:$FH$292)</f>
        <v>#VALUE!</v>
      </c>
      <c r="HS27" s="1110" t="e">
        <f aca="false">IF(HT27=0,0,HT27/HR27)</f>
        <v>#VALUE!</v>
      </c>
      <c r="HT27" s="1141" t="e">
        <f aca="false">SUMIF($D$17:$D$292,HQ27,$FO$17:$FO$292)</f>
        <v>#VALUE!</v>
      </c>
      <c r="HU27" s="1151" t="n">
        <v>98653.0887</v>
      </c>
      <c r="HV27" s="1142" t="n">
        <v>44.0288012297136</v>
      </c>
      <c r="HW27" s="1115" t="n">
        <v>4343577.23306961</v>
      </c>
      <c r="HX27" s="1171" t="n">
        <v>0</v>
      </c>
      <c r="HY27" s="1143" t="e">
        <f aca="false">HT27+HW27+HX27</f>
        <v>#VALUE!</v>
      </c>
      <c r="HZ27" s="1150" t="n">
        <v>2354965.49806865</v>
      </c>
      <c r="IA27" s="1142" t="n">
        <v>-2.69955816125969</v>
      </c>
      <c r="IB27" s="1141" t="n">
        <v>-6357366.32979621</v>
      </c>
      <c r="IC27" s="1151" t="n">
        <v>302193.4887</v>
      </c>
      <c r="ID27" s="1142" t="e">
        <f aca="false">IF(IE27=0,0,IE27/IC27)</f>
        <v>#VALUE!</v>
      </c>
      <c r="IE27" s="1141" t="e">
        <f aca="false">-SUMIF($D$17:$D$292,HQ27,$GM$17:$GM$292)</f>
        <v>#VALUE!</v>
      </c>
      <c r="IF27" s="1115" t="n">
        <f aca="false">SUMIF($D$17:$D$292,HQ27,$GN$17:$GN$292)</f>
        <v>130545.1035</v>
      </c>
      <c r="IG27" s="1142" t="n">
        <f aca="false">IF(IH27=0,0,IH27/IF27)</f>
        <v>-2.3462565300283</v>
      </c>
      <c r="IH27" s="1141" t="n">
        <v>-306292.301550095</v>
      </c>
      <c r="II27" s="1115" t="e">
        <f aca="false">SUMIF($D$17:$D$292,HQ27,$HN$17:$HN$292)</f>
        <v>#VALUE!</v>
      </c>
      <c r="IJ27" s="1142" t="e">
        <f aca="false">IF(IK27=0,0,IK27/II27)</f>
        <v>#VALUE!</v>
      </c>
      <c r="IK27" s="1115" t="e">
        <f aca="false">-SUMIF($D$17:$D$292,HQ27,$HP$17:$HP$292)</f>
        <v>#VALUE!</v>
      </c>
      <c r="IL27" s="1152" t="e">
        <f aca="false">HY27+IB27+IE27+IH27</f>
        <v>#VALUE!</v>
      </c>
      <c r="IN27" s="222"/>
      <c r="IO27" s="162"/>
      <c r="IR27" s="844"/>
    </row>
    <row r="28" customFormat="false" ht="13.5" hidden="false" customHeight="false" outlineLevel="0" collapsed="false">
      <c r="A28" s="0" t="str">
        <f aca="false">+D28&amp;"Q"&amp;ROUNDUP(E28/3,0)</f>
        <v>2000Q4</v>
      </c>
      <c r="B28" s="0" t="n">
        <f aca="false">YEAR(C28)</f>
        <v>2000</v>
      </c>
      <c r="C28" s="1153" t="n">
        <f aca="false">EOMONTH(C27,0)+1</f>
        <v>36861</v>
      </c>
      <c r="D28" s="841" t="n">
        <f aca="false">+YEAR(C28)</f>
        <v>2000</v>
      </c>
      <c r="E28" s="807" t="n">
        <f aca="false">MONTH(C28)</f>
        <v>12</v>
      </c>
      <c r="F28" s="1154" t="e">
        <f aca="false">IF(G28="","",Holiday(D28,E28))</f>
        <v>#VALUE!</v>
      </c>
      <c r="G28" s="1155" t="n">
        <v>36861</v>
      </c>
      <c r="H28" s="1156" t="n">
        <v>36891</v>
      </c>
      <c r="I28" s="1157" t="n">
        <f aca="false">I27</f>
        <v>0.0715</v>
      </c>
      <c r="J28" s="1158" t="n">
        <f aca="false">(1+I28/2)^(-2*(DATE(D29,E29,20)-$H$7)/365.25)</f>
        <v>0.925593578778517</v>
      </c>
      <c r="K28" s="1159" t="e">
        <f aca="false">IF(#REF!=1,+#REF!,I28+#REF!/10000)</f>
        <v>#REF!</v>
      </c>
      <c r="L28" s="1158" t="e">
        <f aca="false">(1+K28/2)^(-2*(DATE(D29,E29,20)-$H$7)/365.25)</f>
        <v>#REF!</v>
      </c>
      <c r="M28" s="1082" t="n">
        <v>0</v>
      </c>
      <c r="N28" s="1160" t="n">
        <v>0</v>
      </c>
      <c r="O28" s="1161" t="n">
        <v>0</v>
      </c>
      <c r="P28" s="1162" t="n">
        <v>0</v>
      </c>
      <c r="Q28" s="1160" t="n">
        <v>0</v>
      </c>
      <c r="R28" s="1161" t="n">
        <v>0</v>
      </c>
      <c r="S28" s="1160" t="n">
        <v>0</v>
      </c>
      <c r="T28" s="1160" t="n">
        <v>0</v>
      </c>
      <c r="U28" s="1160" t="n">
        <v>0</v>
      </c>
      <c r="V28" s="1162" t="n">
        <v>0</v>
      </c>
      <c r="W28" s="1160" t="n">
        <v>0</v>
      </c>
      <c r="X28" s="1163" t="n">
        <v>0</v>
      </c>
      <c r="Y28" s="1086" t="n">
        <v>0</v>
      </c>
      <c r="Z28" s="1086" t="n">
        <v>0</v>
      </c>
      <c r="AA28" s="1087" t="n">
        <v>0</v>
      </c>
      <c r="AB28" s="1086" t="n">
        <v>0</v>
      </c>
      <c r="AC28" s="1086" t="n">
        <v>0</v>
      </c>
      <c r="AD28" s="1087" t="n">
        <v>0</v>
      </c>
      <c r="AE28" s="1086" t="n">
        <v>0</v>
      </c>
      <c r="AF28" s="1086" t="n">
        <v>0</v>
      </c>
      <c r="AG28" s="1087" t="n">
        <v>0</v>
      </c>
      <c r="AH28" s="1086" t="n">
        <v>0</v>
      </c>
      <c r="AI28" s="1086" t="n">
        <v>0</v>
      </c>
      <c r="AJ28" s="1087" t="n">
        <v>0</v>
      </c>
      <c r="AK28" s="1086" t="n">
        <v>0</v>
      </c>
      <c r="AL28" s="1086" t="n">
        <v>0</v>
      </c>
      <c r="AM28" s="1087" t="n">
        <v>0</v>
      </c>
      <c r="AN28" s="1086" t="n">
        <v>0</v>
      </c>
      <c r="AO28" s="1086" t="n">
        <v>0</v>
      </c>
      <c r="AP28" s="1087" t="n">
        <v>0</v>
      </c>
      <c r="AQ28" s="1086" t="n">
        <v>0</v>
      </c>
      <c r="AR28" s="1086" t="n">
        <v>0</v>
      </c>
      <c r="AS28" s="1087" t="n">
        <v>0</v>
      </c>
      <c r="AT28" s="1086" t="n">
        <v>0</v>
      </c>
      <c r="AU28" s="1086" t="n">
        <v>0</v>
      </c>
      <c r="AV28" s="1086" t="n">
        <v>0</v>
      </c>
      <c r="AW28" s="1172" t="n">
        <v>0</v>
      </c>
      <c r="AX28" s="807" t="e">
        <f aca="false">BB28-SUM(AY28:BA28)</f>
        <v>#VALUE!</v>
      </c>
      <c r="AY28" s="807" t="e">
        <f aca="false">IF(AND($E28=MONTH(Summary!$E$24),$D28=YEAR(Summary!$E$24)),Summary!$E$25,1)*IF(G28="",0,INT((H28-MOD(H28,7)-G28)/7)+1-IF(BA28,IF(WEEKDAY(F28)=7,1,0),0))</f>
        <v>#VALUE!</v>
      </c>
      <c r="AZ28" s="807" t="e">
        <f aca="false">IF(AND($E28=MONTH(Summary!$E$24),$D28=YEAR(Summary!$E$24)),Summary!$E$25,1)*IF(G28="",0,INT((H28-MOD(H28-1,7)-G28)/7)+1-IF(BA28,IF(WEEKDAY(F28)=1,1,0),0))</f>
        <v>#VALUE!</v>
      </c>
      <c r="BA28" s="807" t="n">
        <v>1</v>
      </c>
      <c r="BB28" s="807" t="n">
        <f aca="false">IF(AND($E28=MONTH(Summary!$E$24),$D28=YEAR(Summary!$E$24)),Summary!$E$25,1)*IF(G28="",0,H28-G28+1)</f>
        <v>31</v>
      </c>
      <c r="BC28" s="1089" t="n">
        <f aca="false">Summary!$E$19</f>
        <v>0.015</v>
      </c>
      <c r="BD28" s="1090" t="n">
        <v>14184</v>
      </c>
      <c r="BE28" s="1091" t="n">
        <v>3546</v>
      </c>
      <c r="BF28" s="1091" t="n">
        <v>4255.2</v>
      </c>
      <c r="BG28" s="842"/>
      <c r="BH28" s="1092" t="n">
        <v>1</v>
      </c>
      <c r="BI28" s="1092" t="n">
        <v>1</v>
      </c>
      <c r="BJ28" s="1092" t="n">
        <v>1</v>
      </c>
      <c r="BK28" s="1092" t="n">
        <v>1</v>
      </c>
      <c r="BL28" s="1093" t="n">
        <v>2836.8</v>
      </c>
      <c r="BM28" s="1091" t="n">
        <v>709.2</v>
      </c>
      <c r="BN28" s="1091" t="n">
        <v>851.04</v>
      </c>
      <c r="BO28" s="842"/>
      <c r="BP28" s="1092" t="n">
        <v>1</v>
      </c>
      <c r="BQ28" s="1094" t="n">
        <v>1</v>
      </c>
      <c r="BR28" s="1094" t="n">
        <v>1</v>
      </c>
      <c r="BS28" s="1095" t="n">
        <v>1</v>
      </c>
      <c r="BT28" s="1093" t="n">
        <f aca="false">SUM(BD28:BF28)</f>
        <v>21985.2</v>
      </c>
      <c r="BU28" s="1098" t="n">
        <f aca="false">SUM(BD28:BG28)</f>
        <v>21985.2</v>
      </c>
      <c r="BV28" s="1090" t="n">
        <f aca="false">SUM(BL28:BN28)</f>
        <v>4397.04</v>
      </c>
      <c r="BW28" s="1098" t="n">
        <f aca="false">SUM(BL28:BO28)</f>
        <v>4397.04</v>
      </c>
      <c r="BX28" s="852" t="n">
        <v>0.9637234770705</v>
      </c>
      <c r="BY28" s="1099" t="n">
        <v>0</v>
      </c>
      <c r="BZ28" s="852" t="n">
        <v>0</v>
      </c>
      <c r="CA28" s="852" t="n">
        <v>0</v>
      </c>
      <c r="CB28" s="852" t="n">
        <v>0</v>
      </c>
      <c r="CC28" s="852" t="n">
        <v>0</v>
      </c>
      <c r="CD28" s="852" t="n">
        <v>0</v>
      </c>
      <c r="CE28" s="1100" t="n">
        <v>0</v>
      </c>
      <c r="CF28" s="852" t="n">
        <v>0</v>
      </c>
      <c r="CG28" s="852" t="n">
        <v>0</v>
      </c>
      <c r="CH28" s="852" t="n">
        <v>0</v>
      </c>
      <c r="CI28" s="852" t="n">
        <v>0</v>
      </c>
      <c r="CJ28" s="1101" t="n">
        <v>0</v>
      </c>
      <c r="CK28" s="852" t="n">
        <v>0</v>
      </c>
      <c r="CL28" s="852" t="n">
        <v>0</v>
      </c>
      <c r="CM28" s="852" t="n">
        <v>0</v>
      </c>
      <c r="CN28" s="852" t="n">
        <v>0</v>
      </c>
      <c r="CO28" s="852" t="n">
        <v>0</v>
      </c>
      <c r="CP28" s="852" t="n">
        <v>0</v>
      </c>
      <c r="CQ28" s="1102" t="n">
        <v>0</v>
      </c>
      <c r="CR28" s="1103" t="n">
        <v>0</v>
      </c>
      <c r="CS28" s="1103" t="n">
        <v>0</v>
      </c>
      <c r="CT28" s="1103" t="n">
        <v>0</v>
      </c>
      <c r="CU28" s="1103" t="n">
        <v>0</v>
      </c>
      <c r="CV28" s="1103" t="n">
        <v>0</v>
      </c>
      <c r="CW28" s="1103" t="n">
        <v>0</v>
      </c>
      <c r="CX28" s="1104" t="n">
        <v>0</v>
      </c>
      <c r="CY28" s="1105" t="n">
        <v>7691.36048</v>
      </c>
      <c r="CZ28" s="1099" t="n">
        <v>0</v>
      </c>
      <c r="DA28" s="852" t="n">
        <v>0</v>
      </c>
      <c r="DB28" s="852" t="n">
        <v>0</v>
      </c>
      <c r="DC28" s="852" t="n">
        <v>0</v>
      </c>
      <c r="DD28" s="852" t="n">
        <v>0</v>
      </c>
      <c r="DE28" s="1113" t="n">
        <v>0</v>
      </c>
      <c r="DF28" s="1109" t="n">
        <v>0</v>
      </c>
      <c r="DG28" s="1110" t="n">
        <v>0</v>
      </c>
      <c r="DH28" s="1111" t="n">
        <v>0</v>
      </c>
      <c r="DI28" s="1112" t="n">
        <v>0</v>
      </c>
      <c r="DJ28" s="1112" t="n">
        <v>0</v>
      </c>
      <c r="DK28" s="1112" t="n">
        <v>0</v>
      </c>
      <c r="DL28" s="1113" t="n">
        <v>0</v>
      </c>
      <c r="DM28" s="1114" t="n">
        <v>0</v>
      </c>
      <c r="DN28" s="1114" t="n">
        <v>0</v>
      </c>
      <c r="DO28" s="1114" t="n">
        <v>0</v>
      </c>
      <c r="DP28" s="1114" t="n">
        <v>0</v>
      </c>
      <c r="DQ28" s="1114" t="n">
        <v>0</v>
      </c>
      <c r="DR28" s="1109" t="n">
        <v>0</v>
      </c>
      <c r="DS28" s="852" t="n">
        <v>0</v>
      </c>
      <c r="DT28" s="852" t="n">
        <v>0</v>
      </c>
      <c r="DU28" s="852" t="n">
        <v>0</v>
      </c>
      <c r="DV28" s="852" t="n">
        <v>0</v>
      </c>
      <c r="DW28" s="852" t="n">
        <v>0</v>
      </c>
      <c r="DX28" s="852" t="n">
        <v>0</v>
      </c>
      <c r="DY28" s="852" t="n">
        <v>0</v>
      </c>
      <c r="DZ28" s="852" t="n">
        <v>0</v>
      </c>
      <c r="EA28" s="852" t="n">
        <v>0</v>
      </c>
      <c r="EB28" s="1113" t="n">
        <v>0</v>
      </c>
      <c r="EC28" s="1115" t="n">
        <f aca="false">DS28*BD28</f>
        <v>0</v>
      </c>
      <c r="ED28" s="1115" t="n">
        <f aca="false">DT28*BE28</f>
        <v>0</v>
      </c>
      <c r="EE28" s="1115" t="n">
        <f aca="false">DU28*BF28</f>
        <v>0</v>
      </c>
      <c r="EF28" s="1115" t="n">
        <f aca="false">DV28*BG28</f>
        <v>0</v>
      </c>
      <c r="EG28" s="1115" t="n">
        <f aca="false">DS28*BD28+DT28*BE28+DU28*BF28+DV28*BG28</f>
        <v>0</v>
      </c>
      <c r="EH28" s="1116" t="n">
        <v>0</v>
      </c>
      <c r="EI28" s="1117" t="n">
        <v>0</v>
      </c>
      <c r="EJ28" s="1117" t="n">
        <v>0</v>
      </c>
      <c r="EK28" s="1117" t="n">
        <v>0</v>
      </c>
      <c r="EL28" s="1118" t="n">
        <f aca="false">IF(C28&gt;=Summary!$E$26,MAX(0,SUM(EH28:EK28)),0)</f>
        <v>0</v>
      </c>
      <c r="EM28" s="1115" t="n">
        <f aca="false">IF(C28&gt;=Summary!$E$26,DX28*BL28,0)</f>
        <v>0</v>
      </c>
      <c r="EN28" s="1115" t="n">
        <f aca="false">IF(C28&gt;=Summary!$E$26,DY28*BM28,0)</f>
        <v>0</v>
      </c>
      <c r="EO28" s="1115" t="n">
        <f aca="false">IF(C28&gt;=Summary!$E$26,DZ28*BN28,0)</f>
        <v>0</v>
      </c>
      <c r="EP28" s="1115" t="n">
        <f aca="false">IF(C28&gt;=Summary!$E$26,EA28*BO28,0)</f>
        <v>0</v>
      </c>
      <c r="EQ28" s="1115" t="n">
        <f aca="false">IF(C28&gt;=Summary!$E$26,DX28*BL28+DY28*BM28+DZ28*BN28+EA28*BO28,0)</f>
        <v>0</v>
      </c>
      <c r="ER28" s="1119" t="n">
        <v>0</v>
      </c>
      <c r="ES28" s="1120" t="n">
        <v>0</v>
      </c>
      <c r="ET28" s="1120" t="n">
        <v>0</v>
      </c>
      <c r="EU28" s="1120" t="n">
        <v>0</v>
      </c>
      <c r="EV28" s="1143" t="n">
        <f aca="false">IF(C28&gt;=Summary!$E$26,MAX(0,SUM(ER28:EU28)),0)</f>
        <v>0</v>
      </c>
      <c r="EW28" s="1115"/>
      <c r="EX28" s="1165" t="n">
        <f aca="false">(EQ28-EV28)+IF(EZ28="Yes",(EG28-EL28),0)</f>
        <v>0</v>
      </c>
      <c r="EY28" s="1166" t="str">
        <f aca="false">IF(EX28,EX28/EQ28,"")</f>
        <v/>
      </c>
      <c r="EZ28" s="1122" t="s">
        <v>37</v>
      </c>
      <c r="FA28" s="1096" t="n">
        <f aca="false">FA27</f>
        <v>45</v>
      </c>
      <c r="FB28" s="1167" t="e">
        <f aca="false">IF(EZ28="No",IF((OR(MONTH(C28)=5,MONTH(C28)=6,MONTH(C28)=7,MONTH(C28)=8,MONTH(C28)=9)),$FA28*12*AX28*(1-$BC28),$FA28*10*AX28*(1-$BC28)),0)</f>
        <v>#VALUE!</v>
      </c>
      <c r="FC28" s="1129" t="e">
        <f aca="false">IF(EZ28="No",IF((OR(MONTH(C28)=5,MONTH(C28)=6,MONTH(C28)=7,MONTH(C28)=8,MONTH(C28)=9)),0,$FA28*3*AX28*(1-$BC28)),0)</f>
        <v>#VALUE!</v>
      </c>
      <c r="FD28" s="1129" t="e">
        <f aca="false">IF(EZ28="No",IF((OR(MONTH(C28)=5,MONTH(C28)=6,MONTH(C28)=7,MONTH(C28)=8,MONTH(C28)=9)),$FA28*12*AY28*(1-$BC28),$FA28*10*AY28*(1-$BC28)),0)</f>
        <v>#VALUE!</v>
      </c>
      <c r="FE28" s="1129" t="e">
        <f aca="false">IF(EZ28="No",IF((OR(MONTH(C28)=5,MONTH(C28)=6,MONTH(C28)=7,MONTH(C28)=8,MONTH(C28)=9)),0,$FA28*3*AY28*(1-$BC28)),0)</f>
        <v>#VALUE!</v>
      </c>
      <c r="FF28" s="1129" t="e">
        <f aca="false">IF(EZ28="No",IF((OR(MONTH(C28)=5,MONTH(C28)=6,MONTH(C28)=7,MONTH(C28)=8,MONTH(C28)=9)),$FA28*12*(AZ28+BA28)*(1-$BC28),$FA28*10*(AZ28+BA28)*(1-$BC28)),0)</f>
        <v>#VALUE!</v>
      </c>
      <c r="FG28" s="1129" t="e">
        <f aca="false">IF(EZ28="No",IF((OR(MONTH(C28)=5,MONTH(C28)=6,MONTH(C28)=7,MONTH(C28)=8,MONTH(C28)=9)),0,$FA28*3*(AZ28+BA28)*(1-$BC28)),0)</f>
        <v>#VALUE!</v>
      </c>
      <c r="FH28" s="1170" t="e">
        <f aca="false">IF(EZ28="No",IF((OR(MONTH(C28)=5,MONTH(C28)=6,MONTH(C28)=7,MONTH(C28)=8,MONTH(C28)=9)),Summary!$O$15*12*(AX28+AY28+AZ28+BA28)*(1-$BC28),Summary!$O$15*13*(AX28+AY28+AZ28+BA28)*(1-$BC28)+IF(Summary!$O$16="Yes",(CALC!FA28+Summary!$O$15)*6*(AX28+AY28+AZ28+BA28)*(1-$BC28),0)),0)</f>
        <v>#VALUE!</v>
      </c>
      <c r="FI28" s="1126" t="n">
        <f aca="false">IF(MONTH(C28)=5,FI27*(IF(Summary!$E$70="no",(1+(Summary!$E$71*0.8)),1+HLOOKUP(YEAR(C28)-1,CCFMODEL!$I$127:$AF$128,2)*0.8)),+FI27)</f>
        <v>27.2410364963504</v>
      </c>
      <c r="FJ28" s="1127" t="n">
        <f aca="false">IF(MONTH(C28)=5,FJ27*(IF(Summary!$E$70="no",(1+(Summary!$E$71*0.8)),1+HLOOKUP(YEAR(CALC!C28)-1,CCFMODEL!$I$127:$AF$128,2)*0.8)),FJ27)</f>
        <v>23.8090948905109</v>
      </c>
      <c r="FK28" s="1128" t="e">
        <f aca="false">SUM(FB28:FG28)*FI28+FH28*FJ28</f>
        <v>#VALUE!</v>
      </c>
      <c r="FL28" s="1126" t="n">
        <f aca="false">IF(MONTH(C28)=5,FL27*(IF(Summary!$E$70="no",(1+(Summary!$E$71*0.8)),1+HLOOKUP(YEAR(CALC!C28)-1,CCFMODEL!$I$127:$AF$128,2)*0.8)),+FL27)</f>
        <v>57.2909537712895</v>
      </c>
      <c r="FM28" s="1127" t="n">
        <f aca="false">IF(MONTH(C28)=5,FM27*(IF(Summary!$E$70="no",(1+(Summary!$E$71*0.8)),1+HLOOKUP(YEAR(CALC!C28)-1,CCFMODEL!$I$127:$AF$128,2)*0.8)),+FM27)</f>
        <v>27.3431776155718</v>
      </c>
      <c r="FN28" s="1128" t="e">
        <f aca="false">IF((OR(MONTH(C28)=5,MONTH(C28)=6,MONTH(C28)=7,MONTH(C28)=8,MONTH(C28)=9)),SUM(FB28:FG28)/(1-BC28)*FL28,SUM(FB28:FG28)/(1-BC28)*FM28)</f>
        <v>#VALUE!</v>
      </c>
      <c r="FO28" s="1129" t="e">
        <f aca="false">FK28+FN28</f>
        <v>#VALUE!</v>
      </c>
      <c r="FP28" s="1169" t="e">
        <f aca="false">FB28</f>
        <v>#VALUE!</v>
      </c>
      <c r="FQ28" s="1129" t="e">
        <f aca="false">FC28</f>
        <v>#VALUE!</v>
      </c>
      <c r="FR28" s="1129" t="e">
        <f aca="false">FD28</f>
        <v>#VALUE!</v>
      </c>
      <c r="FS28" s="1129" t="e">
        <f aca="false">FE28</f>
        <v>#VALUE!</v>
      </c>
      <c r="FT28" s="1129" t="e">
        <f aca="false">FF28</f>
        <v>#VALUE!</v>
      </c>
      <c r="FU28" s="1129" t="e">
        <f aca="false">FG28</f>
        <v>#VALUE!</v>
      </c>
      <c r="FV28" s="1170" t="e">
        <f aca="false">FH28</f>
        <v>#VALUE!</v>
      </c>
      <c r="FW28" s="1115" t="n">
        <f aca="false">IF(ER28&gt;0,MIN(FB28-FP28,BL28),0)</f>
        <v>0</v>
      </c>
      <c r="FX28" s="1115" t="n">
        <f aca="false">IF(ES28&gt;0,MIN(FD28-FR28,BM28),0)</f>
        <v>0</v>
      </c>
      <c r="FY28" s="1115" t="n">
        <f aca="false">IF(ET28&gt;0,MIN(FF28-FT28,BN28),0)</f>
        <v>0</v>
      </c>
      <c r="FZ28" s="1143" t="n">
        <f aca="false">IF(EU28&gt;0,MIN(FH28-FV28,BO28),0)</f>
        <v>0</v>
      </c>
      <c r="GA28" s="1132" t="e">
        <f aca="false">(SUM(FP28:FV28)+SUM(GU28:HB28)/(1-Summary!$O$25))*CY28/1000</f>
        <v>#VALUE!</v>
      </c>
      <c r="GB28" s="1133" t="n">
        <f aca="false">IF($C28&lt;Summary!$M$81,+Summary!$O$81,VLOOKUP(C28,GasTable,19))</f>
        <v>2.4</v>
      </c>
      <c r="GC28" s="1134" t="e">
        <f aca="false">IF(H28&lt;=Summary!$N$84,MIN(GA28,Summary!$O$75*(H28-G28+1)),0)</f>
        <v>#VALUE!</v>
      </c>
      <c r="GD28" s="1135" t="e">
        <f aca="false">IF(Summary!$O$75*(H28-G28+1)*0.8&gt;GC28,1,0)</f>
        <v>#VALUE!</v>
      </c>
      <c r="GE28" s="1136" t="n">
        <v>0</v>
      </c>
      <c r="GF28" s="1134" t="e">
        <f aca="false">ABS(MIN(0,GC28-$GA28))</f>
        <v>#VALUE!</v>
      </c>
      <c r="GG28" s="1135" t="e">
        <f aca="false">GF28*(IF(Summary!$O$74=1,VLOOKUP($C28,GasTable,16)+Summary!$O$92+Summary!$O$93,VLOOKUP($C28,GasTable,19)+Summary!$O$92+Summary!$O$93))</f>
        <v>#VALUE!</v>
      </c>
      <c r="GH28" s="1137" t="n">
        <v>25990.4</v>
      </c>
      <c r="GI28" s="1138" t="n">
        <v>0</v>
      </c>
      <c r="GJ28" s="1139" t="e">
        <f aca="false">+GB28*GC28+GE28+GG28+GH28-GI28</f>
        <v>#VALUE!</v>
      </c>
      <c r="GK28" s="1115" t="e">
        <f aca="false">SUM(FP28:FV28,GU28:GX28,GY28:HB28)</f>
        <v>#VALUE!</v>
      </c>
      <c r="GL28" s="1140" t="n">
        <v>0.755291599136</v>
      </c>
      <c r="GM28" s="1141" t="e">
        <f aca="false">IF(GK28&gt;GC28/(CY28/1000),GC28/(CY28/1000),+GK28)*GL28</f>
        <v>#VALUE!</v>
      </c>
      <c r="GN28" s="1115" t="n">
        <f aca="false">IF(SUM(GU28:HB28)=0,0,IF(Summary!$O$16="Yes",SUM(GX28:HB28),IF(Summary!$O$17="Yes",SUM(GY28:HB28),SUM(GU28:HB28))))</f>
        <v>9837.93375</v>
      </c>
      <c r="GO28" s="1142" t="n">
        <v>5.55222627737226</v>
      </c>
      <c r="GP28" s="1143" t="n">
        <f aca="false">GN28*GO28</f>
        <v>54622.4342817974</v>
      </c>
      <c r="GQ28" s="1115"/>
      <c r="GR28" s="1115"/>
      <c r="GS28" s="1115"/>
      <c r="GT28" s="1115"/>
      <c r="GU28" s="1150" t="n">
        <v>5132.835</v>
      </c>
      <c r="GV28" s="1115" t="n">
        <v>1283.20875</v>
      </c>
      <c r="GW28" s="1115" t="n">
        <v>0</v>
      </c>
      <c r="GX28" s="1115"/>
      <c r="GY28" s="1151" t="n">
        <v>2737.512</v>
      </c>
      <c r="GZ28" s="1115" t="n">
        <v>684.378</v>
      </c>
      <c r="HA28" s="1115" t="n">
        <v>0</v>
      </c>
      <c r="HB28" s="1141"/>
      <c r="HC28" s="1115" t="n">
        <v>9837.93375</v>
      </c>
      <c r="HD28" s="1115"/>
      <c r="HE28" s="1115" t="n">
        <v>9837.93375</v>
      </c>
      <c r="HF28" s="1115" t="n">
        <v>464670.216703125</v>
      </c>
      <c r="HG28" s="1115"/>
      <c r="HH28" s="1142" t="n">
        <v>47.2325011035092</v>
      </c>
      <c r="HI28" s="1115" t="n">
        <v>464670.216703125</v>
      </c>
      <c r="HJ28" s="1150" t="e">
        <f aca="false">MAX(FB28-FP28-FW28,0)</f>
        <v>#VALUE!</v>
      </c>
      <c r="HK28" s="1115" t="e">
        <f aca="false">MAX(FD28-FR28-FX28,0)</f>
        <v>#VALUE!</v>
      </c>
      <c r="HL28" s="1115" t="e">
        <f aca="false">MAX(FF28-FT28-FY28,0)</f>
        <v>#VALUE!</v>
      </c>
      <c r="HM28" s="1141" t="e">
        <f aca="false">MAX(FH28-FV28-FZ28,0)</f>
        <v>#VALUE!</v>
      </c>
      <c r="HN28" s="1115" t="e">
        <f aca="false">SUM(HJ28:HM28)</f>
        <v>#VALUE!</v>
      </c>
      <c r="HO28" s="1142" t="n">
        <f aca="false">IF(ISERROR(+HP28/HN28),0,+HP28/HN28)</f>
        <v>0</v>
      </c>
      <c r="HP28" s="1143" t="e">
        <f aca="false">(HJ28*CE28+HK28*CF28+HL28*CG28+HM28*CH28)</f>
        <v>#VALUE!</v>
      </c>
      <c r="HQ28" s="1146" t="n">
        <v>2010</v>
      </c>
      <c r="HR28" s="1150" t="e">
        <f aca="false">SUMIF($D$17:$D$292,HQ28,$FB$17:$FB$292)+SUMIF($D$17:$D$292,HQ28,$FC$17:$FC$292)+SUMIF($D$17:$D$292,HQ28,$FD$17:$FD$292)+SUMIF($D$17:$D$292,HQ28,$FE$17:$FE$292)+SUMIF($D$17:$D$292,HQ28,$FF$17:$FF$292)+SUMIF($D$17:$D$292,HQ28,$FG$17:$FG$292)+SUMIF($D$17:$D$292,HQ28,$FH$17:$FH$292)</f>
        <v>#VALUE!</v>
      </c>
      <c r="HS28" s="1110" t="e">
        <f aca="false">IF(HT28=0,0,HT28/HR28)</f>
        <v>#VALUE!</v>
      </c>
      <c r="HT28" s="1141" t="e">
        <f aca="false">SUMIF($D$17:$D$292,HQ28,$FO$17:$FO$292)</f>
        <v>#VALUE!</v>
      </c>
      <c r="HU28" s="1151" t="n">
        <v>101955.21255</v>
      </c>
      <c r="HV28" s="1142" t="n">
        <v>44.2982703443782</v>
      </c>
      <c r="HW28" s="1115" t="n">
        <v>4516439.56855844</v>
      </c>
      <c r="HX28" s="1171" t="n">
        <v>0</v>
      </c>
      <c r="HY28" s="1143" t="e">
        <f aca="false">HT28+HW28+HX28</f>
        <v>#VALUE!</v>
      </c>
      <c r="HZ28" s="1150" t="n">
        <v>2388853.52536596</v>
      </c>
      <c r="IA28" s="1142" t="n">
        <v>-3.12851861614133</v>
      </c>
      <c r="IB28" s="1141" t="n">
        <v>-7473572.72534227</v>
      </c>
      <c r="IC28" s="1151" t="n">
        <v>305495.61255</v>
      </c>
      <c r="ID28" s="1142" t="e">
        <f aca="false">IF(IE28=0,0,IE28/IC28)</f>
        <v>#VALUE!</v>
      </c>
      <c r="IE28" s="1141" t="e">
        <f aca="false">-SUMIF($D$17:$D$292,HQ28,$GM$17:$GM$292)</f>
        <v>#VALUE!</v>
      </c>
      <c r="IF28" s="1115" t="n">
        <f aca="false">SUMIF($D$17:$D$292,HQ28,$GN$17:$GN$292)</f>
        <v>130545.1035</v>
      </c>
      <c r="IG28" s="1142" t="n">
        <f aca="false">IF(IH28=0,0,IH28/IF28)</f>
        <v>-2.49753432922508</v>
      </c>
      <c r="IH28" s="1141" t="n">
        <v>-326040.877503491</v>
      </c>
      <c r="II28" s="1115" t="e">
        <f aca="false">SUMIF($D$17:$D$292,HQ28,$HN$17:$HN$292)</f>
        <v>#VALUE!</v>
      </c>
      <c r="IJ28" s="1142" t="e">
        <f aca="false">IF(IK28=0,0,IK28/II28)</f>
        <v>#VALUE!</v>
      </c>
      <c r="IK28" s="1115" t="e">
        <f aca="false">-SUMIF($D$17:$D$292,HQ28,$HP$17:$HP$292)</f>
        <v>#VALUE!</v>
      </c>
      <c r="IL28" s="1152" t="e">
        <f aca="false">HY28+IB28+IE28+IH28</f>
        <v>#VALUE!</v>
      </c>
      <c r="IN28" s="222"/>
      <c r="IO28" s="162"/>
      <c r="IR28" s="844"/>
    </row>
    <row r="29" customFormat="false" ht="13.5" hidden="false" customHeight="false" outlineLevel="0" collapsed="false">
      <c r="A29" s="0" t="str">
        <f aca="false">+D29&amp;"Q"&amp;ROUNDUP(E29/3,0)</f>
        <v>2001Q1</v>
      </c>
      <c r="B29" s="0" t="n">
        <f aca="false">YEAR(C29)</f>
        <v>2001</v>
      </c>
      <c r="C29" s="1153" t="n">
        <f aca="false">EOMONTH(C28,0)+1</f>
        <v>36892</v>
      </c>
      <c r="D29" s="841" t="n">
        <f aca="false">+YEAR(C29)</f>
        <v>2001</v>
      </c>
      <c r="E29" s="807" t="n">
        <f aca="false">MONTH(C29)</f>
        <v>1</v>
      </c>
      <c r="F29" s="1154" t="e">
        <f aca="false">IF(G29="","",Holiday(D29,E29))</f>
        <v>#VALUE!</v>
      </c>
      <c r="G29" s="1155" t="n">
        <v>36892</v>
      </c>
      <c r="H29" s="1156" t="n">
        <v>36922</v>
      </c>
      <c r="I29" s="1157" t="n">
        <f aca="false">I28</f>
        <v>0.0715</v>
      </c>
      <c r="J29" s="1158" t="n">
        <f aca="false">(1+I29/2)^(-2*(DATE(D30,E30,20)-$H$7)/365.25)</f>
        <v>0.920091156061128</v>
      </c>
      <c r="K29" s="1159" t="e">
        <f aca="false">IF(#REF!=1,+#REF!,I29+#REF!/10000)</f>
        <v>#REF!</v>
      </c>
      <c r="L29" s="1158" t="e">
        <f aca="false">(1+K29/2)^(-2*(DATE(D30,E30,20)-$H$7)/365.25)</f>
        <v>#REF!</v>
      </c>
      <c r="M29" s="1082" t="n">
        <v>0</v>
      </c>
      <c r="N29" s="1110" t="n">
        <f aca="false">M29</f>
        <v>0</v>
      </c>
      <c r="O29" s="1174" t="n">
        <f aca="false">N29</f>
        <v>0</v>
      </c>
      <c r="P29" s="1175" t="n">
        <f aca="false">M29</f>
        <v>0</v>
      </c>
      <c r="Q29" s="1110" t="n">
        <f aca="false">P29</f>
        <v>0</v>
      </c>
      <c r="R29" s="1174" t="n">
        <f aca="false">Q29</f>
        <v>0</v>
      </c>
      <c r="S29" s="1110" t="n">
        <f aca="false">R29</f>
        <v>0</v>
      </c>
      <c r="T29" s="1110" t="n">
        <f aca="false">S29</f>
        <v>0</v>
      </c>
      <c r="U29" s="1110" t="n">
        <f aca="false">T29</f>
        <v>0</v>
      </c>
      <c r="V29" s="1175" t="n">
        <f aca="false">U29</f>
        <v>0</v>
      </c>
      <c r="W29" s="1110" t="n">
        <f aca="false">V29</f>
        <v>0</v>
      </c>
      <c r="X29" s="1176" t="n">
        <f aca="false">W29</f>
        <v>0</v>
      </c>
      <c r="Y29" s="1086" t="n">
        <v>0</v>
      </c>
      <c r="Z29" s="1086" t="n">
        <v>0</v>
      </c>
      <c r="AA29" s="1087" t="n">
        <v>0</v>
      </c>
      <c r="AB29" s="1086" t="n">
        <v>0</v>
      </c>
      <c r="AC29" s="1086" t="n">
        <v>0</v>
      </c>
      <c r="AD29" s="1087" t="n">
        <v>0</v>
      </c>
      <c r="AE29" s="1086" t="n">
        <v>0</v>
      </c>
      <c r="AF29" s="1086" t="n">
        <v>0</v>
      </c>
      <c r="AG29" s="1087" t="n">
        <v>0</v>
      </c>
      <c r="AH29" s="1086" t="n">
        <v>0</v>
      </c>
      <c r="AI29" s="1086" t="n">
        <v>0</v>
      </c>
      <c r="AJ29" s="1087" t="n">
        <v>0</v>
      </c>
      <c r="AK29" s="1086" t="n">
        <v>0</v>
      </c>
      <c r="AL29" s="1086" t="n">
        <v>0</v>
      </c>
      <c r="AM29" s="1087" t="n">
        <v>0</v>
      </c>
      <c r="AN29" s="1086" t="n">
        <v>0</v>
      </c>
      <c r="AO29" s="1086" t="n">
        <v>0</v>
      </c>
      <c r="AP29" s="1087" t="n">
        <v>0</v>
      </c>
      <c r="AQ29" s="1086" t="n">
        <v>0</v>
      </c>
      <c r="AR29" s="1086" t="n">
        <v>0</v>
      </c>
      <c r="AS29" s="1087" t="n">
        <v>0</v>
      </c>
      <c r="AT29" s="1086" t="n">
        <v>0</v>
      </c>
      <c r="AU29" s="1086" t="n">
        <v>0</v>
      </c>
      <c r="AV29" s="1086" t="n">
        <v>0</v>
      </c>
      <c r="AW29" s="1172" t="n">
        <v>0</v>
      </c>
      <c r="AX29" s="807" t="e">
        <f aca="false">BB29-SUM(AY29:BA29)</f>
        <v>#VALUE!</v>
      </c>
      <c r="AY29" s="807" t="e">
        <f aca="false">IF(AND($E29=MONTH(Summary!$E$24),$D29=YEAR(Summary!$E$24)),Summary!$E$25,1)*IF(G29="",0,INT((H29-MOD(H29,7)-G29)/7)+1-IF(BA29,IF(WEEKDAY(F29)=7,1,0),0))</f>
        <v>#VALUE!</v>
      </c>
      <c r="AZ29" s="807" t="e">
        <f aca="false">IF(AND($E29=MONTH(Summary!$E$24),$D29=YEAR(Summary!$E$24)),Summary!$E$25,1)*IF(G29="",0,INT((H29-MOD(H29-1,7)-G29)/7)+1-IF(BA29,IF(WEEKDAY(F29)=1,1,0),0))</f>
        <v>#VALUE!</v>
      </c>
      <c r="BA29" s="807" t="n">
        <v>1</v>
      </c>
      <c r="BB29" s="807" t="n">
        <f aca="false">IF(AND($E29=MONTH(Summary!$E$24),$D29=YEAR(Summary!$E$24)),Summary!$E$25,1)*IF(G29="",0,H29-G29+1)</f>
        <v>31</v>
      </c>
      <c r="BC29" s="1089" t="n">
        <f aca="false">Summary!$E$19</f>
        <v>0.015</v>
      </c>
      <c r="BD29" s="1090" t="n">
        <v>15602.4</v>
      </c>
      <c r="BE29" s="1091" t="n">
        <v>2836.8</v>
      </c>
      <c r="BF29" s="1091" t="n">
        <v>3546</v>
      </c>
      <c r="BG29" s="842"/>
      <c r="BH29" s="1092" t="n">
        <v>1</v>
      </c>
      <c r="BI29" s="1092" t="n">
        <v>1</v>
      </c>
      <c r="BJ29" s="1092" t="n">
        <v>1</v>
      </c>
      <c r="BK29" s="1092" t="n">
        <v>1</v>
      </c>
      <c r="BL29" s="1093" t="n">
        <v>3120.48</v>
      </c>
      <c r="BM29" s="1091" t="n">
        <v>567.36</v>
      </c>
      <c r="BN29" s="1091" t="n">
        <v>709.2</v>
      </c>
      <c r="BO29" s="842"/>
      <c r="BP29" s="1092" t="n">
        <v>1</v>
      </c>
      <c r="BQ29" s="1094" t="n">
        <v>1</v>
      </c>
      <c r="BR29" s="1094" t="n">
        <v>1</v>
      </c>
      <c r="BS29" s="1095" t="n">
        <v>1</v>
      </c>
      <c r="BT29" s="1093" t="n">
        <f aca="false">SUM(BD29:BF29)</f>
        <v>21985.2</v>
      </c>
      <c r="BU29" s="1098" t="n">
        <f aca="false">SUM(BD29:BG29)</f>
        <v>21985.2</v>
      </c>
      <c r="BV29" s="1090" t="n">
        <f aca="false">SUM(BL29:BN29)</f>
        <v>4397.04</v>
      </c>
      <c r="BW29" s="1098" t="n">
        <f aca="false">SUM(BL29:BO29)</f>
        <v>4397.04</v>
      </c>
      <c r="BX29" s="852" t="n">
        <v>1.04859685147159</v>
      </c>
      <c r="BY29" s="1099" t="n">
        <v>0</v>
      </c>
      <c r="BZ29" s="852" t="n">
        <v>0</v>
      </c>
      <c r="CA29" s="852" t="n">
        <v>0</v>
      </c>
      <c r="CB29" s="852" t="n">
        <v>0</v>
      </c>
      <c r="CC29" s="852" t="n">
        <v>0</v>
      </c>
      <c r="CD29" s="852" t="n">
        <v>0</v>
      </c>
      <c r="CE29" s="1100" t="n">
        <v>0</v>
      </c>
      <c r="CF29" s="852" t="n">
        <v>0</v>
      </c>
      <c r="CG29" s="852" t="n">
        <v>0</v>
      </c>
      <c r="CH29" s="852" t="n">
        <v>0</v>
      </c>
      <c r="CI29" s="852" t="n">
        <v>0</v>
      </c>
      <c r="CJ29" s="1101" t="n">
        <v>0</v>
      </c>
      <c r="CK29" s="852" t="n">
        <v>0</v>
      </c>
      <c r="CL29" s="852" t="n">
        <v>0</v>
      </c>
      <c r="CM29" s="852" t="n">
        <v>0</v>
      </c>
      <c r="CN29" s="852" t="n">
        <v>0</v>
      </c>
      <c r="CO29" s="852" t="n">
        <v>0</v>
      </c>
      <c r="CP29" s="852" t="n">
        <v>0</v>
      </c>
      <c r="CQ29" s="1102" t="n">
        <v>0</v>
      </c>
      <c r="CR29" s="1103" t="n">
        <v>0</v>
      </c>
      <c r="CS29" s="1103" t="n">
        <v>0</v>
      </c>
      <c r="CT29" s="1103" t="n">
        <v>0</v>
      </c>
      <c r="CU29" s="1103" t="n">
        <v>0</v>
      </c>
      <c r="CV29" s="1103" t="n">
        <v>0</v>
      </c>
      <c r="CW29" s="1103" t="n">
        <v>0</v>
      </c>
      <c r="CX29" s="1104" t="n">
        <v>0</v>
      </c>
      <c r="CY29" s="1105" t="n">
        <v>7693.3148</v>
      </c>
      <c r="CZ29" s="1099" t="n">
        <v>0</v>
      </c>
      <c r="DA29" s="852" t="n">
        <v>0</v>
      </c>
      <c r="DB29" s="852" t="n">
        <v>0</v>
      </c>
      <c r="DC29" s="852" t="n">
        <v>0</v>
      </c>
      <c r="DD29" s="852" t="n">
        <v>0</v>
      </c>
      <c r="DE29" s="1113" t="n">
        <v>0</v>
      </c>
      <c r="DF29" s="1109" t="n">
        <v>0</v>
      </c>
      <c r="DG29" s="1110" t="n">
        <v>0</v>
      </c>
      <c r="DH29" s="1111" t="n">
        <v>0</v>
      </c>
      <c r="DI29" s="1112" t="n">
        <v>0</v>
      </c>
      <c r="DJ29" s="1112" t="n">
        <v>0</v>
      </c>
      <c r="DK29" s="1112" t="n">
        <v>0</v>
      </c>
      <c r="DL29" s="1113" t="n">
        <v>0</v>
      </c>
      <c r="DM29" s="1114" t="n">
        <v>0</v>
      </c>
      <c r="DN29" s="1114" t="n">
        <v>0</v>
      </c>
      <c r="DO29" s="1114" t="n">
        <v>0</v>
      </c>
      <c r="DP29" s="1114" t="n">
        <v>0</v>
      </c>
      <c r="DQ29" s="1114" t="n">
        <v>0</v>
      </c>
      <c r="DR29" s="1109" t="n">
        <v>0</v>
      </c>
      <c r="DS29" s="852" t="n">
        <v>0</v>
      </c>
      <c r="DT29" s="852" t="n">
        <v>0</v>
      </c>
      <c r="DU29" s="852" t="n">
        <v>0</v>
      </c>
      <c r="DV29" s="852" t="n">
        <v>0</v>
      </c>
      <c r="DW29" s="852" t="n">
        <v>0</v>
      </c>
      <c r="DX29" s="852" t="n">
        <v>0</v>
      </c>
      <c r="DY29" s="852" t="n">
        <v>0</v>
      </c>
      <c r="DZ29" s="852" t="n">
        <v>0</v>
      </c>
      <c r="EA29" s="852" t="n">
        <v>0</v>
      </c>
      <c r="EB29" s="1113" t="n">
        <v>0</v>
      </c>
      <c r="EC29" s="1115" t="n">
        <f aca="false">DS29*BD29</f>
        <v>0</v>
      </c>
      <c r="ED29" s="1115" t="n">
        <f aca="false">DT29*BE29</f>
        <v>0</v>
      </c>
      <c r="EE29" s="1115" t="n">
        <f aca="false">DU29*BF29</f>
        <v>0</v>
      </c>
      <c r="EF29" s="1115" t="n">
        <f aca="false">DV29*BG29</f>
        <v>0</v>
      </c>
      <c r="EG29" s="1115" t="n">
        <f aca="false">DS29*BD29+DT29*BE29+DU29*BF29+DV29*BG29</f>
        <v>0</v>
      </c>
      <c r="EH29" s="1116" t="n">
        <v>0</v>
      </c>
      <c r="EI29" s="1117" t="n">
        <v>0</v>
      </c>
      <c r="EJ29" s="1117" t="n">
        <v>0</v>
      </c>
      <c r="EK29" s="1117" t="n">
        <v>0</v>
      </c>
      <c r="EL29" s="1118" t="n">
        <f aca="false">IF(C29&gt;=Summary!$E$26,MAX(0,SUM(EH29:EK29)),0)</f>
        <v>0</v>
      </c>
      <c r="EM29" s="1115" t="n">
        <f aca="false">IF(C29&gt;=Summary!$E$26,DX29*BL29,0)</f>
        <v>0</v>
      </c>
      <c r="EN29" s="1115" t="n">
        <f aca="false">IF(C29&gt;=Summary!$E$26,DY29*BM29,0)</f>
        <v>0</v>
      </c>
      <c r="EO29" s="1115" t="n">
        <f aca="false">IF(C29&gt;=Summary!$E$26,DZ29*BN29,0)</f>
        <v>0</v>
      </c>
      <c r="EP29" s="1115" t="n">
        <f aca="false">IF(C29&gt;=Summary!$E$26,EA29*BO29,0)</f>
        <v>0</v>
      </c>
      <c r="EQ29" s="1115" t="n">
        <f aca="false">IF(C29&gt;=Summary!$E$26,DX29*BL29+DY29*BM29+DZ29*BN29+EA29*BO29,0)</f>
        <v>0</v>
      </c>
      <c r="ER29" s="1119" t="n">
        <v>0</v>
      </c>
      <c r="ES29" s="1120" t="n">
        <v>0</v>
      </c>
      <c r="ET29" s="1120" t="n">
        <v>0</v>
      </c>
      <c r="EU29" s="1120" t="n">
        <v>0</v>
      </c>
      <c r="EV29" s="1143" t="n">
        <f aca="false">IF(C29&gt;=Summary!$E$26,MAX(0,SUM(ER29:EU29)),0)</f>
        <v>0</v>
      </c>
      <c r="EW29" s="1115"/>
      <c r="EX29" s="1165" t="n">
        <f aca="false">(EQ29-EV29)+IF(EZ29="Yes",(EG29-EL29),0)</f>
        <v>0</v>
      </c>
      <c r="EY29" s="1166" t="str">
        <f aca="false">IF(EX29,EX29/EQ29,"")</f>
        <v/>
      </c>
      <c r="EZ29" s="1122" t="s">
        <v>37</v>
      </c>
      <c r="FA29" s="1096" t="n">
        <f aca="false">FA28</f>
        <v>45</v>
      </c>
      <c r="FB29" s="1167" t="e">
        <f aca="false">IF(EZ29="No",IF((OR(MONTH(C29)=5,MONTH(C29)=6,MONTH(C29)=7,MONTH(C29)=8,MONTH(C29)=9)),$FA29*12*AX29*(1-$BC29),$FA29*10*AX29*(1-$BC29)),0)</f>
        <v>#VALUE!</v>
      </c>
      <c r="FC29" s="1129" t="e">
        <f aca="false">IF(EZ29="No",IF((OR(MONTH(C29)=5,MONTH(C29)=6,MONTH(C29)=7,MONTH(C29)=8,MONTH(C29)=9)),0,$FA29*3*AX29*(1-$BC29)),0)</f>
        <v>#VALUE!</v>
      </c>
      <c r="FD29" s="1129" t="e">
        <f aca="false">IF(EZ29="No",IF((OR(MONTH(C29)=5,MONTH(C29)=6,MONTH(C29)=7,MONTH(C29)=8,MONTH(C29)=9)),$FA29*12*AY29*(1-$BC29),$FA29*10*AY29*(1-$BC29)),0)</f>
        <v>#VALUE!</v>
      </c>
      <c r="FE29" s="1129" t="e">
        <f aca="false">IF(EZ29="No",IF((OR(MONTH(C29)=5,MONTH(C29)=6,MONTH(C29)=7,MONTH(C29)=8,MONTH(C29)=9)),0,$FA29*3*AY29*(1-$BC29)),0)</f>
        <v>#VALUE!</v>
      </c>
      <c r="FF29" s="1129" t="e">
        <f aca="false">IF(EZ29="No",IF((OR(MONTH(C29)=5,MONTH(C29)=6,MONTH(C29)=7,MONTH(C29)=8,MONTH(C29)=9)),$FA29*12*(AZ29+BA29)*(1-$BC29),$FA29*10*(AZ29+BA29)*(1-$BC29)),0)</f>
        <v>#VALUE!</v>
      </c>
      <c r="FG29" s="1129" t="e">
        <f aca="false">IF(EZ29="No",IF((OR(MONTH(C29)=5,MONTH(C29)=6,MONTH(C29)=7,MONTH(C29)=8,MONTH(C29)=9)),0,$FA29*3*(AZ29+BA29)*(1-$BC29)),0)</f>
        <v>#VALUE!</v>
      </c>
      <c r="FH29" s="1170" t="e">
        <f aca="false">IF(EZ29="No",IF((OR(MONTH(C29)=5,MONTH(C29)=6,MONTH(C29)=7,MONTH(C29)=8,MONTH(C29)=9)),Summary!$O$15*12*(AX29+AY29+AZ29+BA29)*(1-$BC29),Summary!$O$15*13*(AX29+AY29+AZ29+BA29)*(1-$BC29)+IF(Summary!$O$16="Yes",(CALC!FA29+Summary!$O$15)*6*(AX29+AY29+AZ29+BA29)*(1-$BC29),0)),0)</f>
        <v>#VALUE!</v>
      </c>
      <c r="FI29" s="1126" t="n">
        <f aca="false">IF(MONTH(C29)=5,FI28*(IF(Summary!$E$70="no",(1+(Summary!$E$71*0.8)),1+HLOOKUP(YEAR(C29)-1,CCFMODEL!$I$127:$AF$128,2)*0.8)),+FI28)</f>
        <v>27.2410364963504</v>
      </c>
      <c r="FJ29" s="1127" t="n">
        <f aca="false">IF(MONTH(C29)=5,FJ28*(IF(Summary!$E$70="no",(1+(Summary!$E$71*0.8)),1+HLOOKUP(YEAR(CALC!C29)-1,CCFMODEL!$I$127:$AF$128,2)*0.8)),FJ28)</f>
        <v>23.8090948905109</v>
      </c>
      <c r="FK29" s="1128" t="e">
        <f aca="false">SUM(FB29:FG29)*FI29+FH29*FJ29</f>
        <v>#VALUE!</v>
      </c>
      <c r="FL29" s="1126" t="n">
        <f aca="false">IF(MONTH(C29)=5,FL28*(IF(Summary!$E$70="no",(1+(Summary!$E$71*0.8)),1+HLOOKUP(YEAR(CALC!C29)-1,CCFMODEL!$I$127:$AF$128,2)*0.8)),+FL28)</f>
        <v>57.2909537712895</v>
      </c>
      <c r="FM29" s="1127" t="n">
        <f aca="false">IF(MONTH(C29)=5,FM28*(IF(Summary!$E$70="no",(1+(Summary!$E$71*0.8)),1+HLOOKUP(YEAR(CALC!C29)-1,CCFMODEL!$I$127:$AF$128,2)*0.8)),+FM28)</f>
        <v>27.3431776155718</v>
      </c>
      <c r="FN29" s="1128" t="e">
        <f aca="false">IF((OR(MONTH(C29)=5,MONTH(C29)=6,MONTH(C29)=7,MONTH(C29)=8,MONTH(C29)=9)),SUM(FB29:FG29)/(1-BC29)*FL29,SUM(FB29:FG29)/(1-BC29)*FM29)</f>
        <v>#VALUE!</v>
      </c>
      <c r="FO29" s="1129" t="e">
        <f aca="false">FK29+FN29</f>
        <v>#VALUE!</v>
      </c>
      <c r="FP29" s="1169" t="e">
        <f aca="false">FB29</f>
        <v>#VALUE!</v>
      </c>
      <c r="FQ29" s="1129" t="e">
        <f aca="false">FC29</f>
        <v>#VALUE!</v>
      </c>
      <c r="FR29" s="1129" t="e">
        <f aca="false">FD29</f>
        <v>#VALUE!</v>
      </c>
      <c r="FS29" s="1129" t="e">
        <f aca="false">FE29</f>
        <v>#VALUE!</v>
      </c>
      <c r="FT29" s="1129" t="e">
        <f aca="false">FF29</f>
        <v>#VALUE!</v>
      </c>
      <c r="FU29" s="1129" t="e">
        <f aca="false">FG29</f>
        <v>#VALUE!</v>
      </c>
      <c r="FV29" s="1170" t="e">
        <f aca="false">FH29</f>
        <v>#VALUE!</v>
      </c>
      <c r="FW29" s="1115" t="n">
        <f aca="false">IF(ER29&gt;0,MIN(FB29-FP29,BL29),0)</f>
        <v>0</v>
      </c>
      <c r="FX29" s="1115" t="n">
        <f aca="false">IF(ES29&gt;0,MIN(FD29-FR29,BM29),0)</f>
        <v>0</v>
      </c>
      <c r="FY29" s="1115" t="n">
        <f aca="false">IF(ET29&gt;0,MIN(FF29-FT29,BN29),0)</f>
        <v>0</v>
      </c>
      <c r="FZ29" s="1143" t="n">
        <f aca="false">IF(EU29&gt;0,MIN(FH29-FV29,BO29),0)</f>
        <v>0</v>
      </c>
      <c r="GA29" s="1132" t="e">
        <f aca="false">(SUM(FP29:FV29)+SUM(GU29:HB29)/(1-Summary!$O$25))*CY29/1000</f>
        <v>#VALUE!</v>
      </c>
      <c r="GB29" s="1133" t="n">
        <f aca="false">IF($C29&lt;Summary!$M$81,+Summary!$O$81,VLOOKUP(C29,GasTable,19))</f>
        <v>2.4</v>
      </c>
      <c r="GC29" s="1134" t="e">
        <f aca="false">IF(H29&lt;=Summary!$N$84,MIN(GA29,Summary!$O$75*(H29-G29+1)),0)</f>
        <v>#VALUE!</v>
      </c>
      <c r="GD29" s="1135" t="e">
        <f aca="false">IF(Summary!$O$75*(H29-G29+1)*0.8&gt;GC29,1,0)</f>
        <v>#VALUE!</v>
      </c>
      <c r="GE29" s="1136" t="n">
        <v>0</v>
      </c>
      <c r="GF29" s="1134" t="e">
        <f aca="false">ABS(MIN(0,GC29-$GA29))</f>
        <v>#VALUE!</v>
      </c>
      <c r="GG29" s="1135" t="e">
        <f aca="false">GF29*(IF(Summary!$O$74=1,VLOOKUP($C29,GasTable,16)+Summary!$O$92+Summary!$O$93,VLOOKUP($C29,GasTable,19)+Summary!$O$92+Summary!$O$93))</f>
        <v>#VALUE!</v>
      </c>
      <c r="GH29" s="1137" t="n">
        <v>25928.4</v>
      </c>
      <c r="GI29" s="1138" t="n">
        <v>0</v>
      </c>
      <c r="GJ29" s="1139" t="e">
        <f aca="false">+GB29*GC29+GE29+GG29+GH29-GI29</f>
        <v>#VALUE!</v>
      </c>
      <c r="GK29" s="1115" t="e">
        <f aca="false">SUM(FP29:FV29,GU29:GX29,GY29:HB29)</f>
        <v>#VALUE!</v>
      </c>
      <c r="GL29" s="1140" t="n">
        <v>0.75548351336</v>
      </c>
      <c r="GM29" s="1141" t="e">
        <f aca="false">IF(GK29&gt;GC29/(CY29/1000),GC29/(CY29/1000),+GK29)*GL29</f>
        <v>#VALUE!</v>
      </c>
      <c r="GN29" s="1115" t="n">
        <f aca="false">IF(SUM(GU29:HB29)=0,0,IF(Summary!$O$16="Yes",SUM(GX29:HB29),IF(Summary!$O$17="Yes",SUM(GY29:HB29),SUM(GU29:HB29))))</f>
        <v>12199.03785</v>
      </c>
      <c r="GO29" s="1142" t="n">
        <v>5.71879306569343</v>
      </c>
      <c r="GP29" s="1143" t="n">
        <f aca="false">GN29*GO29</f>
        <v>69763.7730647117</v>
      </c>
      <c r="GQ29" s="1115"/>
      <c r="GR29" s="1115"/>
      <c r="GS29" s="1115"/>
      <c r="GT29" s="1115"/>
      <c r="GU29" s="1150" t="n">
        <v>5646.1185</v>
      </c>
      <c r="GV29" s="1115" t="n">
        <v>1026.567</v>
      </c>
      <c r="GW29" s="1115" t="n">
        <v>1283.20875</v>
      </c>
      <c r="GX29" s="1115"/>
      <c r="GY29" s="1151" t="n">
        <v>3011.2632</v>
      </c>
      <c r="GZ29" s="1115" t="n">
        <v>547.5024</v>
      </c>
      <c r="HA29" s="1115" t="n">
        <v>684.378</v>
      </c>
      <c r="HB29" s="1141"/>
      <c r="HC29" s="1115" t="n">
        <v>12199.03785</v>
      </c>
      <c r="HD29" s="1115"/>
      <c r="HE29" s="1115" t="n">
        <v>20950.521525</v>
      </c>
      <c r="HF29" s="1115" t="n">
        <v>528464.262746241</v>
      </c>
      <c r="HG29" s="1115"/>
      <c r="HH29" s="1142" t="n">
        <v>42.9884296059255</v>
      </c>
      <c r="HI29" s="1115" t="n">
        <v>900630.019784888</v>
      </c>
      <c r="HJ29" s="1150" t="e">
        <f aca="false">MAX(FB29-FP29-FW29,0)</f>
        <v>#VALUE!</v>
      </c>
      <c r="HK29" s="1115" t="e">
        <f aca="false">MAX(FD29-FR29-FX29,0)</f>
        <v>#VALUE!</v>
      </c>
      <c r="HL29" s="1115" t="e">
        <f aca="false">MAX(FF29-FT29-FY29,0)</f>
        <v>#VALUE!</v>
      </c>
      <c r="HM29" s="1141" t="e">
        <f aca="false">MAX(FH29-FV29-FZ29,0)</f>
        <v>#VALUE!</v>
      </c>
      <c r="HN29" s="1115" t="e">
        <f aca="false">SUM(HJ29:HM29)</f>
        <v>#VALUE!</v>
      </c>
      <c r="HO29" s="1142" t="n">
        <f aca="false">IF(ISERROR(+HP29/HN29),0,+HP29/HN29)</f>
        <v>0</v>
      </c>
      <c r="HP29" s="1143" t="e">
        <f aca="false">(HJ29*CE29+HK29*CF29+HL29*CG29+HM29*CH29)</f>
        <v>#VALUE!</v>
      </c>
      <c r="HQ29" s="1146" t="n">
        <v>2011</v>
      </c>
      <c r="HR29" s="1150" t="e">
        <f aca="false">SUMIF($D$17:$D$292,HQ29,$FB$17:$FB$292)+SUMIF($D$17:$D$292,HQ29,$FC$17:$FC$292)+SUMIF($D$17:$D$292,HQ29,$FD$17:$FD$292)+SUMIF($D$17:$D$292,HQ29,$FE$17:$FE$292)+SUMIF($D$17:$D$292,HQ29,$FF$17:$FF$292)+SUMIF($D$17:$D$292,HQ29,$FG$17:$FG$292)+SUMIF($D$17:$D$292,HQ29,$FH$17:$FH$292)</f>
        <v>#VALUE!</v>
      </c>
      <c r="HS29" s="1110" t="e">
        <f aca="false">IF(HT29=0,0,HT29/HR29)</f>
        <v>#VALUE!</v>
      </c>
      <c r="HT29" s="1141" t="e">
        <f aca="false">SUMIF($D$17:$D$292,HQ29,$FO$17:$FO$292)</f>
        <v>#VALUE!</v>
      </c>
      <c r="HU29" s="1151" t="n">
        <v>98481.9942</v>
      </c>
      <c r="HV29" s="1142" t="n">
        <v>45.4564140318945</v>
      </c>
      <c r="HW29" s="1115" t="n">
        <v>4476638.30304183</v>
      </c>
      <c r="HX29" s="1171" t="n">
        <v>0</v>
      </c>
      <c r="HY29" s="1143" t="e">
        <f aca="false">HT29+HW29+HX29</f>
        <v>#VALUE!</v>
      </c>
      <c r="HZ29" s="1150" t="n">
        <v>2367307.55023754</v>
      </c>
      <c r="IA29" s="1142" t="n">
        <v>-3.43984888292397</v>
      </c>
      <c r="IB29" s="1141" t="n">
        <v>-8143180.23222207</v>
      </c>
      <c r="IC29" s="1151" t="n">
        <v>302022.3942</v>
      </c>
      <c r="ID29" s="1142" t="e">
        <f aca="false">IF(IE29=0,0,IE29/IC29)</f>
        <v>#VALUE!</v>
      </c>
      <c r="IE29" s="1141" t="e">
        <f aca="false">-SUMIF($D$17:$D$292,HQ29,$GM$17:$GM$292)</f>
        <v>#VALUE!</v>
      </c>
      <c r="IF29" s="1115" t="n">
        <f aca="false">SUMIF($D$17:$D$292,HQ29,$GN$17:$GN$292)</f>
        <v>130545.1035</v>
      </c>
      <c r="IG29" s="1142" t="n">
        <f aca="false">IF(IH29=0,0,IH29/IF29)</f>
        <v>-2.4848266197332</v>
      </c>
      <c r="IH29" s="1141" t="n">
        <v>-324381.948252626</v>
      </c>
      <c r="II29" s="1115" t="e">
        <f aca="false">SUMIF($D$17:$D$292,HQ29,$HN$17:$HN$292)</f>
        <v>#VALUE!</v>
      </c>
      <c r="IJ29" s="1142" t="e">
        <f aca="false">IF(IK29=0,0,IK29/II29)</f>
        <v>#VALUE!</v>
      </c>
      <c r="IK29" s="1115" t="e">
        <f aca="false">-SUMIF($D$17:$D$292,HQ29,$HP$17:$HP$292)</f>
        <v>#VALUE!</v>
      </c>
      <c r="IL29" s="1152" t="e">
        <f aca="false">HY29+IB29+IE29+IH29</f>
        <v>#VALUE!</v>
      </c>
      <c r="IN29" s="222"/>
      <c r="IO29" s="162"/>
      <c r="IR29" s="844"/>
    </row>
    <row r="30" customFormat="false" ht="13.5" hidden="false" customHeight="false" outlineLevel="0" collapsed="false">
      <c r="A30" s="0" t="str">
        <f aca="false">+D30&amp;"Q"&amp;ROUNDUP(E30/3,0)</f>
        <v>2001Q1</v>
      </c>
      <c r="B30" s="0" t="n">
        <f aca="false">YEAR(C30)</f>
        <v>2001</v>
      </c>
      <c r="C30" s="1153" t="n">
        <f aca="false">EOMONTH(C29,0)+1</f>
        <v>36923</v>
      </c>
      <c r="D30" s="841" t="n">
        <f aca="false">+YEAR(C30)</f>
        <v>2001</v>
      </c>
      <c r="E30" s="807" t="n">
        <f aca="false">MONTH(C30)</f>
        <v>2</v>
      </c>
      <c r="F30" s="1154" t="e">
        <f aca="false">IF(G30="","",Holiday(D30,E30))</f>
        <v>#VALUE!</v>
      </c>
      <c r="G30" s="1155" t="n">
        <v>36923</v>
      </c>
      <c r="H30" s="1156" t="n">
        <v>36950</v>
      </c>
      <c r="I30" s="1157" t="n">
        <f aca="false">I29</f>
        <v>0.0715</v>
      </c>
      <c r="J30" s="1158" t="n">
        <f aca="false">(1+I30/2)^(-2*(DATE(D31,E31,20)-$H$7)/365.25)</f>
        <v>0.915149346662771</v>
      </c>
      <c r="K30" s="1159" t="e">
        <f aca="false">IF(#REF!=1,+#REF!,I30+#REF!/10000)</f>
        <v>#REF!</v>
      </c>
      <c r="L30" s="1158" t="e">
        <f aca="false">(1+K30/2)^(-2*(DATE(D31,E31,20)-$H$7)/365.25)</f>
        <v>#REF!</v>
      </c>
      <c r="M30" s="1082" t="n">
        <v>0</v>
      </c>
      <c r="N30" s="1110" t="n">
        <f aca="false">M30</f>
        <v>0</v>
      </c>
      <c r="O30" s="1174" t="n">
        <f aca="false">N30</f>
        <v>0</v>
      </c>
      <c r="P30" s="1175" t="n">
        <f aca="false">M30</f>
        <v>0</v>
      </c>
      <c r="Q30" s="1110" t="n">
        <f aca="false">P30</f>
        <v>0</v>
      </c>
      <c r="R30" s="1174" t="n">
        <f aca="false">Q30</f>
        <v>0</v>
      </c>
      <c r="S30" s="1110" t="n">
        <f aca="false">R30</f>
        <v>0</v>
      </c>
      <c r="T30" s="1110" t="n">
        <f aca="false">S30</f>
        <v>0</v>
      </c>
      <c r="U30" s="1110" t="n">
        <f aca="false">T30</f>
        <v>0</v>
      </c>
      <c r="V30" s="1175" t="n">
        <f aca="false">U30</f>
        <v>0</v>
      </c>
      <c r="W30" s="1110" t="n">
        <f aca="false">V30</f>
        <v>0</v>
      </c>
      <c r="X30" s="1176" t="n">
        <f aca="false">W30</f>
        <v>0</v>
      </c>
      <c r="Y30" s="1086" t="n">
        <v>0</v>
      </c>
      <c r="Z30" s="1086" t="n">
        <v>0</v>
      </c>
      <c r="AA30" s="1087" t="n">
        <v>0</v>
      </c>
      <c r="AB30" s="1086" t="n">
        <v>0</v>
      </c>
      <c r="AC30" s="1086" t="n">
        <v>0</v>
      </c>
      <c r="AD30" s="1087" t="n">
        <v>0</v>
      </c>
      <c r="AE30" s="1086" t="n">
        <v>0</v>
      </c>
      <c r="AF30" s="1086" t="n">
        <v>0</v>
      </c>
      <c r="AG30" s="1087" t="n">
        <v>0</v>
      </c>
      <c r="AH30" s="1086" t="n">
        <v>0</v>
      </c>
      <c r="AI30" s="1086" t="n">
        <v>0</v>
      </c>
      <c r="AJ30" s="1087" t="n">
        <v>0</v>
      </c>
      <c r="AK30" s="1086" t="n">
        <v>0</v>
      </c>
      <c r="AL30" s="1086" t="n">
        <v>0</v>
      </c>
      <c r="AM30" s="1087" t="n">
        <v>0</v>
      </c>
      <c r="AN30" s="1086" t="n">
        <v>0</v>
      </c>
      <c r="AO30" s="1086" t="n">
        <v>0</v>
      </c>
      <c r="AP30" s="1087" t="n">
        <v>0</v>
      </c>
      <c r="AQ30" s="1086" t="n">
        <v>0</v>
      </c>
      <c r="AR30" s="1086" t="n">
        <v>0</v>
      </c>
      <c r="AS30" s="1087" t="n">
        <v>0</v>
      </c>
      <c r="AT30" s="1086" t="n">
        <v>0</v>
      </c>
      <c r="AU30" s="1086" t="n">
        <v>0</v>
      </c>
      <c r="AV30" s="1086" t="n">
        <v>0</v>
      </c>
      <c r="AW30" s="1172" t="n">
        <v>0</v>
      </c>
      <c r="AX30" s="807" t="n">
        <f aca="false">BB30-SUM(AY30:BA30)</f>
        <v>20</v>
      </c>
      <c r="AY30" s="807" t="n">
        <f aca="false">IF(AND($E30=MONTH(Summary!$E$24),$D30=YEAR(Summary!$E$24)),Summary!$E$25,1)*IF(G30="",0,INT((H30-MOD(H30,7)-G30)/7)+1-IF(BA30,IF(WEEKDAY(F30)=7,1,0),0))</f>
        <v>4</v>
      </c>
      <c r="AZ30" s="807" t="n">
        <f aca="false">IF(AND($E30=MONTH(Summary!$E$24),$D30=YEAR(Summary!$E$24)),Summary!$E$25,1)*IF(G30="",0,INT((H30-MOD(H30-1,7)-G30)/7)+1-IF(BA30,IF(WEEKDAY(F30)=1,1,0),0))</f>
        <v>4</v>
      </c>
      <c r="BA30" s="807" t="n">
        <v>0</v>
      </c>
      <c r="BB30" s="807" t="n">
        <f aca="false">IF(AND($E30=MONTH(Summary!$E$24),$D30=YEAR(Summary!$E$24)),Summary!$E$25,1)*IF(G30="",0,H30-G30+1)</f>
        <v>28</v>
      </c>
      <c r="BC30" s="1089" t="n">
        <f aca="false">Summary!$E$19</f>
        <v>0.015</v>
      </c>
      <c r="BD30" s="1090" t="n">
        <v>14184</v>
      </c>
      <c r="BE30" s="1091" t="n">
        <v>2836.8</v>
      </c>
      <c r="BF30" s="1091" t="n">
        <v>2836.8</v>
      </c>
      <c r="BG30" s="842"/>
      <c r="BH30" s="1092" t="n">
        <v>1</v>
      </c>
      <c r="BI30" s="1092" t="n">
        <v>1</v>
      </c>
      <c r="BJ30" s="1092" t="n">
        <v>1</v>
      </c>
      <c r="BK30" s="1092" t="n">
        <v>1</v>
      </c>
      <c r="BL30" s="1093" t="n">
        <v>2836.8</v>
      </c>
      <c r="BM30" s="1091" t="n">
        <v>567.36</v>
      </c>
      <c r="BN30" s="1091" t="n">
        <v>567.36</v>
      </c>
      <c r="BO30" s="842"/>
      <c r="BP30" s="1092" t="n">
        <v>1</v>
      </c>
      <c r="BQ30" s="1094" t="n">
        <v>1</v>
      </c>
      <c r="BR30" s="1094" t="n">
        <v>1</v>
      </c>
      <c r="BS30" s="1095" t="n">
        <v>1</v>
      </c>
      <c r="BT30" s="1093" t="n">
        <f aca="false">SUM(BD30:BF30)</f>
        <v>19857.6</v>
      </c>
      <c r="BU30" s="1098" t="n">
        <f aca="false">SUM(BD30:BG30)</f>
        <v>19857.6</v>
      </c>
      <c r="BV30" s="1090" t="n">
        <f aca="false">SUM(BL30:BN30)</f>
        <v>3971.52</v>
      </c>
      <c r="BW30" s="1098" t="n">
        <f aca="false">SUM(BL30:BO30)</f>
        <v>3971.52</v>
      </c>
      <c r="BX30" s="852" t="n">
        <v>1.13347022587269</v>
      </c>
      <c r="BY30" s="1099" t="n">
        <v>0</v>
      </c>
      <c r="BZ30" s="852" t="n">
        <v>0</v>
      </c>
      <c r="CA30" s="852" t="n">
        <v>0</v>
      </c>
      <c r="CB30" s="852" t="n">
        <v>0</v>
      </c>
      <c r="CC30" s="852" t="n">
        <v>0</v>
      </c>
      <c r="CD30" s="852" t="n">
        <v>0</v>
      </c>
      <c r="CE30" s="1100" t="n">
        <v>0</v>
      </c>
      <c r="CF30" s="852" t="n">
        <v>0</v>
      </c>
      <c r="CG30" s="852" t="n">
        <v>0</v>
      </c>
      <c r="CH30" s="852" t="n">
        <v>0</v>
      </c>
      <c r="CI30" s="852" t="n">
        <v>0</v>
      </c>
      <c r="CJ30" s="1101" t="n">
        <v>0</v>
      </c>
      <c r="CK30" s="852" t="n">
        <v>0</v>
      </c>
      <c r="CL30" s="852" t="n">
        <v>0</v>
      </c>
      <c r="CM30" s="852" t="n">
        <v>0</v>
      </c>
      <c r="CN30" s="852" t="n">
        <v>0</v>
      </c>
      <c r="CO30" s="852" t="n">
        <v>0</v>
      </c>
      <c r="CP30" s="852" t="n">
        <v>0</v>
      </c>
      <c r="CQ30" s="1102" t="n">
        <v>0</v>
      </c>
      <c r="CR30" s="1103" t="n">
        <v>0</v>
      </c>
      <c r="CS30" s="1103" t="n">
        <v>0</v>
      </c>
      <c r="CT30" s="1103" t="n">
        <v>0</v>
      </c>
      <c r="CU30" s="1103" t="n">
        <v>0</v>
      </c>
      <c r="CV30" s="1103" t="n">
        <v>0</v>
      </c>
      <c r="CW30" s="1103" t="n">
        <v>0</v>
      </c>
      <c r="CX30" s="1104" t="n">
        <v>0</v>
      </c>
      <c r="CY30" s="1105" t="n">
        <v>7695.26912</v>
      </c>
      <c r="CZ30" s="1099" t="n">
        <v>0</v>
      </c>
      <c r="DA30" s="852" t="n">
        <v>0</v>
      </c>
      <c r="DB30" s="852" t="n">
        <v>0</v>
      </c>
      <c r="DC30" s="852" t="n">
        <v>0</v>
      </c>
      <c r="DD30" s="852" t="n">
        <v>0</v>
      </c>
      <c r="DE30" s="1113" t="n">
        <v>0</v>
      </c>
      <c r="DF30" s="1109" t="n">
        <v>0</v>
      </c>
      <c r="DG30" s="1110" t="n">
        <v>0</v>
      </c>
      <c r="DH30" s="1111" t="n">
        <v>0</v>
      </c>
      <c r="DI30" s="1112" t="n">
        <v>0</v>
      </c>
      <c r="DJ30" s="1112" t="n">
        <v>0</v>
      </c>
      <c r="DK30" s="1112" t="n">
        <v>0</v>
      </c>
      <c r="DL30" s="1113" t="n">
        <v>0</v>
      </c>
      <c r="DM30" s="1114" t="n">
        <v>0</v>
      </c>
      <c r="DN30" s="1114" t="n">
        <v>0</v>
      </c>
      <c r="DO30" s="1114" t="n">
        <v>0</v>
      </c>
      <c r="DP30" s="1114" t="n">
        <v>0</v>
      </c>
      <c r="DQ30" s="1114" t="n">
        <v>0</v>
      </c>
      <c r="DR30" s="1109" t="n">
        <v>0</v>
      </c>
      <c r="DS30" s="852" t="n">
        <v>0</v>
      </c>
      <c r="DT30" s="852" t="n">
        <v>0</v>
      </c>
      <c r="DU30" s="852" t="n">
        <v>0</v>
      </c>
      <c r="DV30" s="852" t="n">
        <v>0</v>
      </c>
      <c r="DW30" s="852" t="n">
        <v>0</v>
      </c>
      <c r="DX30" s="852" t="n">
        <v>0</v>
      </c>
      <c r="DY30" s="852" t="n">
        <v>0</v>
      </c>
      <c r="DZ30" s="852" t="n">
        <v>0</v>
      </c>
      <c r="EA30" s="852" t="n">
        <v>0</v>
      </c>
      <c r="EB30" s="1113" t="n">
        <v>0</v>
      </c>
      <c r="EC30" s="1115" t="n">
        <f aca="false">DS30*BD30</f>
        <v>0</v>
      </c>
      <c r="ED30" s="1115" t="n">
        <f aca="false">DT30*BE30</f>
        <v>0</v>
      </c>
      <c r="EE30" s="1115" t="n">
        <f aca="false">DU30*BF30</f>
        <v>0</v>
      </c>
      <c r="EF30" s="1115" t="n">
        <f aca="false">DV30*BG30</f>
        <v>0</v>
      </c>
      <c r="EG30" s="1115" t="n">
        <f aca="false">DS30*BD30+DT30*BE30+DU30*BF30+DV30*BG30</f>
        <v>0</v>
      </c>
      <c r="EH30" s="1116" t="n">
        <v>0</v>
      </c>
      <c r="EI30" s="1117" t="n">
        <v>0</v>
      </c>
      <c r="EJ30" s="1117" t="n">
        <v>0</v>
      </c>
      <c r="EK30" s="1117" t="n">
        <v>0</v>
      </c>
      <c r="EL30" s="1118" t="n">
        <f aca="false">IF(C30&gt;=Summary!$E$26,MAX(0,SUM(EH30:EK30)),0)</f>
        <v>0</v>
      </c>
      <c r="EM30" s="1115" t="n">
        <f aca="false">IF(C30&gt;=Summary!$E$26,DX30*BL30,0)</f>
        <v>0</v>
      </c>
      <c r="EN30" s="1115" t="n">
        <f aca="false">IF(C30&gt;=Summary!$E$26,DY30*BM30,0)</f>
        <v>0</v>
      </c>
      <c r="EO30" s="1115" t="n">
        <f aca="false">IF(C30&gt;=Summary!$E$26,DZ30*BN30,0)</f>
        <v>0</v>
      </c>
      <c r="EP30" s="1115" t="n">
        <f aca="false">IF(C30&gt;=Summary!$E$26,EA30*BO30,0)</f>
        <v>0</v>
      </c>
      <c r="EQ30" s="1115" t="n">
        <f aca="false">IF(C30&gt;=Summary!$E$26,DX30*BL30+DY30*BM30+DZ30*BN30+EA30*BO30,0)</f>
        <v>0</v>
      </c>
      <c r="ER30" s="1119" t="n">
        <v>0</v>
      </c>
      <c r="ES30" s="1120" t="n">
        <v>0</v>
      </c>
      <c r="ET30" s="1120" t="n">
        <v>0</v>
      </c>
      <c r="EU30" s="1120" t="n">
        <v>0</v>
      </c>
      <c r="EV30" s="1143" t="n">
        <f aca="false">IF(C30&gt;=Summary!$E$26,MAX(0,SUM(ER30:EU30)),0)</f>
        <v>0</v>
      </c>
      <c r="EW30" s="1115"/>
      <c r="EX30" s="1165" t="n">
        <f aca="false">(EQ30-EV30)+IF(EZ30="Yes",(EG30-EL30),0)</f>
        <v>0</v>
      </c>
      <c r="EY30" s="1166" t="str">
        <f aca="false">IF(EX30,EX30/EQ30,"")</f>
        <v/>
      </c>
      <c r="EZ30" s="1122" t="s">
        <v>37</v>
      </c>
      <c r="FA30" s="1096" t="n">
        <f aca="false">FA29</f>
        <v>45</v>
      </c>
      <c r="FB30" s="1167" t="n">
        <f aca="false">IF(EZ30="No",IF((OR(MONTH(C30)=5,MONTH(C30)=6,MONTH(C30)=7,MONTH(C30)=8,MONTH(C30)=9)),$FA30*12*AX30*(1-$BC30),$FA30*10*AX30*(1-$BC30)),0)</f>
        <v>8865</v>
      </c>
      <c r="FC30" s="1129" t="n">
        <f aca="false">IF(EZ30="No",IF((OR(MONTH(C30)=5,MONTH(C30)=6,MONTH(C30)=7,MONTH(C30)=8,MONTH(C30)=9)),0,$FA30*3*AX30*(1-$BC30)),0)</f>
        <v>2659.5</v>
      </c>
      <c r="FD30" s="1129" t="n">
        <f aca="false">IF(EZ30="No",IF((OR(MONTH(C30)=5,MONTH(C30)=6,MONTH(C30)=7,MONTH(C30)=8,MONTH(C30)=9)),$FA30*12*AY30*(1-$BC30),$FA30*10*AY30*(1-$BC30)),0)</f>
        <v>1773</v>
      </c>
      <c r="FE30" s="1129" t="n">
        <f aca="false">IF(EZ30="No",IF((OR(MONTH(C30)=5,MONTH(C30)=6,MONTH(C30)=7,MONTH(C30)=8,MONTH(C30)=9)),0,$FA30*3*AY30*(1-$BC30)),0)</f>
        <v>531.9</v>
      </c>
      <c r="FF30" s="1129" t="n">
        <f aca="false">IF(EZ30="No",IF((OR(MONTH(C30)=5,MONTH(C30)=6,MONTH(C30)=7,MONTH(C30)=8,MONTH(C30)=9)),$FA30*12*(AZ30+BA30)*(1-$BC30),$FA30*10*(AZ30+BA30)*(1-$BC30)),0)</f>
        <v>1773</v>
      </c>
      <c r="FG30" s="1129" t="n">
        <f aca="false">IF(EZ30="No",IF((OR(MONTH(C30)=5,MONTH(C30)=6,MONTH(C30)=7,MONTH(C30)=8,MONTH(C30)=9)),0,$FA30*3*(AZ30+BA30)*(1-$BC30)),0)</f>
        <v>531.9</v>
      </c>
      <c r="FH30" s="1170" t="n">
        <f aca="false">IF(EZ30="No",IF((OR(MONTH(C30)=5,MONTH(C30)=6,MONTH(C30)=7,MONTH(C30)=8,MONTH(C30)=9)),Summary!$O$15*12*(AX30+AY30+AZ30+BA30)*(1-$BC30),Summary!$O$15*13*(AX30+AY30+AZ30+BA30)*(1-$BC30)+IF(Summary!$O$16="Yes",(CALC!FA30+Summary!$O$15)*6*(AX30+AY30+AZ30+BA30)*(1-$BC30),0)),0)</f>
        <v>0</v>
      </c>
      <c r="FI30" s="1126" t="n">
        <f aca="false">IF(MONTH(C30)=5,FI29*(IF(Summary!$E$70="no",(1+(Summary!$E$71*0.8)),1+HLOOKUP(YEAR(C30)-1,CCFMODEL!$I$127:$AF$128,2)*0.8)),+FI29)</f>
        <v>27.2410364963504</v>
      </c>
      <c r="FJ30" s="1127" t="n">
        <f aca="false">IF(MONTH(C30)=5,FJ29*(IF(Summary!$E$70="no",(1+(Summary!$E$71*0.8)),1+HLOOKUP(YEAR(CALC!C30)-1,CCFMODEL!$I$127:$AF$128,2)*0.8)),FJ29)</f>
        <v>23.8090948905109</v>
      </c>
      <c r="FK30" s="1128" t="n">
        <f aca="false">SUM(FB30:FG30)*FI30+FH30*FJ30</f>
        <v>439515.055143066</v>
      </c>
      <c r="FL30" s="1126" t="n">
        <f aca="false">IF(MONTH(C30)=5,FL29*(IF(Summary!$E$70="no",(1+(Summary!$E$71*0.8)),1+HLOOKUP(YEAR(CALC!C30)-1,CCFMODEL!$I$127:$AF$128,2)*0.8)),+FL29)</f>
        <v>57.2909537712895</v>
      </c>
      <c r="FM30" s="1127" t="n">
        <f aca="false">IF(MONTH(C30)=5,FM29*(IF(Summary!$E$70="no",(1+(Summary!$E$71*0.8)),1+HLOOKUP(YEAR(CALC!C30)-1,CCFMODEL!$I$127:$AF$128,2)*0.8)),+FM29)</f>
        <v>27.3431776155718</v>
      </c>
      <c r="FN30" s="1128" t="n">
        <f aca="false">IF((OR(MONTH(C30)=5,MONTH(C30)=6,MONTH(C30)=7,MONTH(C30)=8,MONTH(C30)=9)),SUM(FB30:FG30)/(1-BC30)*FL30,SUM(FB30:FG30)/(1-BC30)*FM30)</f>
        <v>447881.249343066</v>
      </c>
      <c r="FO30" s="1129" t="n">
        <f aca="false">FK30+FN30</f>
        <v>887396.304486131</v>
      </c>
      <c r="FP30" s="1169" t="n">
        <f aca="false">FB30</f>
        <v>8865</v>
      </c>
      <c r="FQ30" s="1129" t="n">
        <f aca="false">FC30</f>
        <v>2659.5</v>
      </c>
      <c r="FR30" s="1129" t="n">
        <f aca="false">FD30</f>
        <v>1773</v>
      </c>
      <c r="FS30" s="1129" t="n">
        <f aca="false">FE30</f>
        <v>531.9</v>
      </c>
      <c r="FT30" s="1129" t="n">
        <f aca="false">FF30</f>
        <v>1773</v>
      </c>
      <c r="FU30" s="1129" t="n">
        <f aca="false">FG30</f>
        <v>531.9</v>
      </c>
      <c r="FV30" s="1170" t="n">
        <f aca="false">FH30</f>
        <v>0</v>
      </c>
      <c r="FW30" s="1115" t="n">
        <f aca="false">IF(ER30&gt;0,MIN(FB30-FP30,BL30),0)</f>
        <v>0</v>
      </c>
      <c r="FX30" s="1115" t="n">
        <f aca="false">IF(ES30&gt;0,MIN(FD30-FR30,BM30),0)</f>
        <v>0</v>
      </c>
      <c r="FY30" s="1115" t="n">
        <f aca="false">IF(ET30&gt;0,MIN(FF30-FT30,BN30),0)</f>
        <v>0</v>
      </c>
      <c r="FZ30" s="1143" t="n">
        <f aca="false">IF(EU30&gt;0,MIN(FH30-FV30,BO30),0)</f>
        <v>0</v>
      </c>
      <c r="GA30" s="1132" t="n">
        <f aca="false">(SUM(FP30:FV30)+SUM(GU30:HB30)/(1-Summary!$O$25))*CY30/1000</f>
        <v>212023.28680727</v>
      </c>
      <c r="GB30" s="1133" t="n">
        <f aca="false">IF($C30&lt;Summary!$M$81,+Summary!$O$81,VLOOKUP(C30,GasTable,19))</f>
        <v>2.4</v>
      </c>
      <c r="GC30" s="1134" t="n">
        <f aca="false">IF(H30&lt;=Summary!$N$84,MIN(GA30,Summary!$O$75*(H30-G30+1)),0)</f>
        <v>140000</v>
      </c>
      <c r="GD30" s="1135" t="n">
        <f aca="false">IF(Summary!$O$75*(H30-G30+1)*0.8&gt;GC30,1,0)</f>
        <v>0</v>
      </c>
      <c r="GE30" s="1136" t="n">
        <v>0</v>
      </c>
      <c r="GF30" s="1134" t="n">
        <f aca="false">ABS(MIN(0,GC30-$GA30))</f>
        <v>72023.2868072704</v>
      </c>
      <c r="GG30" s="1135" t="n">
        <f aca="false">GF30*(IF(Summary!$O$74=1,VLOOKUP($C30,GasTable,16)+Summary!$O$92+Summary!$O$93,VLOOKUP($C30,GasTable,19)+Summary!$O$92+Summary!$O$93))</f>
        <v>222772.314490361</v>
      </c>
      <c r="GH30" s="1137" t="n">
        <v>22271.2</v>
      </c>
      <c r="GI30" s="1138" t="n">
        <v>0</v>
      </c>
      <c r="GJ30" s="1139" t="n">
        <f aca="false">+GB30*GC30+GE30+GG30+GH30-GI30</f>
        <v>581043.514490361</v>
      </c>
      <c r="GK30" s="1115" t="n">
        <f aca="false">SUM(FP30:FV30,GU30:GX30,GY30:HB30)</f>
        <v>27152.7858</v>
      </c>
      <c r="GL30" s="1140" t="n">
        <v>0.755675427584</v>
      </c>
      <c r="GM30" s="1141" t="n">
        <f aca="false">IF(GK30&gt;GC30/(CY30/1000),GC30/(CY30/1000),+GK30)*GL30</f>
        <v>13748</v>
      </c>
      <c r="GN30" s="1115" t="n">
        <f aca="false">IF(SUM(GU30:HB30)=0,0,IF(Summary!$O$16="Yes",SUM(GX30:HB30),IF(Summary!$O$17="Yes",SUM(GY30:HB30),SUM(GU30:HB30))))</f>
        <v>11018.4858</v>
      </c>
      <c r="GO30" s="1142" t="n">
        <v>5.71879306569343</v>
      </c>
      <c r="GP30" s="1143" t="n">
        <f aca="false">GN30*GO30</f>
        <v>63012.4401874815</v>
      </c>
      <c r="GQ30" s="1115"/>
      <c r="GR30" s="1115"/>
      <c r="GS30" s="1115"/>
      <c r="GT30" s="1115"/>
      <c r="GU30" s="1150" t="n">
        <v>5132.835</v>
      </c>
      <c r="GV30" s="1115" t="n">
        <v>1026.567</v>
      </c>
      <c r="GW30" s="1115" t="n">
        <v>1026.567</v>
      </c>
      <c r="GX30" s="1115"/>
      <c r="GY30" s="1151" t="n">
        <v>2737.512</v>
      </c>
      <c r="GZ30" s="1115" t="n">
        <v>547.5024</v>
      </c>
      <c r="HA30" s="1115" t="n">
        <v>547.5024</v>
      </c>
      <c r="HB30" s="1141"/>
      <c r="HC30" s="1115" t="n">
        <v>11018.4858</v>
      </c>
      <c r="HD30" s="1115"/>
      <c r="HE30" s="1115" t="n">
        <v>18923.0517</v>
      </c>
      <c r="HF30" s="1115" t="n">
        <v>429181.953536877</v>
      </c>
      <c r="HG30" s="1115"/>
      <c r="HH30" s="1142" t="n">
        <v>38.660277609341</v>
      </c>
      <c r="HI30" s="1115" t="n">
        <v>731570.431937912</v>
      </c>
      <c r="HJ30" s="1150" t="n">
        <f aca="false">MAX(FB30-FP30-FW30,0)</f>
        <v>0</v>
      </c>
      <c r="HK30" s="1115" t="n">
        <f aca="false">MAX(FD30-FR30-FX30,0)</f>
        <v>0</v>
      </c>
      <c r="HL30" s="1115" t="n">
        <f aca="false">MAX(FF30-FT30-FY30,0)</f>
        <v>0</v>
      </c>
      <c r="HM30" s="1141" t="n">
        <f aca="false">MAX(FH30-FV30-FZ30,0)</f>
        <v>0</v>
      </c>
      <c r="HN30" s="1115" t="n">
        <f aca="false">SUM(HJ30:HM30)</f>
        <v>0</v>
      </c>
      <c r="HO30" s="1142" t="n">
        <f aca="false">IF(ISERROR(+HP30/HN30),0,+HP30/HN30)</f>
        <v>0</v>
      </c>
      <c r="HP30" s="1143" t="n">
        <f aca="false">(HJ30*CE30+HK30*CF30+HL30*CG30+HM30*CH30)</f>
        <v>0</v>
      </c>
      <c r="HQ30" s="1146" t="n">
        <v>2012</v>
      </c>
      <c r="HR30" s="1150" t="e">
        <f aca="false">SUMIF($D$17:$D$292,HQ30,$FB$17:$FB$292)+SUMIF($D$17:$D$292,HQ30,$FC$17:$FC$292)+SUMIF($D$17:$D$292,HQ30,$FD$17:$FD$292)+SUMIF($D$17:$D$292,HQ30,$FE$17:$FE$292)+SUMIF($D$17:$D$292,HQ30,$FF$17:$FF$292)+SUMIF($D$17:$D$292,HQ30,$FG$17:$FG$292)+SUMIF($D$17:$D$292,HQ30,$FH$17:$FH$292)</f>
        <v>#VALUE!</v>
      </c>
      <c r="HS30" s="1110" t="e">
        <f aca="false">IF(HT30=0,0,HT30/HR30)</f>
        <v>#VALUE!</v>
      </c>
      <c r="HT30" s="1141" t="e">
        <f aca="false">SUMIF($D$17:$D$292,HQ30,$FO$17:$FO$292)</f>
        <v>#VALUE!</v>
      </c>
      <c r="HU30" s="1151" t="n">
        <v>98841.29265</v>
      </c>
      <c r="HV30" s="1142" t="n">
        <v>46.3696738006547</v>
      </c>
      <c r="HW30" s="1115" t="n">
        <v>4583238.49821555</v>
      </c>
      <c r="HX30" s="1171" t="n">
        <v>0</v>
      </c>
      <c r="HY30" s="1143" t="e">
        <f aca="false">HT30+HW30+HX30</f>
        <v>#VALUE!</v>
      </c>
      <c r="HZ30" s="1150" t="n">
        <v>2368390.41797738</v>
      </c>
      <c r="IA30" s="1142" t="n">
        <v>-3.52045372337058</v>
      </c>
      <c r="IB30" s="1141" t="n">
        <v>-8337808.86536368</v>
      </c>
      <c r="IC30" s="1151" t="n">
        <v>302957.91765</v>
      </c>
      <c r="ID30" s="1142" t="e">
        <f aca="false">IF(IE30=0,0,IE30/IC30)</f>
        <v>#VALUE!</v>
      </c>
      <c r="IE30" s="1141" t="e">
        <f aca="false">-SUMIF($D$17:$D$292,HQ30,$GM$17:$GM$292)</f>
        <v>#VALUE!</v>
      </c>
      <c r="IF30" s="1115" t="n">
        <f aca="false">SUMIF($D$17:$D$292,HQ30,$GN$17:$GN$292)</f>
        <v>130938.62085</v>
      </c>
      <c r="IG30" s="1142" t="n">
        <f aca="false">IF(IH30=0,0,IH30/IF30)</f>
        <v>-2.56098905597439</v>
      </c>
      <c r="IH30" s="1141" t="n">
        <v>-335332.37500123</v>
      </c>
      <c r="II30" s="1115" t="e">
        <f aca="false">SUMIF($D$17:$D$292,HQ30,$HN$17:$HN$292)</f>
        <v>#VALUE!</v>
      </c>
      <c r="IJ30" s="1142" t="e">
        <f aca="false">IF(IK30=0,0,IK30/II30)</f>
        <v>#VALUE!</v>
      </c>
      <c r="IK30" s="1115" t="e">
        <f aca="false">-SUMIF($D$17:$D$292,HQ30,$HP$17:$HP$292)</f>
        <v>#VALUE!</v>
      </c>
      <c r="IL30" s="1152" t="e">
        <f aca="false">HY30+IB30+IE30+IH30</f>
        <v>#VALUE!</v>
      </c>
      <c r="IN30" s="222"/>
      <c r="IO30" s="162"/>
      <c r="IR30" s="844"/>
    </row>
    <row r="31" customFormat="false" ht="13.5" hidden="false" customHeight="false" outlineLevel="0" collapsed="false">
      <c r="A31" s="0" t="str">
        <f aca="false">+D31&amp;"Q"&amp;ROUNDUP(E31/3,0)</f>
        <v>2001Q1</v>
      </c>
      <c r="B31" s="0" t="n">
        <f aca="false">YEAR(C31)</f>
        <v>2001</v>
      </c>
      <c r="C31" s="1153" t="n">
        <f aca="false">EOMONTH(C30,0)+1</f>
        <v>36951</v>
      </c>
      <c r="D31" s="841" t="n">
        <f aca="false">+YEAR(C31)</f>
        <v>2001</v>
      </c>
      <c r="E31" s="807" t="n">
        <f aca="false">MONTH(C31)</f>
        <v>3</v>
      </c>
      <c r="F31" s="1154" t="e">
        <f aca="false">IF(G31="","",Holiday(D31,E31))</f>
        <v>#VALUE!</v>
      </c>
      <c r="G31" s="1155" t="n">
        <v>36951</v>
      </c>
      <c r="H31" s="1156" t="n">
        <v>36981</v>
      </c>
      <c r="I31" s="1157" t="n">
        <f aca="false">I30</f>
        <v>0.0715</v>
      </c>
      <c r="J31" s="1158" t="n">
        <f aca="false">(1+I31/2)^(-2*(DATE(D32,E32,20)-$H$7)/365.25)</f>
        <v>0.909709012297524</v>
      </c>
      <c r="K31" s="1159" t="e">
        <f aca="false">IF(#REF!=1,+#REF!,I31+#REF!/10000)</f>
        <v>#REF!</v>
      </c>
      <c r="L31" s="1158" t="e">
        <f aca="false">(1+K31/2)^(-2*(DATE(D32,E32,20)-$H$7)/365.25)</f>
        <v>#REF!</v>
      </c>
      <c r="M31" s="1082" t="n">
        <v>0</v>
      </c>
      <c r="N31" s="1110" t="n">
        <f aca="false">M31</f>
        <v>0</v>
      </c>
      <c r="O31" s="1174" t="n">
        <f aca="false">N31</f>
        <v>0</v>
      </c>
      <c r="P31" s="1175" t="n">
        <f aca="false">M31</f>
        <v>0</v>
      </c>
      <c r="Q31" s="1110" t="n">
        <f aca="false">P31</f>
        <v>0</v>
      </c>
      <c r="R31" s="1174" t="n">
        <f aca="false">Q31</f>
        <v>0</v>
      </c>
      <c r="S31" s="1110" t="n">
        <f aca="false">R31</f>
        <v>0</v>
      </c>
      <c r="T31" s="1110" t="n">
        <f aca="false">S31</f>
        <v>0</v>
      </c>
      <c r="U31" s="1110" t="n">
        <f aca="false">T31</f>
        <v>0</v>
      </c>
      <c r="V31" s="1175" t="n">
        <f aca="false">U31</f>
        <v>0</v>
      </c>
      <c r="W31" s="1110" t="n">
        <f aca="false">V31</f>
        <v>0</v>
      </c>
      <c r="X31" s="1176" t="n">
        <f aca="false">W31</f>
        <v>0</v>
      </c>
      <c r="Y31" s="1086" t="n">
        <v>0</v>
      </c>
      <c r="Z31" s="1086" t="n">
        <v>0</v>
      </c>
      <c r="AA31" s="1087" t="n">
        <v>0</v>
      </c>
      <c r="AB31" s="1086" t="n">
        <v>0</v>
      </c>
      <c r="AC31" s="1086" t="n">
        <v>0</v>
      </c>
      <c r="AD31" s="1087" t="n">
        <v>0</v>
      </c>
      <c r="AE31" s="1086" t="n">
        <v>0</v>
      </c>
      <c r="AF31" s="1086" t="n">
        <v>0</v>
      </c>
      <c r="AG31" s="1087" t="n">
        <v>0</v>
      </c>
      <c r="AH31" s="1086" t="n">
        <v>0</v>
      </c>
      <c r="AI31" s="1086" t="n">
        <v>0</v>
      </c>
      <c r="AJ31" s="1087" t="n">
        <v>0</v>
      </c>
      <c r="AK31" s="1086" t="n">
        <v>0</v>
      </c>
      <c r="AL31" s="1086" t="n">
        <v>0</v>
      </c>
      <c r="AM31" s="1087" t="n">
        <v>0</v>
      </c>
      <c r="AN31" s="1086" t="n">
        <v>0</v>
      </c>
      <c r="AO31" s="1086" t="n">
        <v>0</v>
      </c>
      <c r="AP31" s="1087" t="n">
        <v>0</v>
      </c>
      <c r="AQ31" s="1086" t="n">
        <v>0</v>
      </c>
      <c r="AR31" s="1086" t="n">
        <v>0</v>
      </c>
      <c r="AS31" s="1087" t="n">
        <v>0</v>
      </c>
      <c r="AT31" s="1086" t="n">
        <v>0</v>
      </c>
      <c r="AU31" s="1086" t="n">
        <v>0</v>
      </c>
      <c r="AV31" s="1086" t="n">
        <v>0</v>
      </c>
      <c r="AW31" s="1172" t="n">
        <v>0</v>
      </c>
      <c r="AX31" s="807" t="n">
        <f aca="false">BB31-SUM(AY31:BA31)</f>
        <v>22</v>
      </c>
      <c r="AY31" s="807" t="n">
        <f aca="false">IF(AND($E31=MONTH(Summary!$E$24),$D31=YEAR(Summary!$E$24)),Summary!$E$25,1)*IF(G31="",0,INT((H31-MOD(H31,7)-G31)/7)+1-IF(BA31,IF(WEEKDAY(F31)=7,1,0),0))</f>
        <v>5</v>
      </c>
      <c r="AZ31" s="807" t="n">
        <f aca="false">IF(AND($E31=MONTH(Summary!$E$24),$D31=YEAR(Summary!$E$24)),Summary!$E$25,1)*IF(G31="",0,INT((H31-MOD(H31-1,7)-G31)/7)+1-IF(BA31,IF(WEEKDAY(F31)=1,1,0),0))</f>
        <v>4</v>
      </c>
      <c r="BA31" s="807" t="n">
        <v>0</v>
      </c>
      <c r="BB31" s="807" t="n">
        <f aca="false">IF(AND($E31=MONTH(Summary!$E$24),$D31=YEAR(Summary!$E$24)),Summary!$E$25,1)*IF(G31="",0,H31-G31+1)</f>
        <v>31</v>
      </c>
      <c r="BC31" s="1089" t="n">
        <f aca="false">Summary!$E$19</f>
        <v>0.015</v>
      </c>
      <c r="BD31" s="1090" t="n">
        <v>15602.4</v>
      </c>
      <c r="BE31" s="1091" t="n">
        <v>3546</v>
      </c>
      <c r="BF31" s="1091" t="n">
        <v>2836.8</v>
      </c>
      <c r="BG31" s="842"/>
      <c r="BH31" s="1092" t="n">
        <v>1</v>
      </c>
      <c r="BI31" s="1092" t="n">
        <v>1</v>
      </c>
      <c r="BJ31" s="1092" t="n">
        <v>1</v>
      </c>
      <c r="BK31" s="1092" t="n">
        <v>1</v>
      </c>
      <c r="BL31" s="1093" t="n">
        <v>3120.48</v>
      </c>
      <c r="BM31" s="1091" t="n">
        <v>709.2</v>
      </c>
      <c r="BN31" s="1091" t="n">
        <v>567.36</v>
      </c>
      <c r="BO31" s="842"/>
      <c r="BP31" s="1092" t="n">
        <v>1</v>
      </c>
      <c r="BQ31" s="1094" t="n">
        <v>1</v>
      </c>
      <c r="BR31" s="1094" t="n">
        <v>1</v>
      </c>
      <c r="BS31" s="1095" t="n">
        <v>1</v>
      </c>
      <c r="BT31" s="1093" t="n">
        <f aca="false">SUM(BD31:BF31)</f>
        <v>21985.2</v>
      </c>
      <c r="BU31" s="1098" t="n">
        <f aca="false">SUM(BD31:BG31)</f>
        <v>21985.2</v>
      </c>
      <c r="BV31" s="1090" t="n">
        <f aca="false">SUM(BL31:BN31)</f>
        <v>4397.04</v>
      </c>
      <c r="BW31" s="1098" t="n">
        <f aca="false">SUM(BL31:BO31)</f>
        <v>4397.04</v>
      </c>
      <c r="BX31" s="852" t="n">
        <v>1.21013004791239</v>
      </c>
      <c r="BY31" s="1099" t="n">
        <v>0</v>
      </c>
      <c r="BZ31" s="852" t="n">
        <v>0</v>
      </c>
      <c r="CA31" s="852" t="n">
        <v>0</v>
      </c>
      <c r="CB31" s="852" t="n">
        <v>0</v>
      </c>
      <c r="CC31" s="852" t="n">
        <v>0</v>
      </c>
      <c r="CD31" s="852" t="n">
        <v>0</v>
      </c>
      <c r="CE31" s="1100" t="n">
        <v>0</v>
      </c>
      <c r="CF31" s="852" t="n">
        <v>0</v>
      </c>
      <c r="CG31" s="852" t="n">
        <v>0</v>
      </c>
      <c r="CH31" s="852" t="n">
        <v>0</v>
      </c>
      <c r="CI31" s="852" t="n">
        <v>0</v>
      </c>
      <c r="CJ31" s="1101" t="n">
        <v>0</v>
      </c>
      <c r="CK31" s="852" t="n">
        <v>0</v>
      </c>
      <c r="CL31" s="852" t="n">
        <v>0</v>
      </c>
      <c r="CM31" s="852" t="n">
        <v>0</v>
      </c>
      <c r="CN31" s="852" t="n">
        <v>0</v>
      </c>
      <c r="CO31" s="852" t="n">
        <v>0</v>
      </c>
      <c r="CP31" s="852" t="n">
        <v>0</v>
      </c>
      <c r="CQ31" s="1102" t="n">
        <v>0</v>
      </c>
      <c r="CR31" s="1103" t="n">
        <v>0</v>
      </c>
      <c r="CS31" s="1103" t="n">
        <v>0</v>
      </c>
      <c r="CT31" s="1103" t="n">
        <v>0</v>
      </c>
      <c r="CU31" s="1103" t="n">
        <v>0</v>
      </c>
      <c r="CV31" s="1103" t="n">
        <v>0</v>
      </c>
      <c r="CW31" s="1103" t="n">
        <v>0</v>
      </c>
      <c r="CX31" s="1104" t="n">
        <v>0</v>
      </c>
      <c r="CY31" s="1105" t="n">
        <v>7697.22344</v>
      </c>
      <c r="CZ31" s="1099" t="n">
        <v>0</v>
      </c>
      <c r="DA31" s="852" t="n">
        <v>0</v>
      </c>
      <c r="DB31" s="852" t="n">
        <v>0</v>
      </c>
      <c r="DC31" s="852" t="n">
        <v>0</v>
      </c>
      <c r="DD31" s="852" t="n">
        <v>0</v>
      </c>
      <c r="DE31" s="1113" t="n">
        <v>0</v>
      </c>
      <c r="DF31" s="1109" t="n">
        <v>0</v>
      </c>
      <c r="DG31" s="1110" t="n">
        <v>0</v>
      </c>
      <c r="DH31" s="1111" t="n">
        <v>0</v>
      </c>
      <c r="DI31" s="1112" t="n">
        <v>0</v>
      </c>
      <c r="DJ31" s="1112" t="n">
        <v>0</v>
      </c>
      <c r="DK31" s="1112" t="n">
        <v>0</v>
      </c>
      <c r="DL31" s="1113" t="n">
        <v>0</v>
      </c>
      <c r="DM31" s="1114" t="n">
        <v>0</v>
      </c>
      <c r="DN31" s="1114" t="n">
        <v>0</v>
      </c>
      <c r="DO31" s="1114" t="n">
        <v>0</v>
      </c>
      <c r="DP31" s="1114" t="n">
        <v>0</v>
      </c>
      <c r="DQ31" s="1114" t="n">
        <v>0</v>
      </c>
      <c r="DR31" s="1109" t="n">
        <v>0</v>
      </c>
      <c r="DS31" s="852" t="n">
        <v>0</v>
      </c>
      <c r="DT31" s="852" t="n">
        <v>0</v>
      </c>
      <c r="DU31" s="852" t="n">
        <v>0</v>
      </c>
      <c r="DV31" s="852" t="n">
        <v>0</v>
      </c>
      <c r="DW31" s="852" t="n">
        <v>0</v>
      </c>
      <c r="DX31" s="852" t="n">
        <v>0</v>
      </c>
      <c r="DY31" s="852" t="n">
        <v>0</v>
      </c>
      <c r="DZ31" s="852" t="n">
        <v>0</v>
      </c>
      <c r="EA31" s="852" t="n">
        <v>0</v>
      </c>
      <c r="EB31" s="1113" t="n">
        <v>0</v>
      </c>
      <c r="EC31" s="1115" t="n">
        <f aca="false">DS31*BD31</f>
        <v>0</v>
      </c>
      <c r="ED31" s="1115" t="n">
        <f aca="false">DT31*BE31</f>
        <v>0</v>
      </c>
      <c r="EE31" s="1115" t="n">
        <f aca="false">DU31*BF31</f>
        <v>0</v>
      </c>
      <c r="EF31" s="1115" t="n">
        <f aca="false">DV31*BG31</f>
        <v>0</v>
      </c>
      <c r="EG31" s="1115" t="n">
        <f aca="false">DS31*BD31+DT31*BE31+DU31*BF31+DV31*BG31</f>
        <v>0</v>
      </c>
      <c r="EH31" s="1116" t="n">
        <v>0</v>
      </c>
      <c r="EI31" s="1117" t="n">
        <v>0</v>
      </c>
      <c r="EJ31" s="1117" t="n">
        <v>0</v>
      </c>
      <c r="EK31" s="1117" t="n">
        <v>0</v>
      </c>
      <c r="EL31" s="1118" t="n">
        <f aca="false">IF(C31&gt;=Summary!$E$26,MAX(0,SUM(EH31:EK31)),0)</f>
        <v>0</v>
      </c>
      <c r="EM31" s="1115" t="n">
        <f aca="false">IF(C31&gt;=Summary!$E$26,DX31*BL31,0)</f>
        <v>0</v>
      </c>
      <c r="EN31" s="1115" t="n">
        <f aca="false">IF(C31&gt;=Summary!$E$26,DY31*BM31,0)</f>
        <v>0</v>
      </c>
      <c r="EO31" s="1115" t="n">
        <f aca="false">IF(C31&gt;=Summary!$E$26,DZ31*BN31,0)</f>
        <v>0</v>
      </c>
      <c r="EP31" s="1115" t="n">
        <f aca="false">IF(C31&gt;=Summary!$E$26,EA31*BO31,0)</f>
        <v>0</v>
      </c>
      <c r="EQ31" s="1115" t="n">
        <f aca="false">IF(C31&gt;=Summary!$E$26,DX31*BL31+DY31*BM31+DZ31*BN31+EA31*BO31,0)</f>
        <v>0</v>
      </c>
      <c r="ER31" s="1119" t="n">
        <v>0</v>
      </c>
      <c r="ES31" s="1120" t="n">
        <v>0</v>
      </c>
      <c r="ET31" s="1120" t="n">
        <v>0</v>
      </c>
      <c r="EU31" s="1120" t="n">
        <v>0</v>
      </c>
      <c r="EV31" s="1143" t="n">
        <f aca="false">IF(C31&gt;=Summary!$E$26,MAX(0,SUM(ER31:EU31)),0)</f>
        <v>0</v>
      </c>
      <c r="EW31" s="1115"/>
      <c r="EX31" s="1165" t="n">
        <f aca="false">(EQ31-EV31)+IF(EZ31="Yes",(EG31-EL31),0)</f>
        <v>0</v>
      </c>
      <c r="EY31" s="1166" t="str">
        <f aca="false">IF(EX31,EX31/EQ31,"")</f>
        <v/>
      </c>
      <c r="EZ31" s="1122" t="s">
        <v>37</v>
      </c>
      <c r="FA31" s="1096" t="n">
        <f aca="false">FA30</f>
        <v>45</v>
      </c>
      <c r="FB31" s="1167" t="n">
        <f aca="false">IF(EZ31="No",IF((OR(MONTH(C31)=5,MONTH(C31)=6,MONTH(C31)=7,MONTH(C31)=8,MONTH(C31)=9)),$FA31*12*AX31*(1-$BC31),$FA31*10*AX31*(1-$BC31)),0)</f>
        <v>9751.5</v>
      </c>
      <c r="FC31" s="1129" t="n">
        <f aca="false">IF(EZ31="No",IF((OR(MONTH(C31)=5,MONTH(C31)=6,MONTH(C31)=7,MONTH(C31)=8,MONTH(C31)=9)),0,$FA31*3*AX31*(1-$BC31)),0)</f>
        <v>2925.45</v>
      </c>
      <c r="FD31" s="1129" t="n">
        <f aca="false">IF(EZ31="No",IF((OR(MONTH(C31)=5,MONTH(C31)=6,MONTH(C31)=7,MONTH(C31)=8,MONTH(C31)=9)),$FA31*12*AY31*(1-$BC31),$FA31*10*AY31*(1-$BC31)),0)</f>
        <v>2216.25</v>
      </c>
      <c r="FE31" s="1129" t="n">
        <f aca="false">IF(EZ31="No",IF((OR(MONTH(C31)=5,MONTH(C31)=6,MONTH(C31)=7,MONTH(C31)=8,MONTH(C31)=9)),0,$FA31*3*AY31*(1-$BC31)),0)</f>
        <v>664.875</v>
      </c>
      <c r="FF31" s="1129" t="n">
        <f aca="false">IF(EZ31="No",IF((OR(MONTH(C31)=5,MONTH(C31)=6,MONTH(C31)=7,MONTH(C31)=8,MONTH(C31)=9)),$FA31*12*(AZ31+BA31)*(1-$BC31),$FA31*10*(AZ31+BA31)*(1-$BC31)),0)</f>
        <v>1773</v>
      </c>
      <c r="FG31" s="1129" t="n">
        <f aca="false">IF(EZ31="No",IF((OR(MONTH(C31)=5,MONTH(C31)=6,MONTH(C31)=7,MONTH(C31)=8,MONTH(C31)=9)),0,$FA31*3*(AZ31+BA31)*(1-$BC31)),0)</f>
        <v>531.9</v>
      </c>
      <c r="FH31" s="1170" t="n">
        <f aca="false">IF(EZ31="No",IF((OR(MONTH(C31)=5,MONTH(C31)=6,MONTH(C31)=7,MONTH(C31)=8,MONTH(C31)=9)),Summary!$O$15*12*(AX31+AY31+AZ31+BA31)*(1-$BC31),Summary!$O$15*13*(AX31+AY31+AZ31+BA31)*(1-$BC31)+IF(Summary!$O$16="Yes",(CALC!FA31+Summary!$O$15)*6*(AX31+AY31+AZ31+BA31)*(1-$BC31),0)),0)</f>
        <v>0</v>
      </c>
      <c r="FI31" s="1126" t="n">
        <f aca="false">IF(MONTH(C31)=5,FI30*(IF(Summary!$E$70="no",(1+(Summary!$E$71*0.8)),1+HLOOKUP(YEAR(C31)-1,CCFMODEL!$I$127:$AF$128,2)*0.8)),+FI30)</f>
        <v>27.2410364963504</v>
      </c>
      <c r="FJ31" s="1127" t="n">
        <f aca="false">IF(MONTH(C31)=5,FJ30*(IF(Summary!$E$70="no",(1+(Summary!$E$71*0.8)),1+HLOOKUP(YEAR(CALC!C31)-1,CCFMODEL!$I$127:$AF$128,2)*0.8)),FJ30)</f>
        <v>23.8090948905109</v>
      </c>
      <c r="FK31" s="1128" t="n">
        <f aca="false">SUM(FB31:FG31)*FI31+FH31*FJ31</f>
        <v>486605.953908394</v>
      </c>
      <c r="FL31" s="1126" t="n">
        <f aca="false">IF(MONTH(C31)=5,FL30*(IF(Summary!$E$70="no",(1+(Summary!$E$71*0.8)),1+HLOOKUP(YEAR(CALC!C31)-1,CCFMODEL!$I$127:$AF$128,2)*0.8)),+FL30)</f>
        <v>57.2909537712895</v>
      </c>
      <c r="FM31" s="1127" t="n">
        <f aca="false">IF(MONTH(C31)=5,FM30*(IF(Summary!$E$70="no",(1+(Summary!$E$71*0.8)),1+HLOOKUP(YEAR(CALC!C31)-1,CCFMODEL!$I$127:$AF$128,2)*0.8)),+FM30)</f>
        <v>27.3431776155718</v>
      </c>
      <c r="FN31" s="1128" t="n">
        <f aca="false">IF((OR(MONTH(C31)=5,MONTH(C31)=6,MONTH(C31)=7,MONTH(C31)=8,MONTH(C31)=9)),SUM(FB31:FG31)/(1-BC31)*FL31,SUM(FB31:FG31)/(1-BC31)*FM31)</f>
        <v>495868.526058394</v>
      </c>
      <c r="FO31" s="1129" t="n">
        <f aca="false">FK31+FN31</f>
        <v>982474.479966788</v>
      </c>
      <c r="FP31" s="1169" t="n">
        <f aca="false">FB31</f>
        <v>9751.5</v>
      </c>
      <c r="FQ31" s="1129" t="n">
        <f aca="false">FC31</f>
        <v>2925.45</v>
      </c>
      <c r="FR31" s="1129" t="n">
        <f aca="false">FD31</f>
        <v>2216.25</v>
      </c>
      <c r="FS31" s="1129" t="n">
        <f aca="false">FE31</f>
        <v>664.875</v>
      </c>
      <c r="FT31" s="1129" t="n">
        <f aca="false">FF31</f>
        <v>1773</v>
      </c>
      <c r="FU31" s="1129" t="n">
        <f aca="false">FG31</f>
        <v>531.9</v>
      </c>
      <c r="FV31" s="1170" t="n">
        <f aca="false">FH31</f>
        <v>0</v>
      </c>
      <c r="FW31" s="1115" t="n">
        <f aca="false">IF(ER31&gt;0,MIN(FB31-FP31,BL31),0)</f>
        <v>0</v>
      </c>
      <c r="FX31" s="1115" t="n">
        <f aca="false">IF(ES31&gt;0,MIN(FD31-FR31,BM31),0)</f>
        <v>0</v>
      </c>
      <c r="FY31" s="1115" t="n">
        <f aca="false">IF(ET31&gt;0,MIN(FF31-FT31,BN31),0)</f>
        <v>0</v>
      </c>
      <c r="FZ31" s="1143" t="n">
        <f aca="false">IF(EU31&gt;0,MIN(FH31-FV31,BO31),0)</f>
        <v>0</v>
      </c>
      <c r="GA31" s="1132" t="n">
        <f aca="false">(SUM(FP31:FV31)+SUM(GU31:HB31)/(1-Summary!$O$25))*CY31/1000</f>
        <v>234799.68302266</v>
      </c>
      <c r="GB31" s="1133" t="n">
        <f aca="false">IF($C31&lt;Summary!$M$81,+Summary!$O$81,VLOOKUP(C31,GasTable,19))</f>
        <v>2.4</v>
      </c>
      <c r="GC31" s="1134" t="n">
        <f aca="false">IF(H31&lt;=Summary!$N$84,MIN(GA31,Summary!$O$75*(H31-G31+1)),0)</f>
        <v>155000</v>
      </c>
      <c r="GD31" s="1135" t="n">
        <f aca="false">IF(Summary!$O$75*(H31-G31+1)*0.8&gt;GC31,1,0)</f>
        <v>0</v>
      </c>
      <c r="GE31" s="1136" t="n">
        <v>0</v>
      </c>
      <c r="GF31" s="1134" t="n">
        <f aca="false">ABS(MIN(0,GC31-$GA31))</f>
        <v>79799.6830226596</v>
      </c>
      <c r="GG31" s="1135" t="n">
        <f aca="false">GF31*(IF(Summary!$O$74=1,VLOOKUP($C31,GasTable,16)+Summary!$O$92+Summary!$O$93,VLOOKUP($C31,GasTable,19)+Summary!$O$92+Summary!$O$93))</f>
        <v>235450.345080211</v>
      </c>
      <c r="GH31" s="1137" t="n">
        <v>23386.4</v>
      </c>
      <c r="GI31" s="1138" t="n">
        <v>0</v>
      </c>
      <c r="GJ31" s="1139" t="n">
        <f aca="false">+GB31*GC31+GE31+GG31+GH31-GI31</f>
        <v>630836.745080211</v>
      </c>
      <c r="GK31" s="1115" t="n">
        <f aca="false">SUM(FP31:FV31,GU31:GX31,GY31:HB31)</f>
        <v>30062.01285</v>
      </c>
      <c r="GL31" s="1140" t="n">
        <v>0.755867341808</v>
      </c>
      <c r="GM31" s="1141" t="n">
        <f aca="false">IF(GK31&gt;GC31/(CY31/1000),GC31/(CY31/1000),+GK31)*GL31</f>
        <v>15221</v>
      </c>
      <c r="GN31" s="1115" t="n">
        <f aca="false">IF(SUM(GU31:HB31)=0,0,IF(Summary!$O$16="Yes",SUM(GX31:HB31),IF(Summary!$O$17="Yes",SUM(GY31:HB31),SUM(GU31:HB31))))</f>
        <v>12199.03785</v>
      </c>
      <c r="GO31" s="1142" t="n">
        <v>5.71879306569343</v>
      </c>
      <c r="GP31" s="1143" t="n">
        <f aca="false">GN31*GO31</f>
        <v>69763.7730647117</v>
      </c>
      <c r="GQ31" s="1115"/>
      <c r="GR31" s="1115"/>
      <c r="GS31" s="1115"/>
      <c r="GT31" s="1115"/>
      <c r="GU31" s="1150" t="n">
        <v>5646.1185</v>
      </c>
      <c r="GV31" s="1115" t="n">
        <v>1283.20875</v>
      </c>
      <c r="GW31" s="1115" t="n">
        <v>1026.567</v>
      </c>
      <c r="GX31" s="1115"/>
      <c r="GY31" s="1151" t="n">
        <v>3011.2632</v>
      </c>
      <c r="GZ31" s="1115" t="n">
        <v>684.378</v>
      </c>
      <c r="HA31" s="1115" t="n">
        <v>547.5024</v>
      </c>
      <c r="HB31" s="1141"/>
      <c r="HC31" s="1115" t="n">
        <v>12199.03785</v>
      </c>
      <c r="HD31" s="1115"/>
      <c r="HE31" s="1115" t="n">
        <v>20950.521525</v>
      </c>
      <c r="HF31" s="1115" t="n">
        <v>444776.549488603</v>
      </c>
      <c r="HG31" s="1115"/>
      <c r="HH31" s="1142" t="n">
        <v>35.861646583351</v>
      </c>
      <c r="HI31" s="1115" t="n">
        <v>751320.198666437</v>
      </c>
      <c r="HJ31" s="1150" t="n">
        <f aca="false">MAX(FB31-FP31-FW31,0)</f>
        <v>0</v>
      </c>
      <c r="HK31" s="1115" t="n">
        <f aca="false">MAX(FD31-FR31-FX31,0)</f>
        <v>0</v>
      </c>
      <c r="HL31" s="1115" t="n">
        <f aca="false">MAX(FF31-FT31-FY31,0)</f>
        <v>0</v>
      </c>
      <c r="HM31" s="1141" t="n">
        <f aca="false">MAX(FH31-FV31-FZ31,0)</f>
        <v>0</v>
      </c>
      <c r="HN31" s="1115" t="n">
        <f aca="false">SUM(HJ31:HM31)</f>
        <v>0</v>
      </c>
      <c r="HO31" s="1142" t="n">
        <f aca="false">IF(ISERROR(+HP31/HN31),0,+HP31/HN31)</f>
        <v>0</v>
      </c>
      <c r="HP31" s="1143" t="n">
        <f aca="false">(HJ31*CE31+HK31*CF31+HL31*CG31+HM31*CH31)</f>
        <v>0</v>
      </c>
      <c r="HQ31" s="1146" t="n">
        <v>2013</v>
      </c>
      <c r="HR31" s="1150" t="e">
        <f aca="false">SUMIF($D$17:$D$292,HQ31,$FB$17:$FB$292)+SUMIF($D$17:$D$292,HQ31,$FC$17:$FC$292)+SUMIF($D$17:$D$292,HQ31,$FD$17:$FD$292)+SUMIF($D$17:$D$292,HQ31,$FE$17:$FE$292)+SUMIF($D$17:$D$292,HQ31,$FF$17:$FF$292)+SUMIF($D$17:$D$292,HQ31,$FG$17:$FG$292)+SUMIF($D$17:$D$292,HQ31,$FH$17:$FH$292)</f>
        <v>#VALUE!</v>
      </c>
      <c r="HS31" s="1110" t="e">
        <f aca="false">IF(HT31=0,0,HT31/HR31)</f>
        <v>#VALUE!</v>
      </c>
      <c r="HT31" s="1141" t="e">
        <f aca="false">SUMIF($D$17:$D$292,HQ31,$FO$17:$FO$292)</f>
        <v>#VALUE!</v>
      </c>
      <c r="HU31" s="1151" t="n">
        <v>97198.78545</v>
      </c>
      <c r="HV31" s="1142" t="n">
        <v>47.6077874286841</v>
      </c>
      <c r="HW31" s="1115" t="n">
        <v>4627419.11602988</v>
      </c>
      <c r="HX31" s="1171" t="n">
        <v>0</v>
      </c>
      <c r="HY31" s="1143" t="e">
        <f aca="false">HT31+HW31+HX31</f>
        <v>#VALUE!</v>
      </c>
      <c r="HZ31" s="1150" t="n">
        <v>2355546.93275398</v>
      </c>
      <c r="IA31" s="1142" t="n">
        <v>-3.59734618679643</v>
      </c>
      <c r="IB31" s="1141" t="n">
        <v>-8473717.77636254</v>
      </c>
      <c r="IC31" s="1151" t="n">
        <v>300739.18545</v>
      </c>
      <c r="ID31" s="1142" t="e">
        <f aca="false">IF(IE31=0,0,IE31/IC31)</f>
        <v>#VALUE!</v>
      </c>
      <c r="IE31" s="1141" t="e">
        <f aca="false">-SUMIF($D$17:$D$292,HQ31,$GM$17:$GM$292)</f>
        <v>#VALUE!</v>
      </c>
      <c r="IF31" s="1115" t="n">
        <f aca="false">SUMIF($D$17:$D$292,HQ31,$GN$17:$GN$292)</f>
        <v>130545.1035</v>
      </c>
      <c r="IG31" s="1142" t="n">
        <f aca="false">IF(IH31=0,0,IH31/IF31)</f>
        <v>-2.60180380443548</v>
      </c>
      <c r="IH31" s="1141" t="n">
        <v>-339652.746936723</v>
      </c>
      <c r="II31" s="1115" t="e">
        <f aca="false">SUMIF($D$17:$D$292,HQ31,$HN$17:$HN$292)</f>
        <v>#VALUE!</v>
      </c>
      <c r="IJ31" s="1142" t="e">
        <f aca="false">IF(IK31=0,0,IK31/II31)</f>
        <v>#VALUE!</v>
      </c>
      <c r="IK31" s="1115" t="e">
        <f aca="false">-SUMIF($D$17:$D$292,HQ31,$HP$17:$HP$292)</f>
        <v>#VALUE!</v>
      </c>
      <c r="IL31" s="1152" t="e">
        <f aca="false">HY31+IB31+IE31+IH31</f>
        <v>#VALUE!</v>
      </c>
      <c r="IN31" s="222"/>
      <c r="IO31" s="162"/>
      <c r="IR31" s="844"/>
    </row>
    <row r="32" customFormat="false" ht="13.5" hidden="false" customHeight="false" outlineLevel="0" collapsed="false">
      <c r="A32" s="0" t="str">
        <f aca="false">+D32&amp;"Q"&amp;ROUNDUP(E32/3,0)</f>
        <v>2001Q2</v>
      </c>
      <c r="B32" s="0" t="n">
        <f aca="false">YEAR(C32)</f>
        <v>2001</v>
      </c>
      <c r="C32" s="1153" t="n">
        <f aca="false">EOMONTH(C31,0)+1</f>
        <v>36982</v>
      </c>
      <c r="D32" s="841" t="n">
        <f aca="false">+YEAR(C32)</f>
        <v>2001</v>
      </c>
      <c r="E32" s="807" t="n">
        <f aca="false">MONTH(C32)</f>
        <v>4</v>
      </c>
      <c r="F32" s="1154" t="e">
        <f aca="false">IF(G32="","",Holiday(D32,E32))</f>
        <v>#VALUE!</v>
      </c>
      <c r="G32" s="1155" t="n">
        <v>36982</v>
      </c>
      <c r="H32" s="1156" t="n">
        <v>37011</v>
      </c>
      <c r="I32" s="1157" t="n">
        <f aca="false">I31</f>
        <v>0.0715</v>
      </c>
      <c r="J32" s="1158" t="n">
        <f aca="false">(1+I32/2)^(-2*(DATE(D33,E33,20)-$H$7)/365.25)</f>
        <v>0.904474967909134</v>
      </c>
      <c r="K32" s="1159" t="e">
        <f aca="false">IF(#REF!=1,+#REF!,I32+#REF!/10000)</f>
        <v>#REF!</v>
      </c>
      <c r="L32" s="1158" t="e">
        <f aca="false">(1+K32/2)^(-2*(DATE(D33,E33,20)-$H$7)/365.25)</f>
        <v>#REF!</v>
      </c>
      <c r="M32" s="1082" t="n">
        <v>0</v>
      </c>
      <c r="N32" s="1110" t="n">
        <f aca="false">M32</f>
        <v>0</v>
      </c>
      <c r="O32" s="1174" t="n">
        <f aca="false">N32</f>
        <v>0</v>
      </c>
      <c r="P32" s="1175" t="n">
        <f aca="false">M32</f>
        <v>0</v>
      </c>
      <c r="Q32" s="1110" t="n">
        <f aca="false">P32</f>
        <v>0</v>
      </c>
      <c r="R32" s="1174" t="n">
        <f aca="false">Q32</f>
        <v>0</v>
      </c>
      <c r="S32" s="1110" t="n">
        <f aca="false">R32</f>
        <v>0</v>
      </c>
      <c r="T32" s="1110" t="n">
        <f aca="false">S32</f>
        <v>0</v>
      </c>
      <c r="U32" s="1110" t="n">
        <f aca="false">T32</f>
        <v>0</v>
      </c>
      <c r="V32" s="1175" t="n">
        <f aca="false">U32</f>
        <v>0</v>
      </c>
      <c r="W32" s="1110" t="n">
        <f aca="false">V32</f>
        <v>0</v>
      </c>
      <c r="X32" s="1176" t="n">
        <f aca="false">W32</f>
        <v>0</v>
      </c>
      <c r="Y32" s="1086" t="n">
        <v>0</v>
      </c>
      <c r="Z32" s="1086" t="n">
        <v>0</v>
      </c>
      <c r="AA32" s="1087" t="n">
        <v>0</v>
      </c>
      <c r="AB32" s="1086" t="n">
        <v>0</v>
      </c>
      <c r="AC32" s="1086" t="n">
        <v>0</v>
      </c>
      <c r="AD32" s="1087" t="n">
        <v>0</v>
      </c>
      <c r="AE32" s="1086" t="n">
        <v>0</v>
      </c>
      <c r="AF32" s="1086" t="n">
        <v>0</v>
      </c>
      <c r="AG32" s="1087" t="n">
        <v>0</v>
      </c>
      <c r="AH32" s="1086" t="n">
        <v>0</v>
      </c>
      <c r="AI32" s="1086" t="n">
        <v>0</v>
      </c>
      <c r="AJ32" s="1087" t="n">
        <v>0</v>
      </c>
      <c r="AK32" s="1086" t="n">
        <v>0</v>
      </c>
      <c r="AL32" s="1086" t="n">
        <v>0</v>
      </c>
      <c r="AM32" s="1087" t="n">
        <v>0</v>
      </c>
      <c r="AN32" s="1086" t="n">
        <v>0</v>
      </c>
      <c r="AO32" s="1086" t="n">
        <v>0</v>
      </c>
      <c r="AP32" s="1087" t="n">
        <v>0</v>
      </c>
      <c r="AQ32" s="1086" t="n">
        <v>0</v>
      </c>
      <c r="AR32" s="1086" t="n">
        <v>0</v>
      </c>
      <c r="AS32" s="1087" t="n">
        <v>0</v>
      </c>
      <c r="AT32" s="1086" t="n">
        <v>0</v>
      </c>
      <c r="AU32" s="1086" t="n">
        <v>0</v>
      </c>
      <c r="AV32" s="1086" t="n">
        <v>0</v>
      </c>
      <c r="AW32" s="1172" t="n">
        <v>0</v>
      </c>
      <c r="AX32" s="807" t="n">
        <f aca="false">BB32-SUM(AY32:BA32)</f>
        <v>21</v>
      </c>
      <c r="AY32" s="807" t="n">
        <f aca="false">IF(AND($E32=MONTH(Summary!$E$24),$D32=YEAR(Summary!$E$24)),Summary!$E$25,1)*IF(G32="",0,INT((H32-MOD(H32,7)-G32)/7)+1-IF(BA32,IF(WEEKDAY(F32)=7,1,0),0))</f>
        <v>4</v>
      </c>
      <c r="AZ32" s="807" t="n">
        <f aca="false">IF(AND($E32=MONTH(Summary!$E$24),$D32=YEAR(Summary!$E$24)),Summary!$E$25,1)*IF(G32="",0,INT((H32-MOD(H32-1,7)-G32)/7)+1-IF(BA32,IF(WEEKDAY(F32)=1,1,0),0))</f>
        <v>5</v>
      </c>
      <c r="BA32" s="807" t="n">
        <v>0</v>
      </c>
      <c r="BB32" s="807" t="n">
        <f aca="false">IF(AND($E32=MONTH(Summary!$E$24),$D32=YEAR(Summary!$E$24)),Summary!$E$25,1)*IF(G32="",0,H32-G32+1)</f>
        <v>30</v>
      </c>
      <c r="BC32" s="1089" t="n">
        <f aca="false">Summary!$E$19</f>
        <v>0.015</v>
      </c>
      <c r="BD32" s="1090" t="n">
        <v>14893.2</v>
      </c>
      <c r="BE32" s="1091" t="n">
        <v>2836.8</v>
      </c>
      <c r="BF32" s="1091" t="n">
        <v>3546</v>
      </c>
      <c r="BG32" s="842"/>
      <c r="BH32" s="1092" t="n">
        <v>1</v>
      </c>
      <c r="BI32" s="1092" t="n">
        <v>1</v>
      </c>
      <c r="BJ32" s="1092" t="n">
        <v>1</v>
      </c>
      <c r="BK32" s="1092" t="n">
        <v>1</v>
      </c>
      <c r="BL32" s="1093" t="n">
        <v>2978.64</v>
      </c>
      <c r="BM32" s="1091" t="n">
        <v>567.36</v>
      </c>
      <c r="BN32" s="1091" t="n">
        <v>709.2</v>
      </c>
      <c r="BO32" s="842"/>
      <c r="BP32" s="1092" t="n">
        <v>1</v>
      </c>
      <c r="BQ32" s="1094" t="n">
        <v>1</v>
      </c>
      <c r="BR32" s="1094" t="n">
        <v>1</v>
      </c>
      <c r="BS32" s="1095" t="n">
        <v>1</v>
      </c>
      <c r="BT32" s="1093" t="n">
        <f aca="false">SUM(BD32:BF32)</f>
        <v>21276</v>
      </c>
      <c r="BU32" s="1098" t="n">
        <f aca="false">SUM(BD32:BG32)</f>
        <v>21276</v>
      </c>
      <c r="BV32" s="1090" t="n">
        <f aca="false">SUM(BL32:BN32)</f>
        <v>4255.2</v>
      </c>
      <c r="BW32" s="1098" t="n">
        <f aca="false">SUM(BL32:BO32)</f>
        <v>4255.2</v>
      </c>
      <c r="BX32" s="852" t="n">
        <v>1.29500342231348</v>
      </c>
      <c r="BY32" s="1099" t="n">
        <v>0</v>
      </c>
      <c r="BZ32" s="852" t="n">
        <v>0</v>
      </c>
      <c r="CA32" s="852" t="n">
        <v>0</v>
      </c>
      <c r="CB32" s="852" t="n">
        <v>0</v>
      </c>
      <c r="CC32" s="852" t="n">
        <v>0</v>
      </c>
      <c r="CD32" s="852" t="n">
        <v>0</v>
      </c>
      <c r="CE32" s="1100" t="n">
        <v>0</v>
      </c>
      <c r="CF32" s="852" t="n">
        <v>0</v>
      </c>
      <c r="CG32" s="852" t="n">
        <v>0</v>
      </c>
      <c r="CH32" s="852" t="n">
        <v>0</v>
      </c>
      <c r="CI32" s="852" t="n">
        <v>0</v>
      </c>
      <c r="CJ32" s="1101" t="n">
        <v>0</v>
      </c>
      <c r="CK32" s="852" t="n">
        <v>0</v>
      </c>
      <c r="CL32" s="852" t="n">
        <v>0</v>
      </c>
      <c r="CM32" s="852" t="n">
        <v>0</v>
      </c>
      <c r="CN32" s="852" t="n">
        <v>0</v>
      </c>
      <c r="CO32" s="852" t="n">
        <v>0</v>
      </c>
      <c r="CP32" s="852" t="n">
        <v>0</v>
      </c>
      <c r="CQ32" s="1102" t="n">
        <v>0</v>
      </c>
      <c r="CR32" s="1103" t="n">
        <v>0</v>
      </c>
      <c r="CS32" s="1103" t="n">
        <v>0</v>
      </c>
      <c r="CT32" s="1103" t="n">
        <v>0</v>
      </c>
      <c r="CU32" s="1103" t="n">
        <v>0</v>
      </c>
      <c r="CV32" s="1103" t="n">
        <v>0</v>
      </c>
      <c r="CW32" s="1103" t="n">
        <v>0</v>
      </c>
      <c r="CX32" s="1104" t="n">
        <v>0</v>
      </c>
      <c r="CY32" s="1105" t="n">
        <v>7699.17776</v>
      </c>
      <c r="CZ32" s="1099" t="n">
        <v>0</v>
      </c>
      <c r="DA32" s="852" t="n">
        <v>0</v>
      </c>
      <c r="DB32" s="852" t="n">
        <v>0</v>
      </c>
      <c r="DC32" s="852" t="n">
        <v>0</v>
      </c>
      <c r="DD32" s="852" t="n">
        <v>0</v>
      </c>
      <c r="DE32" s="1113" t="n">
        <v>0</v>
      </c>
      <c r="DF32" s="1109" t="n">
        <v>0</v>
      </c>
      <c r="DG32" s="1110" t="n">
        <v>0</v>
      </c>
      <c r="DH32" s="1111" t="n">
        <v>0</v>
      </c>
      <c r="DI32" s="1112" t="n">
        <v>0</v>
      </c>
      <c r="DJ32" s="1112" t="n">
        <v>0</v>
      </c>
      <c r="DK32" s="1112" t="n">
        <v>0</v>
      </c>
      <c r="DL32" s="1113" t="n">
        <v>0</v>
      </c>
      <c r="DM32" s="1114" t="n">
        <v>0</v>
      </c>
      <c r="DN32" s="1114" t="n">
        <v>0</v>
      </c>
      <c r="DO32" s="1114" t="n">
        <v>0</v>
      </c>
      <c r="DP32" s="1114" t="n">
        <v>0</v>
      </c>
      <c r="DQ32" s="1114" t="n">
        <v>0</v>
      </c>
      <c r="DR32" s="1109" t="n">
        <v>0</v>
      </c>
      <c r="DS32" s="852" t="n">
        <v>0</v>
      </c>
      <c r="DT32" s="852" t="n">
        <v>0</v>
      </c>
      <c r="DU32" s="852" t="n">
        <v>0</v>
      </c>
      <c r="DV32" s="852" t="n">
        <v>0</v>
      </c>
      <c r="DW32" s="852" t="n">
        <v>0</v>
      </c>
      <c r="DX32" s="852" t="n">
        <v>0</v>
      </c>
      <c r="DY32" s="852" t="n">
        <v>0</v>
      </c>
      <c r="DZ32" s="852" t="n">
        <v>0</v>
      </c>
      <c r="EA32" s="852" t="n">
        <v>0</v>
      </c>
      <c r="EB32" s="1113" t="n">
        <v>0</v>
      </c>
      <c r="EC32" s="1115" t="n">
        <f aca="false">DS32*BD32</f>
        <v>0</v>
      </c>
      <c r="ED32" s="1115" t="n">
        <f aca="false">DT32*BE32</f>
        <v>0</v>
      </c>
      <c r="EE32" s="1115" t="n">
        <f aca="false">DU32*BF32</f>
        <v>0</v>
      </c>
      <c r="EF32" s="1115" t="n">
        <f aca="false">DV32*BG32</f>
        <v>0</v>
      </c>
      <c r="EG32" s="1115" t="n">
        <f aca="false">DS32*BD32+DT32*BE32+DU32*BF32+DV32*BG32</f>
        <v>0</v>
      </c>
      <c r="EH32" s="1116" t="n">
        <v>0</v>
      </c>
      <c r="EI32" s="1117" t="n">
        <v>0</v>
      </c>
      <c r="EJ32" s="1117" t="n">
        <v>0</v>
      </c>
      <c r="EK32" s="1117" t="n">
        <v>0</v>
      </c>
      <c r="EL32" s="1118" t="n">
        <f aca="false">IF(C32&gt;=Summary!$E$26,MAX(0,SUM(EH32:EK32)),0)</f>
        <v>0</v>
      </c>
      <c r="EM32" s="1115" t="n">
        <f aca="false">IF(C32&gt;=Summary!$E$26,DX32*BL32,0)</f>
        <v>0</v>
      </c>
      <c r="EN32" s="1115" t="n">
        <f aca="false">IF(C32&gt;=Summary!$E$26,DY32*BM32,0)</f>
        <v>0</v>
      </c>
      <c r="EO32" s="1115" t="n">
        <f aca="false">IF(C32&gt;=Summary!$E$26,DZ32*BN32,0)</f>
        <v>0</v>
      </c>
      <c r="EP32" s="1115" t="n">
        <f aca="false">IF(C32&gt;=Summary!$E$26,EA32*BO32,0)</f>
        <v>0</v>
      </c>
      <c r="EQ32" s="1115" t="n">
        <f aca="false">IF(C32&gt;=Summary!$E$26,DX32*BL32+DY32*BM32+DZ32*BN32+EA32*BO32,0)</f>
        <v>0</v>
      </c>
      <c r="ER32" s="1119" t="n">
        <v>0</v>
      </c>
      <c r="ES32" s="1120" t="n">
        <v>0</v>
      </c>
      <c r="ET32" s="1120" t="n">
        <v>0</v>
      </c>
      <c r="EU32" s="1120" t="n">
        <v>0</v>
      </c>
      <c r="EV32" s="1143" t="n">
        <f aca="false">IF(C32&gt;=Summary!$E$26,MAX(0,SUM(ER32:EU32)),0)</f>
        <v>0</v>
      </c>
      <c r="EW32" s="1115"/>
      <c r="EX32" s="1165" t="n">
        <f aca="false">(EQ32-EV32)+IF(EZ32="Yes",(EG32-EL32),0)</f>
        <v>0</v>
      </c>
      <c r="EY32" s="1166" t="str">
        <f aca="false">IF(EX32,EX32/EQ32,"")</f>
        <v/>
      </c>
      <c r="EZ32" s="1122" t="s">
        <v>37</v>
      </c>
      <c r="FA32" s="1096" t="n">
        <f aca="false">FA31</f>
        <v>45</v>
      </c>
      <c r="FB32" s="1167" t="n">
        <f aca="false">IF(EZ32="No",IF((OR(MONTH(C32)=5,MONTH(C32)=6,MONTH(C32)=7,MONTH(C32)=8,MONTH(C32)=9)),$FA32*12*AX32*(1-$BC32),$FA32*10*AX32*(1-$BC32)),0)</f>
        <v>9308.25</v>
      </c>
      <c r="FC32" s="1129" t="n">
        <f aca="false">IF(EZ32="No",IF((OR(MONTH(C32)=5,MONTH(C32)=6,MONTH(C32)=7,MONTH(C32)=8,MONTH(C32)=9)),0,$FA32*3*AX32*(1-$BC32)),0)</f>
        <v>2792.475</v>
      </c>
      <c r="FD32" s="1129" t="n">
        <f aca="false">IF(EZ32="No",IF((OR(MONTH(C32)=5,MONTH(C32)=6,MONTH(C32)=7,MONTH(C32)=8,MONTH(C32)=9)),$FA32*12*AY32*(1-$BC32),$FA32*10*AY32*(1-$BC32)),0)</f>
        <v>1773</v>
      </c>
      <c r="FE32" s="1129" t="n">
        <f aca="false">IF(EZ32="No",IF((OR(MONTH(C32)=5,MONTH(C32)=6,MONTH(C32)=7,MONTH(C32)=8,MONTH(C32)=9)),0,$FA32*3*AY32*(1-$BC32)),0)</f>
        <v>531.9</v>
      </c>
      <c r="FF32" s="1129" t="n">
        <f aca="false">IF(EZ32="No",IF((OR(MONTH(C32)=5,MONTH(C32)=6,MONTH(C32)=7,MONTH(C32)=8,MONTH(C32)=9)),$FA32*12*(AZ32+BA32)*(1-$BC32),$FA32*10*(AZ32+BA32)*(1-$BC32)),0)</f>
        <v>2216.25</v>
      </c>
      <c r="FG32" s="1129" t="n">
        <f aca="false">IF(EZ32="No",IF((OR(MONTH(C32)=5,MONTH(C32)=6,MONTH(C32)=7,MONTH(C32)=8,MONTH(C32)=9)),0,$FA32*3*(AZ32+BA32)*(1-$BC32)),0)</f>
        <v>664.875</v>
      </c>
      <c r="FH32" s="1170" t="n">
        <f aca="false">IF(EZ32="No",IF((OR(MONTH(C32)=5,MONTH(C32)=6,MONTH(C32)=7,MONTH(C32)=8,MONTH(C32)=9)),Summary!$O$15*12*(AX32+AY32+AZ32+BA32)*(1-$BC32),Summary!$O$15*13*(AX32+AY32+AZ32+BA32)*(1-$BC32)+IF(Summary!$O$16="Yes",(CALC!FA32+Summary!$O$15)*6*(AX32+AY32+AZ32+BA32)*(1-$BC32),0)),0)</f>
        <v>0</v>
      </c>
      <c r="FI32" s="1126" t="n">
        <f aca="false">IF(MONTH(C32)=5,FI31*(IF(Summary!$E$70="no",(1+(Summary!$E$71*0.8)),1+HLOOKUP(YEAR(C32)-1,CCFMODEL!$I$127:$AF$128,2)*0.8)),+FI31)</f>
        <v>27.2410364963504</v>
      </c>
      <c r="FJ32" s="1127" t="n">
        <f aca="false">IF(MONTH(C32)=5,FJ31*(IF(Summary!$E$70="no",(1+(Summary!$E$71*0.8)),1+HLOOKUP(YEAR(CALC!C32)-1,CCFMODEL!$I$127:$AF$128,2)*0.8)),FJ31)</f>
        <v>23.8090948905109</v>
      </c>
      <c r="FK32" s="1128" t="n">
        <f aca="false">SUM(FB32:FG32)*FI32+FH32*FJ32</f>
        <v>470908.987653285</v>
      </c>
      <c r="FL32" s="1126" t="n">
        <f aca="false">IF(MONTH(C32)=5,FL31*(IF(Summary!$E$70="no",(1+(Summary!$E$71*0.8)),1+HLOOKUP(YEAR(CALC!C32)-1,CCFMODEL!$I$127:$AF$128,2)*0.8)),+FL31)</f>
        <v>57.2909537712895</v>
      </c>
      <c r="FM32" s="1127" t="n">
        <f aca="false">IF(MONTH(C32)=5,FM31*(IF(Summary!$E$70="no",(1+(Summary!$E$71*0.8)),1+HLOOKUP(YEAR(CALC!C32)-1,CCFMODEL!$I$127:$AF$128,2)*0.8)),+FM31)</f>
        <v>27.3431776155718</v>
      </c>
      <c r="FN32" s="1128" t="n">
        <f aca="false">IF((OR(MONTH(C32)=5,MONTH(C32)=6,MONTH(C32)=7,MONTH(C32)=8,MONTH(C32)=9)),SUM(FB32:FG32)/(1-BC32)*FL32,SUM(FB32:FG32)/(1-BC32)*FM32)</f>
        <v>479872.767153285</v>
      </c>
      <c r="FO32" s="1129" t="n">
        <f aca="false">FK32+FN32</f>
        <v>950781.754806569</v>
      </c>
      <c r="FP32" s="1169" t="n">
        <f aca="false">FB32</f>
        <v>9308.25</v>
      </c>
      <c r="FQ32" s="1129" t="n">
        <f aca="false">FC32</f>
        <v>2792.475</v>
      </c>
      <c r="FR32" s="1129" t="n">
        <f aca="false">FD32</f>
        <v>1773</v>
      </c>
      <c r="FS32" s="1129" t="n">
        <f aca="false">FE32</f>
        <v>531.9</v>
      </c>
      <c r="FT32" s="1129" t="n">
        <f aca="false">FF32</f>
        <v>2216.25</v>
      </c>
      <c r="FU32" s="1129" t="n">
        <f aca="false">FG32</f>
        <v>664.875</v>
      </c>
      <c r="FV32" s="1170" t="n">
        <f aca="false">FH32</f>
        <v>0</v>
      </c>
      <c r="FW32" s="1115" t="n">
        <f aca="false">IF(ER32&gt;0,MIN(FB32-FP32,BL32),0)</f>
        <v>0</v>
      </c>
      <c r="FX32" s="1115" t="n">
        <f aca="false">IF(ES32&gt;0,MIN(FD32-FR32,BM32),0)</f>
        <v>0</v>
      </c>
      <c r="FY32" s="1115" t="n">
        <f aca="false">IF(ET32&gt;0,MIN(FF32-FT32,BN32),0)</f>
        <v>0</v>
      </c>
      <c r="FZ32" s="1143" t="n">
        <f aca="false">IF(EU32&gt;0,MIN(FH32-FV32,BO32),0)</f>
        <v>0</v>
      </c>
      <c r="GA32" s="1132" t="n">
        <f aca="false">(SUM(FP32:FV32)+SUM(GU32:HB32)/(1-Summary!$O$25))*CY32/1000</f>
        <v>227283.192105192</v>
      </c>
      <c r="GB32" s="1133" t="n">
        <f aca="false">IF($C32&lt;Summary!$M$81,+Summary!$O$81,VLOOKUP(C32,GasTable,19))</f>
        <v>2.4</v>
      </c>
      <c r="GC32" s="1134" t="n">
        <f aca="false">IF(H32&lt;=Summary!$N$84,MIN(GA32,Summary!$O$75*(H32-G32+1)),0)</f>
        <v>150000</v>
      </c>
      <c r="GD32" s="1135" t="n">
        <f aca="false">IF(Summary!$O$75*(H32-G32+1)*0.8&gt;GC32,1,0)</f>
        <v>0</v>
      </c>
      <c r="GE32" s="1136" t="n">
        <v>0</v>
      </c>
      <c r="GF32" s="1134" t="n">
        <f aca="false">ABS(MIN(0,GC32-$GA32))</f>
        <v>77283.192105192</v>
      </c>
      <c r="GG32" s="1135" t="n">
        <f aca="false">GF32*(IF(Summary!$O$74=1,VLOOKUP($C32,GasTable,16)+Summary!$O$92+Summary!$O$93,VLOOKUP($C32,GasTable,19)+Summary!$O$92+Summary!$O$93))</f>
        <v>218581.250502962</v>
      </c>
      <c r="GH32" s="1137" t="n">
        <v>21552</v>
      </c>
      <c r="GI32" s="1138" t="n">
        <v>0</v>
      </c>
      <c r="GJ32" s="1139" t="n">
        <f aca="false">+GB32*GC32+GE32+GG32+GH32-GI32</f>
        <v>600133.250502962</v>
      </c>
      <c r="GK32" s="1115" t="n">
        <f aca="false">SUM(FP32:FV32,GU32:GX32,GY32:HB32)</f>
        <v>29092.2705</v>
      </c>
      <c r="GL32" s="1140" t="n">
        <v>0.756059256032</v>
      </c>
      <c r="GM32" s="1141" t="n">
        <f aca="false">IF(GK32&gt;GC32/(CY32/1000),GC32/(CY32/1000),+GK32)*GL32</f>
        <v>14730</v>
      </c>
      <c r="GN32" s="1115" t="n">
        <f aca="false">IF(SUM(GU32:HB32)=0,0,IF(Summary!$O$16="Yes",SUM(GX32:HB32),IF(Summary!$O$17="Yes",SUM(GY32:HB32),SUM(GU32:HB32))))</f>
        <v>11805.5205</v>
      </c>
      <c r="GO32" s="1142" t="n">
        <v>5.71879306569343</v>
      </c>
      <c r="GP32" s="1143" t="n">
        <f aca="false">GN32*GO32</f>
        <v>67513.3287723017</v>
      </c>
      <c r="GQ32" s="1115"/>
      <c r="GR32" s="1115"/>
      <c r="GS32" s="1115"/>
      <c r="GT32" s="1115"/>
      <c r="GU32" s="1150" t="n">
        <v>5389.47675</v>
      </c>
      <c r="GV32" s="1115" t="n">
        <v>1026.567</v>
      </c>
      <c r="GW32" s="1115" t="n">
        <v>1283.20875</v>
      </c>
      <c r="GX32" s="1115"/>
      <c r="GY32" s="1151" t="n">
        <v>2874.3876</v>
      </c>
      <c r="GZ32" s="1115" t="n">
        <v>547.5024</v>
      </c>
      <c r="HA32" s="1115" t="n">
        <v>684.378</v>
      </c>
      <c r="HB32" s="1141"/>
      <c r="HC32" s="1115" t="n">
        <v>11805.5205</v>
      </c>
      <c r="HD32" s="1115"/>
      <c r="HE32" s="1115" t="n">
        <v>20274.69825</v>
      </c>
      <c r="HF32" s="1115" t="n">
        <v>414012.685536908</v>
      </c>
      <c r="HG32" s="1115"/>
      <c r="HH32" s="1142" t="n">
        <v>34.4357229763197</v>
      </c>
      <c r="HI32" s="1115" t="n">
        <v>698173.892365473</v>
      </c>
      <c r="HJ32" s="1150" t="n">
        <f aca="false">MAX(FB32-FP32-FW32,0)</f>
        <v>0</v>
      </c>
      <c r="HK32" s="1115" t="n">
        <f aca="false">MAX(FD32-FR32-FX32,0)</f>
        <v>0</v>
      </c>
      <c r="HL32" s="1115" t="n">
        <f aca="false">MAX(FF32-FT32-FY32,0)</f>
        <v>0</v>
      </c>
      <c r="HM32" s="1141" t="n">
        <f aca="false">MAX(FH32-FV32-FZ32,0)</f>
        <v>0</v>
      </c>
      <c r="HN32" s="1115" t="n">
        <f aca="false">SUM(HJ32:HM32)</f>
        <v>0</v>
      </c>
      <c r="HO32" s="1142" t="n">
        <f aca="false">IF(ISERROR(+HP32/HN32),0,+HP32/HN32)</f>
        <v>0</v>
      </c>
      <c r="HP32" s="1143" t="n">
        <f aca="false">(HJ32*CE32+HK32*CF32+HL32*CG32+HM32*CH32)</f>
        <v>0</v>
      </c>
      <c r="HQ32" s="1146" t="n">
        <v>2014</v>
      </c>
      <c r="HR32" s="1150" t="e">
        <f aca="false">SUMIF($D$17:$D$292,HQ32,$FB$17:$FB$292)+SUMIF($D$17:$D$292,HQ32,$FC$17:$FC$292)+SUMIF($D$17:$D$292,HQ32,$FD$17:$FD$292)+SUMIF($D$17:$D$292,HQ32,$FE$17:$FE$292)+SUMIF($D$17:$D$292,HQ32,$FF$17:$FF$292)+SUMIF($D$17:$D$292,HQ32,$FG$17:$FG$292)+SUMIF($D$17:$D$292,HQ32,$FH$17:$FH$292)</f>
        <v>#VALUE!</v>
      </c>
      <c r="HS32" s="1110" t="e">
        <f aca="false">IF(HT32=0,0,HT32/HR32)</f>
        <v>#VALUE!</v>
      </c>
      <c r="HT32" s="1141" t="e">
        <f aca="false">SUMIF($D$17:$D$292,HQ32,$FO$17:$FO$292)</f>
        <v>#VALUE!</v>
      </c>
      <c r="HU32" s="1151" t="n">
        <v>97506.75555</v>
      </c>
      <c r="HV32" s="1142" t="n">
        <v>48.2578966716975</v>
      </c>
      <c r="HW32" s="1115" t="n">
        <v>4705470.93412437</v>
      </c>
      <c r="HX32" s="1171" t="n">
        <v>0</v>
      </c>
      <c r="HY32" s="1143" t="e">
        <f aca="false">HT32+HW32+HX32</f>
        <v>#VALUE!</v>
      </c>
      <c r="HZ32" s="1150" t="n">
        <v>2362781.65352648</v>
      </c>
      <c r="IA32" s="1142" t="n">
        <v>-3.66891795798211</v>
      </c>
      <c r="IB32" s="1141" t="n">
        <v>-8668852.03941394</v>
      </c>
      <c r="IC32" s="1151" t="n">
        <v>301047.15555</v>
      </c>
      <c r="ID32" s="1142" t="e">
        <f aca="false">IF(IE32=0,0,IE32/IC32)</f>
        <v>#VALUE!</v>
      </c>
      <c r="IE32" s="1141" t="e">
        <f aca="false">-SUMIF($D$17:$D$292,HQ32,$GM$17:$GM$292)</f>
        <v>#VALUE!</v>
      </c>
      <c r="IF32" s="1115" t="n">
        <f aca="false">SUMIF($D$17:$D$292,HQ32,$GN$17:$GN$292)</f>
        <v>130545.1035</v>
      </c>
      <c r="IG32" s="1142" t="n">
        <f aca="false">IF(IH32=0,0,IH32/IF32)</f>
        <v>-2.68834893116038</v>
      </c>
      <c r="IH32" s="1141" t="n">
        <v>-350950.789462446</v>
      </c>
      <c r="II32" s="1115" t="e">
        <f aca="false">SUMIF($D$17:$D$292,HQ32,$HN$17:$HN$292)</f>
        <v>#VALUE!</v>
      </c>
      <c r="IJ32" s="1142" t="e">
        <f aca="false">IF(IK32=0,0,IK32/II32)</f>
        <v>#VALUE!</v>
      </c>
      <c r="IK32" s="1115" t="e">
        <f aca="false">-SUMIF($D$17:$D$292,HQ32,$HP$17:$HP$292)</f>
        <v>#VALUE!</v>
      </c>
      <c r="IL32" s="1152" t="e">
        <f aca="false">HY32+IB32+IE32+IH32</f>
        <v>#VALUE!</v>
      </c>
      <c r="IN32" s="222"/>
      <c r="IO32" s="162"/>
      <c r="IR32" s="844"/>
    </row>
    <row r="33" customFormat="false" ht="13.5" hidden="false" customHeight="false" outlineLevel="0" collapsed="false">
      <c r="A33" s="0" t="str">
        <f aca="false">+D33&amp;"Q"&amp;ROUNDUP(E33/3,0)</f>
        <v>2001Q2</v>
      </c>
      <c r="B33" s="0" t="n">
        <f aca="false">YEAR(C33)</f>
        <v>2001</v>
      </c>
      <c r="C33" s="1153" t="n">
        <f aca="false">EOMONTH(C32,0)+1</f>
        <v>37012</v>
      </c>
      <c r="D33" s="841" t="n">
        <f aca="false">+YEAR(C33)</f>
        <v>2001</v>
      </c>
      <c r="E33" s="807" t="n">
        <f aca="false">MONTH(C33)</f>
        <v>5</v>
      </c>
      <c r="F33" s="1154" t="e">
        <f aca="false">IF(G33="","",Holiday(D33,E33))</f>
        <v>#VALUE!</v>
      </c>
      <c r="G33" s="1155" t="n">
        <v>37012</v>
      </c>
      <c r="H33" s="1156" t="n">
        <v>37042</v>
      </c>
      <c r="I33" s="1157" t="n">
        <f aca="false">I32</f>
        <v>0.0715</v>
      </c>
      <c r="J33" s="1158" t="n">
        <f aca="false">(1+I33/2)^(-2*(DATE(D34,E34,20)-$H$7)/365.25)</f>
        <v>0.899098090060327</v>
      </c>
      <c r="K33" s="1159" t="e">
        <f aca="false">IF(#REF!=1,+#REF!,I33+#REF!/10000)</f>
        <v>#REF!</v>
      </c>
      <c r="L33" s="1158" t="e">
        <f aca="false">(1+K33/2)^(-2*(DATE(D34,E34,20)-$H$7)/365.25)</f>
        <v>#REF!</v>
      </c>
      <c r="M33" s="1082" t="n">
        <v>0</v>
      </c>
      <c r="N33" s="1110" t="n">
        <f aca="false">M33</f>
        <v>0</v>
      </c>
      <c r="O33" s="1174" t="n">
        <f aca="false">N33</f>
        <v>0</v>
      </c>
      <c r="P33" s="1175" t="n">
        <f aca="false">M33</f>
        <v>0</v>
      </c>
      <c r="Q33" s="1110" t="n">
        <f aca="false">P33</f>
        <v>0</v>
      </c>
      <c r="R33" s="1174" t="n">
        <f aca="false">Q33</f>
        <v>0</v>
      </c>
      <c r="S33" s="1110" t="n">
        <f aca="false">R33</f>
        <v>0</v>
      </c>
      <c r="T33" s="1110" t="n">
        <f aca="false">S33</f>
        <v>0</v>
      </c>
      <c r="U33" s="1110" t="n">
        <f aca="false">T33</f>
        <v>0</v>
      </c>
      <c r="V33" s="1175" t="n">
        <f aca="false">U33</f>
        <v>0</v>
      </c>
      <c r="W33" s="1110" t="n">
        <f aca="false">V33</f>
        <v>0</v>
      </c>
      <c r="X33" s="1176" t="n">
        <f aca="false">W33</f>
        <v>0</v>
      </c>
      <c r="Y33" s="1086" t="n">
        <v>0</v>
      </c>
      <c r="Z33" s="1086" t="n">
        <v>0</v>
      </c>
      <c r="AA33" s="1087" t="n">
        <v>0</v>
      </c>
      <c r="AB33" s="1086" t="n">
        <v>0</v>
      </c>
      <c r="AC33" s="1086" t="n">
        <v>0</v>
      </c>
      <c r="AD33" s="1087" t="n">
        <v>0</v>
      </c>
      <c r="AE33" s="1086" t="n">
        <v>0</v>
      </c>
      <c r="AF33" s="1086" t="n">
        <v>0</v>
      </c>
      <c r="AG33" s="1087" t="n">
        <v>0</v>
      </c>
      <c r="AH33" s="1086" t="n">
        <v>0</v>
      </c>
      <c r="AI33" s="1086" t="n">
        <v>0</v>
      </c>
      <c r="AJ33" s="1087" t="n">
        <v>0</v>
      </c>
      <c r="AK33" s="1086" t="n">
        <v>0</v>
      </c>
      <c r="AL33" s="1086" t="n">
        <v>0</v>
      </c>
      <c r="AM33" s="1087" t="n">
        <v>0</v>
      </c>
      <c r="AN33" s="1086" t="n">
        <v>0</v>
      </c>
      <c r="AO33" s="1086" t="n">
        <v>0</v>
      </c>
      <c r="AP33" s="1087" t="n">
        <v>0</v>
      </c>
      <c r="AQ33" s="1086" t="n">
        <v>0</v>
      </c>
      <c r="AR33" s="1086" t="n">
        <v>0</v>
      </c>
      <c r="AS33" s="1087" t="n">
        <v>0</v>
      </c>
      <c r="AT33" s="1086" t="n">
        <v>0</v>
      </c>
      <c r="AU33" s="1086" t="n">
        <v>0</v>
      </c>
      <c r="AV33" s="1086" t="n">
        <v>0</v>
      </c>
      <c r="AW33" s="1172" t="n">
        <v>0</v>
      </c>
      <c r="AX33" s="807" t="e">
        <f aca="false">BB33-SUM(AY33:BA33)</f>
        <v>#VALUE!</v>
      </c>
      <c r="AY33" s="807" t="e">
        <f aca="false">IF(AND($E33=MONTH(Summary!$E$24),$D33=YEAR(Summary!$E$24)),Summary!$E$25,1)*IF(G33="",0,INT((H33-MOD(H33,7)-G33)/7)+1-IF(BA33,IF(WEEKDAY(F33)=7,1,0),0))</f>
        <v>#VALUE!</v>
      </c>
      <c r="AZ33" s="807" t="e">
        <f aca="false">IF(AND($E33=MONTH(Summary!$E$24),$D33=YEAR(Summary!$E$24)),Summary!$E$25,1)*IF(G33="",0,INT((H33-MOD(H33-1,7)-G33)/7)+1-IF(BA33,IF(WEEKDAY(F33)=1,1,0),0))</f>
        <v>#VALUE!</v>
      </c>
      <c r="BA33" s="807" t="n">
        <v>1</v>
      </c>
      <c r="BB33" s="807" t="n">
        <f aca="false">IF(AND($E33=MONTH(Summary!$E$24),$D33=YEAR(Summary!$E$24)),Summary!$E$25,1)*IF(G33="",0,H33-G33+1)</f>
        <v>31</v>
      </c>
      <c r="BC33" s="1089" t="n">
        <f aca="false">Summary!$E$19</f>
        <v>0.015</v>
      </c>
      <c r="BD33" s="1090" t="n">
        <v>15602.4</v>
      </c>
      <c r="BE33" s="1091" t="n">
        <v>2836.8</v>
      </c>
      <c r="BF33" s="1091" t="n">
        <v>3546</v>
      </c>
      <c r="BG33" s="842"/>
      <c r="BH33" s="1092" t="n">
        <v>1</v>
      </c>
      <c r="BI33" s="1092" t="n">
        <v>1</v>
      </c>
      <c r="BJ33" s="1092" t="n">
        <v>1</v>
      </c>
      <c r="BK33" s="1092" t="n">
        <v>1</v>
      </c>
      <c r="BL33" s="1093" t="n">
        <v>3120.48</v>
      </c>
      <c r="BM33" s="1091" t="n">
        <v>567.36</v>
      </c>
      <c r="BN33" s="1091" t="n">
        <v>709.2</v>
      </c>
      <c r="BO33" s="842"/>
      <c r="BP33" s="1092" t="n">
        <v>1</v>
      </c>
      <c r="BQ33" s="1094" t="n">
        <v>1</v>
      </c>
      <c r="BR33" s="1094" t="n">
        <v>1</v>
      </c>
      <c r="BS33" s="1095" t="n">
        <v>1</v>
      </c>
      <c r="BT33" s="1093" t="n">
        <f aca="false">SUM(BD33:BF33)</f>
        <v>21985.2</v>
      </c>
      <c r="BU33" s="1098" t="n">
        <f aca="false">SUM(BD33:BG33)</f>
        <v>21985.2</v>
      </c>
      <c r="BV33" s="1090" t="n">
        <f aca="false">SUM(BL33:BN33)</f>
        <v>4397.04</v>
      </c>
      <c r="BW33" s="1098" t="n">
        <f aca="false">SUM(BL33:BO33)</f>
        <v>4397.04</v>
      </c>
      <c r="BX33" s="852" t="n">
        <v>1.37713894592745</v>
      </c>
      <c r="BY33" s="1099" t="n">
        <v>0</v>
      </c>
      <c r="BZ33" s="852" t="n">
        <v>0</v>
      </c>
      <c r="CA33" s="852" t="n">
        <v>0</v>
      </c>
      <c r="CB33" s="852" t="n">
        <v>0</v>
      </c>
      <c r="CC33" s="852" t="n">
        <v>0</v>
      </c>
      <c r="CD33" s="852" t="n">
        <v>0</v>
      </c>
      <c r="CE33" s="1100" t="n">
        <v>0</v>
      </c>
      <c r="CF33" s="852" t="n">
        <v>0</v>
      </c>
      <c r="CG33" s="852" t="n">
        <v>0</v>
      </c>
      <c r="CH33" s="852" t="n">
        <v>0</v>
      </c>
      <c r="CI33" s="852" t="n">
        <v>0</v>
      </c>
      <c r="CJ33" s="1101" t="n">
        <v>0</v>
      </c>
      <c r="CK33" s="852" t="n">
        <v>0</v>
      </c>
      <c r="CL33" s="852" t="n">
        <v>0</v>
      </c>
      <c r="CM33" s="852" t="n">
        <v>0</v>
      </c>
      <c r="CN33" s="852" t="n">
        <v>0</v>
      </c>
      <c r="CO33" s="852" t="n">
        <v>0</v>
      </c>
      <c r="CP33" s="852" t="n">
        <v>0</v>
      </c>
      <c r="CQ33" s="1102" t="n">
        <v>0</v>
      </c>
      <c r="CR33" s="1103" t="n">
        <v>0</v>
      </c>
      <c r="CS33" s="1103" t="n">
        <v>0</v>
      </c>
      <c r="CT33" s="1103" t="n">
        <v>0</v>
      </c>
      <c r="CU33" s="1103" t="n">
        <v>0</v>
      </c>
      <c r="CV33" s="1103" t="n">
        <v>0</v>
      </c>
      <c r="CW33" s="1103" t="n">
        <v>0</v>
      </c>
      <c r="CX33" s="1104" t="n">
        <v>0</v>
      </c>
      <c r="CY33" s="1105" t="n">
        <v>7701.13208</v>
      </c>
      <c r="CZ33" s="1099" t="n">
        <v>0</v>
      </c>
      <c r="DA33" s="852" t="n">
        <v>0</v>
      </c>
      <c r="DB33" s="852" t="n">
        <v>0</v>
      </c>
      <c r="DC33" s="852" t="n">
        <v>0</v>
      </c>
      <c r="DD33" s="852" t="n">
        <v>0</v>
      </c>
      <c r="DE33" s="1113" t="n">
        <v>0</v>
      </c>
      <c r="DF33" s="1109" t="n">
        <v>0</v>
      </c>
      <c r="DG33" s="1110" t="n">
        <v>0</v>
      </c>
      <c r="DH33" s="1111" t="n">
        <v>0</v>
      </c>
      <c r="DI33" s="1112" t="n">
        <v>0</v>
      </c>
      <c r="DJ33" s="1112" t="n">
        <v>0</v>
      </c>
      <c r="DK33" s="1112" t="n">
        <v>0</v>
      </c>
      <c r="DL33" s="1113" t="n">
        <v>0</v>
      </c>
      <c r="DM33" s="1114" t="n">
        <v>0</v>
      </c>
      <c r="DN33" s="1114" t="n">
        <v>0</v>
      </c>
      <c r="DO33" s="1114" t="n">
        <v>0</v>
      </c>
      <c r="DP33" s="1114" t="n">
        <v>0</v>
      </c>
      <c r="DQ33" s="1114" t="n">
        <v>0</v>
      </c>
      <c r="DR33" s="1109" t="n">
        <v>0</v>
      </c>
      <c r="DS33" s="852" t="n">
        <v>0</v>
      </c>
      <c r="DT33" s="852" t="n">
        <v>0</v>
      </c>
      <c r="DU33" s="852" t="n">
        <v>0</v>
      </c>
      <c r="DV33" s="852" t="n">
        <v>0</v>
      </c>
      <c r="DW33" s="852" t="n">
        <v>0</v>
      </c>
      <c r="DX33" s="852" t="n">
        <v>0</v>
      </c>
      <c r="DY33" s="852" t="n">
        <v>0</v>
      </c>
      <c r="DZ33" s="852" t="n">
        <v>0</v>
      </c>
      <c r="EA33" s="852" t="n">
        <v>0</v>
      </c>
      <c r="EB33" s="1113" t="n">
        <v>0</v>
      </c>
      <c r="EC33" s="1115" t="n">
        <f aca="false">DS33*BD33</f>
        <v>0</v>
      </c>
      <c r="ED33" s="1115" t="n">
        <f aca="false">DT33*BE33</f>
        <v>0</v>
      </c>
      <c r="EE33" s="1115" t="n">
        <f aca="false">DU33*BF33</f>
        <v>0</v>
      </c>
      <c r="EF33" s="1115" t="n">
        <f aca="false">DV33*BG33</f>
        <v>0</v>
      </c>
      <c r="EG33" s="1115" t="n">
        <f aca="false">DS33*BD33+DT33*BE33+DU33*BF33+DV33*BG33</f>
        <v>0</v>
      </c>
      <c r="EH33" s="1116" t="n">
        <v>0</v>
      </c>
      <c r="EI33" s="1117" t="n">
        <v>0</v>
      </c>
      <c r="EJ33" s="1117" t="n">
        <v>0</v>
      </c>
      <c r="EK33" s="1117" t="n">
        <v>0</v>
      </c>
      <c r="EL33" s="1118" t="n">
        <f aca="false">IF(C33&gt;=Summary!$E$26,MAX(0,SUM(EH33:EK33)),0)</f>
        <v>0</v>
      </c>
      <c r="EM33" s="1115" t="n">
        <f aca="false">IF(C33&gt;=Summary!$E$26,DX33*BL33,0)</f>
        <v>0</v>
      </c>
      <c r="EN33" s="1115" t="n">
        <f aca="false">IF(C33&gt;=Summary!$E$26,DY33*BM33,0)</f>
        <v>0</v>
      </c>
      <c r="EO33" s="1115" t="n">
        <f aca="false">IF(C33&gt;=Summary!$E$26,DZ33*BN33,0)</f>
        <v>0</v>
      </c>
      <c r="EP33" s="1115" t="n">
        <f aca="false">IF(C33&gt;=Summary!$E$26,EA33*BO33,0)</f>
        <v>0</v>
      </c>
      <c r="EQ33" s="1115" t="n">
        <f aca="false">IF(C33&gt;=Summary!$E$26,DX33*BL33+DY33*BM33+DZ33*BN33+EA33*BO33,0)</f>
        <v>0</v>
      </c>
      <c r="ER33" s="1119" t="n">
        <v>0</v>
      </c>
      <c r="ES33" s="1120" t="n">
        <v>0</v>
      </c>
      <c r="ET33" s="1120" t="n">
        <v>0</v>
      </c>
      <c r="EU33" s="1120" t="n">
        <v>0</v>
      </c>
      <c r="EV33" s="1143" t="n">
        <f aca="false">IF(C33&gt;=Summary!$E$26,MAX(0,SUM(ER33:EU33)),0)</f>
        <v>0</v>
      </c>
      <c r="EW33" s="1115"/>
      <c r="EX33" s="1165" t="n">
        <f aca="false">(EQ33-EV33)+IF(EZ33="Yes",(EG33-EL33),0)</f>
        <v>0</v>
      </c>
      <c r="EY33" s="1166" t="str">
        <f aca="false">IF(EX33,EX33/EQ33,"")</f>
        <v/>
      </c>
      <c r="EZ33" s="1122" t="s">
        <v>37</v>
      </c>
      <c r="FA33" s="1096" t="n">
        <f aca="false">FA32</f>
        <v>45</v>
      </c>
      <c r="FB33" s="1167" t="e">
        <f aca="false">IF(EZ33="No",IF((OR(MONTH(C33)=5,MONTH(C33)=6,MONTH(C33)=7,MONTH(C33)=8,MONTH(C33)=9)),$FA33*12*AX33*(1-$BC33),$FA33*10*AX33*(1-$BC33)),0)</f>
        <v>#VALUE!</v>
      </c>
      <c r="FC33" s="1129" t="n">
        <f aca="false">IF(EZ33="No",IF((OR(MONTH(C33)=5,MONTH(C33)=6,MONTH(C33)=7,MONTH(C33)=8,MONTH(C33)=9)),0,$FA33*3*AX33*(1-$BC33)),0)</f>
        <v>0</v>
      </c>
      <c r="FD33" s="1129" t="e">
        <f aca="false">IF(EZ33="No",IF((OR(MONTH(C33)=5,MONTH(C33)=6,MONTH(C33)=7,MONTH(C33)=8,MONTH(C33)=9)),$FA33*12*AY33*(1-$BC33),$FA33*10*AY33*(1-$BC33)),0)</f>
        <v>#VALUE!</v>
      </c>
      <c r="FE33" s="1129" t="n">
        <f aca="false">IF(EZ33="No",IF((OR(MONTH(C33)=5,MONTH(C33)=6,MONTH(C33)=7,MONTH(C33)=8,MONTH(C33)=9)),0,$FA33*3*AY33*(1-$BC33)),0)</f>
        <v>0</v>
      </c>
      <c r="FF33" s="1129" t="e">
        <f aca="false">IF(EZ33="No",IF((OR(MONTH(C33)=5,MONTH(C33)=6,MONTH(C33)=7,MONTH(C33)=8,MONTH(C33)=9)),$FA33*12*(AZ33+BA33)*(1-$BC33),$FA33*10*(AZ33+BA33)*(1-$BC33)),0)</f>
        <v>#VALUE!</v>
      </c>
      <c r="FG33" s="1129" t="n">
        <f aca="false">IF(EZ33="No",IF((OR(MONTH(C33)=5,MONTH(C33)=6,MONTH(C33)=7,MONTH(C33)=8,MONTH(C33)=9)),0,$FA33*3*(AZ33+BA33)*(1-$BC33)),0)</f>
        <v>0</v>
      </c>
      <c r="FH33" s="1170" t="e">
        <f aca="false">IF(EZ33="No",IF((OR(MONTH(C33)=5,MONTH(C33)=6,MONTH(C33)=7,MONTH(C33)=8,MONTH(C33)=9)),Summary!$O$15*12*(AX33+AY33+AZ33+BA33)*(1-$BC33),Summary!$O$15*13*(AX33+AY33+AZ33+BA33)*(1-$BC33)+IF(Summary!$O$16="Yes",(CALC!FA33+Summary!$O$15)*6*(AX33+AY33+AZ33+BA33)*(1-$BC33),0)),0)</f>
        <v>#VALUE!</v>
      </c>
      <c r="FI33" s="1126" t="n">
        <f aca="false">IF(MONTH(C33)=5,FI32*(IF(Summary!$E$70="no",(1+(Summary!$E$71*0.8)),1+HLOOKUP(YEAR(C33)-1,CCFMODEL!$I$127:$AF$128,2)*0.8)),+FI32)</f>
        <v>27.8948213722628</v>
      </c>
      <c r="FJ33" s="1127" t="n">
        <f aca="false">IF(MONTH(C33)=5,FJ32*(IF(Summary!$E$70="no",(1+(Summary!$E$71*0.8)),1+HLOOKUP(YEAR(CALC!C33)-1,CCFMODEL!$I$127:$AF$128,2)*0.8)),FJ32)</f>
        <v>24.3805131678832</v>
      </c>
      <c r="FK33" s="1128" t="e">
        <f aca="false">SUM(FB33:FG33)*FI33+FH33*FJ33</f>
        <v>#VALUE!</v>
      </c>
      <c r="FL33" s="1126" t="n">
        <f aca="false">IF(MONTH(C33)=5,FL32*(IF(Summary!$E$70="no",(1+(Summary!$E$71*0.8)),1+HLOOKUP(YEAR(CALC!C33)-1,CCFMODEL!$I$127:$AF$128,2)*0.8)),+FL32)</f>
        <v>58.6659366618005</v>
      </c>
      <c r="FM33" s="1127" t="n">
        <f aca="false">IF(MONTH(C33)=5,FM32*(IF(Summary!$E$70="no",(1+(Summary!$E$71*0.8)),1+HLOOKUP(YEAR(CALC!C33)-1,CCFMODEL!$I$127:$AF$128,2)*0.8)),+FM32)</f>
        <v>27.9994138783455</v>
      </c>
      <c r="FN33" s="1128" t="e">
        <f aca="false">IF((OR(MONTH(C33)=5,MONTH(C33)=6,MONTH(C33)=7,MONTH(C33)=8,MONTH(C33)=9)),SUM(FB33:FG33)/(1-BC33)*FL33,SUM(FB33:FG33)/(1-BC33)*FM33)</f>
        <v>#VALUE!</v>
      </c>
      <c r="FO33" s="1129" t="e">
        <f aca="false">FK33+FN33</f>
        <v>#VALUE!</v>
      </c>
      <c r="FP33" s="1169" t="e">
        <f aca="false">FB33</f>
        <v>#VALUE!</v>
      </c>
      <c r="FQ33" s="1129" t="n">
        <f aca="false">FC33</f>
        <v>0</v>
      </c>
      <c r="FR33" s="1129" t="e">
        <f aca="false">FD33</f>
        <v>#VALUE!</v>
      </c>
      <c r="FS33" s="1129" t="n">
        <f aca="false">FE33</f>
        <v>0</v>
      </c>
      <c r="FT33" s="1129" t="e">
        <f aca="false">FF33</f>
        <v>#VALUE!</v>
      </c>
      <c r="FU33" s="1129" t="n">
        <f aca="false">FG33</f>
        <v>0</v>
      </c>
      <c r="FV33" s="1170" t="e">
        <f aca="false">FH33</f>
        <v>#VALUE!</v>
      </c>
      <c r="FW33" s="1115" t="n">
        <f aca="false">IF(ER33&gt;0,MIN(FB33-FP33,BL33),0)</f>
        <v>0</v>
      </c>
      <c r="FX33" s="1115" t="n">
        <f aca="false">IF(ES33&gt;0,MIN(FD33-FR33,BM33),0)</f>
        <v>0</v>
      </c>
      <c r="FY33" s="1115" t="n">
        <f aca="false">IF(ET33&gt;0,MIN(FF33-FT33,BN33),0)</f>
        <v>0</v>
      </c>
      <c r="FZ33" s="1143" t="n">
        <f aca="false">IF(EU33&gt;0,MIN(FH33-FV33,BO33),0)</f>
        <v>0</v>
      </c>
      <c r="GA33" s="1132" t="e">
        <f aca="false">(SUM(FP33:FV33)+SUM(GU33:HB33)/(1-Summary!$O$25))*CY33/1000</f>
        <v>#VALUE!</v>
      </c>
      <c r="GB33" s="1133" t="n">
        <f aca="false">IF($C33&lt;Summary!$M$81,+Summary!$O$81,VLOOKUP(C33,GasTable,19))</f>
        <v>2.4</v>
      </c>
      <c r="GC33" s="1134" t="e">
        <f aca="false">IF(H33&lt;=Summary!$N$84,MIN(GA33,Summary!$O$75*(H33-G33+1)),0)</f>
        <v>#VALUE!</v>
      </c>
      <c r="GD33" s="1135" t="e">
        <f aca="false">IF(Summary!$O$75*(H33-G33+1)*0.8&gt;GC33,1,0)</f>
        <v>#VALUE!</v>
      </c>
      <c r="GE33" s="1136" t="n">
        <v>0</v>
      </c>
      <c r="GF33" s="1134" t="e">
        <f aca="false">ABS(MIN(0,GC33-$GA33))</f>
        <v>#VALUE!</v>
      </c>
      <c r="GG33" s="1135" t="e">
        <f aca="false">GF33*(IF(Summary!$O$74=1,VLOOKUP($C33,GasTable,16)+Summary!$O$92+Summary!$O$93,VLOOKUP($C33,GasTable,19)+Summary!$O$92+Summary!$O$93))</f>
        <v>#VALUE!</v>
      </c>
      <c r="GH33" s="1137" t="n">
        <v>21879.8</v>
      </c>
      <c r="GI33" s="1138" t="n">
        <v>0</v>
      </c>
      <c r="GJ33" s="1139" t="e">
        <f aca="false">+GB33*GC33+GE33+GG33+GH33-GI33</f>
        <v>#VALUE!</v>
      </c>
      <c r="GK33" s="1115" t="e">
        <f aca="false">SUM(FP33:FV33,GU33:GX33,GY33:HB33)</f>
        <v>#VALUE!</v>
      </c>
      <c r="GL33" s="1140" t="n">
        <v>0.756251170256</v>
      </c>
      <c r="GM33" s="1141" t="e">
        <f aca="false">IF(GK33&gt;GC33/(CY33/1000),GC33/(CY33/1000),+GK33)*GL33</f>
        <v>#VALUE!</v>
      </c>
      <c r="GN33" s="1115" t="n">
        <f aca="false">IF(SUM(GU33:HB33)=0,0,IF(Summary!$O$16="Yes",SUM(GX33:HB33),IF(Summary!$O$17="Yes",SUM(GY33:HB33),SUM(GU33:HB33))))</f>
        <v>9547.0731</v>
      </c>
      <c r="GO33" s="1142" t="n">
        <v>5.71879306569343</v>
      </c>
      <c r="GP33" s="1143" t="n">
        <f aca="false">GN33*GO33</f>
        <v>54597.7354419483</v>
      </c>
      <c r="GQ33" s="1115"/>
      <c r="GR33" s="1115"/>
      <c r="GS33" s="1115"/>
      <c r="GT33" s="1115"/>
      <c r="GU33" s="1150" t="n">
        <v>3764.079</v>
      </c>
      <c r="GV33" s="1115" t="n">
        <v>684.378</v>
      </c>
      <c r="GW33" s="1115" t="n">
        <v>855.4725</v>
      </c>
      <c r="GX33" s="1115"/>
      <c r="GY33" s="1151" t="n">
        <v>3011.2632</v>
      </c>
      <c r="GZ33" s="1115" t="n">
        <v>547.5024</v>
      </c>
      <c r="HA33" s="1115" t="n">
        <v>684.378</v>
      </c>
      <c r="HB33" s="1141"/>
      <c r="HC33" s="1115" t="n">
        <v>9547.0731</v>
      </c>
      <c r="HD33" s="1115"/>
      <c r="HE33" s="1115" t="n">
        <v>22276.5039</v>
      </c>
      <c r="HF33" s="1115" t="n">
        <v>341521.634210313</v>
      </c>
      <c r="HG33" s="1115"/>
      <c r="HH33" s="1142" t="n">
        <v>36.2443943808366</v>
      </c>
      <c r="HI33" s="1115" t="n">
        <v>807398.392777844</v>
      </c>
      <c r="HJ33" s="1150" t="e">
        <f aca="false">MAX(FB33-FP33-FW33,0)</f>
        <v>#VALUE!</v>
      </c>
      <c r="HK33" s="1115" t="e">
        <f aca="false">MAX(FD33-FR33-FX33,0)</f>
        <v>#VALUE!</v>
      </c>
      <c r="HL33" s="1115" t="e">
        <f aca="false">MAX(FF33-FT33-FY33,0)</f>
        <v>#VALUE!</v>
      </c>
      <c r="HM33" s="1141" t="e">
        <f aca="false">MAX(FH33-FV33-FZ33,0)</f>
        <v>#VALUE!</v>
      </c>
      <c r="HN33" s="1115" t="e">
        <f aca="false">SUM(HJ33:HM33)</f>
        <v>#VALUE!</v>
      </c>
      <c r="HO33" s="1142" t="n">
        <f aca="false">IF(ISERROR(+HP33/HN33),0,+HP33/HN33)</f>
        <v>0</v>
      </c>
      <c r="HP33" s="1143" t="e">
        <f aca="false">(HJ33*CE33+HK33*CF33+HL33*CG33+HM33*CH33)</f>
        <v>#VALUE!</v>
      </c>
      <c r="HQ33" s="1146" t="n">
        <v>2015</v>
      </c>
      <c r="HR33" s="1150" t="e">
        <f aca="false">SUMIF($D$17:$D$292,HQ33,$FB$17:$FB$292)+SUMIF($D$17:$D$292,HQ33,$FC$17:$FC$292)+SUMIF($D$17:$D$292,HQ33,$FD$17:$FD$292)+SUMIF($D$17:$D$292,HQ33,$FE$17:$FE$292)+SUMIF($D$17:$D$292,HQ33,$FF$17:$FF$292)+SUMIF($D$17:$D$292,HQ33,$FG$17:$FG$292)+SUMIF($D$17:$D$292,HQ33,$FH$17:$FH$292)</f>
        <v>#VALUE!</v>
      </c>
      <c r="HS33" s="1110" t="e">
        <f aca="false">IF(HT33=0,0,HT33/HR33)</f>
        <v>#VALUE!</v>
      </c>
      <c r="HT33" s="1141" t="e">
        <f aca="false">SUMIF($D$17:$D$292,HQ33,$FO$17:$FO$292)</f>
        <v>#VALUE!</v>
      </c>
      <c r="HU33" s="1151" t="n">
        <v>97506.75555</v>
      </c>
      <c r="HV33" s="1142" t="n">
        <v>49.8230973442269</v>
      </c>
      <c r="HW33" s="1115" t="n">
        <v>4858088.57348738</v>
      </c>
      <c r="HX33" s="1171" t="n">
        <v>0</v>
      </c>
      <c r="HY33" s="1143" t="e">
        <f aca="false">HT33+HW33+HX33</f>
        <v>#VALUE!</v>
      </c>
      <c r="HZ33" s="1150" t="n">
        <v>2364427.91208527</v>
      </c>
      <c r="IA33" s="1142" t="n">
        <v>-3.73158161593293</v>
      </c>
      <c r="IB33" s="1141" t="n">
        <v>-8823055.72893605</v>
      </c>
      <c r="IC33" s="1151" t="n">
        <v>301047.15555</v>
      </c>
      <c r="ID33" s="1142" t="e">
        <f aca="false">IF(IE33=0,0,IE33/IC33)</f>
        <v>#VALUE!</v>
      </c>
      <c r="IE33" s="1141" t="e">
        <f aca="false">-SUMIF($D$17:$D$292,HQ33,$GM$17:$GM$292)</f>
        <v>#VALUE!</v>
      </c>
      <c r="IF33" s="1115" t="n">
        <f aca="false">SUMIF($D$17:$D$292,HQ33,$GN$17:$GN$292)</f>
        <v>130545.1035</v>
      </c>
      <c r="IG33" s="1142" t="n">
        <f aca="false">IF(IH33=0,0,IH33/IF33)</f>
        <v>-2.76899939909519</v>
      </c>
      <c r="IH33" s="1141" t="n">
        <v>-361479.313146319</v>
      </c>
      <c r="II33" s="1115" t="e">
        <f aca="false">SUMIF($D$17:$D$292,HQ33,$HN$17:$HN$292)</f>
        <v>#VALUE!</v>
      </c>
      <c r="IJ33" s="1142" t="e">
        <f aca="false">IF(IK33=0,0,IK33/II33)</f>
        <v>#VALUE!</v>
      </c>
      <c r="IK33" s="1115" t="e">
        <f aca="false">-SUMIF($D$17:$D$292,HQ33,$HP$17:$HP$292)</f>
        <v>#VALUE!</v>
      </c>
      <c r="IL33" s="1152" t="e">
        <f aca="false">HY33+IB33+IE33+IH33</f>
        <v>#VALUE!</v>
      </c>
      <c r="IN33" s="222"/>
      <c r="IO33" s="162"/>
      <c r="IR33" s="844"/>
    </row>
    <row r="34" customFormat="false" ht="13.5" hidden="false" customHeight="false" outlineLevel="0" collapsed="false">
      <c r="A34" s="0" t="str">
        <f aca="false">+D34&amp;"Q"&amp;ROUNDUP(E34/3,0)</f>
        <v>2001Q2</v>
      </c>
      <c r="B34" s="0" t="n">
        <f aca="false">YEAR(C34)</f>
        <v>2001</v>
      </c>
      <c r="C34" s="1153" t="n">
        <f aca="false">EOMONTH(C33,0)+1</f>
        <v>37043</v>
      </c>
      <c r="D34" s="841" t="n">
        <f aca="false">+YEAR(C34)</f>
        <v>2001</v>
      </c>
      <c r="E34" s="807" t="n">
        <f aca="false">MONTH(C34)</f>
        <v>6</v>
      </c>
      <c r="F34" s="1154" t="e">
        <f aca="false">IF(G34="","",Holiday(D34,E34))</f>
        <v>#VALUE!</v>
      </c>
      <c r="G34" s="1155" t="n">
        <v>37043</v>
      </c>
      <c r="H34" s="1156" t="n">
        <v>37072</v>
      </c>
      <c r="I34" s="1157" t="n">
        <f aca="false">I33</f>
        <v>0.0715</v>
      </c>
      <c r="J34" s="1158" t="n">
        <f aca="false">(1+I34/2)^(-2*(DATE(D35,E35,20)-$H$7)/365.25)</f>
        <v>0.89392509600478</v>
      </c>
      <c r="K34" s="1159" t="e">
        <f aca="false">IF(#REF!=1,+#REF!,I34+#REF!/10000)</f>
        <v>#REF!</v>
      </c>
      <c r="L34" s="1158" t="e">
        <f aca="false">(1+K34/2)^(-2*(DATE(D35,E35,20)-$H$7)/365.25)</f>
        <v>#REF!</v>
      </c>
      <c r="M34" s="1082" t="n">
        <v>0</v>
      </c>
      <c r="N34" s="1110" t="n">
        <f aca="false">M34</f>
        <v>0</v>
      </c>
      <c r="O34" s="1174" t="n">
        <f aca="false">N34</f>
        <v>0</v>
      </c>
      <c r="P34" s="1175" t="n">
        <f aca="false">M34</f>
        <v>0</v>
      </c>
      <c r="Q34" s="1110" t="n">
        <f aca="false">P34</f>
        <v>0</v>
      </c>
      <c r="R34" s="1174" t="n">
        <f aca="false">Q34</f>
        <v>0</v>
      </c>
      <c r="S34" s="1110" t="n">
        <f aca="false">R34</f>
        <v>0</v>
      </c>
      <c r="T34" s="1110" t="n">
        <f aca="false">S34</f>
        <v>0</v>
      </c>
      <c r="U34" s="1110" t="n">
        <f aca="false">T34</f>
        <v>0</v>
      </c>
      <c r="V34" s="1175" t="n">
        <f aca="false">U34</f>
        <v>0</v>
      </c>
      <c r="W34" s="1110" t="n">
        <f aca="false">V34</f>
        <v>0</v>
      </c>
      <c r="X34" s="1176" t="n">
        <f aca="false">W34</f>
        <v>0</v>
      </c>
      <c r="Y34" s="1086" t="n">
        <v>0</v>
      </c>
      <c r="Z34" s="1086" t="n">
        <v>0</v>
      </c>
      <c r="AA34" s="1087" t="n">
        <v>0</v>
      </c>
      <c r="AB34" s="1086" t="n">
        <v>0</v>
      </c>
      <c r="AC34" s="1086" t="n">
        <v>0</v>
      </c>
      <c r="AD34" s="1087" t="n">
        <v>0</v>
      </c>
      <c r="AE34" s="1086" t="n">
        <v>0</v>
      </c>
      <c r="AF34" s="1086" t="n">
        <v>0</v>
      </c>
      <c r="AG34" s="1087" t="n">
        <v>0</v>
      </c>
      <c r="AH34" s="1086" t="n">
        <v>0</v>
      </c>
      <c r="AI34" s="1086" t="n">
        <v>0</v>
      </c>
      <c r="AJ34" s="1087" t="n">
        <v>0</v>
      </c>
      <c r="AK34" s="1086" t="n">
        <v>0</v>
      </c>
      <c r="AL34" s="1086" t="n">
        <v>0</v>
      </c>
      <c r="AM34" s="1087" t="n">
        <v>0</v>
      </c>
      <c r="AN34" s="1086" t="n">
        <v>0</v>
      </c>
      <c r="AO34" s="1086" t="n">
        <v>0</v>
      </c>
      <c r="AP34" s="1087" t="n">
        <v>0</v>
      </c>
      <c r="AQ34" s="1086" t="n">
        <v>0</v>
      </c>
      <c r="AR34" s="1086" t="n">
        <v>0</v>
      </c>
      <c r="AS34" s="1087" t="n">
        <v>0</v>
      </c>
      <c r="AT34" s="1086" t="n">
        <v>0</v>
      </c>
      <c r="AU34" s="1086" t="n">
        <v>0</v>
      </c>
      <c r="AV34" s="1086" t="n">
        <v>0</v>
      </c>
      <c r="AW34" s="1172" t="n">
        <v>0</v>
      </c>
      <c r="AX34" s="807" t="n">
        <f aca="false">BB34-SUM(AY34:BA34)</f>
        <v>21</v>
      </c>
      <c r="AY34" s="807" t="n">
        <f aca="false">IF(AND($E34=MONTH(Summary!$E$24),$D34=YEAR(Summary!$E$24)),Summary!$E$25,1)*IF(G34="",0,INT((H34-MOD(H34,7)-G34)/7)+1-IF(BA34,IF(WEEKDAY(F34)=7,1,0),0))</f>
        <v>5</v>
      </c>
      <c r="AZ34" s="807" t="n">
        <f aca="false">IF(AND($E34=MONTH(Summary!$E$24),$D34=YEAR(Summary!$E$24)),Summary!$E$25,1)*IF(G34="",0,INT((H34-MOD(H34-1,7)-G34)/7)+1-IF(BA34,IF(WEEKDAY(F34)=1,1,0),0))</f>
        <v>4</v>
      </c>
      <c r="BA34" s="807" t="n">
        <v>0</v>
      </c>
      <c r="BB34" s="807" t="n">
        <f aca="false">IF(AND($E34=MONTH(Summary!$E$24),$D34=YEAR(Summary!$E$24)),Summary!$E$25,1)*IF(G34="",0,H34-G34+1)</f>
        <v>30</v>
      </c>
      <c r="BC34" s="1089" t="n">
        <f aca="false">Summary!$E$19</f>
        <v>0.015</v>
      </c>
      <c r="BD34" s="1090" t="n">
        <v>14893.2</v>
      </c>
      <c r="BE34" s="1091" t="n">
        <v>3546</v>
      </c>
      <c r="BF34" s="1091" t="n">
        <v>2836.8</v>
      </c>
      <c r="BG34" s="842"/>
      <c r="BH34" s="1092" t="n">
        <v>1</v>
      </c>
      <c r="BI34" s="1092" t="n">
        <v>1</v>
      </c>
      <c r="BJ34" s="1092" t="n">
        <v>1</v>
      </c>
      <c r="BK34" s="1092" t="n">
        <v>1</v>
      </c>
      <c r="BL34" s="1093" t="n">
        <v>2978.64</v>
      </c>
      <c r="BM34" s="1091" t="n">
        <v>709.2</v>
      </c>
      <c r="BN34" s="1091" t="n">
        <v>567.36</v>
      </c>
      <c r="BO34" s="842"/>
      <c r="BP34" s="1092" t="n">
        <v>1</v>
      </c>
      <c r="BQ34" s="1094" t="n">
        <v>1</v>
      </c>
      <c r="BR34" s="1094" t="n">
        <v>1</v>
      </c>
      <c r="BS34" s="1095" t="n">
        <v>1</v>
      </c>
      <c r="BT34" s="1093" t="n">
        <f aca="false">SUM(BD34:BF34)</f>
        <v>21276</v>
      </c>
      <c r="BU34" s="1098" t="n">
        <f aca="false">SUM(BD34:BG34)</f>
        <v>21276</v>
      </c>
      <c r="BV34" s="1090" t="n">
        <f aca="false">SUM(BL34:BN34)</f>
        <v>4255.2</v>
      </c>
      <c r="BW34" s="1098" t="n">
        <f aca="false">SUM(BL34:BO34)</f>
        <v>4255.2</v>
      </c>
      <c r="BX34" s="852" t="n">
        <v>1.46201232032854</v>
      </c>
      <c r="BY34" s="1099" t="n">
        <v>0</v>
      </c>
      <c r="BZ34" s="852" t="n">
        <v>0</v>
      </c>
      <c r="CA34" s="852" t="n">
        <v>0</v>
      </c>
      <c r="CB34" s="852" t="n">
        <v>0</v>
      </c>
      <c r="CC34" s="852" t="n">
        <v>0</v>
      </c>
      <c r="CD34" s="852" t="n">
        <v>0</v>
      </c>
      <c r="CE34" s="1100" t="n">
        <v>0</v>
      </c>
      <c r="CF34" s="852" t="n">
        <v>0</v>
      </c>
      <c r="CG34" s="852" t="n">
        <v>0</v>
      </c>
      <c r="CH34" s="852" t="n">
        <v>0</v>
      </c>
      <c r="CI34" s="852" t="n">
        <v>0</v>
      </c>
      <c r="CJ34" s="1101" t="n">
        <v>0</v>
      </c>
      <c r="CK34" s="852" t="n">
        <v>0</v>
      </c>
      <c r="CL34" s="852" t="n">
        <v>0</v>
      </c>
      <c r="CM34" s="852" t="n">
        <v>0</v>
      </c>
      <c r="CN34" s="852" t="n">
        <v>0</v>
      </c>
      <c r="CO34" s="852" t="n">
        <v>0</v>
      </c>
      <c r="CP34" s="852" t="n">
        <v>0</v>
      </c>
      <c r="CQ34" s="1102" t="n">
        <v>0</v>
      </c>
      <c r="CR34" s="1103" t="n">
        <v>0</v>
      </c>
      <c r="CS34" s="1103" t="n">
        <v>0</v>
      </c>
      <c r="CT34" s="1103" t="n">
        <v>0</v>
      </c>
      <c r="CU34" s="1103" t="n">
        <v>0</v>
      </c>
      <c r="CV34" s="1103" t="n">
        <v>0</v>
      </c>
      <c r="CW34" s="1103" t="n">
        <v>0</v>
      </c>
      <c r="CX34" s="1104" t="n">
        <v>0</v>
      </c>
      <c r="CY34" s="1105" t="n">
        <v>7703.0864</v>
      </c>
      <c r="CZ34" s="1099" t="n">
        <v>0</v>
      </c>
      <c r="DA34" s="852" t="n">
        <v>0</v>
      </c>
      <c r="DB34" s="852" t="n">
        <v>0</v>
      </c>
      <c r="DC34" s="852" t="n">
        <v>0</v>
      </c>
      <c r="DD34" s="852" t="n">
        <v>0</v>
      </c>
      <c r="DE34" s="1113" t="n">
        <v>0</v>
      </c>
      <c r="DF34" s="1109" t="n">
        <v>0</v>
      </c>
      <c r="DG34" s="1110" t="n">
        <v>0</v>
      </c>
      <c r="DH34" s="1111" t="n">
        <v>0</v>
      </c>
      <c r="DI34" s="1112" t="n">
        <v>0</v>
      </c>
      <c r="DJ34" s="1112" t="n">
        <v>0</v>
      </c>
      <c r="DK34" s="1112" t="n">
        <v>0</v>
      </c>
      <c r="DL34" s="1113" t="n">
        <v>0</v>
      </c>
      <c r="DM34" s="1114" t="n">
        <v>0</v>
      </c>
      <c r="DN34" s="1114" t="n">
        <v>0</v>
      </c>
      <c r="DO34" s="1114" t="n">
        <v>0</v>
      </c>
      <c r="DP34" s="1114" t="n">
        <v>0</v>
      </c>
      <c r="DQ34" s="1114" t="n">
        <v>0</v>
      </c>
      <c r="DR34" s="1109" t="n">
        <v>0</v>
      </c>
      <c r="DS34" s="852" t="n">
        <v>0</v>
      </c>
      <c r="DT34" s="852" t="n">
        <v>0</v>
      </c>
      <c r="DU34" s="852" t="n">
        <v>0</v>
      </c>
      <c r="DV34" s="852" t="n">
        <v>0</v>
      </c>
      <c r="DW34" s="852" t="n">
        <v>0</v>
      </c>
      <c r="DX34" s="852" t="n">
        <v>0</v>
      </c>
      <c r="DY34" s="852" t="n">
        <v>0</v>
      </c>
      <c r="DZ34" s="852" t="n">
        <v>0</v>
      </c>
      <c r="EA34" s="852" t="n">
        <v>0</v>
      </c>
      <c r="EB34" s="1113" t="n">
        <v>0</v>
      </c>
      <c r="EC34" s="1115" t="n">
        <f aca="false">DS34*BD34</f>
        <v>0</v>
      </c>
      <c r="ED34" s="1115" t="n">
        <f aca="false">DT34*BE34</f>
        <v>0</v>
      </c>
      <c r="EE34" s="1115" t="n">
        <f aca="false">DU34*BF34</f>
        <v>0</v>
      </c>
      <c r="EF34" s="1115" t="n">
        <f aca="false">DV34*BG34</f>
        <v>0</v>
      </c>
      <c r="EG34" s="1115" t="n">
        <f aca="false">DS34*BD34+DT34*BE34+DU34*BF34+DV34*BG34</f>
        <v>0</v>
      </c>
      <c r="EH34" s="1116" t="n">
        <v>0</v>
      </c>
      <c r="EI34" s="1117" t="n">
        <v>0</v>
      </c>
      <c r="EJ34" s="1117" t="n">
        <v>0</v>
      </c>
      <c r="EK34" s="1117" t="n">
        <v>0</v>
      </c>
      <c r="EL34" s="1118" t="n">
        <f aca="false">IF(C34&gt;=Summary!$E$26,MAX(0,SUM(EH34:EK34)),0)</f>
        <v>0</v>
      </c>
      <c r="EM34" s="1115" t="n">
        <f aca="false">IF(C34&gt;=Summary!$E$26,DX34*BL34,0)</f>
        <v>0</v>
      </c>
      <c r="EN34" s="1115" t="n">
        <f aca="false">IF(C34&gt;=Summary!$E$26,DY34*BM34,0)</f>
        <v>0</v>
      </c>
      <c r="EO34" s="1115" t="n">
        <f aca="false">IF(C34&gt;=Summary!$E$26,DZ34*BN34,0)</f>
        <v>0</v>
      </c>
      <c r="EP34" s="1115" t="n">
        <f aca="false">IF(C34&gt;=Summary!$E$26,EA34*BO34,0)</f>
        <v>0</v>
      </c>
      <c r="EQ34" s="1115" t="n">
        <f aca="false">IF(C34&gt;=Summary!$E$26,DX34*BL34+DY34*BM34+DZ34*BN34+EA34*BO34,0)</f>
        <v>0</v>
      </c>
      <c r="ER34" s="1119" t="n">
        <v>0</v>
      </c>
      <c r="ES34" s="1120" t="n">
        <v>0</v>
      </c>
      <c r="ET34" s="1120" t="n">
        <v>0</v>
      </c>
      <c r="EU34" s="1120" t="n">
        <v>0</v>
      </c>
      <c r="EV34" s="1143" t="n">
        <f aca="false">IF(C34&gt;=Summary!$E$26,MAX(0,SUM(ER34:EU34)),0)</f>
        <v>0</v>
      </c>
      <c r="EW34" s="1115"/>
      <c r="EX34" s="1165" t="n">
        <f aca="false">(EQ34-EV34)+IF(EZ34="Yes",(EG34-EL34),0)</f>
        <v>0</v>
      </c>
      <c r="EY34" s="1166" t="str">
        <f aca="false">IF(EX34,EX34/EQ34,"")</f>
        <v/>
      </c>
      <c r="EZ34" s="1122" t="s">
        <v>37</v>
      </c>
      <c r="FA34" s="1096" t="n">
        <f aca="false">FA33</f>
        <v>45</v>
      </c>
      <c r="FB34" s="1167" t="n">
        <f aca="false">IF(EZ34="No",IF((OR(MONTH(C34)=5,MONTH(C34)=6,MONTH(C34)=7,MONTH(C34)=8,MONTH(C34)=9)),$FA34*12*AX34*(1-$BC34),$FA34*10*AX34*(1-$BC34)),0)</f>
        <v>11169.9</v>
      </c>
      <c r="FC34" s="1129" t="n">
        <f aca="false">IF(EZ34="No",IF((OR(MONTH(C34)=5,MONTH(C34)=6,MONTH(C34)=7,MONTH(C34)=8,MONTH(C34)=9)),0,$FA34*3*AX34*(1-$BC34)),0)</f>
        <v>0</v>
      </c>
      <c r="FD34" s="1129" t="n">
        <f aca="false">IF(EZ34="No",IF((OR(MONTH(C34)=5,MONTH(C34)=6,MONTH(C34)=7,MONTH(C34)=8,MONTH(C34)=9)),$FA34*12*AY34*(1-$BC34),$FA34*10*AY34*(1-$BC34)),0)</f>
        <v>2659.5</v>
      </c>
      <c r="FE34" s="1129" t="n">
        <f aca="false">IF(EZ34="No",IF((OR(MONTH(C34)=5,MONTH(C34)=6,MONTH(C34)=7,MONTH(C34)=8,MONTH(C34)=9)),0,$FA34*3*AY34*(1-$BC34)),0)</f>
        <v>0</v>
      </c>
      <c r="FF34" s="1129" t="n">
        <f aca="false">IF(EZ34="No",IF((OR(MONTH(C34)=5,MONTH(C34)=6,MONTH(C34)=7,MONTH(C34)=8,MONTH(C34)=9)),$FA34*12*(AZ34+BA34)*(1-$BC34),$FA34*10*(AZ34+BA34)*(1-$BC34)),0)</f>
        <v>2127.6</v>
      </c>
      <c r="FG34" s="1129" t="n">
        <f aca="false">IF(EZ34="No",IF((OR(MONTH(C34)=5,MONTH(C34)=6,MONTH(C34)=7,MONTH(C34)=8,MONTH(C34)=9)),0,$FA34*3*(AZ34+BA34)*(1-$BC34)),0)</f>
        <v>0</v>
      </c>
      <c r="FH34" s="1170" t="n">
        <f aca="false">IF(EZ34="No",IF((OR(MONTH(C34)=5,MONTH(C34)=6,MONTH(C34)=7,MONTH(C34)=8,MONTH(C34)=9)),Summary!$O$15*12*(AX34+AY34+AZ34+BA34)*(1-$BC34),Summary!$O$15*13*(AX34+AY34+AZ34+BA34)*(1-$BC34)+IF(Summary!$O$16="Yes",(CALC!FA34+Summary!$O$15)*6*(AX34+AY34+AZ34+BA34)*(1-$BC34),0)),0)</f>
        <v>0</v>
      </c>
      <c r="FI34" s="1126" t="n">
        <f aca="false">IF(MONTH(C34)=5,FI33*(IF(Summary!$E$70="no",(1+(Summary!$E$71*0.8)),1+HLOOKUP(YEAR(C34)-1,CCFMODEL!$I$127:$AF$128,2)*0.8)),+FI33)</f>
        <v>27.8948213722628</v>
      </c>
      <c r="FJ34" s="1127" t="n">
        <f aca="false">IF(MONTH(C34)=5,FJ33*(IF(Summary!$E$70="no",(1+(Summary!$E$71*0.8)),1+HLOOKUP(YEAR(CALC!C34)-1,CCFMODEL!$I$127:$AF$128,2)*0.8)),FJ33)</f>
        <v>24.3805131678832</v>
      </c>
      <c r="FK34" s="1128" t="n">
        <f aca="false">SUM(FB34:FG34)*FI34+FH34*FJ34</f>
        <v>445117.664637197</v>
      </c>
      <c r="FL34" s="1126" t="n">
        <f aca="false">IF(MONTH(C34)=5,FL33*(IF(Summary!$E$70="no",(1+(Summary!$E$71*0.8)),1+HLOOKUP(YEAR(CALC!C34)-1,CCFMODEL!$I$127:$AF$128,2)*0.8)),+FL33)</f>
        <v>58.6659366618005</v>
      </c>
      <c r="FM34" s="1127" t="n">
        <f aca="false">IF(MONTH(C34)=5,FM33*(IF(Summary!$E$70="no",(1+(Summary!$E$71*0.8)),1+HLOOKUP(YEAR(CALC!C34)-1,CCFMODEL!$I$127:$AF$128,2)*0.8)),+FM33)</f>
        <v>27.9994138783455</v>
      </c>
      <c r="FN34" s="1128" t="n">
        <f aca="false">IF((OR(MONTH(C34)=5,MONTH(C34)=6,MONTH(C34)=7,MONTH(C34)=8,MONTH(C34)=9)),SUM(FB34:FG34)/(1-BC34)*FL34,SUM(FB34:FG34)/(1-BC34)*FM34)</f>
        <v>950388.173921168</v>
      </c>
      <c r="FO34" s="1129" t="n">
        <f aca="false">FK34+FN34</f>
        <v>1395505.83855837</v>
      </c>
      <c r="FP34" s="1169" t="n">
        <f aca="false">FB34</f>
        <v>11169.9</v>
      </c>
      <c r="FQ34" s="1129" t="n">
        <f aca="false">FC34</f>
        <v>0</v>
      </c>
      <c r="FR34" s="1129" t="n">
        <f aca="false">FD34</f>
        <v>2659.5</v>
      </c>
      <c r="FS34" s="1129" t="n">
        <f aca="false">FE34</f>
        <v>0</v>
      </c>
      <c r="FT34" s="1129" t="n">
        <f aca="false">FF34</f>
        <v>2127.6</v>
      </c>
      <c r="FU34" s="1129" t="n">
        <f aca="false">FG34</f>
        <v>0</v>
      </c>
      <c r="FV34" s="1170" t="n">
        <f aca="false">FH34</f>
        <v>0</v>
      </c>
      <c r="FW34" s="1115" t="n">
        <f aca="false">IF(ER34&gt;0,MIN(FB34-FP34,BL34),0)</f>
        <v>0</v>
      </c>
      <c r="FX34" s="1115" t="n">
        <f aca="false">IF(ES34&gt;0,MIN(FD34-FR34,BM34),0)</f>
        <v>0</v>
      </c>
      <c r="FY34" s="1115" t="n">
        <f aca="false">IF(ET34&gt;0,MIN(FF34-FT34,BN34),0)</f>
        <v>0</v>
      </c>
      <c r="FZ34" s="1143" t="n">
        <f aca="false">IF(EU34&gt;0,MIN(FH34-FV34,BO34),0)</f>
        <v>0</v>
      </c>
      <c r="GA34" s="1132" t="n">
        <f aca="false">(SUM(FP34:FV34)+SUM(GU34:HB34)/(1-Summary!$O$25))*CY34/1000</f>
        <v>196669.03949568</v>
      </c>
      <c r="GB34" s="1133" t="n">
        <f aca="false">IF($C34&lt;Summary!$M$81,+Summary!$O$81,VLOOKUP(C34,GasTable,19))</f>
        <v>2.4</v>
      </c>
      <c r="GC34" s="1134" t="n">
        <f aca="false">IF(H34&lt;=Summary!$N$84,MIN(GA34,Summary!$O$75*(H34-G34+1)),0)</f>
        <v>150000</v>
      </c>
      <c r="GD34" s="1135" t="n">
        <f aca="false">IF(Summary!$O$75*(H34-G34+1)*0.8&gt;GC34,1,0)</f>
        <v>0</v>
      </c>
      <c r="GE34" s="1136" t="n">
        <v>0</v>
      </c>
      <c r="GF34" s="1134" t="n">
        <f aca="false">ABS(MIN(0,GC34-$GA34))</f>
        <v>46669.03949568</v>
      </c>
      <c r="GG34" s="1135" t="n">
        <f aca="false">GF34*(IF(Summary!$O$74=1,VLOOKUP($C34,GasTable,16)+Summary!$O$92+Summary!$O$93,VLOOKUP($C34,GasTable,19)+Summary!$O$92+Summary!$O$93))</f>
        <v>130377.094741328</v>
      </c>
      <c r="GH34" s="1137" t="n">
        <v>21084</v>
      </c>
      <c r="GI34" s="1138" t="n">
        <v>0</v>
      </c>
      <c r="GJ34" s="1139" t="n">
        <f aca="false">+GB34*GC34+GE34+GG34+GH34-GI34</f>
        <v>511461.094741328</v>
      </c>
      <c r="GK34" s="1115" t="n">
        <f aca="false">SUM(FP34:FV34,GU34:GX34,GY34:HB34)</f>
        <v>25196.103</v>
      </c>
      <c r="GL34" s="1140" t="n">
        <v>0.75644308448</v>
      </c>
      <c r="GM34" s="1141" t="n">
        <f aca="false">IF(GK34&gt;GC34/(CY34/1000),GC34/(CY34/1000),+GK34)*GL34</f>
        <v>14730</v>
      </c>
      <c r="GN34" s="1115" t="n">
        <f aca="false">IF(SUM(GU34:HB34)=0,0,IF(Summary!$O$16="Yes",SUM(GX34:HB34),IF(Summary!$O$17="Yes",SUM(GY34:HB34),SUM(GU34:HB34))))</f>
        <v>9239.103</v>
      </c>
      <c r="GO34" s="1142" t="n">
        <v>5.71879306569343</v>
      </c>
      <c r="GP34" s="1143" t="n">
        <f aca="false">GN34*GO34</f>
        <v>52836.5181696274</v>
      </c>
      <c r="GQ34" s="1115"/>
      <c r="GR34" s="1115"/>
      <c r="GS34" s="1115"/>
      <c r="GT34" s="1115"/>
      <c r="GU34" s="1150" t="n">
        <v>3592.9845</v>
      </c>
      <c r="GV34" s="1115" t="n">
        <v>855.4725</v>
      </c>
      <c r="GW34" s="1115" t="n">
        <v>684.378</v>
      </c>
      <c r="GX34" s="1115"/>
      <c r="GY34" s="1151" t="n">
        <v>2874.3876</v>
      </c>
      <c r="GZ34" s="1115" t="n">
        <v>684.378</v>
      </c>
      <c r="HA34" s="1115" t="n">
        <v>547.5024</v>
      </c>
      <c r="HB34" s="1141"/>
      <c r="HC34" s="1115" t="n">
        <v>9239.103</v>
      </c>
      <c r="HD34" s="1115"/>
      <c r="HE34" s="1115" t="n">
        <v>21557.907</v>
      </c>
      <c r="HF34" s="1115" t="n">
        <v>280617.043040136</v>
      </c>
      <c r="HG34" s="1115"/>
      <c r="HH34" s="1142" t="n">
        <v>31.4210269786105</v>
      </c>
      <c r="HI34" s="1115" t="n">
        <v>677371.577449377</v>
      </c>
      <c r="HJ34" s="1150" t="n">
        <f aca="false">MAX(FB34-FP34-FW34,0)</f>
        <v>0</v>
      </c>
      <c r="HK34" s="1115" t="n">
        <f aca="false">MAX(FD34-FR34-FX34,0)</f>
        <v>0</v>
      </c>
      <c r="HL34" s="1115" t="n">
        <f aca="false">MAX(FF34-FT34-FY34,0)</f>
        <v>0</v>
      </c>
      <c r="HM34" s="1141" t="n">
        <f aca="false">MAX(FH34-FV34-FZ34,0)</f>
        <v>0</v>
      </c>
      <c r="HN34" s="1115" t="n">
        <f aca="false">SUM(HJ34:HM34)</f>
        <v>0</v>
      </c>
      <c r="HO34" s="1142" t="n">
        <f aca="false">IF(ISERROR(+HP34/HN34),0,+HP34/HN34)</f>
        <v>0</v>
      </c>
      <c r="HP34" s="1143" t="n">
        <f aca="false">(HJ34*CE34+HK34*CF34+HL34*CG34+HM34*CH34)</f>
        <v>0</v>
      </c>
      <c r="HQ34" s="1146" t="n">
        <v>2016</v>
      </c>
      <c r="HR34" s="1150" t="e">
        <f aca="false">SUMIF($D$17:$D$292,HQ34,$FB$17:$FB$292)+SUMIF($D$17:$D$292,HQ34,$FC$17:$FC$292)+SUMIF($D$17:$D$292,HQ34,$FD$17:$FD$292)+SUMIF($D$17:$D$292,HQ34,$FE$17:$FE$292)+SUMIF($D$17:$D$292,HQ34,$FF$17:$FF$292)+SUMIF($D$17:$D$292,HQ34,$FG$17:$FG$292)+SUMIF($D$17:$D$292,HQ34,$FH$17:$FH$292)</f>
        <v>#VALUE!</v>
      </c>
      <c r="HS34" s="1110" t="e">
        <f aca="false">IF(HT34=0,0,HT34/HR34)</f>
        <v>#VALUE!</v>
      </c>
      <c r="HT34" s="1141" t="e">
        <f aca="false">SUMIF($D$17:$D$292,HQ34,$FO$17:$FO$292)</f>
        <v>#VALUE!</v>
      </c>
      <c r="HU34" s="1151" t="n">
        <v>97250.1138</v>
      </c>
      <c r="HV34" s="1142" t="n">
        <v>50.9958201408396</v>
      </c>
      <c r="HW34" s="1115" t="n">
        <v>4959349.31202099</v>
      </c>
      <c r="HX34" s="1171" t="n">
        <v>0</v>
      </c>
      <c r="HY34" s="1143" t="e">
        <f aca="false">HT34+HW34+HX34</f>
        <v>#VALUE!</v>
      </c>
      <c r="HZ34" s="1150" t="n">
        <v>2340738.57320816</v>
      </c>
      <c r="IA34" s="1142" t="n">
        <v>-3.79860028670532</v>
      </c>
      <c r="IB34" s="1141" t="n">
        <v>-8891530.21529074</v>
      </c>
      <c r="IC34" s="1151" t="n">
        <v>301366.7388</v>
      </c>
      <c r="ID34" s="1142" t="e">
        <f aca="false">IF(IE34=0,0,IE34/IC34)</f>
        <v>#VALUE!</v>
      </c>
      <c r="IE34" s="1141" t="e">
        <f aca="false">-SUMIF($D$17:$D$292,HQ34,$GM$17:$GM$292)</f>
        <v>#VALUE!</v>
      </c>
      <c r="IF34" s="1115" t="n">
        <f aca="false">SUMIF($D$17:$D$292,HQ34,$GN$17:$GN$292)</f>
        <v>130938.62085</v>
      </c>
      <c r="IG34" s="1142" t="n">
        <f aca="false">IF(IH34=0,0,IH34/IF34)</f>
        <v>-2.83601369110537</v>
      </c>
      <c r="IH34" s="1141" t="n">
        <v>-371343.721425055</v>
      </c>
      <c r="II34" s="1115" t="e">
        <f aca="false">SUMIF($D$17:$D$292,HQ34,$HN$17:$HN$292)</f>
        <v>#VALUE!</v>
      </c>
      <c r="IJ34" s="1142" t="e">
        <f aca="false">IF(IK34=0,0,IK34/II34)</f>
        <v>#VALUE!</v>
      </c>
      <c r="IK34" s="1115" t="e">
        <f aca="false">-SUMIF($D$17:$D$292,HQ34,$HP$17:$HP$292)</f>
        <v>#VALUE!</v>
      </c>
      <c r="IL34" s="1152" t="e">
        <f aca="false">HY34+IB34+IE34+IH34</f>
        <v>#VALUE!</v>
      </c>
      <c r="IN34" s="222"/>
      <c r="IO34" s="162"/>
      <c r="IR34" s="844"/>
    </row>
    <row r="35" customFormat="false" ht="13.5" hidden="false" customHeight="false" outlineLevel="0" collapsed="false">
      <c r="A35" s="0" t="str">
        <f aca="false">+D35&amp;"Q"&amp;ROUNDUP(E35/3,0)</f>
        <v>2001Q3</v>
      </c>
      <c r="B35" s="0" t="n">
        <f aca="false">YEAR(C35)</f>
        <v>2001</v>
      </c>
      <c r="C35" s="1153" t="n">
        <f aca="false">EOMONTH(C34,0)+1</f>
        <v>37073</v>
      </c>
      <c r="D35" s="841" t="n">
        <f aca="false">+YEAR(C35)</f>
        <v>2001</v>
      </c>
      <c r="E35" s="807" t="n">
        <f aca="false">MONTH(C35)</f>
        <v>7</v>
      </c>
      <c r="F35" s="1154" t="e">
        <f aca="false">IF(G35="","",Holiday(D35,E35))</f>
        <v>#VALUE!</v>
      </c>
      <c r="G35" s="1155" t="n">
        <v>37073</v>
      </c>
      <c r="H35" s="1156" t="n">
        <v>37103</v>
      </c>
      <c r="I35" s="1157" t="n">
        <f aca="false">I34</f>
        <v>0.0715</v>
      </c>
      <c r="J35" s="1158" t="n">
        <f aca="false">(1+I35/2)^(-2*(DATE(D36,E36,20)-$H$7)/365.25)</f>
        <v>0.888610934510281</v>
      </c>
      <c r="K35" s="1159" t="e">
        <f aca="false">IF(#REF!=1,+#REF!,I35+#REF!/10000)</f>
        <v>#REF!</v>
      </c>
      <c r="L35" s="1158" t="e">
        <f aca="false">(1+K35/2)^(-2*(DATE(D36,E36,20)-$H$7)/365.25)</f>
        <v>#REF!</v>
      </c>
      <c r="M35" s="1082" t="n">
        <v>0</v>
      </c>
      <c r="N35" s="1110" t="n">
        <f aca="false">M35</f>
        <v>0</v>
      </c>
      <c r="O35" s="1174" t="n">
        <f aca="false">N35</f>
        <v>0</v>
      </c>
      <c r="P35" s="1175" t="n">
        <f aca="false">M35</f>
        <v>0</v>
      </c>
      <c r="Q35" s="1110" t="n">
        <f aca="false">P35</f>
        <v>0</v>
      </c>
      <c r="R35" s="1174" t="n">
        <f aca="false">Q35</f>
        <v>0</v>
      </c>
      <c r="S35" s="1110" t="n">
        <f aca="false">R35</f>
        <v>0</v>
      </c>
      <c r="T35" s="1110" t="n">
        <f aca="false">S35</f>
        <v>0</v>
      </c>
      <c r="U35" s="1110" t="n">
        <f aca="false">T35</f>
        <v>0</v>
      </c>
      <c r="V35" s="1175" t="n">
        <f aca="false">U35</f>
        <v>0</v>
      </c>
      <c r="W35" s="1110" t="n">
        <f aca="false">V35</f>
        <v>0</v>
      </c>
      <c r="X35" s="1176" t="n">
        <f aca="false">W35</f>
        <v>0</v>
      </c>
      <c r="Y35" s="1086" t="n">
        <v>0</v>
      </c>
      <c r="Z35" s="1086" t="n">
        <v>0</v>
      </c>
      <c r="AA35" s="1087" t="n">
        <v>0</v>
      </c>
      <c r="AB35" s="1086" t="n">
        <v>0</v>
      </c>
      <c r="AC35" s="1086" t="n">
        <v>0</v>
      </c>
      <c r="AD35" s="1087" t="n">
        <v>0</v>
      </c>
      <c r="AE35" s="1086" t="n">
        <v>0</v>
      </c>
      <c r="AF35" s="1086" t="n">
        <v>0</v>
      </c>
      <c r="AG35" s="1087" t="n">
        <v>0</v>
      </c>
      <c r="AH35" s="1086" t="n">
        <v>0</v>
      </c>
      <c r="AI35" s="1086" t="n">
        <v>0</v>
      </c>
      <c r="AJ35" s="1087" t="n">
        <v>0</v>
      </c>
      <c r="AK35" s="1086" t="n">
        <v>0</v>
      </c>
      <c r="AL35" s="1086" t="n">
        <v>0</v>
      </c>
      <c r="AM35" s="1087" t="n">
        <v>0</v>
      </c>
      <c r="AN35" s="1086" t="n">
        <v>0</v>
      </c>
      <c r="AO35" s="1086" t="n">
        <v>0</v>
      </c>
      <c r="AP35" s="1087" t="n">
        <v>0</v>
      </c>
      <c r="AQ35" s="1086" t="n">
        <v>0</v>
      </c>
      <c r="AR35" s="1086" t="n">
        <v>0</v>
      </c>
      <c r="AS35" s="1087" t="n">
        <v>0</v>
      </c>
      <c r="AT35" s="1086" t="n">
        <v>0</v>
      </c>
      <c r="AU35" s="1086" t="n">
        <v>0</v>
      </c>
      <c r="AV35" s="1086" t="n">
        <v>0</v>
      </c>
      <c r="AW35" s="1172" t="n">
        <v>0</v>
      </c>
      <c r="AX35" s="807" t="e">
        <f aca="false">BB35-SUM(AY35:BA35)</f>
        <v>#VALUE!</v>
      </c>
      <c r="AY35" s="807" t="e">
        <f aca="false">IF(AND($E35=MONTH(Summary!$E$24),$D35=YEAR(Summary!$E$24)),Summary!$E$25,1)*IF(G35="",0,INT((H35-MOD(H35,7)-G35)/7)+1-IF(BA35,IF(WEEKDAY(F35)=7,1,0),0))</f>
        <v>#VALUE!</v>
      </c>
      <c r="AZ35" s="807" t="e">
        <f aca="false">IF(AND($E35=MONTH(Summary!$E$24),$D35=YEAR(Summary!$E$24)),Summary!$E$25,1)*IF(G35="",0,INT((H35-MOD(H35-1,7)-G35)/7)+1-IF(BA35,IF(WEEKDAY(F35)=1,1,0),0))</f>
        <v>#VALUE!</v>
      </c>
      <c r="BA35" s="807" t="n">
        <v>1</v>
      </c>
      <c r="BB35" s="807" t="n">
        <f aca="false">IF(AND($E35=MONTH(Summary!$E$24),$D35=YEAR(Summary!$E$24)),Summary!$E$25,1)*IF(G35="",0,H35-G35+1)</f>
        <v>31</v>
      </c>
      <c r="BC35" s="1089" t="n">
        <f aca="false">Summary!$E$19</f>
        <v>0.015</v>
      </c>
      <c r="BD35" s="1090" t="n">
        <v>14893.2</v>
      </c>
      <c r="BE35" s="1091" t="n">
        <v>2836.8</v>
      </c>
      <c r="BF35" s="1091" t="n">
        <v>4255.2</v>
      </c>
      <c r="BG35" s="842"/>
      <c r="BH35" s="1092" t="n">
        <v>1</v>
      </c>
      <c r="BI35" s="1092" t="n">
        <v>1</v>
      </c>
      <c r="BJ35" s="1092" t="n">
        <v>1</v>
      </c>
      <c r="BK35" s="1092" t="n">
        <v>1</v>
      </c>
      <c r="BL35" s="1093" t="n">
        <v>2978.64</v>
      </c>
      <c r="BM35" s="1091" t="n">
        <v>567.36</v>
      </c>
      <c r="BN35" s="1091" t="n">
        <v>851.04</v>
      </c>
      <c r="BO35" s="842"/>
      <c r="BP35" s="1092" t="n">
        <v>1</v>
      </c>
      <c r="BQ35" s="1094" t="n">
        <v>1</v>
      </c>
      <c r="BR35" s="1094" t="n">
        <v>1</v>
      </c>
      <c r="BS35" s="1095" t="n">
        <v>1</v>
      </c>
      <c r="BT35" s="1093" t="n">
        <f aca="false">SUM(BD35:BF35)</f>
        <v>21985.2</v>
      </c>
      <c r="BU35" s="1098" t="n">
        <f aca="false">SUM(BD35:BG35)</f>
        <v>21985.2</v>
      </c>
      <c r="BV35" s="1090" t="n">
        <f aca="false">SUM(BL35:BN35)</f>
        <v>4397.04</v>
      </c>
      <c r="BW35" s="1098" t="n">
        <f aca="false">SUM(BL35:BO35)</f>
        <v>4397.04</v>
      </c>
      <c r="BX35" s="852" t="n">
        <v>1.54414784394251</v>
      </c>
      <c r="BY35" s="1099" t="n">
        <v>0</v>
      </c>
      <c r="BZ35" s="852" t="n">
        <v>0</v>
      </c>
      <c r="CA35" s="852" t="n">
        <v>0</v>
      </c>
      <c r="CB35" s="852" t="n">
        <v>0</v>
      </c>
      <c r="CC35" s="852" t="n">
        <v>0</v>
      </c>
      <c r="CD35" s="852" t="n">
        <v>0</v>
      </c>
      <c r="CE35" s="1100" t="n">
        <v>0</v>
      </c>
      <c r="CF35" s="852" t="n">
        <v>0</v>
      </c>
      <c r="CG35" s="852" t="n">
        <v>0</v>
      </c>
      <c r="CH35" s="852" t="n">
        <v>0</v>
      </c>
      <c r="CI35" s="852" t="n">
        <v>0</v>
      </c>
      <c r="CJ35" s="1101" t="n">
        <v>0</v>
      </c>
      <c r="CK35" s="852" t="n">
        <v>0</v>
      </c>
      <c r="CL35" s="852" t="n">
        <v>0</v>
      </c>
      <c r="CM35" s="852" t="n">
        <v>0</v>
      </c>
      <c r="CN35" s="852" t="n">
        <v>0</v>
      </c>
      <c r="CO35" s="852" t="n">
        <v>0</v>
      </c>
      <c r="CP35" s="852" t="n">
        <v>0</v>
      </c>
      <c r="CQ35" s="1102" t="n">
        <v>0</v>
      </c>
      <c r="CR35" s="1103" t="n">
        <v>0</v>
      </c>
      <c r="CS35" s="1103" t="n">
        <v>0</v>
      </c>
      <c r="CT35" s="1103" t="n">
        <v>0</v>
      </c>
      <c r="CU35" s="1103" t="n">
        <v>0</v>
      </c>
      <c r="CV35" s="1103" t="n">
        <v>0</v>
      </c>
      <c r="CW35" s="1103" t="n">
        <v>0</v>
      </c>
      <c r="CX35" s="1104" t="n">
        <v>0</v>
      </c>
      <c r="CY35" s="1105" t="n">
        <v>7705.04072</v>
      </c>
      <c r="CZ35" s="1099" t="n">
        <v>0</v>
      </c>
      <c r="DA35" s="852" t="n">
        <v>0</v>
      </c>
      <c r="DB35" s="852" t="n">
        <v>0</v>
      </c>
      <c r="DC35" s="852" t="n">
        <v>0</v>
      </c>
      <c r="DD35" s="852" t="n">
        <v>0</v>
      </c>
      <c r="DE35" s="1113" t="n">
        <v>0</v>
      </c>
      <c r="DF35" s="1109" t="n">
        <v>0</v>
      </c>
      <c r="DG35" s="1110" t="n">
        <v>0</v>
      </c>
      <c r="DH35" s="1111" t="n">
        <v>0</v>
      </c>
      <c r="DI35" s="1112" t="n">
        <v>0</v>
      </c>
      <c r="DJ35" s="1112" t="n">
        <v>0</v>
      </c>
      <c r="DK35" s="1112" t="n">
        <v>0</v>
      </c>
      <c r="DL35" s="1113" t="n">
        <v>0</v>
      </c>
      <c r="DM35" s="1114" t="n">
        <v>0</v>
      </c>
      <c r="DN35" s="1114" t="n">
        <v>0</v>
      </c>
      <c r="DO35" s="1114" t="n">
        <v>0</v>
      </c>
      <c r="DP35" s="1114" t="n">
        <v>0</v>
      </c>
      <c r="DQ35" s="1114" t="n">
        <v>0</v>
      </c>
      <c r="DR35" s="1109" t="n">
        <v>0</v>
      </c>
      <c r="DS35" s="852" t="n">
        <v>0</v>
      </c>
      <c r="DT35" s="852" t="n">
        <v>0</v>
      </c>
      <c r="DU35" s="852" t="n">
        <v>0</v>
      </c>
      <c r="DV35" s="852" t="n">
        <v>0</v>
      </c>
      <c r="DW35" s="852" t="n">
        <v>0</v>
      </c>
      <c r="DX35" s="852" t="n">
        <v>0</v>
      </c>
      <c r="DY35" s="852" t="n">
        <v>0</v>
      </c>
      <c r="DZ35" s="852" t="n">
        <v>0</v>
      </c>
      <c r="EA35" s="852" t="n">
        <v>0</v>
      </c>
      <c r="EB35" s="1113" t="n">
        <v>0</v>
      </c>
      <c r="EC35" s="1115" t="n">
        <f aca="false">DS35*BD35</f>
        <v>0</v>
      </c>
      <c r="ED35" s="1115" t="n">
        <f aca="false">DT35*BE35</f>
        <v>0</v>
      </c>
      <c r="EE35" s="1115" t="n">
        <f aca="false">DU35*BF35</f>
        <v>0</v>
      </c>
      <c r="EF35" s="1115" t="n">
        <f aca="false">DV35*BG35</f>
        <v>0</v>
      </c>
      <c r="EG35" s="1115" t="n">
        <f aca="false">DS35*BD35+DT35*BE35+DU35*BF35+DV35*BG35</f>
        <v>0</v>
      </c>
      <c r="EH35" s="1116" t="n">
        <v>0</v>
      </c>
      <c r="EI35" s="1117" t="n">
        <v>0</v>
      </c>
      <c r="EJ35" s="1117" t="n">
        <v>0</v>
      </c>
      <c r="EK35" s="1117" t="n">
        <v>0</v>
      </c>
      <c r="EL35" s="1118" t="n">
        <f aca="false">IF(C35&gt;=Summary!$E$26,MAX(0,SUM(EH35:EK35)),0)</f>
        <v>0</v>
      </c>
      <c r="EM35" s="1115" t="n">
        <f aca="false">IF(C35&gt;=Summary!$E$26,DX35*BL35,0)</f>
        <v>0</v>
      </c>
      <c r="EN35" s="1115" t="n">
        <f aca="false">IF(C35&gt;=Summary!$E$26,DY35*BM35,0)</f>
        <v>0</v>
      </c>
      <c r="EO35" s="1115" t="n">
        <f aca="false">IF(C35&gt;=Summary!$E$26,DZ35*BN35,0)</f>
        <v>0</v>
      </c>
      <c r="EP35" s="1115" t="n">
        <f aca="false">IF(C35&gt;=Summary!$E$26,EA35*BO35,0)</f>
        <v>0</v>
      </c>
      <c r="EQ35" s="1115" t="n">
        <f aca="false">IF(C35&gt;=Summary!$E$26,DX35*BL35+DY35*BM35+DZ35*BN35+EA35*BO35,0)</f>
        <v>0</v>
      </c>
      <c r="ER35" s="1119" t="n">
        <v>0</v>
      </c>
      <c r="ES35" s="1120" t="n">
        <v>0</v>
      </c>
      <c r="ET35" s="1120" t="n">
        <v>0</v>
      </c>
      <c r="EU35" s="1120" t="n">
        <v>0</v>
      </c>
      <c r="EV35" s="1143" t="n">
        <f aca="false">IF(C35&gt;=Summary!$E$26,MAX(0,SUM(ER35:EU35)),0)</f>
        <v>0</v>
      </c>
      <c r="EW35" s="1115"/>
      <c r="EX35" s="1165" t="n">
        <f aca="false">(EQ35-EV35)+IF(EZ35="Yes",(EG35-EL35),0)</f>
        <v>0</v>
      </c>
      <c r="EY35" s="1166" t="str">
        <f aca="false">IF(EX35,EX35/EQ35,"")</f>
        <v/>
      </c>
      <c r="EZ35" s="1122" t="s">
        <v>37</v>
      </c>
      <c r="FA35" s="1096" t="n">
        <f aca="false">FA34</f>
        <v>45</v>
      </c>
      <c r="FB35" s="1167" t="e">
        <f aca="false">IF(EZ35="No",IF((OR(MONTH(C35)=5,MONTH(C35)=6,MONTH(C35)=7,MONTH(C35)=8,MONTH(C35)=9)),$FA35*12*AX35*(1-$BC35),$FA35*10*AX35*(1-$BC35)),0)</f>
        <v>#VALUE!</v>
      </c>
      <c r="FC35" s="1129" t="n">
        <f aca="false">IF(EZ35="No",IF((OR(MONTH(C35)=5,MONTH(C35)=6,MONTH(C35)=7,MONTH(C35)=8,MONTH(C35)=9)),0,$FA35*3*AX35*(1-$BC35)),0)</f>
        <v>0</v>
      </c>
      <c r="FD35" s="1129" t="e">
        <f aca="false">IF(EZ35="No",IF((OR(MONTH(C35)=5,MONTH(C35)=6,MONTH(C35)=7,MONTH(C35)=8,MONTH(C35)=9)),$FA35*12*AY35*(1-$BC35),$FA35*10*AY35*(1-$BC35)),0)</f>
        <v>#VALUE!</v>
      </c>
      <c r="FE35" s="1129" t="n">
        <f aca="false">IF(EZ35="No",IF((OR(MONTH(C35)=5,MONTH(C35)=6,MONTH(C35)=7,MONTH(C35)=8,MONTH(C35)=9)),0,$FA35*3*AY35*(1-$BC35)),0)</f>
        <v>0</v>
      </c>
      <c r="FF35" s="1129" t="e">
        <f aca="false">IF(EZ35="No",IF((OR(MONTH(C35)=5,MONTH(C35)=6,MONTH(C35)=7,MONTH(C35)=8,MONTH(C35)=9)),$FA35*12*(AZ35+BA35)*(1-$BC35),$FA35*10*(AZ35+BA35)*(1-$BC35)),0)</f>
        <v>#VALUE!</v>
      </c>
      <c r="FG35" s="1129" t="n">
        <f aca="false">IF(EZ35="No",IF((OR(MONTH(C35)=5,MONTH(C35)=6,MONTH(C35)=7,MONTH(C35)=8,MONTH(C35)=9)),0,$FA35*3*(AZ35+BA35)*(1-$BC35)),0)</f>
        <v>0</v>
      </c>
      <c r="FH35" s="1170" t="e">
        <f aca="false">IF(EZ35="No",IF((OR(MONTH(C35)=5,MONTH(C35)=6,MONTH(C35)=7,MONTH(C35)=8,MONTH(C35)=9)),Summary!$O$15*12*(AX35+AY35+AZ35+BA35)*(1-$BC35),Summary!$O$15*13*(AX35+AY35+AZ35+BA35)*(1-$BC35)+IF(Summary!$O$16="Yes",(CALC!FA35+Summary!$O$15)*6*(AX35+AY35+AZ35+BA35)*(1-$BC35),0)),0)</f>
        <v>#VALUE!</v>
      </c>
      <c r="FI35" s="1126" t="n">
        <f aca="false">IF(MONTH(C35)=5,FI34*(IF(Summary!$E$70="no",(1+(Summary!$E$71*0.8)),1+HLOOKUP(YEAR(C35)-1,CCFMODEL!$I$127:$AF$128,2)*0.8)),+FI34)</f>
        <v>27.8948213722628</v>
      </c>
      <c r="FJ35" s="1127" t="n">
        <f aca="false">IF(MONTH(C35)=5,FJ34*(IF(Summary!$E$70="no",(1+(Summary!$E$71*0.8)),1+HLOOKUP(YEAR(CALC!C35)-1,CCFMODEL!$I$127:$AF$128,2)*0.8)),FJ34)</f>
        <v>24.3805131678832</v>
      </c>
      <c r="FK35" s="1128" t="e">
        <f aca="false">SUM(FB35:FG35)*FI35+FH35*FJ35</f>
        <v>#VALUE!</v>
      </c>
      <c r="FL35" s="1126" t="n">
        <f aca="false">IF(MONTH(C35)=5,FL34*(IF(Summary!$E$70="no",(1+(Summary!$E$71*0.8)),1+HLOOKUP(YEAR(CALC!C35)-1,CCFMODEL!$I$127:$AF$128,2)*0.8)),+FL34)</f>
        <v>58.6659366618005</v>
      </c>
      <c r="FM35" s="1127" t="n">
        <f aca="false">IF(MONTH(C35)=5,FM34*(IF(Summary!$E$70="no",(1+(Summary!$E$71*0.8)),1+HLOOKUP(YEAR(CALC!C35)-1,CCFMODEL!$I$127:$AF$128,2)*0.8)),+FM34)</f>
        <v>27.9994138783455</v>
      </c>
      <c r="FN35" s="1128" t="e">
        <f aca="false">IF((OR(MONTH(C35)=5,MONTH(C35)=6,MONTH(C35)=7,MONTH(C35)=8,MONTH(C35)=9)),SUM(FB35:FG35)/(1-BC35)*FL35,SUM(FB35:FG35)/(1-BC35)*FM35)</f>
        <v>#VALUE!</v>
      </c>
      <c r="FO35" s="1129" t="e">
        <f aca="false">FK35+FN35</f>
        <v>#VALUE!</v>
      </c>
      <c r="FP35" s="1169" t="e">
        <f aca="false">FB35</f>
        <v>#VALUE!</v>
      </c>
      <c r="FQ35" s="1129" t="n">
        <f aca="false">FC35</f>
        <v>0</v>
      </c>
      <c r="FR35" s="1129" t="e">
        <f aca="false">FD35</f>
        <v>#VALUE!</v>
      </c>
      <c r="FS35" s="1129" t="n">
        <f aca="false">FE35</f>
        <v>0</v>
      </c>
      <c r="FT35" s="1129" t="e">
        <f aca="false">FF35</f>
        <v>#VALUE!</v>
      </c>
      <c r="FU35" s="1129" t="n">
        <f aca="false">FG35</f>
        <v>0</v>
      </c>
      <c r="FV35" s="1170" t="e">
        <f aca="false">FH35</f>
        <v>#VALUE!</v>
      </c>
      <c r="FW35" s="1115" t="n">
        <f aca="false">IF(ER35&gt;0,MIN(FB35-FP35,BL35),0)</f>
        <v>0</v>
      </c>
      <c r="FX35" s="1115" t="n">
        <f aca="false">IF(ES35&gt;0,MIN(FD35-FR35,BM35),0)</f>
        <v>0</v>
      </c>
      <c r="FY35" s="1115" t="n">
        <f aca="false">IF(ET35&gt;0,MIN(FF35-FT35,BN35),0)</f>
        <v>0</v>
      </c>
      <c r="FZ35" s="1143" t="n">
        <f aca="false">IF(EU35&gt;0,MIN(FH35-FV35,BO35),0)</f>
        <v>0</v>
      </c>
      <c r="GA35" s="1132" t="e">
        <f aca="false">(SUM(FP35:FV35)+SUM(GU35:HB35)/(1-Summary!$O$25))*CY35/1000</f>
        <v>#VALUE!</v>
      </c>
      <c r="GB35" s="1133" t="n">
        <f aca="false">IF($C35&lt;Summary!$M$81,+Summary!$O$81,VLOOKUP(C35,GasTable,19))</f>
        <v>2.4</v>
      </c>
      <c r="GC35" s="1134" t="e">
        <f aca="false">IF(H35&lt;=Summary!$N$84,MIN(GA35,Summary!$O$75*(H35-G35+1)),0)</f>
        <v>#VALUE!</v>
      </c>
      <c r="GD35" s="1135" t="e">
        <f aca="false">IF(Summary!$O$75*(H35-G35+1)*0.8&gt;GC35,1,0)</f>
        <v>#VALUE!</v>
      </c>
      <c r="GE35" s="1136" t="n">
        <v>0</v>
      </c>
      <c r="GF35" s="1134" t="e">
        <f aca="false">ABS(MIN(0,GC35-$GA35))</f>
        <v>#VALUE!</v>
      </c>
      <c r="GG35" s="1135" t="e">
        <f aca="false">GF35*(IF(Summary!$O$74=1,VLOOKUP($C35,GasTable,16)+Summary!$O$92+Summary!$O$93,VLOOKUP($C35,GasTable,19)+Summary!$O$92+Summary!$O$93))</f>
        <v>#VALUE!</v>
      </c>
      <c r="GH35" s="1137" t="n">
        <v>21662.8</v>
      </c>
      <c r="GI35" s="1138" t="n">
        <v>0</v>
      </c>
      <c r="GJ35" s="1139" t="e">
        <f aca="false">+GB35*GC35+GE35+GG35+GH35-GI35</f>
        <v>#VALUE!</v>
      </c>
      <c r="GK35" s="1115" t="e">
        <f aca="false">SUM(FP35:FV35,GU35:GX35,GY35:HB35)</f>
        <v>#VALUE!</v>
      </c>
      <c r="GL35" s="1140" t="n">
        <v>0.756634998704</v>
      </c>
      <c r="GM35" s="1141" t="e">
        <f aca="false">IF(GK35&gt;GC35/(CY35/1000),GC35/(CY35/1000),+GK35)*GL35</f>
        <v>#VALUE!</v>
      </c>
      <c r="GN35" s="1115" t="n">
        <f aca="false">IF(SUM(GU35:HB35)=0,0,IF(Summary!$O$16="Yes",SUM(GX35:HB35),IF(Summary!$O$17="Yes",SUM(GY35:HB35),SUM(GU35:HB35))))</f>
        <v>9547.0731</v>
      </c>
      <c r="GO35" s="1142" t="n">
        <v>5.71879306569343</v>
      </c>
      <c r="GP35" s="1143" t="n">
        <f aca="false">GN35*GO35</f>
        <v>54597.7354419483</v>
      </c>
      <c r="GQ35" s="1115"/>
      <c r="GR35" s="1115"/>
      <c r="GS35" s="1115"/>
      <c r="GT35" s="1115"/>
      <c r="GU35" s="1150" t="n">
        <v>3592.9845</v>
      </c>
      <c r="GV35" s="1115" t="n">
        <v>684.378</v>
      </c>
      <c r="GW35" s="1115" t="n">
        <v>1026.567</v>
      </c>
      <c r="GX35" s="1115"/>
      <c r="GY35" s="1151" t="n">
        <v>2874.3876</v>
      </c>
      <c r="GZ35" s="1115" t="n">
        <v>547.5024</v>
      </c>
      <c r="HA35" s="1115" t="n">
        <v>821.2536</v>
      </c>
      <c r="HB35" s="1141"/>
      <c r="HC35" s="1115" t="n">
        <v>9547.0731</v>
      </c>
      <c r="HD35" s="1115"/>
      <c r="HE35" s="1115" t="n">
        <v>22276.5039</v>
      </c>
      <c r="HF35" s="1115" t="n">
        <v>400569.865583577</v>
      </c>
      <c r="HG35" s="1115"/>
      <c r="HH35" s="1142" t="n">
        <v>44.4317801119591</v>
      </c>
      <c r="HI35" s="1115" t="n">
        <v>989784.722947999</v>
      </c>
      <c r="HJ35" s="1150" t="e">
        <f aca="false">MAX(FB35-FP35-FW35,0)</f>
        <v>#VALUE!</v>
      </c>
      <c r="HK35" s="1115" t="e">
        <f aca="false">MAX(FD35-FR35-FX35,0)</f>
        <v>#VALUE!</v>
      </c>
      <c r="HL35" s="1115" t="e">
        <f aca="false">MAX(FF35-FT35-FY35,0)</f>
        <v>#VALUE!</v>
      </c>
      <c r="HM35" s="1141" t="e">
        <f aca="false">MAX(FH35-FV35-FZ35,0)</f>
        <v>#VALUE!</v>
      </c>
      <c r="HN35" s="1115" t="e">
        <f aca="false">SUM(HJ35:HM35)</f>
        <v>#VALUE!</v>
      </c>
      <c r="HO35" s="1142" t="n">
        <f aca="false">IF(ISERROR(+HP35/HN35),0,+HP35/HN35)</f>
        <v>0</v>
      </c>
      <c r="HP35" s="1143" t="e">
        <f aca="false">(HJ35*CE35+HK35*CF35+HL35*CG35+HM35*CH35)</f>
        <v>#VALUE!</v>
      </c>
      <c r="HQ35" s="1146" t="n">
        <v>2017</v>
      </c>
      <c r="HR35" s="1150" t="e">
        <f aca="false">SUMIF($D$17:$D$292,HQ35,$FB$17:$FB$292)+SUMIF($D$17:$D$292,HQ35,$FC$17:$FC$292)+SUMIF($D$17:$D$292,HQ35,$FD$17:$FD$292)+SUMIF($D$17:$D$292,HQ35,$FE$17:$FE$292)+SUMIF($D$17:$D$292,HQ35,$FF$17:$FF$292)+SUMIF($D$17:$D$292,HQ35,$FG$17:$FG$292)+SUMIF($D$17:$D$292,HQ35,$FH$17:$FH$292)</f>
        <v>#VALUE!</v>
      </c>
      <c r="HS35" s="1110" t="e">
        <f aca="false">IF(HT35=0,0,HT35/HR35)</f>
        <v>#VALUE!</v>
      </c>
      <c r="HT35" s="1141" t="e">
        <f aca="false">SUMIF($D$17:$D$292,HQ35,$FO$17:$FO$292)</f>
        <v>#VALUE!</v>
      </c>
      <c r="HU35" s="1151" t="n">
        <v>97164.56655</v>
      </c>
      <c r="HV35" s="1142" t="n">
        <v>51.5202479244433</v>
      </c>
      <c r="HW35" s="1115" t="n">
        <v>5005942.55812707</v>
      </c>
      <c r="HX35" s="1171" t="n">
        <v>0</v>
      </c>
      <c r="HY35" s="1143" t="e">
        <f aca="false">HT35+HW35+HX35</f>
        <v>#VALUE!</v>
      </c>
      <c r="HZ35" s="1150" t="n">
        <v>2343052.59885902</v>
      </c>
      <c r="IA35" s="1142" t="n">
        <v>-3.87577986262063</v>
      </c>
      <c r="IB35" s="1141" t="n">
        <v>-9081156.07971872</v>
      </c>
      <c r="IC35" s="1151" t="n">
        <v>300704.96655</v>
      </c>
      <c r="ID35" s="1142" t="e">
        <f aca="false">IF(IE35=0,0,IE35/IC35)</f>
        <v>#VALUE!</v>
      </c>
      <c r="IE35" s="1141" t="e">
        <f aca="false">-SUMIF($D$17:$D$292,HQ35,$GM$17:$GM$292)</f>
        <v>#VALUE!</v>
      </c>
      <c r="IF35" s="1115" t="n">
        <f aca="false">SUMIF($D$17:$D$292,HQ35,$GN$17:$GN$292)</f>
        <v>130545.1035</v>
      </c>
      <c r="IG35" s="1142" t="n">
        <f aca="false">IF(IH35=0,0,IH35/IF35)</f>
        <v>-2.92732217503737</v>
      </c>
      <c r="IH35" s="1141" t="n">
        <v>-382147.576318099</v>
      </c>
      <c r="II35" s="1115" t="e">
        <f aca="false">SUMIF($D$17:$D$292,HQ35,$HN$17:$HN$292)</f>
        <v>#VALUE!</v>
      </c>
      <c r="IJ35" s="1142" t="e">
        <f aca="false">IF(IK35=0,0,IK35/II35)</f>
        <v>#VALUE!</v>
      </c>
      <c r="IK35" s="1115" t="e">
        <f aca="false">-SUMIF($D$17:$D$292,HQ35,$HP$17:$HP$292)</f>
        <v>#VALUE!</v>
      </c>
      <c r="IL35" s="1152" t="e">
        <f aca="false">HY35+IB35+IE35+IH35</f>
        <v>#VALUE!</v>
      </c>
      <c r="IN35" s="222"/>
      <c r="IO35" s="162"/>
      <c r="IR35" s="844"/>
    </row>
    <row r="36" customFormat="false" ht="13.5" hidden="false" customHeight="false" outlineLevel="0" collapsed="false">
      <c r="A36" s="0" t="str">
        <f aca="false">+D36&amp;"Q"&amp;ROUNDUP(E36/3,0)</f>
        <v>2001Q3</v>
      </c>
      <c r="B36" s="0" t="n">
        <f aca="false">YEAR(C36)</f>
        <v>2001</v>
      </c>
      <c r="C36" s="1153" t="n">
        <f aca="false">EOMONTH(C35,0)+1</f>
        <v>37104</v>
      </c>
      <c r="D36" s="841" t="n">
        <f aca="false">+YEAR(C36)</f>
        <v>2001</v>
      </c>
      <c r="E36" s="807" t="n">
        <f aca="false">MONTH(C36)</f>
        <v>8</v>
      </c>
      <c r="F36" s="1154" t="e">
        <f aca="false">IF(G36="","",Holiday(D36,E36))</f>
        <v>#VALUE!</v>
      </c>
      <c r="G36" s="1155" t="n">
        <v>37104</v>
      </c>
      <c r="H36" s="1156" t="n">
        <v>37134</v>
      </c>
      <c r="I36" s="1157" t="n">
        <f aca="false">I35</f>
        <v>0.0715</v>
      </c>
      <c r="J36" s="1158" t="n">
        <f aca="false">(1+I36/2)^(-2*(DATE(D37,E37,20)-$H$7)/365.25)</f>
        <v>0.88332836437899</v>
      </c>
      <c r="K36" s="1159" t="e">
        <f aca="false">IF(#REF!=1,+#REF!,I36+#REF!/10000)</f>
        <v>#REF!</v>
      </c>
      <c r="L36" s="1158" t="e">
        <f aca="false">(1+K36/2)^(-2*(DATE(D37,E37,20)-$H$7)/365.25)</f>
        <v>#REF!</v>
      </c>
      <c r="M36" s="1082" t="n">
        <v>0</v>
      </c>
      <c r="N36" s="1110" t="n">
        <f aca="false">M36</f>
        <v>0</v>
      </c>
      <c r="O36" s="1174" t="n">
        <f aca="false">N36</f>
        <v>0</v>
      </c>
      <c r="P36" s="1175" t="n">
        <f aca="false">M36</f>
        <v>0</v>
      </c>
      <c r="Q36" s="1110" t="n">
        <f aca="false">P36</f>
        <v>0</v>
      </c>
      <c r="R36" s="1174" t="n">
        <f aca="false">Q36</f>
        <v>0</v>
      </c>
      <c r="S36" s="1110" t="n">
        <f aca="false">R36</f>
        <v>0</v>
      </c>
      <c r="T36" s="1110" t="n">
        <f aca="false">S36</f>
        <v>0</v>
      </c>
      <c r="U36" s="1110" t="n">
        <f aca="false">T36</f>
        <v>0</v>
      </c>
      <c r="V36" s="1175" t="n">
        <f aca="false">U36</f>
        <v>0</v>
      </c>
      <c r="W36" s="1110" t="n">
        <f aca="false">V36</f>
        <v>0</v>
      </c>
      <c r="X36" s="1176" t="n">
        <f aca="false">W36</f>
        <v>0</v>
      </c>
      <c r="Y36" s="1086" t="n">
        <v>0</v>
      </c>
      <c r="Z36" s="1086" t="n">
        <v>0</v>
      </c>
      <c r="AA36" s="1087" t="n">
        <v>0</v>
      </c>
      <c r="AB36" s="1086" t="n">
        <v>0</v>
      </c>
      <c r="AC36" s="1086" t="n">
        <v>0</v>
      </c>
      <c r="AD36" s="1087" t="n">
        <v>0</v>
      </c>
      <c r="AE36" s="1086" t="n">
        <v>0</v>
      </c>
      <c r="AF36" s="1086" t="n">
        <v>0</v>
      </c>
      <c r="AG36" s="1087" t="n">
        <v>0</v>
      </c>
      <c r="AH36" s="1086" t="n">
        <v>0</v>
      </c>
      <c r="AI36" s="1086" t="n">
        <v>0</v>
      </c>
      <c r="AJ36" s="1087" t="n">
        <v>0</v>
      </c>
      <c r="AK36" s="1086" t="n">
        <v>0</v>
      </c>
      <c r="AL36" s="1086" t="n">
        <v>0</v>
      </c>
      <c r="AM36" s="1087" t="n">
        <v>0</v>
      </c>
      <c r="AN36" s="1086" t="n">
        <v>0</v>
      </c>
      <c r="AO36" s="1086" t="n">
        <v>0</v>
      </c>
      <c r="AP36" s="1087" t="n">
        <v>0</v>
      </c>
      <c r="AQ36" s="1086" t="n">
        <v>0</v>
      </c>
      <c r="AR36" s="1086" t="n">
        <v>0</v>
      </c>
      <c r="AS36" s="1087" t="n">
        <v>0</v>
      </c>
      <c r="AT36" s="1086" t="n">
        <v>0</v>
      </c>
      <c r="AU36" s="1086" t="n">
        <v>0</v>
      </c>
      <c r="AV36" s="1086" t="n">
        <v>0</v>
      </c>
      <c r="AW36" s="1172" t="n">
        <v>0</v>
      </c>
      <c r="AX36" s="807" t="n">
        <f aca="false">BB36-SUM(AY36:BA36)</f>
        <v>23</v>
      </c>
      <c r="AY36" s="807" t="n">
        <f aca="false">IF(AND($E36=MONTH(Summary!$E$24),$D36=YEAR(Summary!$E$24)),Summary!$E$25,1)*IF(G36="",0,INT((H36-MOD(H36,7)-G36)/7)+1-IF(BA36,IF(WEEKDAY(F36)=7,1,0),0))</f>
        <v>4</v>
      </c>
      <c r="AZ36" s="807" t="n">
        <f aca="false">IF(AND($E36=MONTH(Summary!$E$24),$D36=YEAR(Summary!$E$24)),Summary!$E$25,1)*IF(G36="",0,INT((H36-MOD(H36-1,7)-G36)/7)+1-IF(BA36,IF(WEEKDAY(F36)=1,1,0),0))</f>
        <v>4</v>
      </c>
      <c r="BA36" s="807" t="n">
        <v>0</v>
      </c>
      <c r="BB36" s="807" t="n">
        <f aca="false">IF(AND($E36=MONTH(Summary!$E$24),$D36=YEAR(Summary!$E$24)),Summary!$E$25,1)*IF(G36="",0,H36-G36+1)</f>
        <v>31</v>
      </c>
      <c r="BC36" s="1089" t="n">
        <f aca="false">Summary!$E$19</f>
        <v>0.015</v>
      </c>
      <c r="BD36" s="1090" t="n">
        <v>16311.6</v>
      </c>
      <c r="BE36" s="1091" t="n">
        <v>2836.8</v>
      </c>
      <c r="BF36" s="1091" t="n">
        <v>2836.8</v>
      </c>
      <c r="BG36" s="842"/>
      <c r="BH36" s="1092" t="n">
        <v>1</v>
      </c>
      <c r="BI36" s="1092" t="n">
        <v>1</v>
      </c>
      <c r="BJ36" s="1092" t="n">
        <v>1</v>
      </c>
      <c r="BK36" s="1092" t="n">
        <v>1</v>
      </c>
      <c r="BL36" s="1093" t="n">
        <v>3262.32</v>
      </c>
      <c r="BM36" s="1091" t="n">
        <v>567.36</v>
      </c>
      <c r="BN36" s="1091" t="n">
        <v>567.36</v>
      </c>
      <c r="BO36" s="842"/>
      <c r="BP36" s="1092" t="n">
        <v>1</v>
      </c>
      <c r="BQ36" s="1094" t="n">
        <v>1</v>
      </c>
      <c r="BR36" s="1094" t="n">
        <v>1</v>
      </c>
      <c r="BS36" s="1095" t="n">
        <v>1</v>
      </c>
      <c r="BT36" s="1093" t="n">
        <f aca="false">SUM(BD36:BF36)</f>
        <v>21985.2</v>
      </c>
      <c r="BU36" s="1098" t="n">
        <f aca="false">SUM(BD36:BG36)</f>
        <v>21985.2</v>
      </c>
      <c r="BV36" s="1090" t="n">
        <f aca="false">SUM(BL36:BN36)</f>
        <v>4397.04</v>
      </c>
      <c r="BW36" s="1098" t="n">
        <f aca="false">SUM(BL36:BO36)</f>
        <v>4397.04</v>
      </c>
      <c r="BX36" s="852" t="n">
        <v>1.6290212183436</v>
      </c>
      <c r="BY36" s="1099" t="n">
        <v>0</v>
      </c>
      <c r="BZ36" s="852" t="n">
        <v>0</v>
      </c>
      <c r="CA36" s="852" t="n">
        <v>0</v>
      </c>
      <c r="CB36" s="852" t="n">
        <v>0</v>
      </c>
      <c r="CC36" s="852" t="n">
        <v>0</v>
      </c>
      <c r="CD36" s="852" t="n">
        <v>0</v>
      </c>
      <c r="CE36" s="1100" t="n">
        <v>0</v>
      </c>
      <c r="CF36" s="852" t="n">
        <v>0</v>
      </c>
      <c r="CG36" s="852" t="n">
        <v>0</v>
      </c>
      <c r="CH36" s="852" t="n">
        <v>0</v>
      </c>
      <c r="CI36" s="852" t="n">
        <v>0</v>
      </c>
      <c r="CJ36" s="1101" t="n">
        <v>0</v>
      </c>
      <c r="CK36" s="852" t="n">
        <v>0</v>
      </c>
      <c r="CL36" s="852" t="n">
        <v>0</v>
      </c>
      <c r="CM36" s="852" t="n">
        <v>0</v>
      </c>
      <c r="CN36" s="852" t="n">
        <v>0</v>
      </c>
      <c r="CO36" s="852" t="n">
        <v>0</v>
      </c>
      <c r="CP36" s="852" t="n">
        <v>0</v>
      </c>
      <c r="CQ36" s="1102" t="n">
        <v>0</v>
      </c>
      <c r="CR36" s="1103" t="n">
        <v>0</v>
      </c>
      <c r="CS36" s="1103" t="n">
        <v>0</v>
      </c>
      <c r="CT36" s="1103" t="n">
        <v>0</v>
      </c>
      <c r="CU36" s="1103" t="n">
        <v>0</v>
      </c>
      <c r="CV36" s="1103" t="n">
        <v>0</v>
      </c>
      <c r="CW36" s="1103" t="n">
        <v>0</v>
      </c>
      <c r="CX36" s="1104" t="n">
        <v>0</v>
      </c>
      <c r="CY36" s="1105" t="n">
        <v>7706.99504</v>
      </c>
      <c r="CZ36" s="1099" t="n">
        <v>0</v>
      </c>
      <c r="DA36" s="852" t="n">
        <v>0</v>
      </c>
      <c r="DB36" s="852" t="n">
        <v>0</v>
      </c>
      <c r="DC36" s="852" t="n">
        <v>0</v>
      </c>
      <c r="DD36" s="852" t="n">
        <v>0</v>
      </c>
      <c r="DE36" s="1113" t="n">
        <v>0</v>
      </c>
      <c r="DF36" s="1109" t="n">
        <v>0</v>
      </c>
      <c r="DG36" s="1110" t="n">
        <v>0</v>
      </c>
      <c r="DH36" s="1111" t="n">
        <v>0</v>
      </c>
      <c r="DI36" s="1112" t="n">
        <v>0</v>
      </c>
      <c r="DJ36" s="1112" t="n">
        <v>0</v>
      </c>
      <c r="DK36" s="1112" t="n">
        <v>0</v>
      </c>
      <c r="DL36" s="1113" t="n">
        <v>0</v>
      </c>
      <c r="DM36" s="1114" t="n">
        <v>0</v>
      </c>
      <c r="DN36" s="1114" t="n">
        <v>0</v>
      </c>
      <c r="DO36" s="1114" t="n">
        <v>0</v>
      </c>
      <c r="DP36" s="1114" t="n">
        <v>0</v>
      </c>
      <c r="DQ36" s="1114" t="n">
        <v>0</v>
      </c>
      <c r="DR36" s="1109" t="n">
        <v>0</v>
      </c>
      <c r="DS36" s="852" t="n">
        <v>0</v>
      </c>
      <c r="DT36" s="852" t="n">
        <v>0</v>
      </c>
      <c r="DU36" s="852" t="n">
        <v>0</v>
      </c>
      <c r="DV36" s="852" t="n">
        <v>0</v>
      </c>
      <c r="DW36" s="852" t="n">
        <v>0</v>
      </c>
      <c r="DX36" s="852" t="n">
        <v>0</v>
      </c>
      <c r="DY36" s="852" t="n">
        <v>0</v>
      </c>
      <c r="DZ36" s="852" t="n">
        <v>0</v>
      </c>
      <c r="EA36" s="852" t="n">
        <v>0</v>
      </c>
      <c r="EB36" s="1113" t="n">
        <v>0</v>
      </c>
      <c r="EC36" s="1115" t="n">
        <f aca="false">DS36*BD36</f>
        <v>0</v>
      </c>
      <c r="ED36" s="1115" t="n">
        <f aca="false">DT36*BE36</f>
        <v>0</v>
      </c>
      <c r="EE36" s="1115" t="n">
        <f aca="false">DU36*BF36</f>
        <v>0</v>
      </c>
      <c r="EF36" s="1115" t="n">
        <f aca="false">DV36*BG36</f>
        <v>0</v>
      </c>
      <c r="EG36" s="1115" t="n">
        <f aca="false">DS36*BD36+DT36*BE36+DU36*BF36+DV36*BG36</f>
        <v>0</v>
      </c>
      <c r="EH36" s="1116" t="n">
        <v>0</v>
      </c>
      <c r="EI36" s="1117" t="n">
        <v>0</v>
      </c>
      <c r="EJ36" s="1117" t="n">
        <v>0</v>
      </c>
      <c r="EK36" s="1117" t="n">
        <v>0</v>
      </c>
      <c r="EL36" s="1118" t="n">
        <f aca="false">IF(C36&gt;=Summary!$E$26,MAX(0,SUM(EH36:EK36)),0)</f>
        <v>0</v>
      </c>
      <c r="EM36" s="1115" t="n">
        <f aca="false">IF(C36&gt;=Summary!$E$26,DX36*BL36,0)</f>
        <v>0</v>
      </c>
      <c r="EN36" s="1115" t="n">
        <f aca="false">IF(C36&gt;=Summary!$E$26,DY36*BM36,0)</f>
        <v>0</v>
      </c>
      <c r="EO36" s="1115" t="n">
        <f aca="false">IF(C36&gt;=Summary!$E$26,DZ36*BN36,0)</f>
        <v>0</v>
      </c>
      <c r="EP36" s="1115" t="n">
        <f aca="false">IF(C36&gt;=Summary!$E$26,EA36*BO36,0)</f>
        <v>0</v>
      </c>
      <c r="EQ36" s="1115" t="n">
        <f aca="false">IF(C36&gt;=Summary!$E$26,DX36*BL36+DY36*BM36+DZ36*BN36+EA36*BO36,0)</f>
        <v>0</v>
      </c>
      <c r="ER36" s="1119" t="n">
        <v>0</v>
      </c>
      <c r="ES36" s="1120" t="n">
        <v>0</v>
      </c>
      <c r="ET36" s="1120" t="n">
        <v>0</v>
      </c>
      <c r="EU36" s="1120" t="n">
        <v>0</v>
      </c>
      <c r="EV36" s="1143" t="n">
        <f aca="false">IF(C36&gt;=Summary!$E$26,MAX(0,SUM(ER36:EU36)),0)</f>
        <v>0</v>
      </c>
      <c r="EW36" s="1115"/>
      <c r="EX36" s="1165" t="n">
        <f aca="false">(EQ36-EV36)+IF(EZ36="Yes",(EG36-EL36),0)</f>
        <v>0</v>
      </c>
      <c r="EY36" s="1166" t="str">
        <f aca="false">IF(EX36,EX36/EQ36,"")</f>
        <v/>
      </c>
      <c r="EZ36" s="1122" t="s">
        <v>37</v>
      </c>
      <c r="FA36" s="1096" t="n">
        <f aca="false">FA35</f>
        <v>45</v>
      </c>
      <c r="FB36" s="1167" t="n">
        <f aca="false">IF(EZ36="No",IF((OR(MONTH(C36)=5,MONTH(C36)=6,MONTH(C36)=7,MONTH(C36)=8,MONTH(C36)=9)),$FA36*12*AX36*(1-$BC36),$FA36*10*AX36*(1-$BC36)),0)</f>
        <v>12233.7</v>
      </c>
      <c r="FC36" s="1129" t="n">
        <f aca="false">IF(EZ36="No",IF((OR(MONTH(C36)=5,MONTH(C36)=6,MONTH(C36)=7,MONTH(C36)=8,MONTH(C36)=9)),0,$FA36*3*AX36*(1-$BC36)),0)</f>
        <v>0</v>
      </c>
      <c r="FD36" s="1129" t="n">
        <f aca="false">IF(EZ36="No",IF((OR(MONTH(C36)=5,MONTH(C36)=6,MONTH(C36)=7,MONTH(C36)=8,MONTH(C36)=9)),$FA36*12*AY36*(1-$BC36),$FA36*10*AY36*(1-$BC36)),0)</f>
        <v>2127.6</v>
      </c>
      <c r="FE36" s="1129" t="n">
        <f aca="false">IF(EZ36="No",IF((OR(MONTH(C36)=5,MONTH(C36)=6,MONTH(C36)=7,MONTH(C36)=8,MONTH(C36)=9)),0,$FA36*3*AY36*(1-$BC36)),0)</f>
        <v>0</v>
      </c>
      <c r="FF36" s="1129" t="n">
        <f aca="false">IF(EZ36="No",IF((OR(MONTH(C36)=5,MONTH(C36)=6,MONTH(C36)=7,MONTH(C36)=8,MONTH(C36)=9)),$FA36*12*(AZ36+BA36)*(1-$BC36),$FA36*10*(AZ36+BA36)*(1-$BC36)),0)</f>
        <v>2127.6</v>
      </c>
      <c r="FG36" s="1129" t="n">
        <f aca="false">IF(EZ36="No",IF((OR(MONTH(C36)=5,MONTH(C36)=6,MONTH(C36)=7,MONTH(C36)=8,MONTH(C36)=9)),0,$FA36*3*(AZ36+BA36)*(1-$BC36)),0)</f>
        <v>0</v>
      </c>
      <c r="FH36" s="1170" t="n">
        <f aca="false">IF(EZ36="No",IF((OR(MONTH(C36)=5,MONTH(C36)=6,MONTH(C36)=7,MONTH(C36)=8,MONTH(C36)=9)),Summary!$O$15*12*(AX36+AY36+AZ36+BA36)*(1-$BC36),Summary!$O$15*13*(AX36+AY36+AZ36+BA36)*(1-$BC36)+IF(Summary!$O$16="Yes",(CALC!FA36+Summary!$O$15)*6*(AX36+AY36+AZ36+BA36)*(1-$BC36),0)),0)</f>
        <v>0</v>
      </c>
      <c r="FI36" s="1126" t="n">
        <f aca="false">IF(MONTH(C36)=5,FI35*(IF(Summary!$E$70="no",(1+(Summary!$E$71*0.8)),1+HLOOKUP(YEAR(C36)-1,CCFMODEL!$I$127:$AF$128,2)*0.8)),+FI35)</f>
        <v>27.8948213722628</v>
      </c>
      <c r="FJ36" s="1127" t="n">
        <f aca="false">IF(MONTH(C36)=5,FJ35*(IF(Summary!$E$70="no",(1+(Summary!$E$71*0.8)),1+HLOOKUP(YEAR(CALC!C36)-1,CCFMODEL!$I$127:$AF$128,2)*0.8)),FJ35)</f>
        <v>24.3805131678832</v>
      </c>
      <c r="FK36" s="1128" t="n">
        <f aca="false">SUM(FB36:FG36)*FI36+FH36*FJ36</f>
        <v>459954.920125104</v>
      </c>
      <c r="FL36" s="1126" t="n">
        <f aca="false">IF(MONTH(C36)=5,FL35*(IF(Summary!$E$70="no",(1+(Summary!$E$71*0.8)),1+HLOOKUP(YEAR(CALC!C36)-1,CCFMODEL!$I$127:$AF$128,2)*0.8)),+FL35)</f>
        <v>58.6659366618005</v>
      </c>
      <c r="FM36" s="1127" t="n">
        <f aca="false">IF(MONTH(C36)=5,FM35*(IF(Summary!$E$70="no",(1+(Summary!$E$71*0.8)),1+HLOOKUP(YEAR(CALC!C36)-1,CCFMODEL!$I$127:$AF$128,2)*0.8)),+FM35)</f>
        <v>27.9994138783455</v>
      </c>
      <c r="FN36" s="1128" t="n">
        <f aca="false">IF((OR(MONTH(C36)=5,MONTH(C36)=6,MONTH(C36)=7,MONTH(C36)=8,MONTH(C36)=9)),SUM(FB36:FG36)/(1-BC36)*FL36,SUM(FB36:FG36)/(1-BC36)*FM36)</f>
        <v>982067.77971854</v>
      </c>
      <c r="FO36" s="1129" t="n">
        <f aca="false">FK36+FN36</f>
        <v>1442022.69984364</v>
      </c>
      <c r="FP36" s="1169" t="n">
        <f aca="false">FB36</f>
        <v>12233.7</v>
      </c>
      <c r="FQ36" s="1129" t="n">
        <f aca="false">FC36</f>
        <v>0</v>
      </c>
      <c r="FR36" s="1129" t="n">
        <f aca="false">FD36</f>
        <v>2127.6</v>
      </c>
      <c r="FS36" s="1129" t="n">
        <f aca="false">FE36</f>
        <v>0</v>
      </c>
      <c r="FT36" s="1129" t="n">
        <f aca="false">FF36</f>
        <v>2127.6</v>
      </c>
      <c r="FU36" s="1129" t="n">
        <f aca="false">FG36</f>
        <v>0</v>
      </c>
      <c r="FV36" s="1170" t="n">
        <f aca="false">FH36</f>
        <v>0</v>
      </c>
      <c r="FW36" s="1115" t="n">
        <f aca="false">IF(ER36&gt;0,MIN(FB36-FP36,BL36),0)</f>
        <v>0</v>
      </c>
      <c r="FX36" s="1115" t="n">
        <f aca="false">IF(ES36&gt;0,MIN(FD36-FR36,BM36),0)</f>
        <v>0</v>
      </c>
      <c r="FY36" s="1115" t="n">
        <f aca="false">IF(ET36&gt;0,MIN(FF36-FT36,BN36),0)</f>
        <v>0</v>
      </c>
      <c r="FZ36" s="1143" t="n">
        <f aca="false">IF(EU36&gt;0,MIN(FH36-FV36,BO36),0)</f>
        <v>0</v>
      </c>
      <c r="GA36" s="1132" t="n">
        <f aca="false">(SUM(FP36:FV36)+SUM(GU36:HB36)/(1-Summary!$O$25))*CY36/1000</f>
        <v>203327.79282409</v>
      </c>
      <c r="GB36" s="1133" t="n">
        <f aca="false">IF($C36&lt;Summary!$M$81,+Summary!$O$81,VLOOKUP(C36,GasTable,19))</f>
        <v>2.4</v>
      </c>
      <c r="GC36" s="1134" t="n">
        <f aca="false">IF(H36&lt;=Summary!$N$84,MIN(GA36,Summary!$O$75*(H36-G36+1)),0)</f>
        <v>155000</v>
      </c>
      <c r="GD36" s="1135" t="n">
        <f aca="false">IF(Summary!$O$75*(H36-G36+1)*0.8&gt;GC36,1,0)</f>
        <v>0</v>
      </c>
      <c r="GE36" s="1136" t="n">
        <v>0</v>
      </c>
      <c r="GF36" s="1134" t="n">
        <f aca="false">ABS(MIN(0,GC36-$GA36))</f>
        <v>48327.7928240896</v>
      </c>
      <c r="GG36" s="1135" t="n">
        <f aca="false">GF36*(IF(Summary!$O$74=1,VLOOKUP($C36,GasTable,16)+Summary!$O$92+Summary!$O$93,VLOOKUP($C36,GasTable,19)+Summary!$O$92+Summary!$O$93))</f>
        <v>136439.124061666</v>
      </c>
      <c r="GH36" s="1137" t="n">
        <v>21669</v>
      </c>
      <c r="GI36" s="1138" t="n">
        <v>0</v>
      </c>
      <c r="GJ36" s="1139" t="n">
        <f aca="false">+GB36*GC36+GE36+GG36+GH36-GI36</f>
        <v>530108.124061666</v>
      </c>
      <c r="GK36" s="1115" t="n">
        <f aca="false">SUM(FP36:FV36,GU36:GX36,GY36:HB36)</f>
        <v>26035.9731</v>
      </c>
      <c r="GL36" s="1140" t="n">
        <v>0.756826912928</v>
      </c>
      <c r="GM36" s="1141" t="n">
        <f aca="false">IF(GK36&gt;GC36/(CY36/1000),GC36/(CY36/1000),+GK36)*GL36</f>
        <v>15221</v>
      </c>
      <c r="GN36" s="1115" t="n">
        <f aca="false">IF(SUM(GU36:HB36)=0,0,IF(Summary!$O$16="Yes",SUM(GX36:HB36),IF(Summary!$O$17="Yes",SUM(GY36:HB36),SUM(GU36:HB36))))</f>
        <v>9547.0731</v>
      </c>
      <c r="GO36" s="1142" t="n">
        <v>5.71879306569343</v>
      </c>
      <c r="GP36" s="1143" t="n">
        <f aca="false">GN36*GO36</f>
        <v>54597.7354419483</v>
      </c>
      <c r="GQ36" s="1115"/>
      <c r="GR36" s="1115"/>
      <c r="GS36" s="1115"/>
      <c r="GT36" s="1115"/>
      <c r="GU36" s="1150" t="n">
        <v>3935.1735</v>
      </c>
      <c r="GV36" s="1115" t="n">
        <v>684.378</v>
      </c>
      <c r="GW36" s="1115" t="n">
        <v>684.378</v>
      </c>
      <c r="GX36" s="1115"/>
      <c r="GY36" s="1151" t="n">
        <v>3148.1388</v>
      </c>
      <c r="GZ36" s="1115" t="n">
        <v>547.5024</v>
      </c>
      <c r="HA36" s="1115" t="n">
        <v>547.5024</v>
      </c>
      <c r="HB36" s="1141"/>
      <c r="HC36" s="1115" t="n">
        <v>9547.0731</v>
      </c>
      <c r="HD36" s="1115"/>
      <c r="HE36" s="1115" t="n">
        <v>22276.5039</v>
      </c>
      <c r="HF36" s="1115" t="n">
        <v>688227.903270809</v>
      </c>
      <c r="HG36" s="1115"/>
      <c r="HH36" s="1142" t="n">
        <v>75.9015395962251</v>
      </c>
      <c r="HI36" s="1115" t="n">
        <v>1690820.94283131</v>
      </c>
      <c r="HJ36" s="1150" t="n">
        <f aca="false">MAX(FB36-FP36-FW36,0)</f>
        <v>0</v>
      </c>
      <c r="HK36" s="1115" t="n">
        <f aca="false">MAX(FD36-FR36-FX36,0)</f>
        <v>0</v>
      </c>
      <c r="HL36" s="1115" t="n">
        <f aca="false">MAX(FF36-FT36-FY36,0)</f>
        <v>0</v>
      </c>
      <c r="HM36" s="1141" t="n">
        <f aca="false">MAX(FH36-FV36-FZ36,0)</f>
        <v>0</v>
      </c>
      <c r="HN36" s="1115" t="n">
        <f aca="false">SUM(HJ36:HM36)</f>
        <v>0</v>
      </c>
      <c r="HO36" s="1142" t="n">
        <f aca="false">IF(ISERROR(+HP36/HN36),0,+HP36/HN36)</f>
        <v>0</v>
      </c>
      <c r="HP36" s="1143" t="n">
        <f aca="false">(HJ36*CE36+HK36*CF36+HL36*CG36+HM36*CH36)</f>
        <v>0</v>
      </c>
      <c r="HQ36" s="1146" t="n">
        <v>2018</v>
      </c>
      <c r="HR36" s="1150" t="e">
        <f aca="false">SUMIF($D$17:$D$292,HQ36,$FB$17:$FB$292)+SUMIF($D$17:$D$292,HQ36,$FC$17:$FC$292)+SUMIF($D$17:$D$292,HQ36,$FD$17:$FD$292)+SUMIF($D$17:$D$292,HQ36,$FE$17:$FE$292)+SUMIF($D$17:$D$292,HQ36,$FF$17:$FF$292)+SUMIF($D$17:$D$292,HQ36,$FG$17:$FG$292)+SUMIF($D$17:$D$292,HQ36,$FH$17:$FH$292)</f>
        <v>#VALUE!</v>
      </c>
      <c r="HS36" s="1110" t="e">
        <f aca="false">IF(HT36=0,0,HT36/HR36)</f>
        <v>#VALUE!</v>
      </c>
      <c r="HT36" s="1141" t="e">
        <f aca="false">SUMIF($D$17:$D$292,HQ36,$FO$17:$FO$292)</f>
        <v>#VALUE!</v>
      </c>
      <c r="HU36" s="1151" t="n">
        <v>96514.40745</v>
      </c>
      <c r="HV36" s="1142" t="n">
        <v>51.6419551930384</v>
      </c>
      <c r="HW36" s="1115" t="n">
        <v>4984192.70501555</v>
      </c>
      <c r="HX36" s="1171" t="n">
        <v>0</v>
      </c>
      <c r="HY36" s="1143" t="e">
        <f aca="false">HT36+HW36+HX36</f>
        <v>#VALUE!</v>
      </c>
      <c r="HZ36" s="1150" t="n">
        <v>2345258.85728347</v>
      </c>
      <c r="IA36" s="1142" t="n">
        <v>-3.95545600213925</v>
      </c>
      <c r="IB36" s="1141" t="n">
        <v>-9276568.22361217</v>
      </c>
      <c r="IC36" s="1151" t="n">
        <v>300054.80745</v>
      </c>
      <c r="ID36" s="1142" t="e">
        <f aca="false">IF(IE36=0,0,IE36/IC36)</f>
        <v>#VALUE!</v>
      </c>
      <c r="IE36" s="1141" t="e">
        <f aca="false">-SUMIF($D$17:$D$292,HQ36,$GM$17:$GM$292)</f>
        <v>#VALUE!</v>
      </c>
      <c r="IF36" s="1115" t="n">
        <f aca="false">SUMIF($D$17:$D$292,HQ36,$GN$17:$GN$292)</f>
        <v>130545.1035</v>
      </c>
      <c r="IG36" s="1142" t="n">
        <f aca="false">IF(IH36=0,0,IH36/IF36)</f>
        <v>-2.99496656472397</v>
      </c>
      <c r="IH36" s="1141" t="n">
        <v>-390978.22017093</v>
      </c>
      <c r="II36" s="1115" t="e">
        <f aca="false">SUMIF($D$17:$D$292,HQ36,$HN$17:$HN$292)</f>
        <v>#VALUE!</v>
      </c>
      <c r="IJ36" s="1142" t="e">
        <f aca="false">IF(IK36=0,0,IK36/II36)</f>
        <v>#VALUE!</v>
      </c>
      <c r="IK36" s="1115" t="e">
        <f aca="false">-SUMIF($D$17:$D$292,HQ36,$HP$17:$HP$292)</f>
        <v>#VALUE!</v>
      </c>
      <c r="IL36" s="1152" t="e">
        <f aca="false">HY36+IB36+IE36+IH36</f>
        <v>#VALUE!</v>
      </c>
      <c r="IN36" s="222"/>
      <c r="IO36" s="162"/>
      <c r="IR36" s="844"/>
    </row>
    <row r="37" customFormat="false" ht="13.5" hidden="false" customHeight="false" outlineLevel="0" collapsed="false">
      <c r="A37" s="0" t="str">
        <f aca="false">+D37&amp;"Q"&amp;ROUNDUP(E37/3,0)</f>
        <v>2001Q3</v>
      </c>
      <c r="B37" s="0" t="n">
        <f aca="false">YEAR(C37)</f>
        <v>2001</v>
      </c>
      <c r="C37" s="1153" t="n">
        <f aca="false">EOMONTH(C36,0)+1</f>
        <v>37135</v>
      </c>
      <c r="D37" s="841" t="n">
        <f aca="false">+YEAR(C37)</f>
        <v>2001</v>
      </c>
      <c r="E37" s="807" t="n">
        <f aca="false">MONTH(C37)</f>
        <v>9</v>
      </c>
      <c r="F37" s="1154" t="e">
        <f aca="false">IF(G37="","",Holiday(D37,E37))</f>
        <v>#VALUE!</v>
      </c>
      <c r="G37" s="1155" t="n">
        <v>37135</v>
      </c>
      <c r="H37" s="1156" t="n">
        <v>37164</v>
      </c>
      <c r="I37" s="1157" t="n">
        <f aca="false">I36</f>
        <v>0.0715</v>
      </c>
      <c r="J37" s="1158" t="n">
        <f aca="false">(1+I37/2)^(-2*(DATE(D38,E38,20)-$H$7)/365.25)</f>
        <v>0.878246102022364</v>
      </c>
      <c r="K37" s="1159" t="e">
        <f aca="false">IF(#REF!=1,+#REF!,I37+#REF!/10000)</f>
        <v>#REF!</v>
      </c>
      <c r="L37" s="1158" t="e">
        <f aca="false">(1+K37/2)^(-2*(DATE(D38,E38,20)-$H$7)/365.25)</f>
        <v>#REF!</v>
      </c>
      <c r="M37" s="1082" t="n">
        <v>0</v>
      </c>
      <c r="N37" s="1110" t="n">
        <f aca="false">M37</f>
        <v>0</v>
      </c>
      <c r="O37" s="1174" t="n">
        <f aca="false">N37</f>
        <v>0</v>
      </c>
      <c r="P37" s="1175" t="n">
        <f aca="false">M37</f>
        <v>0</v>
      </c>
      <c r="Q37" s="1110" t="n">
        <f aca="false">P37</f>
        <v>0</v>
      </c>
      <c r="R37" s="1174" t="n">
        <f aca="false">Q37</f>
        <v>0</v>
      </c>
      <c r="S37" s="1110" t="n">
        <f aca="false">R37</f>
        <v>0</v>
      </c>
      <c r="T37" s="1110" t="n">
        <f aca="false">S37</f>
        <v>0</v>
      </c>
      <c r="U37" s="1110" t="n">
        <f aca="false">T37</f>
        <v>0</v>
      </c>
      <c r="V37" s="1175" t="n">
        <f aca="false">U37</f>
        <v>0</v>
      </c>
      <c r="W37" s="1110" t="n">
        <f aca="false">V37</f>
        <v>0</v>
      </c>
      <c r="X37" s="1176" t="n">
        <f aca="false">W37</f>
        <v>0</v>
      </c>
      <c r="Y37" s="1086" t="n">
        <v>0</v>
      </c>
      <c r="Z37" s="1086" t="n">
        <v>0</v>
      </c>
      <c r="AA37" s="1087" t="n">
        <v>0</v>
      </c>
      <c r="AB37" s="1086" t="n">
        <v>0</v>
      </c>
      <c r="AC37" s="1086" t="n">
        <v>0</v>
      </c>
      <c r="AD37" s="1087" t="n">
        <v>0</v>
      </c>
      <c r="AE37" s="1086" t="n">
        <v>0</v>
      </c>
      <c r="AF37" s="1086" t="n">
        <v>0</v>
      </c>
      <c r="AG37" s="1087" t="n">
        <v>0</v>
      </c>
      <c r="AH37" s="1086" t="n">
        <v>0</v>
      </c>
      <c r="AI37" s="1086" t="n">
        <v>0</v>
      </c>
      <c r="AJ37" s="1087" t="n">
        <v>0</v>
      </c>
      <c r="AK37" s="1086" t="n">
        <v>0</v>
      </c>
      <c r="AL37" s="1086" t="n">
        <v>0</v>
      </c>
      <c r="AM37" s="1087" t="n">
        <v>0</v>
      </c>
      <c r="AN37" s="1086" t="n">
        <v>0</v>
      </c>
      <c r="AO37" s="1086" t="n">
        <v>0</v>
      </c>
      <c r="AP37" s="1087" t="n">
        <v>0</v>
      </c>
      <c r="AQ37" s="1086" t="n">
        <v>0</v>
      </c>
      <c r="AR37" s="1086" t="n">
        <v>0</v>
      </c>
      <c r="AS37" s="1087" t="n">
        <v>0</v>
      </c>
      <c r="AT37" s="1086" t="n">
        <v>0</v>
      </c>
      <c r="AU37" s="1086" t="n">
        <v>0</v>
      </c>
      <c r="AV37" s="1086" t="n">
        <v>0</v>
      </c>
      <c r="AW37" s="1172" t="n">
        <v>0</v>
      </c>
      <c r="AX37" s="807" t="e">
        <f aca="false">BB37-SUM(AY37:BA37)</f>
        <v>#VALUE!</v>
      </c>
      <c r="AY37" s="807" t="e">
        <f aca="false">IF(AND($E37=MONTH(Summary!$E$24),$D37=YEAR(Summary!$E$24)),Summary!$E$25,1)*IF(G37="",0,INT((H37-MOD(H37,7)-G37)/7)+1-IF(BA37,IF(WEEKDAY(F37)=7,1,0),0))</f>
        <v>#VALUE!</v>
      </c>
      <c r="AZ37" s="807" t="e">
        <f aca="false">IF(AND($E37=MONTH(Summary!$E$24),$D37=YEAR(Summary!$E$24)),Summary!$E$25,1)*IF(G37="",0,INT((H37-MOD(H37-1,7)-G37)/7)+1-IF(BA37,IF(WEEKDAY(F37)=1,1,0),0))</f>
        <v>#VALUE!</v>
      </c>
      <c r="BA37" s="807" t="n">
        <v>1</v>
      </c>
      <c r="BB37" s="807" t="n">
        <f aca="false">IF(AND($E37=MONTH(Summary!$E$24),$D37=YEAR(Summary!$E$24)),Summary!$E$25,1)*IF(G37="",0,H37-G37+1)</f>
        <v>30</v>
      </c>
      <c r="BC37" s="1089" t="n">
        <f aca="false">Summary!$E$19</f>
        <v>0.015</v>
      </c>
      <c r="BD37" s="1090" t="n">
        <v>13474.8</v>
      </c>
      <c r="BE37" s="1091" t="n">
        <v>3546</v>
      </c>
      <c r="BF37" s="1091" t="n">
        <v>4255.2</v>
      </c>
      <c r="BG37" s="842"/>
      <c r="BH37" s="1092" t="n">
        <v>1</v>
      </c>
      <c r="BI37" s="1092" t="n">
        <v>1</v>
      </c>
      <c r="BJ37" s="1092" t="n">
        <v>1</v>
      </c>
      <c r="BK37" s="1092" t="n">
        <v>1</v>
      </c>
      <c r="BL37" s="1093" t="n">
        <v>2694.96</v>
      </c>
      <c r="BM37" s="1091" t="n">
        <v>709.2</v>
      </c>
      <c r="BN37" s="1091" t="n">
        <v>851.04</v>
      </c>
      <c r="BO37" s="842"/>
      <c r="BP37" s="1092" t="n">
        <v>1</v>
      </c>
      <c r="BQ37" s="1094" t="n">
        <v>1</v>
      </c>
      <c r="BR37" s="1094" t="n">
        <v>1</v>
      </c>
      <c r="BS37" s="1095" t="n">
        <v>1</v>
      </c>
      <c r="BT37" s="1093" t="n">
        <f aca="false">SUM(BD37:BF37)</f>
        <v>21276</v>
      </c>
      <c r="BU37" s="1098" t="n">
        <f aca="false">SUM(BD37:BG37)</f>
        <v>21276</v>
      </c>
      <c r="BV37" s="1090" t="n">
        <f aca="false">SUM(BL37:BN37)</f>
        <v>4255.2</v>
      </c>
      <c r="BW37" s="1098" t="n">
        <f aca="false">SUM(BL37:BO37)</f>
        <v>4255.2</v>
      </c>
      <c r="BX37" s="852" t="n">
        <v>1.7138945927447</v>
      </c>
      <c r="BY37" s="1099" t="n">
        <v>0</v>
      </c>
      <c r="BZ37" s="852" t="n">
        <v>0</v>
      </c>
      <c r="CA37" s="852" t="n">
        <v>0</v>
      </c>
      <c r="CB37" s="852" t="n">
        <v>0</v>
      </c>
      <c r="CC37" s="852" t="n">
        <v>0</v>
      </c>
      <c r="CD37" s="852" t="n">
        <v>0</v>
      </c>
      <c r="CE37" s="1100" t="n">
        <v>0</v>
      </c>
      <c r="CF37" s="852" t="n">
        <v>0</v>
      </c>
      <c r="CG37" s="852" t="n">
        <v>0</v>
      </c>
      <c r="CH37" s="852" t="n">
        <v>0</v>
      </c>
      <c r="CI37" s="852" t="n">
        <v>0</v>
      </c>
      <c r="CJ37" s="1101" t="n">
        <v>0</v>
      </c>
      <c r="CK37" s="852" t="n">
        <v>0</v>
      </c>
      <c r="CL37" s="852" t="n">
        <v>0</v>
      </c>
      <c r="CM37" s="852" t="n">
        <v>0</v>
      </c>
      <c r="CN37" s="852" t="n">
        <v>0</v>
      </c>
      <c r="CO37" s="852" t="n">
        <v>0</v>
      </c>
      <c r="CP37" s="852" t="n">
        <v>0</v>
      </c>
      <c r="CQ37" s="1102" t="n">
        <v>0</v>
      </c>
      <c r="CR37" s="1103" t="n">
        <v>0</v>
      </c>
      <c r="CS37" s="1103" t="n">
        <v>0</v>
      </c>
      <c r="CT37" s="1103" t="n">
        <v>0</v>
      </c>
      <c r="CU37" s="1103" t="n">
        <v>0</v>
      </c>
      <c r="CV37" s="1103" t="n">
        <v>0</v>
      </c>
      <c r="CW37" s="1103" t="n">
        <v>0</v>
      </c>
      <c r="CX37" s="1104" t="n">
        <v>0</v>
      </c>
      <c r="CY37" s="1105" t="n">
        <v>7708.94936</v>
      </c>
      <c r="CZ37" s="1099" t="n">
        <v>0</v>
      </c>
      <c r="DA37" s="852" t="n">
        <v>0</v>
      </c>
      <c r="DB37" s="852" t="n">
        <v>0</v>
      </c>
      <c r="DC37" s="852" t="n">
        <v>0</v>
      </c>
      <c r="DD37" s="852" t="n">
        <v>0</v>
      </c>
      <c r="DE37" s="1113" t="n">
        <v>0</v>
      </c>
      <c r="DF37" s="1109" t="n">
        <v>0</v>
      </c>
      <c r="DG37" s="1110" t="n">
        <v>0</v>
      </c>
      <c r="DH37" s="1111" t="n">
        <v>0</v>
      </c>
      <c r="DI37" s="1112" t="n">
        <v>0</v>
      </c>
      <c r="DJ37" s="1112" t="n">
        <v>0</v>
      </c>
      <c r="DK37" s="1112" t="n">
        <v>0</v>
      </c>
      <c r="DL37" s="1113" t="n">
        <v>0</v>
      </c>
      <c r="DM37" s="1114" t="n">
        <v>0</v>
      </c>
      <c r="DN37" s="1114" t="n">
        <v>0</v>
      </c>
      <c r="DO37" s="1114" t="n">
        <v>0</v>
      </c>
      <c r="DP37" s="1114" t="n">
        <v>0</v>
      </c>
      <c r="DQ37" s="1114" t="n">
        <v>0</v>
      </c>
      <c r="DR37" s="1109" t="n">
        <v>0</v>
      </c>
      <c r="DS37" s="852" t="n">
        <v>0</v>
      </c>
      <c r="DT37" s="852" t="n">
        <v>0</v>
      </c>
      <c r="DU37" s="852" t="n">
        <v>0</v>
      </c>
      <c r="DV37" s="852" t="n">
        <v>0</v>
      </c>
      <c r="DW37" s="852" t="n">
        <v>0</v>
      </c>
      <c r="DX37" s="852" t="n">
        <v>0</v>
      </c>
      <c r="DY37" s="852" t="n">
        <v>0</v>
      </c>
      <c r="DZ37" s="852" t="n">
        <v>0</v>
      </c>
      <c r="EA37" s="852" t="n">
        <v>0</v>
      </c>
      <c r="EB37" s="1113" t="n">
        <v>0</v>
      </c>
      <c r="EC37" s="1115" t="n">
        <f aca="false">DS37*BD37</f>
        <v>0</v>
      </c>
      <c r="ED37" s="1115" t="n">
        <f aca="false">DT37*BE37</f>
        <v>0</v>
      </c>
      <c r="EE37" s="1115" t="n">
        <f aca="false">DU37*BF37</f>
        <v>0</v>
      </c>
      <c r="EF37" s="1115" t="n">
        <f aca="false">DV37*BG37</f>
        <v>0</v>
      </c>
      <c r="EG37" s="1115" t="n">
        <f aca="false">DS37*BD37+DT37*BE37+DU37*BF37+DV37*BG37</f>
        <v>0</v>
      </c>
      <c r="EH37" s="1116" t="n">
        <v>0</v>
      </c>
      <c r="EI37" s="1117" t="n">
        <v>0</v>
      </c>
      <c r="EJ37" s="1117" t="n">
        <v>0</v>
      </c>
      <c r="EK37" s="1117" t="n">
        <v>0</v>
      </c>
      <c r="EL37" s="1118" t="n">
        <f aca="false">IF(C37&gt;=Summary!$E$26,MAX(0,SUM(EH37:EK37)),0)</f>
        <v>0</v>
      </c>
      <c r="EM37" s="1115" t="n">
        <f aca="false">IF(C37&gt;=Summary!$E$26,DX37*BL37,0)</f>
        <v>0</v>
      </c>
      <c r="EN37" s="1115" t="n">
        <f aca="false">IF(C37&gt;=Summary!$E$26,DY37*BM37,0)</f>
        <v>0</v>
      </c>
      <c r="EO37" s="1115" t="n">
        <f aca="false">IF(C37&gt;=Summary!$E$26,DZ37*BN37,0)</f>
        <v>0</v>
      </c>
      <c r="EP37" s="1115" t="n">
        <f aca="false">IF(C37&gt;=Summary!$E$26,EA37*BO37,0)</f>
        <v>0</v>
      </c>
      <c r="EQ37" s="1115" t="n">
        <f aca="false">IF(C37&gt;=Summary!$E$26,DX37*BL37+DY37*BM37+DZ37*BN37+EA37*BO37,0)</f>
        <v>0</v>
      </c>
      <c r="ER37" s="1119" t="n">
        <v>0</v>
      </c>
      <c r="ES37" s="1120" t="n">
        <v>0</v>
      </c>
      <c r="ET37" s="1120" t="n">
        <v>0</v>
      </c>
      <c r="EU37" s="1120" t="n">
        <v>0</v>
      </c>
      <c r="EV37" s="1143" t="n">
        <f aca="false">IF(C37&gt;=Summary!$E$26,MAX(0,SUM(ER37:EU37)),0)</f>
        <v>0</v>
      </c>
      <c r="EW37" s="1115"/>
      <c r="EX37" s="1165" t="n">
        <f aca="false">(EQ37-EV37)+IF(EZ37="Yes",(EG37-EL37),0)</f>
        <v>0</v>
      </c>
      <c r="EY37" s="1166" t="str">
        <f aca="false">IF(EX37,EX37/EQ37,"")</f>
        <v/>
      </c>
      <c r="EZ37" s="1122" t="s">
        <v>37</v>
      </c>
      <c r="FA37" s="1096" t="n">
        <f aca="false">FA36</f>
        <v>45</v>
      </c>
      <c r="FB37" s="1167" t="e">
        <f aca="false">IF(EZ37="No",IF((OR(MONTH(C37)=5,MONTH(C37)=6,MONTH(C37)=7,MONTH(C37)=8,MONTH(C37)=9)),$FA37*12*AX37*(1-$BC37),$FA37*10*AX37*(1-$BC37)),0)</f>
        <v>#VALUE!</v>
      </c>
      <c r="FC37" s="1129" t="n">
        <f aca="false">IF(EZ37="No",IF((OR(MONTH(C37)=5,MONTH(C37)=6,MONTH(C37)=7,MONTH(C37)=8,MONTH(C37)=9)),0,$FA37*3*AX37*(1-$BC37)),0)</f>
        <v>0</v>
      </c>
      <c r="FD37" s="1129" t="e">
        <f aca="false">IF(EZ37="No",IF((OR(MONTH(C37)=5,MONTH(C37)=6,MONTH(C37)=7,MONTH(C37)=8,MONTH(C37)=9)),$FA37*12*AY37*(1-$BC37),$FA37*10*AY37*(1-$BC37)),0)</f>
        <v>#VALUE!</v>
      </c>
      <c r="FE37" s="1129" t="n">
        <f aca="false">IF(EZ37="No",IF((OR(MONTH(C37)=5,MONTH(C37)=6,MONTH(C37)=7,MONTH(C37)=8,MONTH(C37)=9)),0,$FA37*3*AY37*(1-$BC37)),0)</f>
        <v>0</v>
      </c>
      <c r="FF37" s="1129" t="e">
        <f aca="false">IF(EZ37="No",IF((OR(MONTH(C37)=5,MONTH(C37)=6,MONTH(C37)=7,MONTH(C37)=8,MONTH(C37)=9)),$FA37*12*(AZ37+BA37)*(1-$BC37),$FA37*10*(AZ37+BA37)*(1-$BC37)),0)</f>
        <v>#VALUE!</v>
      </c>
      <c r="FG37" s="1129" t="n">
        <f aca="false">IF(EZ37="No",IF((OR(MONTH(C37)=5,MONTH(C37)=6,MONTH(C37)=7,MONTH(C37)=8,MONTH(C37)=9)),0,$FA37*3*(AZ37+BA37)*(1-$BC37)),0)</f>
        <v>0</v>
      </c>
      <c r="FH37" s="1170" t="e">
        <f aca="false">IF(EZ37="No",IF((OR(MONTH(C37)=5,MONTH(C37)=6,MONTH(C37)=7,MONTH(C37)=8,MONTH(C37)=9)),Summary!$O$15*12*(AX37+AY37+AZ37+BA37)*(1-$BC37),Summary!$O$15*13*(AX37+AY37+AZ37+BA37)*(1-$BC37)+IF(Summary!$O$16="Yes",(CALC!FA37+Summary!$O$15)*6*(AX37+AY37+AZ37+BA37)*(1-$BC37),0)),0)</f>
        <v>#VALUE!</v>
      </c>
      <c r="FI37" s="1126" t="n">
        <f aca="false">IF(MONTH(C37)=5,FI36*(IF(Summary!$E$70="no",(1+(Summary!$E$71*0.8)),1+HLOOKUP(YEAR(C37)-1,CCFMODEL!$I$127:$AF$128,2)*0.8)),+FI36)</f>
        <v>27.8948213722628</v>
      </c>
      <c r="FJ37" s="1127" t="n">
        <f aca="false">IF(MONTH(C37)=5,FJ36*(IF(Summary!$E$70="no",(1+(Summary!$E$71*0.8)),1+HLOOKUP(YEAR(CALC!C37)-1,CCFMODEL!$I$127:$AF$128,2)*0.8)),FJ36)</f>
        <v>24.3805131678832</v>
      </c>
      <c r="FK37" s="1128" t="e">
        <f aca="false">SUM(FB37:FG37)*FI37+FH37*FJ37</f>
        <v>#VALUE!</v>
      </c>
      <c r="FL37" s="1126" t="n">
        <f aca="false">IF(MONTH(C37)=5,FL36*(IF(Summary!$E$70="no",(1+(Summary!$E$71*0.8)),1+HLOOKUP(YEAR(CALC!C37)-1,CCFMODEL!$I$127:$AF$128,2)*0.8)),+FL36)</f>
        <v>58.6659366618005</v>
      </c>
      <c r="FM37" s="1127" t="n">
        <f aca="false">IF(MONTH(C37)=5,FM36*(IF(Summary!$E$70="no",(1+(Summary!$E$71*0.8)),1+HLOOKUP(YEAR(CALC!C37)-1,CCFMODEL!$I$127:$AF$128,2)*0.8)),+FM36)</f>
        <v>27.9994138783455</v>
      </c>
      <c r="FN37" s="1128" t="e">
        <f aca="false">IF((OR(MONTH(C37)=5,MONTH(C37)=6,MONTH(C37)=7,MONTH(C37)=8,MONTH(C37)=9)),SUM(FB37:FG37)/(1-BC37)*FL37,SUM(FB37:FG37)/(1-BC37)*FM37)</f>
        <v>#VALUE!</v>
      </c>
      <c r="FO37" s="1129" t="e">
        <f aca="false">FK37+FN37</f>
        <v>#VALUE!</v>
      </c>
      <c r="FP37" s="1169" t="e">
        <f aca="false">FB37</f>
        <v>#VALUE!</v>
      </c>
      <c r="FQ37" s="1129" t="n">
        <f aca="false">FC37</f>
        <v>0</v>
      </c>
      <c r="FR37" s="1129" t="e">
        <f aca="false">FD37</f>
        <v>#VALUE!</v>
      </c>
      <c r="FS37" s="1129" t="n">
        <f aca="false">FE37</f>
        <v>0</v>
      </c>
      <c r="FT37" s="1129" t="e">
        <f aca="false">FF37</f>
        <v>#VALUE!</v>
      </c>
      <c r="FU37" s="1129" t="n">
        <f aca="false">FG37</f>
        <v>0</v>
      </c>
      <c r="FV37" s="1170" t="e">
        <f aca="false">FH37</f>
        <v>#VALUE!</v>
      </c>
      <c r="FW37" s="1115" t="n">
        <f aca="false">IF(ER37&gt;0,MIN(FB37-FP37,BL37),0)</f>
        <v>0</v>
      </c>
      <c r="FX37" s="1115" t="n">
        <f aca="false">IF(ES37&gt;0,MIN(FD37-FR37,BM37),0)</f>
        <v>0</v>
      </c>
      <c r="FY37" s="1115" t="n">
        <f aca="false">IF(ET37&gt;0,MIN(FF37-FT37,BN37),0)</f>
        <v>0</v>
      </c>
      <c r="FZ37" s="1143" t="n">
        <f aca="false">IF(EU37&gt;0,MIN(FH37-FV37,BO37),0)</f>
        <v>0</v>
      </c>
      <c r="GA37" s="1132" t="e">
        <f aca="false">(SUM(FP37:FV37)+SUM(GU37:HB37)/(1-Summary!$O$25))*CY37/1000</f>
        <v>#VALUE!</v>
      </c>
      <c r="GB37" s="1133" t="n">
        <f aca="false">IF($C37&lt;Summary!$M$81,+Summary!$O$81,VLOOKUP(C37,GasTable,19))</f>
        <v>2.4</v>
      </c>
      <c r="GC37" s="1134" t="e">
        <f aca="false">IF(H37&lt;=Summary!$N$84,MIN(GA37,Summary!$O$75*(H37-G37+1)),0)</f>
        <v>#VALUE!</v>
      </c>
      <c r="GD37" s="1135" t="e">
        <f aca="false">IF(Summary!$O$75*(H37-G37+1)*0.8&gt;GC37,1,0)</f>
        <v>#VALUE!</v>
      </c>
      <c r="GE37" s="1136" t="n">
        <v>0</v>
      </c>
      <c r="GF37" s="1134" t="e">
        <f aca="false">ABS(MIN(0,GC37-$GA37))</f>
        <v>#VALUE!</v>
      </c>
      <c r="GG37" s="1135" t="e">
        <f aca="false">GF37*(IF(Summary!$O$74=1,VLOOKUP($C37,GasTable,16)+Summary!$O$92+Summary!$O$93,VLOOKUP($C37,GasTable,19)+Summary!$O$92+Summary!$O$93))</f>
        <v>#VALUE!</v>
      </c>
      <c r="GH37" s="1137" t="n">
        <v>20790</v>
      </c>
      <c r="GI37" s="1138" t="n">
        <v>0</v>
      </c>
      <c r="GJ37" s="1139" t="e">
        <f aca="false">+GB37*GC37+GE37+GG37+GH37-GI37</f>
        <v>#VALUE!</v>
      </c>
      <c r="GK37" s="1115" t="e">
        <f aca="false">SUM(FP37:FV37,GU37:GX37,GY37:HB37)</f>
        <v>#VALUE!</v>
      </c>
      <c r="GL37" s="1140" t="n">
        <v>0.757018827152</v>
      </c>
      <c r="GM37" s="1141" t="e">
        <f aca="false">IF(GK37&gt;GC37/(CY37/1000),GC37/(CY37/1000),+GK37)*GL37</f>
        <v>#VALUE!</v>
      </c>
      <c r="GN37" s="1115" t="n">
        <f aca="false">IF(SUM(GU37:HB37)=0,0,IF(Summary!$O$16="Yes",SUM(GX37:HB37),IF(Summary!$O$17="Yes",SUM(GY37:HB37),SUM(GU37:HB37))))</f>
        <v>9239.103</v>
      </c>
      <c r="GO37" s="1142" t="n">
        <v>5.71879306569343</v>
      </c>
      <c r="GP37" s="1143" t="n">
        <f aca="false">GN37*GO37</f>
        <v>52836.5181696274</v>
      </c>
      <c r="GQ37" s="1115"/>
      <c r="GR37" s="1115"/>
      <c r="GS37" s="1115"/>
      <c r="GT37" s="1115"/>
      <c r="GU37" s="1150" t="n">
        <v>3250.7955</v>
      </c>
      <c r="GV37" s="1115" t="n">
        <v>855.4725</v>
      </c>
      <c r="GW37" s="1115" t="n">
        <v>1026.567</v>
      </c>
      <c r="GX37" s="1115"/>
      <c r="GY37" s="1151" t="n">
        <v>2600.6364</v>
      </c>
      <c r="GZ37" s="1115" t="n">
        <v>684.378</v>
      </c>
      <c r="HA37" s="1115" t="n">
        <v>821.2536</v>
      </c>
      <c r="HB37" s="1141"/>
      <c r="HC37" s="1115" t="n">
        <v>9239.103</v>
      </c>
      <c r="HD37" s="1115"/>
      <c r="HE37" s="1115" t="n">
        <v>21557.907</v>
      </c>
      <c r="HF37" s="1115" t="n">
        <v>540131.191049486</v>
      </c>
      <c r="HG37" s="1115"/>
      <c r="HH37" s="1142" t="n">
        <v>60.6795619526182</v>
      </c>
      <c r="HI37" s="1115" t="n">
        <v>1308124.35337528</v>
      </c>
      <c r="HJ37" s="1150" t="e">
        <f aca="false">MAX(FB37-FP37-FW37,0)</f>
        <v>#VALUE!</v>
      </c>
      <c r="HK37" s="1115" t="e">
        <f aca="false">MAX(FD37-FR37-FX37,0)</f>
        <v>#VALUE!</v>
      </c>
      <c r="HL37" s="1115" t="e">
        <f aca="false">MAX(FF37-FT37-FY37,0)</f>
        <v>#VALUE!</v>
      </c>
      <c r="HM37" s="1141" t="e">
        <f aca="false">MAX(FH37-FV37-FZ37,0)</f>
        <v>#VALUE!</v>
      </c>
      <c r="HN37" s="1115" t="e">
        <f aca="false">SUM(HJ37:HM37)</f>
        <v>#VALUE!</v>
      </c>
      <c r="HO37" s="1142" t="n">
        <f aca="false">IF(ISERROR(+HP37/HN37),0,+HP37/HN37)</f>
        <v>0</v>
      </c>
      <c r="HP37" s="1143" t="e">
        <f aca="false">(HJ37*CE37+HK37*CF37+HL37*CG37+HM37*CH37)</f>
        <v>#VALUE!</v>
      </c>
      <c r="HQ37" s="1146" t="n">
        <v>2019</v>
      </c>
      <c r="HR37" s="1150" t="e">
        <f aca="false">SUMIF($D$17:$D$292,HQ37,$FB$17:$FB$292)+SUMIF($D$17:$D$292,HQ37,$FC$17:$FC$292)+SUMIF($D$17:$D$292,HQ37,$FD$17:$FD$292)+SUMIF($D$17:$D$292,HQ37,$FE$17:$FE$292)+SUMIF($D$17:$D$292,HQ37,$FF$17:$FF$292)+SUMIF($D$17:$D$292,HQ37,$FG$17:$FG$292)+SUMIF($D$17:$D$292,HQ37,$FH$17:$FH$292)</f>
        <v>#VALUE!</v>
      </c>
      <c r="HS37" s="1110" t="e">
        <f aca="false">IF(HT37=0,0,HT37/HR37)</f>
        <v>#VALUE!</v>
      </c>
      <c r="HT37" s="1141" t="e">
        <f aca="false">SUMIF($D$17:$D$292,HQ37,$FO$17:$FO$292)</f>
        <v>#VALUE!</v>
      </c>
      <c r="HU37" s="1151" t="n">
        <v>96514.40745</v>
      </c>
      <c r="HV37" s="1142" t="n">
        <v>53.8458781980151</v>
      </c>
      <c r="HW37" s="1115" t="n">
        <v>5196903.0279063</v>
      </c>
      <c r="HX37" s="1171" t="n">
        <v>0</v>
      </c>
      <c r="HY37" s="1143" t="e">
        <f aca="false">HT37+HW37+HX37</f>
        <v>#VALUE!</v>
      </c>
      <c r="HZ37" s="1150" t="n">
        <v>2352659.26665061</v>
      </c>
      <c r="IA37" s="1142" t="n">
        <v>-4.05020571665562</v>
      </c>
      <c r="IB37" s="1141" t="n">
        <v>-9528754.0111311</v>
      </c>
      <c r="IC37" s="1151" t="n">
        <v>300054.80745</v>
      </c>
      <c r="ID37" s="1142" t="e">
        <f aca="false">IF(IE37=0,0,IE37/IC37)</f>
        <v>#VALUE!</v>
      </c>
      <c r="IE37" s="1141" t="e">
        <f aca="false">-SUMIF($D$17:$D$292,HQ37,$GM$17:$GM$292)</f>
        <v>#VALUE!</v>
      </c>
      <c r="IF37" s="1115" t="n">
        <f aca="false">SUMIF($D$17:$D$292,HQ37,$GN$17:$GN$292)</f>
        <v>130545.1035</v>
      </c>
      <c r="IG37" s="1142" t="n">
        <f aca="false">IF(IH37=0,0,IH37/IF37)</f>
        <v>-3.08481556166569</v>
      </c>
      <c r="IH37" s="1141" t="n">
        <v>-402707.566776058</v>
      </c>
      <c r="II37" s="1115" t="e">
        <f aca="false">SUMIF($D$17:$D$292,HQ37,$HN$17:$HN$292)</f>
        <v>#VALUE!</v>
      </c>
      <c r="IJ37" s="1142" t="e">
        <f aca="false">IF(IK37=0,0,IK37/II37)</f>
        <v>#VALUE!</v>
      </c>
      <c r="IK37" s="1115" t="e">
        <f aca="false">-SUMIF($D$17:$D$292,HQ37,$HP$17:$HP$292)</f>
        <v>#VALUE!</v>
      </c>
      <c r="IL37" s="1152" t="e">
        <f aca="false">HY37+IB37+IE37+IH37</f>
        <v>#VALUE!</v>
      </c>
      <c r="IN37" s="222"/>
      <c r="IO37" s="162"/>
      <c r="IR37" s="844"/>
    </row>
    <row r="38" customFormat="false" ht="13.5" hidden="false" customHeight="false" outlineLevel="0" collapsed="false">
      <c r="A38" s="0" t="str">
        <f aca="false">+D38&amp;"Q"&amp;ROUNDUP(E38/3,0)</f>
        <v>2001Q4</v>
      </c>
      <c r="B38" s="0" t="n">
        <f aca="false">YEAR(C38)</f>
        <v>2001</v>
      </c>
      <c r="C38" s="1153" t="n">
        <f aca="false">EOMONTH(C37,0)+1</f>
        <v>37165</v>
      </c>
      <c r="D38" s="841" t="n">
        <f aca="false">+YEAR(C38)</f>
        <v>2001</v>
      </c>
      <c r="E38" s="807" t="n">
        <f aca="false">MONTH(C38)</f>
        <v>10</v>
      </c>
      <c r="F38" s="1154" t="e">
        <f aca="false">IF(G38="","",Holiday(D38,E38))</f>
        <v>#VALUE!</v>
      </c>
      <c r="G38" s="1155" t="n">
        <v>37165</v>
      </c>
      <c r="H38" s="1156" t="n">
        <v>37195</v>
      </c>
      <c r="I38" s="1157" t="n">
        <f aca="false">I37</f>
        <v>0.0715</v>
      </c>
      <c r="J38" s="1158" t="n">
        <f aca="false">(1+I38/2)^(-2*(DATE(D39,E39,20)-$H$7)/365.25)</f>
        <v>0.873025148232253</v>
      </c>
      <c r="K38" s="1159" t="e">
        <f aca="false">IF(#REF!=1,+#REF!,I38+#REF!/10000)</f>
        <v>#REF!</v>
      </c>
      <c r="L38" s="1158" t="e">
        <f aca="false">(1+K38/2)^(-2*(DATE(D39,E39,20)-$H$7)/365.25)</f>
        <v>#REF!</v>
      </c>
      <c r="M38" s="1082" t="n">
        <v>0</v>
      </c>
      <c r="N38" s="1110" t="n">
        <f aca="false">M38</f>
        <v>0</v>
      </c>
      <c r="O38" s="1174" t="n">
        <f aca="false">N38</f>
        <v>0</v>
      </c>
      <c r="P38" s="1175" t="n">
        <f aca="false">M38</f>
        <v>0</v>
      </c>
      <c r="Q38" s="1110" t="n">
        <f aca="false">P38</f>
        <v>0</v>
      </c>
      <c r="R38" s="1174" t="n">
        <f aca="false">Q38</f>
        <v>0</v>
      </c>
      <c r="S38" s="1110" t="n">
        <f aca="false">R38</f>
        <v>0</v>
      </c>
      <c r="T38" s="1110" t="n">
        <f aca="false">S38</f>
        <v>0</v>
      </c>
      <c r="U38" s="1110" t="n">
        <f aca="false">T38</f>
        <v>0</v>
      </c>
      <c r="V38" s="1175" t="n">
        <f aca="false">U38</f>
        <v>0</v>
      </c>
      <c r="W38" s="1110" t="n">
        <f aca="false">V38</f>
        <v>0</v>
      </c>
      <c r="X38" s="1176" t="n">
        <f aca="false">W38</f>
        <v>0</v>
      </c>
      <c r="Y38" s="1086" t="n">
        <v>0</v>
      </c>
      <c r="Z38" s="1086" t="n">
        <v>0</v>
      </c>
      <c r="AA38" s="1087" t="n">
        <v>0</v>
      </c>
      <c r="AB38" s="1086" t="n">
        <v>0</v>
      </c>
      <c r="AC38" s="1086" t="n">
        <v>0</v>
      </c>
      <c r="AD38" s="1087" t="n">
        <v>0</v>
      </c>
      <c r="AE38" s="1086" t="n">
        <v>0</v>
      </c>
      <c r="AF38" s="1086" t="n">
        <v>0</v>
      </c>
      <c r="AG38" s="1087" t="n">
        <v>0</v>
      </c>
      <c r="AH38" s="1086" t="n">
        <v>0</v>
      </c>
      <c r="AI38" s="1086" t="n">
        <v>0</v>
      </c>
      <c r="AJ38" s="1087" t="n">
        <v>0</v>
      </c>
      <c r="AK38" s="1086" t="n">
        <v>0</v>
      </c>
      <c r="AL38" s="1086" t="n">
        <v>0</v>
      </c>
      <c r="AM38" s="1087" t="n">
        <v>0</v>
      </c>
      <c r="AN38" s="1086" t="n">
        <v>0</v>
      </c>
      <c r="AO38" s="1086" t="n">
        <v>0</v>
      </c>
      <c r="AP38" s="1087" t="n">
        <v>0</v>
      </c>
      <c r="AQ38" s="1086" t="n">
        <v>0</v>
      </c>
      <c r="AR38" s="1086" t="n">
        <v>0</v>
      </c>
      <c r="AS38" s="1087" t="n">
        <v>0</v>
      </c>
      <c r="AT38" s="1086" t="n">
        <v>0</v>
      </c>
      <c r="AU38" s="1086" t="n">
        <v>0</v>
      </c>
      <c r="AV38" s="1086" t="n">
        <v>0</v>
      </c>
      <c r="AW38" s="1172" t="n">
        <v>0</v>
      </c>
      <c r="AX38" s="807" t="n">
        <f aca="false">BB38-SUM(AY38:BA38)</f>
        <v>23</v>
      </c>
      <c r="AY38" s="807" t="n">
        <f aca="false">IF(AND($E38=MONTH(Summary!$E$24),$D38=YEAR(Summary!$E$24)),Summary!$E$25,1)*IF(G38="",0,INT((H38-MOD(H38,7)-G38)/7)+1-IF(BA38,IF(WEEKDAY(F38)=7,1,0),0))</f>
        <v>4</v>
      </c>
      <c r="AZ38" s="807" t="n">
        <f aca="false">IF(AND($E38=MONTH(Summary!$E$24),$D38=YEAR(Summary!$E$24)),Summary!$E$25,1)*IF(G38="",0,INT((H38-MOD(H38-1,7)-G38)/7)+1-IF(BA38,IF(WEEKDAY(F38)=1,1,0),0))</f>
        <v>4</v>
      </c>
      <c r="BA38" s="807" t="n">
        <v>0</v>
      </c>
      <c r="BB38" s="807" t="n">
        <f aca="false">IF(AND($E38=MONTH(Summary!$E$24),$D38=YEAR(Summary!$E$24)),Summary!$E$25,1)*IF(G38="",0,H38-G38+1)</f>
        <v>31</v>
      </c>
      <c r="BC38" s="1089" t="n">
        <f aca="false">Summary!$E$19</f>
        <v>0.015</v>
      </c>
      <c r="BD38" s="1090" t="n">
        <v>16311.6</v>
      </c>
      <c r="BE38" s="1091" t="n">
        <v>2836.8</v>
      </c>
      <c r="BF38" s="1091" t="n">
        <v>2836.8</v>
      </c>
      <c r="BG38" s="842"/>
      <c r="BH38" s="1092" t="n">
        <v>1</v>
      </c>
      <c r="BI38" s="1092" t="n">
        <v>1</v>
      </c>
      <c r="BJ38" s="1092" t="n">
        <v>1</v>
      </c>
      <c r="BK38" s="1092" t="n">
        <v>1</v>
      </c>
      <c r="BL38" s="1093" t="n">
        <v>3262.32</v>
      </c>
      <c r="BM38" s="1091" t="n">
        <v>567.36</v>
      </c>
      <c r="BN38" s="1091" t="n">
        <v>567.36</v>
      </c>
      <c r="BO38" s="842"/>
      <c r="BP38" s="1092" t="n">
        <v>1</v>
      </c>
      <c r="BQ38" s="1094" t="n">
        <v>1</v>
      </c>
      <c r="BR38" s="1094" t="n">
        <v>1</v>
      </c>
      <c r="BS38" s="1095" t="n">
        <v>1</v>
      </c>
      <c r="BT38" s="1093" t="n">
        <f aca="false">SUM(BD38:BF38)</f>
        <v>21985.2</v>
      </c>
      <c r="BU38" s="1098" t="n">
        <f aca="false">SUM(BD38:BG38)</f>
        <v>21985.2</v>
      </c>
      <c r="BV38" s="1090" t="n">
        <f aca="false">SUM(BL38:BN38)</f>
        <v>4397.04</v>
      </c>
      <c r="BW38" s="1098" t="n">
        <f aca="false">SUM(BL38:BO38)</f>
        <v>4397.04</v>
      </c>
      <c r="BX38" s="852" t="n">
        <v>1.79603011635866</v>
      </c>
      <c r="BY38" s="1099" t="n">
        <v>0</v>
      </c>
      <c r="BZ38" s="852" t="n">
        <v>0</v>
      </c>
      <c r="CA38" s="852" t="n">
        <v>0</v>
      </c>
      <c r="CB38" s="852" t="n">
        <v>0</v>
      </c>
      <c r="CC38" s="852" t="n">
        <v>0</v>
      </c>
      <c r="CD38" s="852" t="n">
        <v>0</v>
      </c>
      <c r="CE38" s="1100" t="n">
        <v>0</v>
      </c>
      <c r="CF38" s="852" t="n">
        <v>0</v>
      </c>
      <c r="CG38" s="852" t="n">
        <v>0</v>
      </c>
      <c r="CH38" s="852" t="n">
        <v>0</v>
      </c>
      <c r="CI38" s="852" t="n">
        <v>0</v>
      </c>
      <c r="CJ38" s="1101" t="n">
        <v>0</v>
      </c>
      <c r="CK38" s="852" t="n">
        <v>0</v>
      </c>
      <c r="CL38" s="852" t="n">
        <v>0</v>
      </c>
      <c r="CM38" s="852" t="n">
        <v>0</v>
      </c>
      <c r="CN38" s="852" t="n">
        <v>0</v>
      </c>
      <c r="CO38" s="852" t="n">
        <v>0</v>
      </c>
      <c r="CP38" s="852" t="n">
        <v>0</v>
      </c>
      <c r="CQ38" s="1102" t="n">
        <v>0</v>
      </c>
      <c r="CR38" s="1103" t="n">
        <v>0</v>
      </c>
      <c r="CS38" s="1103" t="n">
        <v>0</v>
      </c>
      <c r="CT38" s="1103" t="n">
        <v>0</v>
      </c>
      <c r="CU38" s="1103" t="n">
        <v>0</v>
      </c>
      <c r="CV38" s="1103" t="n">
        <v>0</v>
      </c>
      <c r="CW38" s="1103" t="n">
        <v>0</v>
      </c>
      <c r="CX38" s="1104" t="n">
        <v>0</v>
      </c>
      <c r="CY38" s="1105" t="n">
        <v>7710.90368</v>
      </c>
      <c r="CZ38" s="1099" t="n">
        <v>0</v>
      </c>
      <c r="DA38" s="852" t="n">
        <v>0</v>
      </c>
      <c r="DB38" s="852" t="n">
        <v>0</v>
      </c>
      <c r="DC38" s="852" t="n">
        <v>0</v>
      </c>
      <c r="DD38" s="852" t="n">
        <v>0</v>
      </c>
      <c r="DE38" s="1113" t="n">
        <v>0</v>
      </c>
      <c r="DF38" s="1109" t="n">
        <v>0</v>
      </c>
      <c r="DG38" s="1110" t="n">
        <v>0</v>
      </c>
      <c r="DH38" s="1111" t="n">
        <v>0</v>
      </c>
      <c r="DI38" s="1112" t="n">
        <v>0</v>
      </c>
      <c r="DJ38" s="1112" t="n">
        <v>0</v>
      </c>
      <c r="DK38" s="1112" t="n">
        <v>0</v>
      </c>
      <c r="DL38" s="1113" t="n">
        <v>0</v>
      </c>
      <c r="DM38" s="1114" t="n">
        <v>0</v>
      </c>
      <c r="DN38" s="1114" t="n">
        <v>0</v>
      </c>
      <c r="DO38" s="1114" t="n">
        <v>0</v>
      </c>
      <c r="DP38" s="1114" t="n">
        <v>0</v>
      </c>
      <c r="DQ38" s="1114" t="n">
        <v>0</v>
      </c>
      <c r="DR38" s="1109" t="n">
        <v>0</v>
      </c>
      <c r="DS38" s="852" t="n">
        <v>0</v>
      </c>
      <c r="DT38" s="852" t="n">
        <v>0</v>
      </c>
      <c r="DU38" s="852" t="n">
        <v>0</v>
      </c>
      <c r="DV38" s="852" t="n">
        <v>0</v>
      </c>
      <c r="DW38" s="852" t="n">
        <v>0</v>
      </c>
      <c r="DX38" s="852" t="n">
        <v>0</v>
      </c>
      <c r="DY38" s="852" t="n">
        <v>0</v>
      </c>
      <c r="DZ38" s="852" t="n">
        <v>0</v>
      </c>
      <c r="EA38" s="852" t="n">
        <v>0</v>
      </c>
      <c r="EB38" s="1113" t="n">
        <v>0</v>
      </c>
      <c r="EC38" s="1115" t="n">
        <f aca="false">DS38*BD38</f>
        <v>0</v>
      </c>
      <c r="ED38" s="1115" t="n">
        <f aca="false">DT38*BE38</f>
        <v>0</v>
      </c>
      <c r="EE38" s="1115" t="n">
        <f aca="false">DU38*BF38</f>
        <v>0</v>
      </c>
      <c r="EF38" s="1115" t="n">
        <f aca="false">DV38*BG38</f>
        <v>0</v>
      </c>
      <c r="EG38" s="1115" t="n">
        <f aca="false">DS38*BD38+DT38*BE38+DU38*BF38+DV38*BG38</f>
        <v>0</v>
      </c>
      <c r="EH38" s="1116" t="n">
        <v>0</v>
      </c>
      <c r="EI38" s="1117" t="n">
        <v>0</v>
      </c>
      <c r="EJ38" s="1117" t="n">
        <v>0</v>
      </c>
      <c r="EK38" s="1117" t="n">
        <v>0</v>
      </c>
      <c r="EL38" s="1118" t="n">
        <f aca="false">IF(C38&gt;=Summary!$E$26,MAX(0,SUM(EH38:EK38)),0)</f>
        <v>0</v>
      </c>
      <c r="EM38" s="1115" t="n">
        <f aca="false">IF(C38&gt;=Summary!$E$26,DX38*BL38,0)</f>
        <v>0</v>
      </c>
      <c r="EN38" s="1115" t="n">
        <f aca="false">IF(C38&gt;=Summary!$E$26,DY38*BM38,0)</f>
        <v>0</v>
      </c>
      <c r="EO38" s="1115" t="n">
        <f aca="false">IF(C38&gt;=Summary!$E$26,DZ38*BN38,0)</f>
        <v>0</v>
      </c>
      <c r="EP38" s="1115" t="n">
        <f aca="false">IF(C38&gt;=Summary!$E$26,EA38*BO38,0)</f>
        <v>0</v>
      </c>
      <c r="EQ38" s="1115" t="n">
        <f aca="false">IF(C38&gt;=Summary!$E$26,DX38*BL38+DY38*BM38+DZ38*BN38+EA38*BO38,0)</f>
        <v>0</v>
      </c>
      <c r="ER38" s="1119" t="n">
        <v>0</v>
      </c>
      <c r="ES38" s="1120" t="n">
        <v>0</v>
      </c>
      <c r="ET38" s="1120" t="n">
        <v>0</v>
      </c>
      <c r="EU38" s="1120" t="n">
        <v>0</v>
      </c>
      <c r="EV38" s="1143" t="n">
        <f aca="false">IF(C38&gt;=Summary!$E$26,MAX(0,SUM(ER38:EU38)),0)</f>
        <v>0</v>
      </c>
      <c r="EW38" s="1115"/>
      <c r="EX38" s="1165" t="n">
        <f aca="false">(EQ38-EV38)+IF(EZ38="Yes",(EG38-EL38),0)</f>
        <v>0</v>
      </c>
      <c r="EY38" s="1166" t="str">
        <f aca="false">IF(EX38,EX38/EQ38,"")</f>
        <v/>
      </c>
      <c r="EZ38" s="1122" t="s">
        <v>37</v>
      </c>
      <c r="FA38" s="1096" t="n">
        <f aca="false">FA37</f>
        <v>45</v>
      </c>
      <c r="FB38" s="1167" t="n">
        <f aca="false">IF(EZ38="No",IF((OR(MONTH(C38)=5,MONTH(C38)=6,MONTH(C38)=7,MONTH(C38)=8,MONTH(C38)=9)),$FA38*12*AX38*(1-$BC38),$FA38*10*AX38*(1-$BC38)),0)</f>
        <v>10194.75</v>
      </c>
      <c r="FC38" s="1129" t="n">
        <f aca="false">IF(EZ38="No",IF((OR(MONTH(C38)=5,MONTH(C38)=6,MONTH(C38)=7,MONTH(C38)=8,MONTH(C38)=9)),0,$FA38*3*AX38*(1-$BC38)),0)</f>
        <v>3058.425</v>
      </c>
      <c r="FD38" s="1129" t="n">
        <f aca="false">IF(EZ38="No",IF((OR(MONTH(C38)=5,MONTH(C38)=6,MONTH(C38)=7,MONTH(C38)=8,MONTH(C38)=9)),$FA38*12*AY38*(1-$BC38),$FA38*10*AY38*(1-$BC38)),0)</f>
        <v>1773</v>
      </c>
      <c r="FE38" s="1129" t="n">
        <f aca="false">IF(EZ38="No",IF((OR(MONTH(C38)=5,MONTH(C38)=6,MONTH(C38)=7,MONTH(C38)=8,MONTH(C38)=9)),0,$FA38*3*AY38*(1-$BC38)),0)</f>
        <v>531.9</v>
      </c>
      <c r="FF38" s="1129" t="n">
        <f aca="false">IF(EZ38="No",IF((OR(MONTH(C38)=5,MONTH(C38)=6,MONTH(C38)=7,MONTH(C38)=8,MONTH(C38)=9)),$FA38*12*(AZ38+BA38)*(1-$BC38),$FA38*10*(AZ38+BA38)*(1-$BC38)),0)</f>
        <v>1773</v>
      </c>
      <c r="FG38" s="1129" t="n">
        <f aca="false">IF(EZ38="No",IF((OR(MONTH(C38)=5,MONTH(C38)=6,MONTH(C38)=7,MONTH(C38)=8,MONTH(C38)=9)),0,$FA38*3*(AZ38+BA38)*(1-$BC38)),0)</f>
        <v>531.9</v>
      </c>
      <c r="FH38" s="1170" t="n">
        <f aca="false">IF(EZ38="No",IF((OR(MONTH(C38)=5,MONTH(C38)=6,MONTH(C38)=7,MONTH(C38)=8,MONTH(C38)=9)),Summary!$O$15*12*(AX38+AY38+AZ38+BA38)*(1-$BC38),Summary!$O$15*13*(AX38+AY38+AZ38+BA38)*(1-$BC38)+IF(Summary!$O$16="Yes",(CALC!FA38+Summary!$O$15)*6*(AX38+AY38+AZ38+BA38)*(1-$BC38),0)),0)</f>
        <v>0</v>
      </c>
      <c r="FI38" s="1126" t="n">
        <f aca="false">IF(MONTH(C38)=5,FI37*(IF(Summary!$E$70="no",(1+(Summary!$E$71*0.8)),1+HLOOKUP(YEAR(C38)-1,CCFMODEL!$I$127:$AF$128,2)*0.8)),+FI37)</f>
        <v>27.8948213722628</v>
      </c>
      <c r="FJ38" s="1127" t="n">
        <f aca="false">IF(MONTH(C38)=5,FJ37*(IF(Summary!$E$70="no",(1+(Summary!$E$71*0.8)),1+HLOOKUP(YEAR(CALC!C38)-1,CCFMODEL!$I$127:$AF$128,2)*0.8)),FJ37)</f>
        <v>24.3805131678832</v>
      </c>
      <c r="FK38" s="1128" t="n">
        <f aca="false">SUM(FB38:FG38)*FI38+FH38*FJ38</f>
        <v>498284.496802196</v>
      </c>
      <c r="FL38" s="1126" t="n">
        <f aca="false">IF(MONTH(C38)=5,FL37*(IF(Summary!$E$70="no",(1+(Summary!$E$71*0.8)),1+HLOOKUP(YEAR(CALC!C38)-1,CCFMODEL!$I$127:$AF$128,2)*0.8)),+FL37)</f>
        <v>58.6659366618005</v>
      </c>
      <c r="FM38" s="1127" t="n">
        <f aca="false">IF(MONTH(C38)=5,FM37*(IF(Summary!$E$70="no",(1+(Summary!$E$71*0.8)),1+HLOOKUP(YEAR(CALC!C38)-1,CCFMODEL!$I$127:$AF$128,2)*0.8)),+FM37)</f>
        <v>27.9994138783455</v>
      </c>
      <c r="FN38" s="1128" t="n">
        <f aca="false">IF((OR(MONTH(C38)=5,MONTH(C38)=6,MONTH(C38)=7,MONTH(C38)=8,MONTH(C38)=9)),SUM(FB38:FG38)/(1-BC38)*FL38,SUM(FB38:FG38)/(1-BC38)*FM38)</f>
        <v>507769.370683796</v>
      </c>
      <c r="FO38" s="1129" t="n">
        <f aca="false">FK38+FN38</f>
        <v>1006053.86748599</v>
      </c>
      <c r="FP38" s="1169" t="n">
        <f aca="false">FB38</f>
        <v>10194.75</v>
      </c>
      <c r="FQ38" s="1129" t="n">
        <f aca="false">FC38</f>
        <v>3058.425</v>
      </c>
      <c r="FR38" s="1129" t="n">
        <f aca="false">FD38</f>
        <v>1773</v>
      </c>
      <c r="FS38" s="1129" t="n">
        <f aca="false">FE38</f>
        <v>531.9</v>
      </c>
      <c r="FT38" s="1129" t="n">
        <f aca="false">FF38</f>
        <v>1773</v>
      </c>
      <c r="FU38" s="1129" t="n">
        <f aca="false">FG38</f>
        <v>531.9</v>
      </c>
      <c r="FV38" s="1170" t="n">
        <f aca="false">FH38</f>
        <v>0</v>
      </c>
      <c r="FW38" s="1115" t="n">
        <f aca="false">IF(ER38&gt;0,MIN(FB38-FP38,BL38),0)</f>
        <v>0</v>
      </c>
      <c r="FX38" s="1115" t="n">
        <f aca="false">IF(ES38&gt;0,MIN(FD38-FR38,BM38),0)</f>
        <v>0</v>
      </c>
      <c r="FY38" s="1115" t="n">
        <f aca="false">IF(ET38&gt;0,MIN(FF38-FT38,BN38),0)</f>
        <v>0</v>
      </c>
      <c r="FZ38" s="1143" t="n">
        <f aca="false">IF(EU38&gt;0,MIN(FH38-FV38,BO38),0)</f>
        <v>0</v>
      </c>
      <c r="GA38" s="1132" t="n">
        <f aca="false">(SUM(FP38:FV38)+SUM(GU38:HB38)/(1-Summary!$O$25))*CY38/1000</f>
        <v>235216.991424931</v>
      </c>
      <c r="GB38" s="1133" t="n">
        <f aca="false">IF($C38&lt;Summary!$M$81,+Summary!$O$81,VLOOKUP(C38,GasTable,19))</f>
        <v>2.4</v>
      </c>
      <c r="GC38" s="1134" t="n">
        <f aca="false">IF(H38&lt;=Summary!$N$84,MIN(GA38,Summary!$O$75*(H38-G38+1)),0)</f>
        <v>155000</v>
      </c>
      <c r="GD38" s="1135" t="n">
        <f aca="false">IF(Summary!$O$75*(H38-G38+1)*0.8&gt;GC38,1,0)</f>
        <v>0</v>
      </c>
      <c r="GE38" s="1136" t="n">
        <v>0</v>
      </c>
      <c r="GF38" s="1134" t="n">
        <f aca="false">ABS(MIN(0,GC38-$GA38))</f>
        <v>80216.9914249312</v>
      </c>
      <c r="GG38" s="1135" t="n">
        <f aca="false">GF38*(IF(Summary!$O$74=1,VLOOKUP($C38,GasTable,16)+Summary!$O$92+Summary!$O$93,VLOOKUP($C38,GasTable,19)+Summary!$O$92+Summary!$O$93))</f>
        <v>235612.323384349</v>
      </c>
      <c r="GH38" s="1137" t="n">
        <v>21421</v>
      </c>
      <c r="GI38" s="1138" t="n">
        <v>0</v>
      </c>
      <c r="GJ38" s="1139" t="n">
        <f aca="false">+GB38*GC38+GE38+GG38+GH38-GI38</f>
        <v>629033.323384349</v>
      </c>
      <c r="GK38" s="1115" t="n">
        <f aca="false">SUM(FP38:FV38,GU38:GX38,GY38:HB38)</f>
        <v>30062.01285</v>
      </c>
      <c r="GL38" s="1140" t="n">
        <v>0.757210741376</v>
      </c>
      <c r="GM38" s="1141" t="n">
        <f aca="false">IF(GK38&gt;GC38/(CY38/1000),GC38/(CY38/1000),+GK38)*GL38</f>
        <v>15221</v>
      </c>
      <c r="GN38" s="1115" t="n">
        <f aca="false">IF(SUM(GU38:HB38)=0,0,IF(Summary!$O$16="Yes",SUM(GX38:HB38),IF(Summary!$O$17="Yes",SUM(GY38:HB38),SUM(GU38:HB38))))</f>
        <v>12199.03785</v>
      </c>
      <c r="GO38" s="1142" t="n">
        <v>5.71879306569343</v>
      </c>
      <c r="GP38" s="1143" t="n">
        <f aca="false">GN38*GO38</f>
        <v>69763.7730647117</v>
      </c>
      <c r="GQ38" s="1115"/>
      <c r="GR38" s="1115"/>
      <c r="GS38" s="1115"/>
      <c r="GT38" s="1115"/>
      <c r="GU38" s="1150" t="n">
        <v>5902.76025</v>
      </c>
      <c r="GV38" s="1115" t="n">
        <v>1026.567</v>
      </c>
      <c r="GW38" s="1115" t="n">
        <v>1026.567</v>
      </c>
      <c r="GX38" s="1115"/>
      <c r="GY38" s="1151" t="n">
        <v>3148.1388</v>
      </c>
      <c r="GZ38" s="1115" t="n">
        <v>547.5024</v>
      </c>
      <c r="HA38" s="1115" t="n">
        <v>547.5024</v>
      </c>
      <c r="HB38" s="1141"/>
      <c r="HC38" s="1115" t="n">
        <v>12199.03785</v>
      </c>
      <c r="HD38" s="1115"/>
      <c r="HE38" s="1115" t="n">
        <v>20950.521525</v>
      </c>
      <c r="HF38" s="1115" t="n">
        <v>599401.993084092</v>
      </c>
      <c r="HG38" s="1115"/>
      <c r="HH38" s="1142" t="n">
        <v>48.3580414512987</v>
      </c>
      <c r="HI38" s="1115" t="n">
        <v>1013126.18833228</v>
      </c>
      <c r="HJ38" s="1150" t="n">
        <f aca="false">MAX(FB38-FP38-FW38,0)</f>
        <v>0</v>
      </c>
      <c r="HK38" s="1115" t="n">
        <f aca="false">MAX(FD38-FR38-FX38,0)</f>
        <v>0</v>
      </c>
      <c r="HL38" s="1115" t="n">
        <f aca="false">MAX(FF38-FT38-FY38,0)</f>
        <v>0</v>
      </c>
      <c r="HM38" s="1141" t="n">
        <f aca="false">MAX(FH38-FV38-FZ38,0)</f>
        <v>0</v>
      </c>
      <c r="HN38" s="1115" t="n">
        <f aca="false">SUM(HJ38:HM38)</f>
        <v>0</v>
      </c>
      <c r="HO38" s="1142" t="n">
        <f aca="false">IF(ISERROR(+HP38/HN38),0,+HP38/HN38)</f>
        <v>0</v>
      </c>
      <c r="HP38" s="1143" t="n">
        <f aca="false">(HJ38*CE38+HK38*CF38+HL38*CG38+HM38*CH38)</f>
        <v>0</v>
      </c>
      <c r="HQ38" s="1146" t="n">
        <v>2020</v>
      </c>
      <c r="HR38" s="1150" t="e">
        <f aca="false">SUMIF($D$17:$D$292,HQ38,$FB$17:$FB$292)+SUMIF($D$17:$D$292,HQ38,$FC$17:$FC$292)+SUMIF($D$17:$D$292,HQ38,$FD$17:$FD$292)+SUMIF($D$17:$D$292,HQ38,$FE$17:$FE$292)+SUMIF($D$17:$D$292,HQ38,$FF$17:$FF$292)+SUMIF($D$17:$D$292,HQ38,$FG$17:$FG$292)+SUMIF($D$17:$D$292,HQ38,$FH$17:$FH$292)</f>
        <v>#VALUE!</v>
      </c>
      <c r="HS38" s="1110" t="e">
        <f aca="false">IF(HT38=0,0,HT38/HR38)</f>
        <v>#VALUE!</v>
      </c>
      <c r="HT38" s="1141" t="e">
        <f aca="false">SUMIF($D$17:$D$292,HQ38,$FO$17:$FO$292)</f>
        <v>#VALUE!</v>
      </c>
      <c r="HU38" s="1151" t="n">
        <v>97215.8949</v>
      </c>
      <c r="HV38" s="1142" t="n">
        <v>53.8420406073886</v>
      </c>
      <c r="HW38" s="1115" t="n">
        <v>5234302.16088942</v>
      </c>
      <c r="HX38" s="1171" t="n">
        <v>0</v>
      </c>
      <c r="HY38" s="1143" t="e">
        <f aca="false">HT38+HW38+HX38</f>
        <v>#VALUE!</v>
      </c>
      <c r="HZ38" s="1150" t="n">
        <v>2370185.40221145</v>
      </c>
      <c r="IA38" s="1142" t="n">
        <v>-4.15697010029243</v>
      </c>
      <c r="IB38" s="1141" t="n">
        <v>-9852789.84914259</v>
      </c>
      <c r="IC38" s="1151" t="n">
        <v>301332.5199</v>
      </c>
      <c r="ID38" s="1142" t="e">
        <f aca="false">IF(IE38=0,0,IE38/IC38)</f>
        <v>#VALUE!</v>
      </c>
      <c r="IE38" s="1141" t="e">
        <f aca="false">-SUMIF($D$17:$D$292,HQ38,$GM$17:$GM$292)</f>
        <v>#VALUE!</v>
      </c>
      <c r="IF38" s="1115" t="n">
        <f aca="false">SUMIF($D$17:$D$292,HQ38,$GN$17:$GN$292)</f>
        <v>130938.62085</v>
      </c>
      <c r="IG38" s="1142" t="n">
        <f aca="false">IF(IH38=0,0,IH38/IF38)</f>
        <v>-3.19083525654983</v>
      </c>
      <c r="IH38" s="1141" t="n">
        <v>-417803.56785219</v>
      </c>
      <c r="II38" s="1115" t="e">
        <f aca="false">SUMIF($D$17:$D$292,HQ38,$HN$17:$HN$292)</f>
        <v>#VALUE!</v>
      </c>
      <c r="IJ38" s="1142" t="e">
        <f aca="false">IF(IK38=0,0,IK38/II38)</f>
        <v>#VALUE!</v>
      </c>
      <c r="IK38" s="1115" t="e">
        <f aca="false">-SUMIF($D$17:$D$292,HQ38,$HP$17:$HP$292)</f>
        <v>#VALUE!</v>
      </c>
      <c r="IL38" s="1152" t="e">
        <f aca="false">HY38+IB38+IE38+IH38</f>
        <v>#VALUE!</v>
      </c>
      <c r="IN38" s="222"/>
      <c r="IO38" s="162"/>
      <c r="IR38" s="844"/>
    </row>
    <row r="39" customFormat="false" ht="13.5" hidden="false" customHeight="false" outlineLevel="0" collapsed="false">
      <c r="A39" s="0" t="str">
        <f aca="false">+D39&amp;"Q"&amp;ROUNDUP(E39/3,0)</f>
        <v>2001Q4</v>
      </c>
      <c r="B39" s="0" t="n">
        <f aca="false">YEAR(C39)</f>
        <v>2001</v>
      </c>
      <c r="C39" s="1153" t="n">
        <f aca="false">EOMONTH(C38,0)+1</f>
        <v>37196</v>
      </c>
      <c r="D39" s="841" t="n">
        <f aca="false">+YEAR(C39)</f>
        <v>2001</v>
      </c>
      <c r="E39" s="807" t="n">
        <f aca="false">MONTH(C39)</f>
        <v>11</v>
      </c>
      <c r="F39" s="1154" t="e">
        <f aca="false">IF(G39="","",Holiday(D39,E39))</f>
        <v>#VALUE!</v>
      </c>
      <c r="G39" s="1155" t="n">
        <v>37196</v>
      </c>
      <c r="H39" s="1156" t="n">
        <v>37225</v>
      </c>
      <c r="I39" s="1157" t="n">
        <f aca="false">I38</f>
        <v>0.0715</v>
      </c>
      <c r="J39" s="1158" t="n">
        <f aca="false">(1+I39/2)^(-2*(DATE(D40,E40,20)-$H$7)/365.25)</f>
        <v>0.868002165810118</v>
      </c>
      <c r="K39" s="1159" t="e">
        <f aca="false">IF(#REF!=1,+#REF!,I39+#REF!/10000)</f>
        <v>#REF!</v>
      </c>
      <c r="L39" s="1158" t="e">
        <f aca="false">(1+K39/2)^(-2*(DATE(D40,E40,20)-$H$7)/365.25)</f>
        <v>#REF!</v>
      </c>
      <c r="M39" s="1082" t="n">
        <v>0</v>
      </c>
      <c r="N39" s="1110" t="n">
        <f aca="false">M39</f>
        <v>0</v>
      </c>
      <c r="O39" s="1174" t="n">
        <f aca="false">N39</f>
        <v>0</v>
      </c>
      <c r="P39" s="1175" t="n">
        <f aca="false">M39</f>
        <v>0</v>
      </c>
      <c r="Q39" s="1110" t="n">
        <f aca="false">P39</f>
        <v>0</v>
      </c>
      <c r="R39" s="1174" t="n">
        <f aca="false">Q39</f>
        <v>0</v>
      </c>
      <c r="S39" s="1110" t="n">
        <f aca="false">R39</f>
        <v>0</v>
      </c>
      <c r="T39" s="1110" t="n">
        <f aca="false">S39</f>
        <v>0</v>
      </c>
      <c r="U39" s="1110" t="n">
        <f aca="false">T39</f>
        <v>0</v>
      </c>
      <c r="V39" s="1175" t="n">
        <f aca="false">U39</f>
        <v>0</v>
      </c>
      <c r="W39" s="1110" t="n">
        <f aca="false">V39</f>
        <v>0</v>
      </c>
      <c r="X39" s="1176" t="n">
        <f aca="false">W39</f>
        <v>0</v>
      </c>
      <c r="Y39" s="1086" t="n">
        <v>0</v>
      </c>
      <c r="Z39" s="1086" t="n">
        <v>0</v>
      </c>
      <c r="AA39" s="1087" t="n">
        <v>0</v>
      </c>
      <c r="AB39" s="1086" t="n">
        <v>0</v>
      </c>
      <c r="AC39" s="1086" t="n">
        <v>0</v>
      </c>
      <c r="AD39" s="1087" t="n">
        <v>0</v>
      </c>
      <c r="AE39" s="1086" t="n">
        <v>0</v>
      </c>
      <c r="AF39" s="1086" t="n">
        <v>0</v>
      </c>
      <c r="AG39" s="1087" t="n">
        <v>0</v>
      </c>
      <c r="AH39" s="1086" t="n">
        <v>0</v>
      </c>
      <c r="AI39" s="1086" t="n">
        <v>0</v>
      </c>
      <c r="AJ39" s="1087" t="n">
        <v>0</v>
      </c>
      <c r="AK39" s="1086" t="n">
        <v>0</v>
      </c>
      <c r="AL39" s="1086" t="n">
        <v>0</v>
      </c>
      <c r="AM39" s="1087" t="n">
        <v>0</v>
      </c>
      <c r="AN39" s="1086" t="n">
        <v>0</v>
      </c>
      <c r="AO39" s="1086" t="n">
        <v>0</v>
      </c>
      <c r="AP39" s="1087" t="n">
        <v>0</v>
      </c>
      <c r="AQ39" s="1086" t="n">
        <v>0</v>
      </c>
      <c r="AR39" s="1086" t="n">
        <v>0</v>
      </c>
      <c r="AS39" s="1087" t="n">
        <v>0</v>
      </c>
      <c r="AT39" s="1086" t="n">
        <v>0</v>
      </c>
      <c r="AU39" s="1086" t="n">
        <v>0</v>
      </c>
      <c r="AV39" s="1086" t="n">
        <v>0</v>
      </c>
      <c r="AW39" s="1172" t="n">
        <v>0</v>
      </c>
      <c r="AX39" s="807" t="e">
        <f aca="false">BB39-SUM(AY39:BA39)</f>
        <v>#VALUE!</v>
      </c>
      <c r="AY39" s="807" t="e">
        <f aca="false">IF(AND($E39=MONTH(Summary!$E$24),$D39=YEAR(Summary!$E$24)),Summary!$E$25,1)*IF(G39="",0,INT((H39-MOD(H39,7)-G39)/7)+1-IF(BA39,IF(WEEKDAY(F39)=7,1,0),0))</f>
        <v>#VALUE!</v>
      </c>
      <c r="AZ39" s="807" t="e">
        <f aca="false">IF(AND($E39=MONTH(Summary!$E$24),$D39=YEAR(Summary!$E$24)),Summary!$E$25,1)*IF(G39="",0,INT((H39-MOD(H39-1,7)-G39)/7)+1-IF(BA39,IF(WEEKDAY(F39)=1,1,0),0))</f>
        <v>#VALUE!</v>
      </c>
      <c r="BA39" s="807" t="n">
        <v>1</v>
      </c>
      <c r="BB39" s="807" t="n">
        <f aca="false">IF(AND($E39=MONTH(Summary!$E$24),$D39=YEAR(Summary!$E$24)),Summary!$E$25,1)*IF(G39="",0,H39-G39+1)</f>
        <v>30</v>
      </c>
      <c r="BC39" s="1089" t="n">
        <f aca="false">Summary!$E$19</f>
        <v>0.015</v>
      </c>
      <c r="BD39" s="1090" t="n">
        <v>14893.2</v>
      </c>
      <c r="BE39" s="1091" t="n">
        <v>2836.8</v>
      </c>
      <c r="BF39" s="1091" t="n">
        <v>3546</v>
      </c>
      <c r="BG39" s="842"/>
      <c r="BH39" s="1092" t="n">
        <v>1</v>
      </c>
      <c r="BI39" s="1092" t="n">
        <v>1</v>
      </c>
      <c r="BJ39" s="1092" t="n">
        <v>1</v>
      </c>
      <c r="BK39" s="1092" t="n">
        <v>1</v>
      </c>
      <c r="BL39" s="1093" t="n">
        <v>2978.64</v>
      </c>
      <c r="BM39" s="1091" t="n">
        <v>567.36</v>
      </c>
      <c r="BN39" s="1091" t="n">
        <v>709.2</v>
      </c>
      <c r="BO39" s="842"/>
      <c r="BP39" s="1092" t="n">
        <v>1</v>
      </c>
      <c r="BQ39" s="1094" t="n">
        <v>1</v>
      </c>
      <c r="BR39" s="1094" t="n">
        <v>1</v>
      </c>
      <c r="BS39" s="1095" t="n">
        <v>1</v>
      </c>
      <c r="BT39" s="1093" t="n">
        <f aca="false">SUM(BD39:BF39)</f>
        <v>21276</v>
      </c>
      <c r="BU39" s="1098" t="n">
        <f aca="false">SUM(BD39:BG39)</f>
        <v>21276</v>
      </c>
      <c r="BV39" s="1090" t="n">
        <f aca="false">SUM(BL39:BN39)</f>
        <v>4255.2</v>
      </c>
      <c r="BW39" s="1098" t="n">
        <f aca="false">SUM(BL39:BO39)</f>
        <v>4255.2</v>
      </c>
      <c r="BX39" s="852" t="n">
        <v>1.88090349075975</v>
      </c>
      <c r="BY39" s="1099" t="n">
        <v>0</v>
      </c>
      <c r="BZ39" s="852" t="n">
        <v>0</v>
      </c>
      <c r="CA39" s="852" t="n">
        <v>0</v>
      </c>
      <c r="CB39" s="852" t="n">
        <v>0</v>
      </c>
      <c r="CC39" s="852" t="n">
        <v>0</v>
      </c>
      <c r="CD39" s="852" t="n">
        <v>0</v>
      </c>
      <c r="CE39" s="1100" t="n">
        <v>0</v>
      </c>
      <c r="CF39" s="852" t="n">
        <v>0</v>
      </c>
      <c r="CG39" s="852" t="n">
        <v>0</v>
      </c>
      <c r="CH39" s="852" t="n">
        <v>0</v>
      </c>
      <c r="CI39" s="852" t="n">
        <v>0</v>
      </c>
      <c r="CJ39" s="1101" t="n">
        <v>0</v>
      </c>
      <c r="CK39" s="852" t="n">
        <v>0</v>
      </c>
      <c r="CL39" s="852" t="n">
        <v>0</v>
      </c>
      <c r="CM39" s="852" t="n">
        <v>0</v>
      </c>
      <c r="CN39" s="852" t="n">
        <v>0</v>
      </c>
      <c r="CO39" s="852" t="n">
        <v>0</v>
      </c>
      <c r="CP39" s="852" t="n">
        <v>0</v>
      </c>
      <c r="CQ39" s="1102" t="n">
        <v>0</v>
      </c>
      <c r="CR39" s="1103" t="n">
        <v>0</v>
      </c>
      <c r="CS39" s="1103" t="n">
        <v>0</v>
      </c>
      <c r="CT39" s="1103" t="n">
        <v>0</v>
      </c>
      <c r="CU39" s="1103" t="n">
        <v>0</v>
      </c>
      <c r="CV39" s="1103" t="n">
        <v>0</v>
      </c>
      <c r="CW39" s="1103" t="n">
        <v>0</v>
      </c>
      <c r="CX39" s="1104" t="n">
        <v>0</v>
      </c>
      <c r="CY39" s="1105" t="n">
        <v>7712.858</v>
      </c>
      <c r="CZ39" s="1099" t="n">
        <v>0</v>
      </c>
      <c r="DA39" s="852" t="n">
        <v>0</v>
      </c>
      <c r="DB39" s="852" t="n">
        <v>0</v>
      </c>
      <c r="DC39" s="852" t="n">
        <v>0</v>
      </c>
      <c r="DD39" s="852" t="n">
        <v>0</v>
      </c>
      <c r="DE39" s="1113" t="n">
        <v>0</v>
      </c>
      <c r="DF39" s="1109" t="n">
        <v>0</v>
      </c>
      <c r="DG39" s="1110" t="n">
        <v>0</v>
      </c>
      <c r="DH39" s="1111" t="n">
        <v>0</v>
      </c>
      <c r="DI39" s="1112" t="n">
        <v>0</v>
      </c>
      <c r="DJ39" s="1112" t="n">
        <v>0</v>
      </c>
      <c r="DK39" s="1112" t="n">
        <v>0</v>
      </c>
      <c r="DL39" s="1113" t="n">
        <v>0</v>
      </c>
      <c r="DM39" s="1114" t="n">
        <v>0</v>
      </c>
      <c r="DN39" s="1114" t="n">
        <v>0</v>
      </c>
      <c r="DO39" s="1114" t="n">
        <v>0</v>
      </c>
      <c r="DP39" s="1114" t="n">
        <v>0</v>
      </c>
      <c r="DQ39" s="1114" t="n">
        <v>0</v>
      </c>
      <c r="DR39" s="1109" t="n">
        <v>0</v>
      </c>
      <c r="DS39" s="852" t="n">
        <v>0</v>
      </c>
      <c r="DT39" s="852" t="n">
        <v>0</v>
      </c>
      <c r="DU39" s="852" t="n">
        <v>0</v>
      </c>
      <c r="DV39" s="852" t="n">
        <v>0</v>
      </c>
      <c r="DW39" s="852" t="n">
        <v>0</v>
      </c>
      <c r="DX39" s="852" t="n">
        <v>0</v>
      </c>
      <c r="DY39" s="852" t="n">
        <v>0</v>
      </c>
      <c r="DZ39" s="852" t="n">
        <v>0</v>
      </c>
      <c r="EA39" s="852" t="n">
        <v>0</v>
      </c>
      <c r="EB39" s="1113" t="n">
        <v>0</v>
      </c>
      <c r="EC39" s="1115" t="n">
        <f aca="false">DS39*BD39</f>
        <v>0</v>
      </c>
      <c r="ED39" s="1115" t="n">
        <f aca="false">DT39*BE39</f>
        <v>0</v>
      </c>
      <c r="EE39" s="1115" t="n">
        <f aca="false">DU39*BF39</f>
        <v>0</v>
      </c>
      <c r="EF39" s="1115" t="n">
        <f aca="false">DV39*BG39</f>
        <v>0</v>
      </c>
      <c r="EG39" s="1115" t="n">
        <f aca="false">DS39*BD39+DT39*BE39+DU39*BF39+DV39*BG39</f>
        <v>0</v>
      </c>
      <c r="EH39" s="1116" t="n">
        <v>0</v>
      </c>
      <c r="EI39" s="1117" t="n">
        <v>0</v>
      </c>
      <c r="EJ39" s="1117" t="n">
        <v>0</v>
      </c>
      <c r="EK39" s="1117" t="n">
        <v>0</v>
      </c>
      <c r="EL39" s="1118" t="n">
        <f aca="false">IF(C39&gt;=Summary!$E$26,MAX(0,SUM(EH39:EK39)),0)</f>
        <v>0</v>
      </c>
      <c r="EM39" s="1115" t="n">
        <f aca="false">IF(C39&gt;=Summary!$E$26,DX39*BL39,0)</f>
        <v>0</v>
      </c>
      <c r="EN39" s="1115" t="n">
        <f aca="false">IF(C39&gt;=Summary!$E$26,DY39*BM39,0)</f>
        <v>0</v>
      </c>
      <c r="EO39" s="1115" t="n">
        <f aca="false">IF(C39&gt;=Summary!$E$26,DZ39*BN39,0)</f>
        <v>0</v>
      </c>
      <c r="EP39" s="1115" t="n">
        <f aca="false">IF(C39&gt;=Summary!$E$26,EA39*BO39,0)</f>
        <v>0</v>
      </c>
      <c r="EQ39" s="1115" t="n">
        <f aca="false">IF(C39&gt;=Summary!$E$26,DX39*BL39+DY39*BM39+DZ39*BN39+EA39*BO39,0)</f>
        <v>0</v>
      </c>
      <c r="ER39" s="1119" t="n">
        <v>0</v>
      </c>
      <c r="ES39" s="1120" t="n">
        <v>0</v>
      </c>
      <c r="ET39" s="1120" t="n">
        <v>0</v>
      </c>
      <c r="EU39" s="1120" t="n">
        <v>0</v>
      </c>
      <c r="EV39" s="1143" t="n">
        <f aca="false">IF(C39&gt;=Summary!$E$26,MAX(0,SUM(ER39:EU39)),0)</f>
        <v>0</v>
      </c>
      <c r="EW39" s="1115"/>
      <c r="EX39" s="1165" t="n">
        <f aca="false">(EQ39-EV39)+IF(EZ39="Yes",(EG39-EL39),0)</f>
        <v>0</v>
      </c>
      <c r="EY39" s="1166" t="str">
        <f aca="false">IF(EX39,EX39/EQ39,"")</f>
        <v/>
      </c>
      <c r="EZ39" s="1122" t="s">
        <v>37</v>
      </c>
      <c r="FA39" s="1096" t="n">
        <f aca="false">FA38</f>
        <v>45</v>
      </c>
      <c r="FB39" s="1167" t="e">
        <f aca="false">IF(EZ39="No",IF((OR(MONTH(C39)=5,MONTH(C39)=6,MONTH(C39)=7,MONTH(C39)=8,MONTH(C39)=9)),$FA39*12*AX39*(1-$BC39),$FA39*10*AX39*(1-$BC39)),0)</f>
        <v>#VALUE!</v>
      </c>
      <c r="FC39" s="1129" t="e">
        <f aca="false">IF(EZ39="No",IF((OR(MONTH(C39)=5,MONTH(C39)=6,MONTH(C39)=7,MONTH(C39)=8,MONTH(C39)=9)),0,$FA39*3*AX39*(1-$BC39)),0)</f>
        <v>#VALUE!</v>
      </c>
      <c r="FD39" s="1129" t="e">
        <f aca="false">IF(EZ39="No",IF((OR(MONTH(C39)=5,MONTH(C39)=6,MONTH(C39)=7,MONTH(C39)=8,MONTH(C39)=9)),$FA39*12*AY39*(1-$BC39),$FA39*10*AY39*(1-$BC39)),0)</f>
        <v>#VALUE!</v>
      </c>
      <c r="FE39" s="1129" t="e">
        <f aca="false">IF(EZ39="No",IF((OR(MONTH(C39)=5,MONTH(C39)=6,MONTH(C39)=7,MONTH(C39)=8,MONTH(C39)=9)),0,$FA39*3*AY39*(1-$BC39)),0)</f>
        <v>#VALUE!</v>
      </c>
      <c r="FF39" s="1129" t="e">
        <f aca="false">IF(EZ39="No",IF((OR(MONTH(C39)=5,MONTH(C39)=6,MONTH(C39)=7,MONTH(C39)=8,MONTH(C39)=9)),$FA39*12*(AZ39+BA39)*(1-$BC39),$FA39*10*(AZ39+BA39)*(1-$BC39)),0)</f>
        <v>#VALUE!</v>
      </c>
      <c r="FG39" s="1129" t="e">
        <f aca="false">IF(EZ39="No",IF((OR(MONTH(C39)=5,MONTH(C39)=6,MONTH(C39)=7,MONTH(C39)=8,MONTH(C39)=9)),0,$FA39*3*(AZ39+BA39)*(1-$BC39)),0)</f>
        <v>#VALUE!</v>
      </c>
      <c r="FH39" s="1129" t="e">
        <f aca="false">IF(EZ39="No",IF((OR(MONTH(C39)=5,MONTH(C39)=6,MONTH(C39)=7,MONTH(C39)=8,MONTH(C39)=9)),Summary!$O$15*12*(AX39+AY39+AZ39+BA39)*(1-$BC39),Summary!$O$15*13*(AX39+AY39+AZ39+BA39)*(1-$BC39)+IF(Summary!$O$16="Yes",(CALC!FA39+Summary!$O$15)*6*(AX39+AY39+AZ39+BA39)*(1-$BC39),0)),0)</f>
        <v>#VALUE!</v>
      </c>
      <c r="FI39" s="1126" t="n">
        <f aca="false">IF(MONTH(C39)=5,FI38*(IF(Summary!$E$70="no",(1+(Summary!$E$71*0.8)),1+HLOOKUP(YEAR(C39)-1,CCFMODEL!$I$127:$AF$128,2)*0.8)),+FI38)</f>
        <v>27.8948213722628</v>
      </c>
      <c r="FJ39" s="1127" t="n">
        <f aca="false">IF(MONTH(C39)=5,FJ38*(IF(Summary!$E$70="no",(1+(Summary!$E$71*0.8)),1+HLOOKUP(YEAR(CALC!C39)-1,CCFMODEL!$I$127:$AF$128,2)*0.8)),FJ38)</f>
        <v>24.3805131678832</v>
      </c>
      <c r="FK39" s="1128" t="e">
        <f aca="false">SUM(FB39:FG39)*FI39+FH39*FJ39</f>
        <v>#VALUE!</v>
      </c>
      <c r="FL39" s="1126" t="n">
        <f aca="false">IF(MONTH(C39)=5,FL38*(IF(Summary!$E$70="no",(1+(Summary!$E$71*0.8)),1+HLOOKUP(YEAR(CALC!C39)-1,CCFMODEL!$I$127:$AF$128,2)*0.8)),+FL38)</f>
        <v>58.6659366618005</v>
      </c>
      <c r="FM39" s="1127" t="n">
        <f aca="false">IF(MONTH(C39)=5,FM38*(IF(Summary!$E$70="no",(1+(Summary!$E$71*0.8)),1+HLOOKUP(YEAR(CALC!C39)-1,CCFMODEL!$I$127:$AF$128,2)*0.8)),+FM38)</f>
        <v>27.9994138783455</v>
      </c>
      <c r="FN39" s="1128" t="e">
        <f aca="false">IF((OR(MONTH(C39)=5,MONTH(C39)=6,MONTH(C39)=7,MONTH(C39)=8,MONTH(C39)=9)),SUM(FB39:FG39)/(1-BC39)*FL39,SUM(FB39:FG39)/(1-BC39)*FM39)</f>
        <v>#VALUE!</v>
      </c>
      <c r="FO39" s="1129" t="e">
        <f aca="false">FK39+FN39</f>
        <v>#VALUE!</v>
      </c>
      <c r="FP39" s="1169" t="e">
        <f aca="false">FB39</f>
        <v>#VALUE!</v>
      </c>
      <c r="FQ39" s="1129" t="e">
        <f aca="false">FC39</f>
        <v>#VALUE!</v>
      </c>
      <c r="FR39" s="1129" t="e">
        <f aca="false">FD39</f>
        <v>#VALUE!</v>
      </c>
      <c r="FS39" s="1129" t="e">
        <f aca="false">FE39</f>
        <v>#VALUE!</v>
      </c>
      <c r="FT39" s="1129" t="e">
        <f aca="false">FF39</f>
        <v>#VALUE!</v>
      </c>
      <c r="FU39" s="1129" t="e">
        <f aca="false">FG39</f>
        <v>#VALUE!</v>
      </c>
      <c r="FV39" s="1170" t="e">
        <f aca="false">FH39</f>
        <v>#VALUE!</v>
      </c>
      <c r="FW39" s="1115" t="n">
        <f aca="false">IF(ER39&gt;0,MIN(FB39-FP39,BL39),0)</f>
        <v>0</v>
      </c>
      <c r="FX39" s="1115" t="n">
        <f aca="false">IF(ES39&gt;0,MIN(FD39-FR39,BM39),0)</f>
        <v>0</v>
      </c>
      <c r="FY39" s="1115" t="n">
        <f aca="false">IF(ET39&gt;0,MIN(FF39-FT39,BN39),0)</f>
        <v>0</v>
      </c>
      <c r="FZ39" s="1143" t="n">
        <f aca="false">IF(EU39&gt;0,MIN(FH39-FV39,BO39),0)</f>
        <v>0</v>
      </c>
      <c r="GA39" s="1132" t="e">
        <f aca="false">(SUM(FP39:FV39)+SUM(GU39:HB39)/(1-Summary!$O$25))*CY39/1000</f>
        <v>#VALUE!</v>
      </c>
      <c r="GB39" s="1133" t="n">
        <f aca="false">IF($C39&lt;Summary!$M$81,+Summary!$O$81,VLOOKUP(C39,GasTable,19))</f>
        <v>2.4</v>
      </c>
      <c r="GC39" s="1134" t="e">
        <f aca="false">IF(H39&lt;=Summary!$N$84,MIN(GA39,Summary!$O$75*(H39-G39+1)),0)</f>
        <v>#VALUE!</v>
      </c>
      <c r="GD39" s="1135" t="e">
        <f aca="false">IF(Summary!$O$75*(H39-G39+1)*0.8&gt;GC39,1,0)</f>
        <v>#VALUE!</v>
      </c>
      <c r="GE39" s="1136" t="n">
        <v>0</v>
      </c>
      <c r="GF39" s="1134" t="e">
        <f aca="false">ABS(MIN(0,GC39-$GA39))</f>
        <v>#VALUE!</v>
      </c>
      <c r="GG39" s="1135" t="e">
        <f aca="false">GF39*(IF(Summary!$O$74=1,VLOOKUP($C39,GasTable,16)+Summary!$O$92+Summary!$O$93,VLOOKUP($C39,GasTable,19)+Summary!$O$92+Summary!$O$93))</f>
        <v>#VALUE!</v>
      </c>
      <c r="GH39" s="1137" t="n">
        <v>21312</v>
      </c>
      <c r="GI39" s="1138" t="n">
        <v>0</v>
      </c>
      <c r="GJ39" s="1139" t="e">
        <f aca="false">+GB39*GC39+GE39+GG39+GH39-GI39</f>
        <v>#VALUE!</v>
      </c>
      <c r="GK39" s="1115" t="e">
        <f aca="false">SUM(FP39:FV39,GU39:GX39,GY39:HB39)</f>
        <v>#VALUE!</v>
      </c>
      <c r="GL39" s="1140" t="n">
        <v>0.7574026556</v>
      </c>
      <c r="GM39" s="1141" t="e">
        <f aca="false">IF(GK39&gt;GC39/(CY39/1000),GC39/(CY39/1000),+GK39)*GL39</f>
        <v>#VALUE!</v>
      </c>
      <c r="GN39" s="1115" t="n">
        <f aca="false">IF(SUM(GU39:HB39)=0,0,IF(Summary!$O$16="Yes",SUM(GX39:HB39),IF(Summary!$O$17="Yes",SUM(GY39:HB39),SUM(GU39:HB39))))</f>
        <v>11805.5205</v>
      </c>
      <c r="GO39" s="1142" t="n">
        <v>5.71879306569343</v>
      </c>
      <c r="GP39" s="1143" t="n">
        <f aca="false">GN39*GO39</f>
        <v>67513.3287723017</v>
      </c>
      <c r="GQ39" s="1115"/>
      <c r="GR39" s="1115"/>
      <c r="GS39" s="1115"/>
      <c r="GT39" s="1115"/>
      <c r="GU39" s="1150" t="n">
        <v>5389.47675</v>
      </c>
      <c r="GV39" s="1115" t="n">
        <v>1026.567</v>
      </c>
      <c r="GW39" s="1115" t="n">
        <v>1283.20875</v>
      </c>
      <c r="GX39" s="1115"/>
      <c r="GY39" s="1151" t="n">
        <v>2874.3876</v>
      </c>
      <c r="GZ39" s="1115" t="n">
        <v>547.5024</v>
      </c>
      <c r="HA39" s="1115" t="n">
        <v>684.378</v>
      </c>
      <c r="HB39" s="1141"/>
      <c r="HC39" s="1115" t="n">
        <v>11805.5205</v>
      </c>
      <c r="HD39" s="1115"/>
      <c r="HE39" s="1115" t="n">
        <v>20274.69825</v>
      </c>
      <c r="HF39" s="1115" t="n">
        <v>493679.378615648</v>
      </c>
      <c r="HG39" s="1115"/>
      <c r="HH39" s="1142" t="n">
        <v>41.5715016126314</v>
      </c>
      <c r="HI39" s="1115" t="n">
        <v>842849.650995489</v>
      </c>
      <c r="HJ39" s="1150" t="e">
        <f aca="false">MAX(FB39-FP39-FW39,0)</f>
        <v>#VALUE!</v>
      </c>
      <c r="HK39" s="1115" t="e">
        <f aca="false">MAX(FD39-FR39-FX39,0)</f>
        <v>#VALUE!</v>
      </c>
      <c r="HL39" s="1115" t="e">
        <f aca="false">MAX(FF39-FT39-FY39,0)</f>
        <v>#VALUE!</v>
      </c>
      <c r="HM39" s="1141" t="e">
        <f aca="false">MAX(FH39-FV39-FZ39,0)</f>
        <v>#VALUE!</v>
      </c>
      <c r="HN39" s="1115" t="e">
        <f aca="false">SUM(HJ39:HM39)</f>
        <v>#VALUE!</v>
      </c>
      <c r="HO39" s="1142" t="n">
        <f aca="false">IF(ISERROR(+HP39/HN39),0,+HP39/HN39)</f>
        <v>0</v>
      </c>
      <c r="HP39" s="1143" t="e">
        <f aca="false">(HJ39*CE39+HK39*CF39+HL39*CG39+HM39*CH39)</f>
        <v>#VALUE!</v>
      </c>
      <c r="HQ39" s="1146" t="n">
        <v>2021</v>
      </c>
      <c r="HR39" s="1150" t="e">
        <f aca="false">SUMIF($D$17:$D$292,HQ39,$FB$17:$FB$292)+SUMIF($D$17:$D$292,HQ39,$FC$17:$FC$292)+SUMIF($D$17:$D$292,HQ39,$FD$17:$FD$292)+SUMIF($D$17:$D$292,HQ39,$FE$17:$FE$292)+SUMIF($D$17:$D$292,HQ39,$FF$17:$FF$292)+SUMIF($D$17:$D$292,HQ39,$FG$17:$FG$292)+SUMIF($D$17:$D$292,HQ39,$FH$17:$FH$292)</f>
        <v>#VALUE!</v>
      </c>
      <c r="HS39" s="1110" t="e">
        <f aca="false">IF(HT39=0,0,HT39/HR39)</f>
        <v>#VALUE!</v>
      </c>
      <c r="HT39" s="1141" t="e">
        <f aca="false">SUMIF($D$17:$D$292,HQ39,$FO$17:$FO$292)</f>
        <v>#VALUE!</v>
      </c>
      <c r="HU39" s="1151" t="n">
        <v>95676.0444</v>
      </c>
      <c r="HV39" s="1142" t="n">
        <v>55.4576969783802</v>
      </c>
      <c r="HW39" s="1115" t="n">
        <v>5305973.07842525</v>
      </c>
      <c r="HX39" s="1171" t="n">
        <v>0</v>
      </c>
      <c r="HY39" s="1143" t="e">
        <f aca="false">HT39+HW39+HX39</f>
        <v>#VALUE!</v>
      </c>
      <c r="HZ39" s="1150" t="n">
        <v>2360686.85562076</v>
      </c>
      <c r="IA39" s="1142" t="n">
        <v>-4.25860156530771</v>
      </c>
      <c r="IB39" s="1141" t="n">
        <v>-10053224.7385479</v>
      </c>
      <c r="IC39" s="1151" t="n">
        <v>299216.4444</v>
      </c>
      <c r="ID39" s="1142" t="e">
        <f aca="false">IF(IE39=0,0,IE39/IC39)</f>
        <v>#VALUE!</v>
      </c>
      <c r="IE39" s="1141" t="e">
        <f aca="false">-SUMIF($D$17:$D$292,HQ39,$GM$17:$GM$292)</f>
        <v>#VALUE!</v>
      </c>
      <c r="IF39" s="1115" t="n">
        <f aca="false">SUMIF($D$17:$D$292,HQ39,$GN$17:$GN$292)</f>
        <v>130545.1035</v>
      </c>
      <c r="IG39" s="1142" t="n">
        <f aca="false">IF(IH39=0,0,IH39/IF39)</f>
        <v>-3.24425300440407</v>
      </c>
      <c r="IH39" s="1141" t="n">
        <v>-423521.344240115</v>
      </c>
      <c r="II39" s="1115" t="e">
        <f aca="false">SUMIF($D$17:$D$292,HQ39,$HN$17:$HN$292)</f>
        <v>#VALUE!</v>
      </c>
      <c r="IJ39" s="1142" t="e">
        <f aca="false">IF(IK39=0,0,IK39/II39)</f>
        <v>#VALUE!</v>
      </c>
      <c r="IK39" s="1115" t="e">
        <f aca="false">-SUMIF($D$17:$D$292,HQ39,$HP$17:$HP$292)</f>
        <v>#VALUE!</v>
      </c>
      <c r="IL39" s="1152" t="e">
        <f aca="false">HY39+IB39+IE39+IH39</f>
        <v>#VALUE!</v>
      </c>
      <c r="IN39" s="222"/>
      <c r="IO39" s="162"/>
      <c r="IR39" s="844"/>
    </row>
    <row r="40" customFormat="false" ht="13.5" hidden="false" customHeight="false" outlineLevel="0" collapsed="false">
      <c r="A40" s="0" t="str">
        <f aca="false">+D40&amp;"Q"&amp;ROUNDUP(E40/3,0)</f>
        <v>2001Q4</v>
      </c>
      <c r="B40" s="0" t="n">
        <f aca="false">YEAR(C40)</f>
        <v>2001</v>
      </c>
      <c r="C40" s="1153" t="n">
        <f aca="false">EOMONTH(C39,0)+1</f>
        <v>37226</v>
      </c>
      <c r="D40" s="841" t="n">
        <f aca="false">+YEAR(C40)</f>
        <v>2001</v>
      </c>
      <c r="E40" s="807" t="n">
        <f aca="false">MONTH(C40)</f>
        <v>12</v>
      </c>
      <c r="F40" s="1154" t="e">
        <f aca="false">IF(G40="","",Holiday(D40,E40))</f>
        <v>#VALUE!</v>
      </c>
      <c r="G40" s="1155" t="n">
        <v>37226</v>
      </c>
      <c r="H40" s="1156" t="n">
        <v>37256</v>
      </c>
      <c r="I40" s="1157" t="n">
        <f aca="false">I39</f>
        <v>0.0715</v>
      </c>
      <c r="J40" s="1158" t="n">
        <f aca="false">(1+I40/2)^(-2*(DATE(D41,E41,20)-$H$7)/365.25)</f>
        <v>0.862842109663014</v>
      </c>
      <c r="K40" s="1159" t="e">
        <f aca="false">IF(#REF!=1,+#REF!,I40+#REF!/10000)</f>
        <v>#REF!</v>
      </c>
      <c r="L40" s="1158" t="e">
        <f aca="false">(1+K40/2)^(-2*(DATE(D41,E41,20)-$H$7)/365.25)</f>
        <v>#REF!</v>
      </c>
      <c r="M40" s="1082" t="n">
        <v>0</v>
      </c>
      <c r="N40" s="1110" t="n">
        <f aca="false">M40</f>
        <v>0</v>
      </c>
      <c r="O40" s="1174" t="n">
        <f aca="false">N40</f>
        <v>0</v>
      </c>
      <c r="P40" s="1175" t="n">
        <f aca="false">M40</f>
        <v>0</v>
      </c>
      <c r="Q40" s="1110" t="n">
        <f aca="false">P40</f>
        <v>0</v>
      </c>
      <c r="R40" s="1174" t="n">
        <f aca="false">Q40</f>
        <v>0</v>
      </c>
      <c r="S40" s="1110" t="n">
        <f aca="false">R40</f>
        <v>0</v>
      </c>
      <c r="T40" s="1110" t="n">
        <f aca="false">S40</f>
        <v>0</v>
      </c>
      <c r="U40" s="1110" t="n">
        <f aca="false">T40</f>
        <v>0</v>
      </c>
      <c r="V40" s="1175" t="n">
        <f aca="false">U40</f>
        <v>0</v>
      </c>
      <c r="W40" s="1110" t="n">
        <f aca="false">V40</f>
        <v>0</v>
      </c>
      <c r="X40" s="1176" t="n">
        <f aca="false">W40</f>
        <v>0</v>
      </c>
      <c r="Y40" s="1086" t="n">
        <v>0</v>
      </c>
      <c r="Z40" s="1086" t="n">
        <v>0</v>
      </c>
      <c r="AA40" s="1087" t="n">
        <v>0</v>
      </c>
      <c r="AB40" s="1086" t="n">
        <v>0</v>
      </c>
      <c r="AC40" s="1086" t="n">
        <v>0</v>
      </c>
      <c r="AD40" s="1087" t="n">
        <v>0</v>
      </c>
      <c r="AE40" s="1086" t="n">
        <v>0</v>
      </c>
      <c r="AF40" s="1086" t="n">
        <v>0</v>
      </c>
      <c r="AG40" s="1087" t="n">
        <v>0</v>
      </c>
      <c r="AH40" s="1086" t="n">
        <v>0</v>
      </c>
      <c r="AI40" s="1086" t="n">
        <v>0</v>
      </c>
      <c r="AJ40" s="1087" t="n">
        <v>0</v>
      </c>
      <c r="AK40" s="1086" t="n">
        <v>0</v>
      </c>
      <c r="AL40" s="1086" t="n">
        <v>0</v>
      </c>
      <c r="AM40" s="1087" t="n">
        <v>0</v>
      </c>
      <c r="AN40" s="1086" t="n">
        <v>0</v>
      </c>
      <c r="AO40" s="1086" t="n">
        <v>0</v>
      </c>
      <c r="AP40" s="1087" t="n">
        <v>0</v>
      </c>
      <c r="AQ40" s="1086" t="n">
        <v>0</v>
      </c>
      <c r="AR40" s="1086" t="n">
        <v>0</v>
      </c>
      <c r="AS40" s="1087" t="n">
        <v>0</v>
      </c>
      <c r="AT40" s="1086" t="n">
        <v>0</v>
      </c>
      <c r="AU40" s="1086" t="n">
        <v>0</v>
      </c>
      <c r="AV40" s="1086" t="n">
        <v>0</v>
      </c>
      <c r="AW40" s="1172" t="n">
        <v>0</v>
      </c>
      <c r="AX40" s="807" t="e">
        <f aca="false">BB40-SUM(AY40:BA40)</f>
        <v>#VALUE!</v>
      </c>
      <c r="AY40" s="807" t="e">
        <f aca="false">IF(AND($E40=MONTH(Summary!$E$24),$D40=YEAR(Summary!$E$24)),Summary!$E$25,1)*IF(G40="",0,INT((H40-MOD(H40,7)-G40)/7)+1-IF(BA40,IF(WEEKDAY(F40)=7,1,0),0))</f>
        <v>#VALUE!</v>
      </c>
      <c r="AZ40" s="807" t="e">
        <f aca="false">IF(AND($E40=MONTH(Summary!$E$24),$D40=YEAR(Summary!$E$24)),Summary!$E$25,1)*IF(G40="",0,INT((H40-MOD(H40-1,7)-G40)/7)+1-IF(BA40,IF(WEEKDAY(F40)=1,1,0),0))</f>
        <v>#VALUE!</v>
      </c>
      <c r="BA40" s="807" t="n">
        <v>1</v>
      </c>
      <c r="BB40" s="807" t="n">
        <f aca="false">IF(AND($E40=MONTH(Summary!$E$24),$D40=YEAR(Summary!$E$24)),Summary!$E$25,1)*IF(G40="",0,H40-G40+1)</f>
        <v>31</v>
      </c>
      <c r="BC40" s="1089" t="n">
        <f aca="false">Summary!$E$19</f>
        <v>0.015</v>
      </c>
      <c r="BD40" s="1090" t="n">
        <v>14184</v>
      </c>
      <c r="BE40" s="1091" t="n">
        <v>3546</v>
      </c>
      <c r="BF40" s="1091" t="n">
        <v>4255.2</v>
      </c>
      <c r="BG40" s="842"/>
      <c r="BH40" s="1092" t="n">
        <v>1</v>
      </c>
      <c r="BI40" s="1092" t="n">
        <v>1</v>
      </c>
      <c r="BJ40" s="1092" t="n">
        <v>1</v>
      </c>
      <c r="BK40" s="1092" t="n">
        <v>1</v>
      </c>
      <c r="BL40" s="1093" t="n">
        <v>2836.8</v>
      </c>
      <c r="BM40" s="1091" t="n">
        <v>709.2</v>
      </c>
      <c r="BN40" s="1091" t="n">
        <v>851.04</v>
      </c>
      <c r="BO40" s="842"/>
      <c r="BP40" s="1092" t="n">
        <v>1</v>
      </c>
      <c r="BQ40" s="1094" t="n">
        <v>1</v>
      </c>
      <c r="BR40" s="1094" t="n">
        <v>1</v>
      </c>
      <c r="BS40" s="1095" t="n">
        <v>1</v>
      </c>
      <c r="BT40" s="1093" t="n">
        <f aca="false">SUM(BD40:BF40)</f>
        <v>21985.2</v>
      </c>
      <c r="BU40" s="1098" t="n">
        <f aca="false">SUM(BD40:BG40)</f>
        <v>21985.2</v>
      </c>
      <c r="BV40" s="1090" t="n">
        <f aca="false">SUM(BL40:BN40)</f>
        <v>4397.04</v>
      </c>
      <c r="BW40" s="1098" t="n">
        <f aca="false">SUM(BL40:BO40)</f>
        <v>4397.04</v>
      </c>
      <c r="BX40" s="852" t="n">
        <v>1.96303901437372</v>
      </c>
      <c r="BY40" s="1099" t="n">
        <v>0</v>
      </c>
      <c r="BZ40" s="852" t="n">
        <v>0</v>
      </c>
      <c r="CA40" s="852" t="n">
        <v>0</v>
      </c>
      <c r="CB40" s="852" t="n">
        <v>0</v>
      </c>
      <c r="CC40" s="852" t="n">
        <v>0</v>
      </c>
      <c r="CD40" s="852" t="n">
        <v>0</v>
      </c>
      <c r="CE40" s="1100" t="n">
        <v>0</v>
      </c>
      <c r="CF40" s="852" t="n">
        <v>0</v>
      </c>
      <c r="CG40" s="852" t="n">
        <v>0</v>
      </c>
      <c r="CH40" s="852" t="n">
        <v>0</v>
      </c>
      <c r="CI40" s="852" t="n">
        <v>0</v>
      </c>
      <c r="CJ40" s="1101" t="n">
        <v>0</v>
      </c>
      <c r="CK40" s="852" t="n">
        <v>0</v>
      </c>
      <c r="CL40" s="852" t="n">
        <v>0</v>
      </c>
      <c r="CM40" s="852" t="n">
        <v>0</v>
      </c>
      <c r="CN40" s="852" t="n">
        <v>0</v>
      </c>
      <c r="CO40" s="852" t="n">
        <v>0</v>
      </c>
      <c r="CP40" s="852" t="n">
        <v>0</v>
      </c>
      <c r="CQ40" s="1102" t="n">
        <v>0</v>
      </c>
      <c r="CR40" s="1103" t="n">
        <v>0</v>
      </c>
      <c r="CS40" s="1103" t="n">
        <v>0</v>
      </c>
      <c r="CT40" s="1103" t="n">
        <v>0</v>
      </c>
      <c r="CU40" s="1103" t="n">
        <v>0</v>
      </c>
      <c r="CV40" s="1103" t="n">
        <v>0</v>
      </c>
      <c r="CW40" s="1103" t="n">
        <v>0</v>
      </c>
      <c r="CX40" s="1104" t="n">
        <v>0</v>
      </c>
      <c r="CY40" s="1105" t="n">
        <v>7714.81232</v>
      </c>
      <c r="CZ40" s="1099" t="n">
        <v>0</v>
      </c>
      <c r="DA40" s="852" t="n">
        <v>0</v>
      </c>
      <c r="DB40" s="852" t="n">
        <v>0</v>
      </c>
      <c r="DC40" s="852" t="n">
        <v>0</v>
      </c>
      <c r="DD40" s="852" t="n">
        <v>0</v>
      </c>
      <c r="DE40" s="1113" t="n">
        <v>0</v>
      </c>
      <c r="DF40" s="1109" t="n">
        <v>0</v>
      </c>
      <c r="DG40" s="1110" t="n">
        <v>0</v>
      </c>
      <c r="DH40" s="1111" t="n">
        <v>0</v>
      </c>
      <c r="DI40" s="1112" t="n">
        <v>0</v>
      </c>
      <c r="DJ40" s="1112" t="n">
        <v>0</v>
      </c>
      <c r="DK40" s="1112" t="n">
        <v>0</v>
      </c>
      <c r="DL40" s="1113" t="n">
        <v>0</v>
      </c>
      <c r="DM40" s="1114" t="n">
        <v>0</v>
      </c>
      <c r="DN40" s="1114" t="n">
        <v>0</v>
      </c>
      <c r="DO40" s="1114" t="n">
        <v>0</v>
      </c>
      <c r="DP40" s="1114" t="n">
        <v>0</v>
      </c>
      <c r="DQ40" s="1114" t="n">
        <v>0</v>
      </c>
      <c r="DR40" s="1109" t="n">
        <v>0</v>
      </c>
      <c r="DS40" s="852" t="n">
        <v>0</v>
      </c>
      <c r="DT40" s="852" t="n">
        <v>0</v>
      </c>
      <c r="DU40" s="852" t="n">
        <v>0</v>
      </c>
      <c r="DV40" s="852" t="n">
        <v>0</v>
      </c>
      <c r="DW40" s="852" t="n">
        <v>0</v>
      </c>
      <c r="DX40" s="852" t="n">
        <v>0</v>
      </c>
      <c r="DY40" s="852" t="n">
        <v>0</v>
      </c>
      <c r="DZ40" s="852" t="n">
        <v>0</v>
      </c>
      <c r="EA40" s="852" t="n">
        <v>0</v>
      </c>
      <c r="EB40" s="1113" t="n">
        <v>0</v>
      </c>
      <c r="EC40" s="1115" t="n">
        <f aca="false">DS40*BD40</f>
        <v>0</v>
      </c>
      <c r="ED40" s="1115" t="n">
        <f aca="false">DT40*BE40</f>
        <v>0</v>
      </c>
      <c r="EE40" s="1115" t="n">
        <f aca="false">DU40*BF40</f>
        <v>0</v>
      </c>
      <c r="EF40" s="1115" t="n">
        <f aca="false">DV40*BG40</f>
        <v>0</v>
      </c>
      <c r="EG40" s="1115" t="n">
        <f aca="false">DS40*BD40+DT40*BE40+DU40*BF40+DV40*BG40</f>
        <v>0</v>
      </c>
      <c r="EH40" s="1116" t="n">
        <v>0</v>
      </c>
      <c r="EI40" s="1117" t="n">
        <v>0</v>
      </c>
      <c r="EJ40" s="1117" t="n">
        <v>0</v>
      </c>
      <c r="EK40" s="1117" t="n">
        <v>0</v>
      </c>
      <c r="EL40" s="1118" t="n">
        <f aca="false">IF(C40&gt;=Summary!$E$26,MAX(0,SUM(EH40:EK40)),0)</f>
        <v>0</v>
      </c>
      <c r="EM40" s="1115" t="n">
        <f aca="false">IF(C40&gt;=Summary!$E$26,DX40*BL40,0)</f>
        <v>0</v>
      </c>
      <c r="EN40" s="1115" t="n">
        <f aca="false">IF(C40&gt;=Summary!$E$26,DY40*BM40,0)</f>
        <v>0</v>
      </c>
      <c r="EO40" s="1115" t="n">
        <f aca="false">IF(C40&gt;=Summary!$E$26,DZ40*BN40,0)</f>
        <v>0</v>
      </c>
      <c r="EP40" s="1115" t="n">
        <f aca="false">IF(C40&gt;=Summary!$E$26,EA40*BO40,0)</f>
        <v>0</v>
      </c>
      <c r="EQ40" s="1115" t="n">
        <f aca="false">IF(C40&gt;=Summary!$E$26,DX40*BL40+DY40*BM40+DZ40*BN40+EA40*BO40,0)</f>
        <v>0</v>
      </c>
      <c r="ER40" s="1119" t="n">
        <v>0</v>
      </c>
      <c r="ES40" s="1120" t="n">
        <v>0</v>
      </c>
      <c r="ET40" s="1120" t="n">
        <v>0</v>
      </c>
      <c r="EU40" s="1120" t="n">
        <v>0</v>
      </c>
      <c r="EV40" s="1143" t="n">
        <f aca="false">IF(C40&gt;=Summary!$E$26,MAX(0,SUM(ER40:EU40)),0)</f>
        <v>0</v>
      </c>
      <c r="EW40" s="1115"/>
      <c r="EX40" s="1165" t="n">
        <f aca="false">(EQ40-EV40)+IF(EZ40="Yes",(EG40-EL40),0)</f>
        <v>0</v>
      </c>
      <c r="EY40" s="1166" t="str">
        <f aca="false">IF(EX40,EX40/EQ40,"")</f>
        <v/>
      </c>
      <c r="EZ40" s="1122" t="s">
        <v>37</v>
      </c>
      <c r="FA40" s="1096" t="n">
        <f aca="false">FA39</f>
        <v>45</v>
      </c>
      <c r="FB40" s="1167" t="e">
        <f aca="false">IF(EZ40="No",IF((OR(MONTH(C40)=5,MONTH(C40)=6,MONTH(C40)=7,MONTH(C40)=8,MONTH(C40)=9)),$FA40*12*AX40*(1-$BC40),$FA40*10*AX40*(1-$BC40)),0)</f>
        <v>#VALUE!</v>
      </c>
      <c r="FC40" s="1129" t="e">
        <f aca="false">IF(EZ40="No",IF((OR(MONTH(C40)=5,MONTH(C40)=6,MONTH(C40)=7,MONTH(C40)=8,MONTH(C40)=9)),0,$FA40*3*AX40*(1-$BC40)),0)</f>
        <v>#VALUE!</v>
      </c>
      <c r="FD40" s="1129" t="e">
        <f aca="false">IF(EZ40="No",IF((OR(MONTH(C40)=5,MONTH(C40)=6,MONTH(C40)=7,MONTH(C40)=8,MONTH(C40)=9)),$FA40*12*AY40*(1-$BC40),$FA40*10*AY40*(1-$BC40)),0)</f>
        <v>#VALUE!</v>
      </c>
      <c r="FE40" s="1129" t="e">
        <f aca="false">IF(EZ40="No",IF((OR(MONTH(C40)=5,MONTH(C40)=6,MONTH(C40)=7,MONTH(C40)=8,MONTH(C40)=9)),0,$FA40*3*AY40*(1-$BC40)),0)</f>
        <v>#VALUE!</v>
      </c>
      <c r="FF40" s="1129" t="e">
        <f aca="false">IF(EZ40="No",IF((OR(MONTH(C40)=5,MONTH(C40)=6,MONTH(C40)=7,MONTH(C40)=8,MONTH(C40)=9)),$FA40*12*(AZ40+BA40)*(1-$BC40),$FA40*10*(AZ40+BA40)*(1-$BC40)),0)</f>
        <v>#VALUE!</v>
      </c>
      <c r="FG40" s="1129" t="e">
        <f aca="false">IF(EZ40="No",IF((OR(MONTH(C40)=5,MONTH(C40)=6,MONTH(C40)=7,MONTH(C40)=8,MONTH(C40)=9)),0,$FA40*3*(AZ40+BA40)*(1-$BC40)),0)</f>
        <v>#VALUE!</v>
      </c>
      <c r="FH40" s="1170" t="e">
        <f aca="false">IF(EZ40="No",IF((OR(MONTH(C40)=5,MONTH(C40)=6,MONTH(C40)=7,MONTH(C40)=8,MONTH(C40)=9)),Summary!$O$15*12*(AX40+AY40+AZ40+BA40)*(1-$BC40),Summary!$O$15*13*(AX40+AY40+AZ40+BA40)*(1-$BC40)+IF(Summary!$O$16="Yes",(CALC!FA40+Summary!$O$15)*6*(AX40+AY40+AZ40+BA40)*(1-$BC40),0)),0)</f>
        <v>#VALUE!</v>
      </c>
      <c r="FI40" s="1126" t="n">
        <f aca="false">IF(MONTH(C40)=5,FI39*(IF(Summary!$E$70="no",(1+(Summary!$E$71*0.8)),1+HLOOKUP(YEAR(C40)-1,CCFMODEL!$I$127:$AF$128,2)*0.8)),+FI39)</f>
        <v>27.8948213722628</v>
      </c>
      <c r="FJ40" s="1127" t="n">
        <f aca="false">IF(MONTH(C40)=5,FJ39*(IF(Summary!$E$70="no",(1+(Summary!$E$71*0.8)),1+HLOOKUP(YEAR(CALC!C40)-1,CCFMODEL!$I$127:$AF$128,2)*0.8)),FJ39)</f>
        <v>24.3805131678832</v>
      </c>
      <c r="FK40" s="1128" t="e">
        <f aca="false">SUM(FB40:FG40)*FI40+FH40*FJ40</f>
        <v>#VALUE!</v>
      </c>
      <c r="FL40" s="1126" t="n">
        <f aca="false">IF(MONTH(C40)=5,FL39*(IF(Summary!$E$70="no",(1+(Summary!$E$71*0.8)),1+HLOOKUP(YEAR(CALC!C40)-1,CCFMODEL!$I$127:$AF$128,2)*0.8)),+FL39)</f>
        <v>58.6659366618005</v>
      </c>
      <c r="FM40" s="1127" t="n">
        <f aca="false">IF(MONTH(C40)=5,FM39*(IF(Summary!$E$70="no",(1+(Summary!$E$71*0.8)),1+HLOOKUP(YEAR(CALC!C40)-1,CCFMODEL!$I$127:$AF$128,2)*0.8)),+FM39)</f>
        <v>27.9994138783455</v>
      </c>
      <c r="FN40" s="1128" t="e">
        <f aca="false">IF((OR(MONTH(C40)=5,MONTH(C40)=6,MONTH(C40)=7,MONTH(C40)=8,MONTH(C40)=9)),SUM(FB40:FG40)/(1-BC40)*FL40,SUM(FB40:FG40)/(1-BC40)*FM40)</f>
        <v>#VALUE!</v>
      </c>
      <c r="FO40" s="1129" t="e">
        <f aca="false">FK40+FN40</f>
        <v>#VALUE!</v>
      </c>
      <c r="FP40" s="1169" t="e">
        <f aca="false">FB40</f>
        <v>#VALUE!</v>
      </c>
      <c r="FQ40" s="1129" t="e">
        <f aca="false">FC40</f>
        <v>#VALUE!</v>
      </c>
      <c r="FR40" s="1129" t="e">
        <f aca="false">FD40</f>
        <v>#VALUE!</v>
      </c>
      <c r="FS40" s="1129" t="e">
        <f aca="false">FE40</f>
        <v>#VALUE!</v>
      </c>
      <c r="FT40" s="1129" t="e">
        <f aca="false">FF40</f>
        <v>#VALUE!</v>
      </c>
      <c r="FU40" s="1129" t="e">
        <f aca="false">FG40</f>
        <v>#VALUE!</v>
      </c>
      <c r="FV40" s="1170" t="e">
        <f aca="false">FH40</f>
        <v>#VALUE!</v>
      </c>
      <c r="FW40" s="1115" t="n">
        <f aca="false">IF(ER40&gt;0,MIN(FB40-FP40,BL40),0)</f>
        <v>0</v>
      </c>
      <c r="FX40" s="1115" t="n">
        <f aca="false">IF(ES40&gt;0,MIN(FD40-FR40,BM40),0)</f>
        <v>0</v>
      </c>
      <c r="FY40" s="1115" t="n">
        <f aca="false">IF(ET40&gt;0,MIN(FF40-FT40,BN40),0)</f>
        <v>0</v>
      </c>
      <c r="FZ40" s="1143" t="n">
        <f aca="false">IF(EU40&gt;0,MIN(FH40-FV40,BO40),0)</f>
        <v>0</v>
      </c>
      <c r="GA40" s="1132" t="e">
        <f aca="false">(SUM(FP40:FV40)+SUM(GU40:HB40)/(1-Summary!$O$25))*CY40/1000</f>
        <v>#VALUE!</v>
      </c>
      <c r="GB40" s="1133" t="n">
        <f aca="false">IF($C40&lt;Summary!$M$81,+Summary!$O$81,VLOOKUP(C40,GasTable,19))</f>
        <v>2.4</v>
      </c>
      <c r="GC40" s="1134" t="e">
        <f aca="false">IF(H40&lt;=Summary!$N$84,MIN(GA40,Summary!$O$75*(H40-G40+1)),0)</f>
        <v>#VALUE!</v>
      </c>
      <c r="GD40" s="1135" t="e">
        <f aca="false">IF(Summary!$O$75*(H40-G40+1)*0.8&gt;GC40,1,0)</f>
        <v>#VALUE!</v>
      </c>
      <c r="GE40" s="1136" t="n">
        <v>0</v>
      </c>
      <c r="GF40" s="1134" t="e">
        <f aca="false">ABS(MIN(0,GC40-$GA40))</f>
        <v>#VALUE!</v>
      </c>
      <c r="GG40" s="1135" t="e">
        <f aca="false">GF40*(IF(Summary!$O$74=1,VLOOKUP($C40,GasTable,16)+Summary!$O$92+Summary!$O$93,VLOOKUP($C40,GasTable,19)+Summary!$O$92+Summary!$O$93))</f>
        <v>#VALUE!</v>
      </c>
      <c r="GH40" s="1137" t="n">
        <v>22506</v>
      </c>
      <c r="GI40" s="1138" t="n">
        <v>0</v>
      </c>
      <c r="GJ40" s="1139" t="e">
        <f aca="false">+GB40*GC40+GE40+GG40+GH40-GI40</f>
        <v>#VALUE!</v>
      </c>
      <c r="GK40" s="1115" t="e">
        <f aca="false">SUM(FP40:FV40,GU40:GX40,GY40:HB40)</f>
        <v>#VALUE!</v>
      </c>
      <c r="GL40" s="1140" t="n">
        <v>0.757594569824</v>
      </c>
      <c r="GM40" s="1141" t="e">
        <f aca="false">IF(GK40&gt;GC40/(CY40/1000),GC40/(CY40/1000),+GK40)*GL40</f>
        <v>#VALUE!</v>
      </c>
      <c r="GN40" s="1115" t="n">
        <f aca="false">IF(SUM(GU40:HB40)=0,0,IF(Summary!$O$16="Yes",SUM(GX40:HB40),IF(Summary!$O$17="Yes",SUM(GY40:HB40),SUM(GU40:HB40))))</f>
        <v>12199.03785</v>
      </c>
      <c r="GO40" s="1142" t="n">
        <v>5.71879306569343</v>
      </c>
      <c r="GP40" s="1143" t="n">
        <f aca="false">GN40*GO40</f>
        <v>69763.7730647117</v>
      </c>
      <c r="GQ40" s="1115"/>
      <c r="GR40" s="1115"/>
      <c r="GS40" s="1115"/>
      <c r="GT40" s="1115"/>
      <c r="GU40" s="1150" t="n">
        <v>5132.835</v>
      </c>
      <c r="GV40" s="1115" t="n">
        <v>1283.20875</v>
      </c>
      <c r="GW40" s="1115" t="n">
        <v>1539.8505</v>
      </c>
      <c r="GX40" s="1115"/>
      <c r="GY40" s="1151" t="n">
        <v>2737.512</v>
      </c>
      <c r="GZ40" s="1115" t="n">
        <v>684.378</v>
      </c>
      <c r="HA40" s="1115" t="n">
        <v>821.2536</v>
      </c>
      <c r="HB40" s="1141"/>
      <c r="HC40" s="1115" t="n">
        <v>12199.03785</v>
      </c>
      <c r="HD40" s="1115"/>
      <c r="HE40" s="1115" t="n">
        <v>20950.521525</v>
      </c>
      <c r="HF40" s="1115" t="n">
        <v>505511.152917547</v>
      </c>
      <c r="HG40" s="1115"/>
      <c r="HH40" s="1142" t="n">
        <v>41.1712151309158</v>
      </c>
      <c r="HI40" s="1115" t="n">
        <v>862558.428810657</v>
      </c>
      <c r="HJ40" s="1150" t="e">
        <f aca="false">MAX(FB40-FP40-FW40,0)</f>
        <v>#VALUE!</v>
      </c>
      <c r="HK40" s="1115" t="e">
        <f aca="false">MAX(FD40-FR40-FX40,0)</f>
        <v>#VALUE!</v>
      </c>
      <c r="HL40" s="1115" t="e">
        <f aca="false">MAX(FF40-FT40-FY40,0)</f>
        <v>#VALUE!</v>
      </c>
      <c r="HM40" s="1141" t="e">
        <f aca="false">MAX(FH40-FV40-FZ40,0)</f>
        <v>#VALUE!</v>
      </c>
      <c r="HN40" s="1115" t="e">
        <f aca="false">SUM(HJ40:HM40)</f>
        <v>#VALUE!</v>
      </c>
      <c r="HO40" s="1142" t="n">
        <f aca="false">IF(ISERROR(+HP40/HN40),0,+HP40/HN40)</f>
        <v>0</v>
      </c>
      <c r="HP40" s="1143" t="e">
        <f aca="false">(HJ40*CE40+HK40*CF40+HL40*CG40+HM40*CH40)</f>
        <v>#VALUE!</v>
      </c>
      <c r="HQ40" s="1146" t="n">
        <v>2022</v>
      </c>
      <c r="HR40" s="1177" t="e">
        <f aca="false">SUMIF($D$17:$D$292,HQ40,$FB$17:$FB$292)+SUMIF($D$17:$D$292,HQ40,$FC$17:$FC$292)+SUMIF($D$17:$D$292,HQ40,$FD$17:$FD$292)+SUMIF($D$17:$D$292,HQ40,$FE$17:$FE$292)+SUMIF($D$17:$D$292,HQ40,$FF$17:$FF$292)+SUMIF($D$17:$D$292,HQ40,$FG$17:$FG$292)+SUMIF($D$17:$D$292,HQ40,$FH$17:$FH$292)</f>
        <v>#VALUE!</v>
      </c>
      <c r="HS40" s="1178" t="e">
        <f aca="false">IF(HT40=0,0,HT40/HR40)</f>
        <v>#VALUE!</v>
      </c>
      <c r="HT40" s="1179" t="e">
        <f aca="false">SUMIF($D$17:$D$292,HQ40,$FO$17:$FO$292)</f>
        <v>#VALUE!</v>
      </c>
      <c r="HU40" s="1180" t="n">
        <v>20890.63845</v>
      </c>
      <c r="HV40" s="1181" t="n">
        <v>56.2068743091115</v>
      </c>
      <c r="HW40" s="1182" t="n">
        <v>1174197.48959624</v>
      </c>
      <c r="HX40" s="1171" t="n">
        <v>0</v>
      </c>
      <c r="HY40" s="1183" t="e">
        <f aca="false">HT40+HW40+HX40</f>
        <v>#VALUE!</v>
      </c>
      <c r="HZ40" s="1177" t="n">
        <v>1761866.72633897</v>
      </c>
      <c r="IA40" s="1181" t="n">
        <v>-4.7653113768867</v>
      </c>
      <c r="IB40" s="1141" t="n">
        <v>-8395843.55558124</v>
      </c>
      <c r="IC40" s="1180" t="n">
        <v>224431.03845</v>
      </c>
      <c r="ID40" s="1181" t="e">
        <f aca="false">IF(IE40=0,0,IE40/IC40)</f>
        <v>#VALUE!</v>
      </c>
      <c r="IE40" s="1179" t="e">
        <f aca="false">-SUMIF($D$17:$D$292,HQ40,$GM$17:$GM$292)</f>
        <v>#VALUE!</v>
      </c>
      <c r="IF40" s="1182" t="n">
        <f aca="false">SUMIF($D$17:$D$292,HQ40,$GN$17:$GN$292)</f>
        <v>25681.28445</v>
      </c>
      <c r="IG40" s="1181" t="n">
        <f aca="false">IF(IH40=0,0,IH40/IF40)</f>
        <v>-3.70889285329045</v>
      </c>
      <c r="IH40" s="1179" t="n">
        <v>-95249.1323599241</v>
      </c>
      <c r="II40" s="1182" t="e">
        <f aca="false">SUMIF($D$17:$D$292,HQ40,$HN$17:$HN$292)</f>
        <v>#VALUE!</v>
      </c>
      <c r="IJ40" s="1181" t="e">
        <f aca="false">IF(IK40=0,0,IK40/II40)</f>
        <v>#VALUE!</v>
      </c>
      <c r="IK40" s="1182" t="e">
        <f aca="false">-SUMIF($D$17:$D$292,HQ40,$HP$17:$HP$292)</f>
        <v>#VALUE!</v>
      </c>
      <c r="IL40" s="1184" t="e">
        <f aca="false">HY40+IB40+IE40+IH40</f>
        <v>#VALUE!</v>
      </c>
      <c r="IN40" s="222"/>
      <c r="IO40" s="162"/>
      <c r="IR40" s="844"/>
    </row>
    <row r="41" customFormat="false" ht="13.5" hidden="false" customHeight="false" outlineLevel="0" collapsed="false">
      <c r="A41" s="0" t="str">
        <f aca="false">+D41&amp;"Q"&amp;ROUNDUP(E41/3,0)</f>
        <v>2002Q1</v>
      </c>
      <c r="B41" s="0" t="n">
        <f aca="false">YEAR(C41)</f>
        <v>2002</v>
      </c>
      <c r="C41" s="1153" t="n">
        <f aca="false">EOMONTH(C40,0)+1</f>
        <v>37257</v>
      </c>
      <c r="D41" s="841" t="n">
        <f aca="false">+YEAR(C41)</f>
        <v>2002</v>
      </c>
      <c r="E41" s="807" t="n">
        <f aca="false">MONTH(C41)</f>
        <v>1</v>
      </c>
      <c r="F41" s="1154" t="e">
        <f aca="false">IF(G41="","",Holiday(D41,E41))</f>
        <v>#VALUE!</v>
      </c>
      <c r="G41" s="1155" t="n">
        <v>37257</v>
      </c>
      <c r="H41" s="1156" t="n">
        <v>37287</v>
      </c>
      <c r="I41" s="1157" t="n">
        <f aca="false">I40</f>
        <v>0.0715</v>
      </c>
      <c r="J41" s="1158" t="n">
        <f aca="false">(1+I41/2)^(-2*(DATE(D42,E42,20)-$H$7)/365.25)</f>
        <v>0.857712728761306</v>
      </c>
      <c r="K41" s="1159" t="e">
        <f aca="false">IF(#REF!=1,+#REF!,I41+#REF!/10000)</f>
        <v>#REF!</v>
      </c>
      <c r="L41" s="1158" t="e">
        <f aca="false">(1+K41/2)^(-2*(DATE(D42,E42,20)-$H$7)/365.25)</f>
        <v>#REF!</v>
      </c>
      <c r="M41" s="1082" t="n">
        <v>0</v>
      </c>
      <c r="N41" s="1110" t="n">
        <f aca="false">M41</f>
        <v>0</v>
      </c>
      <c r="O41" s="1174" t="n">
        <f aca="false">N41</f>
        <v>0</v>
      </c>
      <c r="P41" s="1175" t="n">
        <f aca="false">M41</f>
        <v>0</v>
      </c>
      <c r="Q41" s="1110" t="n">
        <f aca="false">P41</f>
        <v>0</v>
      </c>
      <c r="R41" s="1174" t="n">
        <f aca="false">Q41</f>
        <v>0</v>
      </c>
      <c r="S41" s="1110" t="n">
        <f aca="false">R41</f>
        <v>0</v>
      </c>
      <c r="T41" s="1110" t="n">
        <f aca="false">S41</f>
        <v>0</v>
      </c>
      <c r="U41" s="1110" t="n">
        <f aca="false">T41</f>
        <v>0</v>
      </c>
      <c r="V41" s="1175" t="n">
        <f aca="false">U41</f>
        <v>0</v>
      </c>
      <c r="W41" s="1110" t="n">
        <f aca="false">V41</f>
        <v>0</v>
      </c>
      <c r="X41" s="1176" t="n">
        <f aca="false">W41</f>
        <v>0</v>
      </c>
      <c r="Y41" s="1086" t="n">
        <v>0</v>
      </c>
      <c r="Z41" s="1086" t="n">
        <v>0</v>
      </c>
      <c r="AA41" s="1087" t="n">
        <v>0</v>
      </c>
      <c r="AB41" s="1086" t="n">
        <v>0</v>
      </c>
      <c r="AC41" s="1086" t="n">
        <v>0</v>
      </c>
      <c r="AD41" s="1087" t="n">
        <v>0</v>
      </c>
      <c r="AE41" s="1086" t="n">
        <v>0</v>
      </c>
      <c r="AF41" s="1086" t="n">
        <v>0</v>
      </c>
      <c r="AG41" s="1087" t="n">
        <v>0</v>
      </c>
      <c r="AH41" s="1086" t="n">
        <v>0</v>
      </c>
      <c r="AI41" s="1086" t="n">
        <v>0</v>
      </c>
      <c r="AJ41" s="1087" t="n">
        <v>0</v>
      </c>
      <c r="AK41" s="1086" t="n">
        <v>0</v>
      </c>
      <c r="AL41" s="1086" t="n">
        <v>0</v>
      </c>
      <c r="AM41" s="1087" t="n">
        <v>0</v>
      </c>
      <c r="AN41" s="1086" t="n">
        <v>0</v>
      </c>
      <c r="AO41" s="1086" t="n">
        <v>0</v>
      </c>
      <c r="AP41" s="1087" t="n">
        <v>0</v>
      </c>
      <c r="AQ41" s="1086" t="n">
        <v>0</v>
      </c>
      <c r="AR41" s="1086" t="n">
        <v>0</v>
      </c>
      <c r="AS41" s="1087" t="n">
        <v>0</v>
      </c>
      <c r="AT41" s="1086" t="n">
        <v>0</v>
      </c>
      <c r="AU41" s="1086" t="n">
        <v>0</v>
      </c>
      <c r="AV41" s="1086" t="n">
        <v>0</v>
      </c>
      <c r="AW41" s="1172" t="n">
        <v>0</v>
      </c>
      <c r="AX41" s="807" t="e">
        <f aca="false">BB41-SUM(AY41:BA41)</f>
        <v>#VALUE!</v>
      </c>
      <c r="AY41" s="807" t="e">
        <f aca="false">IF(AND($E41=MONTH(Summary!$E$24),$D41=YEAR(Summary!$E$24)),Summary!$E$25,1)*IF(G41="",0,INT((H41-MOD(H41,7)-G41)/7)+1-IF(BA41,IF(WEEKDAY(F41)=7,1,0),0))</f>
        <v>#VALUE!</v>
      </c>
      <c r="AZ41" s="807" t="e">
        <f aca="false">IF(AND($E41=MONTH(Summary!$E$24),$D41=YEAR(Summary!$E$24)),Summary!$E$25,1)*IF(G41="",0,INT((H41-MOD(H41-1,7)-G41)/7)+1-IF(BA41,IF(WEEKDAY(F41)=1,1,0),0))</f>
        <v>#VALUE!</v>
      </c>
      <c r="BA41" s="807" t="n">
        <v>1</v>
      </c>
      <c r="BB41" s="807" t="n">
        <f aca="false">IF(AND($E41=MONTH(Summary!$E$24),$D41=YEAR(Summary!$E$24)),Summary!$E$25,1)*IF(G41="",0,H41-G41+1)</f>
        <v>31</v>
      </c>
      <c r="BC41" s="1089" t="n">
        <f aca="false">Summary!$E$19</f>
        <v>0.015</v>
      </c>
      <c r="BD41" s="1090" t="n">
        <v>15602.4</v>
      </c>
      <c r="BE41" s="1091" t="n">
        <v>2836.8</v>
      </c>
      <c r="BF41" s="1091" t="n">
        <v>3546</v>
      </c>
      <c r="BG41" s="842"/>
      <c r="BH41" s="1092" t="n">
        <v>1</v>
      </c>
      <c r="BI41" s="1092" t="n">
        <v>1</v>
      </c>
      <c r="BJ41" s="1092" t="n">
        <v>1</v>
      </c>
      <c r="BK41" s="1092" t="n">
        <v>1</v>
      </c>
      <c r="BL41" s="1093" t="n">
        <v>3120.48</v>
      </c>
      <c r="BM41" s="1091" t="n">
        <v>567.36</v>
      </c>
      <c r="BN41" s="1091" t="n">
        <v>709.2</v>
      </c>
      <c r="BO41" s="842"/>
      <c r="BP41" s="1092" t="n">
        <v>1</v>
      </c>
      <c r="BQ41" s="1094" t="n">
        <v>1</v>
      </c>
      <c r="BR41" s="1094" t="n">
        <v>1</v>
      </c>
      <c r="BS41" s="1095" t="n">
        <v>1</v>
      </c>
      <c r="BT41" s="1093" t="n">
        <f aca="false">SUM(BD41:BF41)</f>
        <v>21985.2</v>
      </c>
      <c r="BU41" s="1098" t="n">
        <f aca="false">SUM(BD41:BG41)</f>
        <v>21985.2</v>
      </c>
      <c r="BV41" s="1090" t="n">
        <f aca="false">SUM(BL41:BN41)</f>
        <v>4397.04</v>
      </c>
      <c r="BW41" s="1098" t="n">
        <f aca="false">SUM(BL41:BO41)</f>
        <v>4397.04</v>
      </c>
      <c r="BX41" s="852" t="n">
        <v>2.04791238877481</v>
      </c>
      <c r="BY41" s="1099" t="n">
        <v>0</v>
      </c>
      <c r="BZ41" s="852" t="n">
        <v>0</v>
      </c>
      <c r="CA41" s="852" t="n">
        <v>0</v>
      </c>
      <c r="CB41" s="852" t="n">
        <v>0</v>
      </c>
      <c r="CC41" s="852" t="n">
        <v>0</v>
      </c>
      <c r="CD41" s="852" t="n">
        <v>0</v>
      </c>
      <c r="CE41" s="1100" t="n">
        <v>0</v>
      </c>
      <c r="CF41" s="852" t="n">
        <v>0</v>
      </c>
      <c r="CG41" s="852" t="n">
        <v>0</v>
      </c>
      <c r="CH41" s="852" t="n">
        <v>0</v>
      </c>
      <c r="CI41" s="852" t="n">
        <v>0</v>
      </c>
      <c r="CJ41" s="1101" t="n">
        <v>0</v>
      </c>
      <c r="CK41" s="852" t="n">
        <v>0</v>
      </c>
      <c r="CL41" s="852" t="n">
        <v>0</v>
      </c>
      <c r="CM41" s="852" t="n">
        <v>0</v>
      </c>
      <c r="CN41" s="852" t="n">
        <v>0</v>
      </c>
      <c r="CO41" s="852" t="n">
        <v>0</v>
      </c>
      <c r="CP41" s="852" t="n">
        <v>0</v>
      </c>
      <c r="CQ41" s="1102" t="n">
        <v>0</v>
      </c>
      <c r="CR41" s="1103" t="n">
        <v>0</v>
      </c>
      <c r="CS41" s="1103" t="n">
        <v>0</v>
      </c>
      <c r="CT41" s="1103" t="n">
        <v>0</v>
      </c>
      <c r="CU41" s="1103" t="n">
        <v>0</v>
      </c>
      <c r="CV41" s="1103" t="n">
        <v>0</v>
      </c>
      <c r="CW41" s="1103" t="n">
        <v>0</v>
      </c>
      <c r="CX41" s="1104" t="n">
        <v>0</v>
      </c>
      <c r="CY41" s="1105" t="n">
        <v>7716.76664</v>
      </c>
      <c r="CZ41" s="1099" t="n">
        <v>0</v>
      </c>
      <c r="DA41" s="852" t="n">
        <v>0</v>
      </c>
      <c r="DB41" s="852" t="n">
        <v>0</v>
      </c>
      <c r="DC41" s="852" t="n">
        <v>0</v>
      </c>
      <c r="DD41" s="852" t="n">
        <v>0</v>
      </c>
      <c r="DE41" s="1113" t="n">
        <v>0</v>
      </c>
      <c r="DF41" s="1109" t="n">
        <v>0</v>
      </c>
      <c r="DG41" s="1110" t="n">
        <v>0</v>
      </c>
      <c r="DH41" s="1111" t="n">
        <v>0</v>
      </c>
      <c r="DI41" s="1112" t="n">
        <v>0</v>
      </c>
      <c r="DJ41" s="1112" t="n">
        <v>0</v>
      </c>
      <c r="DK41" s="1112" t="n">
        <v>0</v>
      </c>
      <c r="DL41" s="1113" t="n">
        <v>0</v>
      </c>
      <c r="DM41" s="1114" t="n">
        <v>0</v>
      </c>
      <c r="DN41" s="1114" t="n">
        <v>0</v>
      </c>
      <c r="DO41" s="1114" t="n">
        <v>0</v>
      </c>
      <c r="DP41" s="1114" t="n">
        <v>0</v>
      </c>
      <c r="DQ41" s="1114" t="n">
        <v>0</v>
      </c>
      <c r="DR41" s="1109" t="n">
        <v>0</v>
      </c>
      <c r="DS41" s="852" t="n">
        <v>0</v>
      </c>
      <c r="DT41" s="852" t="n">
        <v>0</v>
      </c>
      <c r="DU41" s="852" t="n">
        <v>0</v>
      </c>
      <c r="DV41" s="852" t="n">
        <v>0</v>
      </c>
      <c r="DW41" s="852" t="n">
        <v>0</v>
      </c>
      <c r="DX41" s="852" t="n">
        <v>0</v>
      </c>
      <c r="DY41" s="852" t="n">
        <v>0</v>
      </c>
      <c r="DZ41" s="852" t="n">
        <v>0</v>
      </c>
      <c r="EA41" s="852" t="n">
        <v>0</v>
      </c>
      <c r="EB41" s="1113" t="n">
        <v>0</v>
      </c>
      <c r="EC41" s="1115" t="n">
        <f aca="false">DS41*BD41</f>
        <v>0</v>
      </c>
      <c r="ED41" s="1115" t="n">
        <f aca="false">DT41*BE41</f>
        <v>0</v>
      </c>
      <c r="EE41" s="1115" t="n">
        <f aca="false">DU41*BF41</f>
        <v>0</v>
      </c>
      <c r="EF41" s="1115" t="n">
        <f aca="false">DV41*BG41</f>
        <v>0</v>
      </c>
      <c r="EG41" s="1115" t="n">
        <f aca="false">DS41*BD41+DT41*BE41+DU41*BF41+DV41*BG41</f>
        <v>0</v>
      </c>
      <c r="EH41" s="1116" t="n">
        <v>0</v>
      </c>
      <c r="EI41" s="1117" t="n">
        <v>0</v>
      </c>
      <c r="EJ41" s="1117" t="n">
        <v>0</v>
      </c>
      <c r="EK41" s="1117" t="n">
        <v>0</v>
      </c>
      <c r="EL41" s="1118" t="n">
        <f aca="false">IF(C41&gt;=Summary!$E$26,MAX(0,SUM(EH41:EK41)),0)</f>
        <v>0</v>
      </c>
      <c r="EM41" s="1115" t="n">
        <f aca="false">IF(C41&gt;=Summary!$E$26,DX41*BL41,0)</f>
        <v>0</v>
      </c>
      <c r="EN41" s="1115" t="n">
        <f aca="false">IF(C41&gt;=Summary!$E$26,DY41*BM41,0)</f>
        <v>0</v>
      </c>
      <c r="EO41" s="1115" t="n">
        <f aca="false">IF(C41&gt;=Summary!$E$26,DZ41*BN41,0)</f>
        <v>0</v>
      </c>
      <c r="EP41" s="1115" t="n">
        <f aca="false">IF(C41&gt;=Summary!$E$26,EA41*BO41,0)</f>
        <v>0</v>
      </c>
      <c r="EQ41" s="1115" t="n">
        <f aca="false">IF(C41&gt;=Summary!$E$26,DX41*BL41+DY41*BM41+DZ41*BN41+EA41*BO41,0)</f>
        <v>0</v>
      </c>
      <c r="ER41" s="1119" t="n">
        <v>0</v>
      </c>
      <c r="ES41" s="1120" t="n">
        <v>0</v>
      </c>
      <c r="ET41" s="1120" t="n">
        <v>0</v>
      </c>
      <c r="EU41" s="1120" t="n">
        <v>0</v>
      </c>
      <c r="EV41" s="1143" t="n">
        <f aca="false">IF(C41&gt;=Summary!$E$26,MAX(0,SUM(ER41:EU41)),0)</f>
        <v>0</v>
      </c>
      <c r="EW41" s="1115"/>
      <c r="EX41" s="1165" t="n">
        <f aca="false">(EQ41-EV41)+IF(EZ41="Yes",(EG41-EL41),0)</f>
        <v>0</v>
      </c>
      <c r="EY41" s="1166" t="str">
        <f aca="false">IF(EX41,EX41/EQ41,"")</f>
        <v/>
      </c>
      <c r="EZ41" s="1122" t="s">
        <v>37</v>
      </c>
      <c r="FA41" s="1096" t="n">
        <f aca="false">FA40</f>
        <v>45</v>
      </c>
      <c r="FB41" s="1167" t="e">
        <f aca="false">IF(EZ41="No",IF((OR(MONTH(C41)=5,MONTH(C41)=6,MONTH(C41)=7,MONTH(C41)=8,MONTH(C41)=9)),$FA41*12*AX41*(1-$BC41),$FA41*10*AX41*(1-$BC41)),0)</f>
        <v>#VALUE!</v>
      </c>
      <c r="FC41" s="1129" t="e">
        <f aca="false">IF(EZ41="No",IF((OR(MONTH(C41)=5,MONTH(C41)=6,MONTH(C41)=7,MONTH(C41)=8,MONTH(C41)=9)),0,$FA41*3*AX41*(1-$BC41)),0)</f>
        <v>#VALUE!</v>
      </c>
      <c r="FD41" s="1129" t="e">
        <f aca="false">IF(EZ41="No",IF((OR(MONTH(C41)=5,MONTH(C41)=6,MONTH(C41)=7,MONTH(C41)=8,MONTH(C41)=9)),$FA41*12*AY41*(1-$BC41),$FA41*10*AY41*(1-$BC41)),0)</f>
        <v>#VALUE!</v>
      </c>
      <c r="FE41" s="1129" t="e">
        <f aca="false">IF(EZ41="No",IF((OR(MONTH(C41)=5,MONTH(C41)=6,MONTH(C41)=7,MONTH(C41)=8,MONTH(C41)=9)),0,$FA41*3*AY41*(1-$BC41)),0)</f>
        <v>#VALUE!</v>
      </c>
      <c r="FF41" s="1129" t="e">
        <f aca="false">IF(EZ41="No",IF((OR(MONTH(C41)=5,MONTH(C41)=6,MONTH(C41)=7,MONTH(C41)=8,MONTH(C41)=9)),$FA41*12*(AZ41+BA41)*(1-$BC41),$FA41*10*(AZ41+BA41)*(1-$BC41)),0)</f>
        <v>#VALUE!</v>
      </c>
      <c r="FG41" s="1129" t="e">
        <f aca="false">IF(EZ41="No",IF((OR(MONTH(C41)=5,MONTH(C41)=6,MONTH(C41)=7,MONTH(C41)=8,MONTH(C41)=9)),0,$FA41*3*(AZ41+BA41)*(1-$BC41)),0)</f>
        <v>#VALUE!</v>
      </c>
      <c r="FH41" s="1170" t="e">
        <f aca="false">IF(EZ41="No",IF((OR(MONTH(C41)=5,MONTH(C41)=6,MONTH(C41)=7,MONTH(C41)=8,MONTH(C41)=9)),Summary!$O$15*12*(AX41+AY41+AZ41+BA41)*(1-$BC41),Summary!$O$15*13*(AX41+AY41+AZ41+BA41)*(1-$BC41)+IF(Summary!$O$16="Yes",(CALC!FA41+Summary!$O$15)*6*(AX41+AY41+AZ41+BA41)*(1-$BC41),0)),0)</f>
        <v>#VALUE!</v>
      </c>
      <c r="FI41" s="1126" t="n">
        <f aca="false">IF(MONTH(C41)=5,FI40*(IF(Summary!$E$70="no",(1+(Summary!$E$71*0.8)),1+HLOOKUP(YEAR(C41)-1,CCFMODEL!$I$127:$AF$128,2)*0.8)),+FI40)</f>
        <v>27.8948213722628</v>
      </c>
      <c r="FJ41" s="1127" t="n">
        <f aca="false">IF(MONTH(C41)=5,FJ40*(IF(Summary!$E$70="no",(1+(Summary!$E$71*0.8)),1+HLOOKUP(YEAR(CALC!C41)-1,CCFMODEL!$I$127:$AF$128,2)*0.8)),FJ40)</f>
        <v>24.3805131678832</v>
      </c>
      <c r="FK41" s="1128" t="e">
        <f aca="false">SUM(FB41:FG41)*FI41+FH41*FJ41</f>
        <v>#VALUE!</v>
      </c>
      <c r="FL41" s="1126" t="n">
        <f aca="false">IF(MONTH(C41)=5,FL40*(IF(Summary!$E$70="no",(1+(Summary!$E$71*0.8)),1+HLOOKUP(YEAR(CALC!C41)-1,CCFMODEL!$I$127:$AF$128,2)*0.8)),+FL40)</f>
        <v>58.6659366618005</v>
      </c>
      <c r="FM41" s="1127" t="n">
        <f aca="false">IF(MONTH(C41)=5,FM40*(IF(Summary!$E$70="no",(1+(Summary!$E$71*0.8)),1+HLOOKUP(YEAR(CALC!C41)-1,CCFMODEL!$I$127:$AF$128,2)*0.8)),+FM40)</f>
        <v>27.9994138783455</v>
      </c>
      <c r="FN41" s="1128" t="e">
        <f aca="false">IF((OR(MONTH(C41)=5,MONTH(C41)=6,MONTH(C41)=7,MONTH(C41)=8,MONTH(C41)=9)),SUM(FB41:FG41)/(1-BC41)*FL41,SUM(FB41:FG41)/(1-BC41)*FM41)</f>
        <v>#VALUE!</v>
      </c>
      <c r="FO41" s="1129" t="e">
        <f aca="false">FK41+FN41</f>
        <v>#VALUE!</v>
      </c>
      <c r="FP41" s="1169" t="e">
        <f aca="false">FB41</f>
        <v>#VALUE!</v>
      </c>
      <c r="FQ41" s="1129" t="e">
        <f aca="false">FC41</f>
        <v>#VALUE!</v>
      </c>
      <c r="FR41" s="1129" t="e">
        <f aca="false">FD41</f>
        <v>#VALUE!</v>
      </c>
      <c r="FS41" s="1129" t="e">
        <f aca="false">FE41</f>
        <v>#VALUE!</v>
      </c>
      <c r="FT41" s="1129" t="e">
        <f aca="false">FF41</f>
        <v>#VALUE!</v>
      </c>
      <c r="FU41" s="1129" t="e">
        <f aca="false">FG41</f>
        <v>#VALUE!</v>
      </c>
      <c r="FV41" s="1170" t="e">
        <f aca="false">FH41</f>
        <v>#VALUE!</v>
      </c>
      <c r="FW41" s="1115" t="n">
        <f aca="false">IF(ER41&gt;0,MIN(FB41-FP41,BL41),0)</f>
        <v>0</v>
      </c>
      <c r="FX41" s="1115" t="n">
        <f aca="false">IF(ES41&gt;0,MIN(FD41-FR41,BM41),0)</f>
        <v>0</v>
      </c>
      <c r="FY41" s="1115" t="n">
        <f aca="false">IF(ET41&gt;0,MIN(FF41-FT41,BN41),0)</f>
        <v>0</v>
      </c>
      <c r="FZ41" s="1143" t="n">
        <f aca="false">IF(EU41&gt;0,MIN(FH41-FV41,BO41),0)</f>
        <v>0</v>
      </c>
      <c r="GA41" s="1132" t="e">
        <f aca="false">(SUM(FP41:FV41)+SUM(GU41:HB41)/(1-Summary!$O$25))*CY41/1000</f>
        <v>#VALUE!</v>
      </c>
      <c r="GB41" s="1133" t="n">
        <f aca="false">IF($C41&lt;Summary!$M$81,+Summary!$O$81,VLOOKUP(C41,GasTable,19))</f>
        <v>2.4</v>
      </c>
      <c r="GC41" s="1134" t="e">
        <f aca="false">IF(H41&lt;=Summary!$N$84,MIN(GA41,Summary!$O$75*(H41-G41+1)),0)</f>
        <v>#VALUE!</v>
      </c>
      <c r="GD41" s="1135" t="e">
        <f aca="false">IF(Summary!$O$75*(H41-G41+1)*0.8&gt;GC41,1,0)</f>
        <v>#VALUE!</v>
      </c>
      <c r="GE41" s="1136" t="n">
        <v>0</v>
      </c>
      <c r="GF41" s="1134" t="e">
        <f aca="false">ABS(MIN(0,GC41-$GA41))</f>
        <v>#VALUE!</v>
      </c>
      <c r="GG41" s="1135" t="e">
        <f aca="false">GF41*(IF(Summary!$O$74=1,VLOOKUP($C41,GasTable,16)+Summary!$O$92+Summary!$O$93,VLOOKUP($C41,GasTable,19)+Summary!$O$92+Summary!$O$93))</f>
        <v>#VALUE!</v>
      </c>
      <c r="GH41" s="1137" t="n">
        <v>22599</v>
      </c>
      <c r="GI41" s="1138" t="n">
        <v>0</v>
      </c>
      <c r="GJ41" s="1139" t="e">
        <f aca="false">+GB41*GC41+GE41+GG41+GH41-GI41</f>
        <v>#VALUE!</v>
      </c>
      <c r="GK41" s="1115" t="e">
        <f aca="false">SUM(FP41:FV41,GU41:GX41,GY41:HB41)</f>
        <v>#VALUE!</v>
      </c>
      <c r="GL41" s="1140" t="n">
        <v>0.757786484048</v>
      </c>
      <c r="GM41" s="1141" t="e">
        <f aca="false">IF(GK41&gt;GC41/(CY41/1000),GC41/(CY41/1000),+GK41)*GL41</f>
        <v>#VALUE!</v>
      </c>
      <c r="GN41" s="1115" t="n">
        <f aca="false">IF(SUM(GU41:HB41)=0,0,IF(Summary!$O$16="Yes",SUM(GX41:HB41),IF(Summary!$O$17="Yes",SUM(GY41:HB41),SUM(GU41:HB41))))</f>
        <v>12199.03785</v>
      </c>
      <c r="GO41" s="1142" t="n">
        <v>5.89035685766423</v>
      </c>
      <c r="GP41" s="1143" t="n">
        <f aca="false">GN41*GO41</f>
        <v>71856.6862566531</v>
      </c>
      <c r="GQ41" s="1115"/>
      <c r="GR41" s="1115"/>
      <c r="GS41" s="1115"/>
      <c r="GT41" s="1115"/>
      <c r="GU41" s="1150" t="n">
        <v>5646.1185</v>
      </c>
      <c r="GV41" s="1115" t="n">
        <v>1026.567</v>
      </c>
      <c r="GW41" s="1115" t="n">
        <v>1283.20875</v>
      </c>
      <c r="GX41" s="1115"/>
      <c r="GY41" s="1151" t="n">
        <v>3011.2632</v>
      </c>
      <c r="GZ41" s="1115" t="n">
        <v>547.5024</v>
      </c>
      <c r="HA41" s="1115" t="n">
        <v>684.378</v>
      </c>
      <c r="HB41" s="1141"/>
      <c r="HC41" s="1115" t="n">
        <v>12199.03785</v>
      </c>
      <c r="HD41" s="1115"/>
      <c r="HE41" s="1115" t="n">
        <v>20950.521525</v>
      </c>
      <c r="HF41" s="1115" t="n">
        <v>485943.805380617</v>
      </c>
      <c r="HG41" s="1115"/>
      <c r="HH41" s="1142" t="n">
        <v>39.5295624371693</v>
      </c>
      <c r="HI41" s="1115" t="n">
        <v>828164.948713748</v>
      </c>
      <c r="HJ41" s="1150" t="e">
        <f aca="false">MAX(FB41-FP41-FW41,0)</f>
        <v>#VALUE!</v>
      </c>
      <c r="HK41" s="1115" t="e">
        <f aca="false">MAX(FD41-FR41-FX41,0)</f>
        <v>#VALUE!</v>
      </c>
      <c r="HL41" s="1115" t="e">
        <f aca="false">MAX(FF41-FT41-FY41,0)</f>
        <v>#VALUE!</v>
      </c>
      <c r="HM41" s="1141" t="e">
        <f aca="false">MAX(FH41-FV41-FZ41,0)</f>
        <v>#VALUE!</v>
      </c>
      <c r="HN41" s="1115" t="e">
        <f aca="false">SUM(HJ41:HM41)</f>
        <v>#VALUE!</v>
      </c>
      <c r="HO41" s="1142" t="n">
        <f aca="false">IF(ISERROR(+HP41/HN41),0,+HP41/HN41)</f>
        <v>0</v>
      </c>
      <c r="HP41" s="1143" t="e">
        <f aca="false">(HJ41*CE41+HK41*CF41+HL41*CG41+HM41*CH41)</f>
        <v>#VALUE!</v>
      </c>
      <c r="HQ41" s="1185" t="s">
        <v>553</v>
      </c>
      <c r="HR41" s="1186" t="e">
        <f aca="false">SUM(HR17:HR40)</f>
        <v>#VALUE!</v>
      </c>
      <c r="HS41" s="1187"/>
      <c r="HT41" s="1186" t="e">
        <f aca="false">SUM(HT17:HT40)</f>
        <v>#VALUE!</v>
      </c>
      <c r="HU41" s="1186" t="n">
        <v>2214099.7056</v>
      </c>
      <c r="HV41" s="1187"/>
      <c r="HW41" s="1188" t="n">
        <v>106500044.711769</v>
      </c>
      <c r="HX41" s="1171" t="n">
        <v>0</v>
      </c>
      <c r="HY41" s="1186" t="e">
        <f aca="false">SUM(HY17:HY40)</f>
        <v>#VALUE!</v>
      </c>
      <c r="HZ41" s="1186" t="n">
        <f aca="false">SUM(HZ17:HZ40)</f>
        <v>53989157.5621149</v>
      </c>
      <c r="IA41" s="1187"/>
      <c r="IB41" s="1186" t="n">
        <f aca="false">SUM(IB17:IB40)</f>
        <v>-178491179.141512</v>
      </c>
      <c r="IC41" s="1186" t="n">
        <f aca="false">SUM(IC17:IC40)</f>
        <v>6898986.2556</v>
      </c>
      <c r="ID41" s="1187"/>
      <c r="IE41" s="1186" t="e">
        <f aca="false">SUM(IE17:IE40)</f>
        <v>#VALUE!</v>
      </c>
      <c r="IF41" s="1186" t="n">
        <f aca="false">SUM(IF17:IF40)</f>
        <v>2788241.51925</v>
      </c>
      <c r="IG41" s="1187"/>
      <c r="IH41" s="1186" t="n">
        <f aca="false">SUM(IH17:IH40)</f>
        <v>-8335245.12875043</v>
      </c>
      <c r="II41" s="1186" t="e">
        <f aca="false">SUM(II17:II40)</f>
        <v>#VALUE!</v>
      </c>
      <c r="IJ41" s="1187"/>
      <c r="IK41" s="1186" t="e">
        <f aca="false">SUM(IK17:IK40)</f>
        <v>#VALUE!</v>
      </c>
      <c r="IL41" s="1189" t="e">
        <f aca="false">HY41+IB41+IE41+IH41</f>
        <v>#VALUE!</v>
      </c>
      <c r="IN41" s="222"/>
      <c r="IO41" s="162"/>
      <c r="IR41" s="844"/>
    </row>
    <row r="42" customFormat="false" ht="13.5" hidden="false" customHeight="false" outlineLevel="0" collapsed="false">
      <c r="A42" s="0" t="str">
        <f aca="false">+D42&amp;"Q"&amp;ROUNDUP(E42/3,0)</f>
        <v>2002Q1</v>
      </c>
      <c r="B42" s="0" t="n">
        <f aca="false">YEAR(C42)</f>
        <v>2002</v>
      </c>
      <c r="C42" s="1153" t="n">
        <f aca="false">EOMONTH(C41,0)+1</f>
        <v>37288</v>
      </c>
      <c r="D42" s="841" t="n">
        <f aca="false">+YEAR(C42)</f>
        <v>2002</v>
      </c>
      <c r="E42" s="807" t="n">
        <f aca="false">MONTH(C42)</f>
        <v>2</v>
      </c>
      <c r="F42" s="1154" t="e">
        <f aca="false">IF(G42="","",Holiday(D42,E42))</f>
        <v>#VALUE!</v>
      </c>
      <c r="G42" s="1155" t="n">
        <v>37288</v>
      </c>
      <c r="H42" s="1156" t="n">
        <v>37315</v>
      </c>
      <c r="I42" s="1157" t="n">
        <f aca="false">I41</f>
        <v>0.0715</v>
      </c>
      <c r="J42" s="1158" t="n">
        <f aca="false">(1+I42/2)^(-2*(DATE(D43,E43,20)-$H$7)/365.25)</f>
        <v>0.853105953882361</v>
      </c>
      <c r="K42" s="1159" t="e">
        <f aca="false">IF(#REF!=1,+#REF!,I42+#REF!/10000)</f>
        <v>#REF!</v>
      </c>
      <c r="L42" s="1158" t="e">
        <f aca="false">(1+K42/2)^(-2*(DATE(D43,E43,20)-$H$7)/365.25)</f>
        <v>#REF!</v>
      </c>
      <c r="M42" s="1082" t="n">
        <v>0</v>
      </c>
      <c r="N42" s="1110" t="n">
        <f aca="false">M42</f>
        <v>0</v>
      </c>
      <c r="O42" s="1174" t="n">
        <f aca="false">N42</f>
        <v>0</v>
      </c>
      <c r="P42" s="1175" t="n">
        <f aca="false">M42</f>
        <v>0</v>
      </c>
      <c r="Q42" s="1110" t="n">
        <f aca="false">P42</f>
        <v>0</v>
      </c>
      <c r="R42" s="1174" t="n">
        <f aca="false">Q42</f>
        <v>0</v>
      </c>
      <c r="S42" s="1110" t="n">
        <f aca="false">R42</f>
        <v>0</v>
      </c>
      <c r="T42" s="1110" t="n">
        <f aca="false">S42</f>
        <v>0</v>
      </c>
      <c r="U42" s="1110" t="n">
        <f aca="false">T42</f>
        <v>0</v>
      </c>
      <c r="V42" s="1175" t="n">
        <f aca="false">U42</f>
        <v>0</v>
      </c>
      <c r="W42" s="1110" t="n">
        <f aca="false">V42</f>
        <v>0</v>
      </c>
      <c r="X42" s="1176" t="n">
        <f aca="false">W42</f>
        <v>0</v>
      </c>
      <c r="Y42" s="1086" t="n">
        <v>0</v>
      </c>
      <c r="Z42" s="1086" t="n">
        <v>0</v>
      </c>
      <c r="AA42" s="1087" t="n">
        <v>0</v>
      </c>
      <c r="AB42" s="1086" t="n">
        <v>0</v>
      </c>
      <c r="AC42" s="1086" t="n">
        <v>0</v>
      </c>
      <c r="AD42" s="1087" t="n">
        <v>0</v>
      </c>
      <c r="AE42" s="1086" t="n">
        <v>0</v>
      </c>
      <c r="AF42" s="1086" t="n">
        <v>0</v>
      </c>
      <c r="AG42" s="1087" t="n">
        <v>0</v>
      </c>
      <c r="AH42" s="1086" t="n">
        <v>0</v>
      </c>
      <c r="AI42" s="1086" t="n">
        <v>0</v>
      </c>
      <c r="AJ42" s="1087" t="n">
        <v>0</v>
      </c>
      <c r="AK42" s="1086" t="n">
        <v>0</v>
      </c>
      <c r="AL42" s="1086" t="n">
        <v>0</v>
      </c>
      <c r="AM42" s="1087" t="n">
        <v>0</v>
      </c>
      <c r="AN42" s="1086" t="n">
        <v>0</v>
      </c>
      <c r="AO42" s="1086" t="n">
        <v>0</v>
      </c>
      <c r="AP42" s="1087" t="n">
        <v>0</v>
      </c>
      <c r="AQ42" s="1086" t="n">
        <v>0</v>
      </c>
      <c r="AR42" s="1086" t="n">
        <v>0</v>
      </c>
      <c r="AS42" s="1087" t="n">
        <v>0</v>
      </c>
      <c r="AT42" s="1086" t="n">
        <v>0</v>
      </c>
      <c r="AU42" s="1086" t="n">
        <v>0</v>
      </c>
      <c r="AV42" s="1086" t="n">
        <v>0</v>
      </c>
      <c r="AW42" s="1172" t="n">
        <v>0</v>
      </c>
      <c r="AX42" s="807" t="n">
        <f aca="false">BB42-SUM(AY42:BA42)</f>
        <v>20</v>
      </c>
      <c r="AY42" s="807" t="n">
        <f aca="false">IF(AND($E42=MONTH(Summary!$E$24),$D42=YEAR(Summary!$E$24)),Summary!$E$25,1)*IF(G42="",0,INT((H42-MOD(H42,7)-G42)/7)+1-IF(BA42,IF(WEEKDAY(F42)=7,1,0),0))</f>
        <v>4</v>
      </c>
      <c r="AZ42" s="807" t="n">
        <f aca="false">IF(AND($E42=MONTH(Summary!$E$24),$D42=YEAR(Summary!$E$24)),Summary!$E$25,1)*IF(G42="",0,INT((H42-MOD(H42-1,7)-G42)/7)+1-IF(BA42,IF(WEEKDAY(F42)=1,1,0),0))</f>
        <v>4</v>
      </c>
      <c r="BA42" s="807" t="n">
        <v>0</v>
      </c>
      <c r="BB42" s="807" t="n">
        <f aca="false">IF(AND($E42=MONTH(Summary!$E$24),$D42=YEAR(Summary!$E$24)),Summary!$E$25,1)*IF(G42="",0,H42-G42+1)</f>
        <v>28</v>
      </c>
      <c r="BC42" s="1089" t="n">
        <f aca="false">Summary!$E$19</f>
        <v>0.015</v>
      </c>
      <c r="BD42" s="1090" t="n">
        <v>14184</v>
      </c>
      <c r="BE42" s="1091" t="n">
        <v>2836.8</v>
      </c>
      <c r="BF42" s="1091" t="n">
        <v>2836.8</v>
      </c>
      <c r="BG42" s="842"/>
      <c r="BH42" s="1092" t="n">
        <v>1</v>
      </c>
      <c r="BI42" s="1092" t="n">
        <v>1</v>
      </c>
      <c r="BJ42" s="1092" t="n">
        <v>1</v>
      </c>
      <c r="BK42" s="1092" t="n">
        <v>1</v>
      </c>
      <c r="BL42" s="1093" t="n">
        <v>2836.8</v>
      </c>
      <c r="BM42" s="1091" t="n">
        <v>567.36</v>
      </c>
      <c r="BN42" s="1091" t="n">
        <v>567.36</v>
      </c>
      <c r="BO42" s="842"/>
      <c r="BP42" s="1092" t="n">
        <v>1</v>
      </c>
      <c r="BQ42" s="1094" t="n">
        <v>1</v>
      </c>
      <c r="BR42" s="1094" t="n">
        <v>1</v>
      </c>
      <c r="BS42" s="1095" t="n">
        <v>1</v>
      </c>
      <c r="BT42" s="1093" t="n">
        <f aca="false">SUM(BD42:BF42)</f>
        <v>19857.6</v>
      </c>
      <c r="BU42" s="1098" t="n">
        <f aca="false">SUM(BD42:BG42)</f>
        <v>19857.6</v>
      </c>
      <c r="BV42" s="1090" t="n">
        <f aca="false">SUM(BL42:BN42)</f>
        <v>3971.52</v>
      </c>
      <c r="BW42" s="1098" t="n">
        <f aca="false">SUM(BL42:BO42)</f>
        <v>3971.52</v>
      </c>
      <c r="BX42" s="852" t="n">
        <v>2.13278576317591</v>
      </c>
      <c r="BY42" s="1099" t="n">
        <v>0</v>
      </c>
      <c r="BZ42" s="852" t="n">
        <v>0</v>
      </c>
      <c r="CA42" s="852" t="n">
        <v>0</v>
      </c>
      <c r="CB42" s="852" t="n">
        <v>0</v>
      </c>
      <c r="CC42" s="852" t="n">
        <v>0</v>
      </c>
      <c r="CD42" s="852" t="n">
        <v>0</v>
      </c>
      <c r="CE42" s="1100" t="n">
        <v>0</v>
      </c>
      <c r="CF42" s="852" t="n">
        <v>0</v>
      </c>
      <c r="CG42" s="852" t="n">
        <v>0</v>
      </c>
      <c r="CH42" s="852" t="n">
        <v>0</v>
      </c>
      <c r="CI42" s="852" t="n">
        <v>0</v>
      </c>
      <c r="CJ42" s="1101" t="n">
        <v>0</v>
      </c>
      <c r="CK42" s="852" t="n">
        <v>0</v>
      </c>
      <c r="CL42" s="852" t="n">
        <v>0</v>
      </c>
      <c r="CM42" s="852" t="n">
        <v>0</v>
      </c>
      <c r="CN42" s="852" t="n">
        <v>0</v>
      </c>
      <c r="CO42" s="852" t="n">
        <v>0</v>
      </c>
      <c r="CP42" s="852" t="n">
        <v>0</v>
      </c>
      <c r="CQ42" s="1102" t="n">
        <v>0</v>
      </c>
      <c r="CR42" s="1103" t="n">
        <v>0</v>
      </c>
      <c r="CS42" s="1103" t="n">
        <v>0</v>
      </c>
      <c r="CT42" s="1103" t="n">
        <v>0</v>
      </c>
      <c r="CU42" s="1103" t="n">
        <v>0</v>
      </c>
      <c r="CV42" s="1103" t="n">
        <v>0</v>
      </c>
      <c r="CW42" s="1103" t="n">
        <v>0</v>
      </c>
      <c r="CX42" s="1104" t="n">
        <v>0</v>
      </c>
      <c r="CY42" s="1105" t="n">
        <v>7718.72096</v>
      </c>
      <c r="CZ42" s="1099" t="n">
        <v>0</v>
      </c>
      <c r="DA42" s="852" t="n">
        <v>0</v>
      </c>
      <c r="DB42" s="852" t="n">
        <v>0</v>
      </c>
      <c r="DC42" s="852" t="n">
        <v>0</v>
      </c>
      <c r="DD42" s="852" t="n">
        <v>0</v>
      </c>
      <c r="DE42" s="1113" t="n">
        <v>0</v>
      </c>
      <c r="DF42" s="1109" t="n">
        <v>0</v>
      </c>
      <c r="DG42" s="1110" t="n">
        <v>0</v>
      </c>
      <c r="DH42" s="1111" t="n">
        <v>0</v>
      </c>
      <c r="DI42" s="1112" t="n">
        <v>0</v>
      </c>
      <c r="DJ42" s="1112" t="n">
        <v>0</v>
      </c>
      <c r="DK42" s="1112" t="n">
        <v>0</v>
      </c>
      <c r="DL42" s="1113" t="n">
        <v>0</v>
      </c>
      <c r="DM42" s="1114" t="n">
        <v>0</v>
      </c>
      <c r="DN42" s="1114" t="n">
        <v>0</v>
      </c>
      <c r="DO42" s="1114" t="n">
        <v>0</v>
      </c>
      <c r="DP42" s="1114" t="n">
        <v>0</v>
      </c>
      <c r="DQ42" s="1114" t="n">
        <v>0</v>
      </c>
      <c r="DR42" s="1109" t="n">
        <v>0</v>
      </c>
      <c r="DS42" s="852" t="n">
        <v>0</v>
      </c>
      <c r="DT42" s="852" t="n">
        <v>0</v>
      </c>
      <c r="DU42" s="852" t="n">
        <v>0</v>
      </c>
      <c r="DV42" s="852" t="n">
        <v>0</v>
      </c>
      <c r="DW42" s="852" t="n">
        <v>0</v>
      </c>
      <c r="DX42" s="852" t="n">
        <v>0</v>
      </c>
      <c r="DY42" s="852" t="n">
        <v>0</v>
      </c>
      <c r="DZ42" s="852" t="n">
        <v>0</v>
      </c>
      <c r="EA42" s="852" t="n">
        <v>0</v>
      </c>
      <c r="EB42" s="1113" t="n">
        <v>0</v>
      </c>
      <c r="EC42" s="1115" t="n">
        <f aca="false">DS42*BD42</f>
        <v>0</v>
      </c>
      <c r="ED42" s="1115" t="n">
        <f aca="false">DT42*BE42</f>
        <v>0</v>
      </c>
      <c r="EE42" s="1115" t="n">
        <f aca="false">DU42*BF42</f>
        <v>0</v>
      </c>
      <c r="EF42" s="1115" t="n">
        <f aca="false">DV42*BG42</f>
        <v>0</v>
      </c>
      <c r="EG42" s="1115" t="n">
        <f aca="false">DS42*BD42+DT42*BE42+DU42*BF42+DV42*BG42</f>
        <v>0</v>
      </c>
      <c r="EH42" s="1116" t="n">
        <v>0</v>
      </c>
      <c r="EI42" s="1117" t="n">
        <v>0</v>
      </c>
      <c r="EJ42" s="1117" t="n">
        <v>0</v>
      </c>
      <c r="EK42" s="1117" t="n">
        <v>0</v>
      </c>
      <c r="EL42" s="1118" t="n">
        <f aca="false">IF(C42&gt;=Summary!$E$26,MAX(0,SUM(EH42:EK42)),0)</f>
        <v>0</v>
      </c>
      <c r="EM42" s="1115" t="n">
        <f aca="false">IF(C42&gt;=Summary!$E$26,DX42*BL42,0)</f>
        <v>0</v>
      </c>
      <c r="EN42" s="1115" t="n">
        <f aca="false">IF(C42&gt;=Summary!$E$26,DY42*BM42,0)</f>
        <v>0</v>
      </c>
      <c r="EO42" s="1115" t="n">
        <f aca="false">IF(C42&gt;=Summary!$E$26,DZ42*BN42,0)</f>
        <v>0</v>
      </c>
      <c r="EP42" s="1115" t="n">
        <f aca="false">IF(C42&gt;=Summary!$E$26,EA42*BO42,0)</f>
        <v>0</v>
      </c>
      <c r="EQ42" s="1115" t="n">
        <f aca="false">IF(C42&gt;=Summary!$E$26,DX42*BL42+DY42*BM42+DZ42*BN42+EA42*BO42,0)</f>
        <v>0</v>
      </c>
      <c r="ER42" s="1119" t="n">
        <v>0</v>
      </c>
      <c r="ES42" s="1120" t="n">
        <v>0</v>
      </c>
      <c r="ET42" s="1120" t="n">
        <v>0</v>
      </c>
      <c r="EU42" s="1120" t="n">
        <v>0</v>
      </c>
      <c r="EV42" s="1143" t="n">
        <f aca="false">IF(C42&gt;=Summary!$E$26,MAX(0,SUM(ER42:EU42)),0)</f>
        <v>0</v>
      </c>
      <c r="EW42" s="1115"/>
      <c r="EX42" s="1165" t="n">
        <f aca="false">(EQ42-EV42)+IF(EZ42="Yes",(EG42-EL42),0)</f>
        <v>0</v>
      </c>
      <c r="EY42" s="1166" t="str">
        <f aca="false">IF(EX42,EX42/EQ42,"")</f>
        <v/>
      </c>
      <c r="EZ42" s="1122" t="s">
        <v>37</v>
      </c>
      <c r="FA42" s="1096" t="n">
        <f aca="false">FA41</f>
        <v>45</v>
      </c>
      <c r="FB42" s="1167" t="n">
        <f aca="false">IF(EZ42="No",IF((OR(MONTH(C42)=5,MONTH(C42)=6,MONTH(C42)=7,MONTH(C42)=8,MONTH(C42)=9)),$FA42*12*AX42*(1-$BC42),$FA42*10*AX42*(1-$BC42)),0)</f>
        <v>8865</v>
      </c>
      <c r="FC42" s="1129" t="n">
        <f aca="false">IF(EZ42="No",IF((OR(MONTH(C42)=5,MONTH(C42)=6,MONTH(C42)=7,MONTH(C42)=8,MONTH(C42)=9)),0,$FA42*3*AX42*(1-$BC42)),0)</f>
        <v>2659.5</v>
      </c>
      <c r="FD42" s="1129" t="n">
        <f aca="false">IF(EZ42="No",IF((OR(MONTH(C42)=5,MONTH(C42)=6,MONTH(C42)=7,MONTH(C42)=8,MONTH(C42)=9)),$FA42*12*AY42*(1-$BC42),$FA42*10*AY42*(1-$BC42)),0)</f>
        <v>1773</v>
      </c>
      <c r="FE42" s="1129" t="n">
        <f aca="false">IF(EZ42="No",IF((OR(MONTH(C42)=5,MONTH(C42)=6,MONTH(C42)=7,MONTH(C42)=8,MONTH(C42)=9)),0,$FA42*3*AY42*(1-$BC42)),0)</f>
        <v>531.9</v>
      </c>
      <c r="FF42" s="1129" t="n">
        <f aca="false">IF(EZ42="No",IF((OR(MONTH(C42)=5,MONTH(C42)=6,MONTH(C42)=7,MONTH(C42)=8,MONTH(C42)=9)),$FA42*12*(AZ42+BA42)*(1-$BC42),$FA42*10*(AZ42+BA42)*(1-$BC42)),0)</f>
        <v>1773</v>
      </c>
      <c r="FG42" s="1129" t="n">
        <f aca="false">IF(EZ42="No",IF((OR(MONTH(C42)=5,MONTH(C42)=6,MONTH(C42)=7,MONTH(C42)=8,MONTH(C42)=9)),0,$FA42*3*(AZ42+BA42)*(1-$BC42)),0)</f>
        <v>531.9</v>
      </c>
      <c r="FH42" s="1170" t="n">
        <f aca="false">IF(EZ42="No",IF((OR(MONTH(C42)=5,MONTH(C42)=6,MONTH(C42)=7,MONTH(C42)=8,MONTH(C42)=9)),Summary!$O$15*12*(AX42+AY42+AZ42+BA42)*(1-$BC42),Summary!$O$15*13*(AX42+AY42+AZ42+BA42)*(1-$BC42)+IF(Summary!$O$16="Yes",(CALC!FA42+Summary!$O$15)*6*(AX42+AY42+AZ42+BA42)*(1-$BC42),0)),0)</f>
        <v>0</v>
      </c>
      <c r="FI42" s="1126" t="n">
        <f aca="false">IF(MONTH(C42)=5,FI41*(IF(Summary!$E$70="no",(1+(Summary!$E$71*0.8)),1+HLOOKUP(YEAR(C42)-1,CCFMODEL!$I$127:$AF$128,2)*0.8)),+FI41)</f>
        <v>27.8948213722628</v>
      </c>
      <c r="FJ42" s="1127" t="n">
        <f aca="false">IF(MONTH(C42)=5,FJ41*(IF(Summary!$E$70="no",(1+(Summary!$E$71*0.8)),1+HLOOKUP(YEAR(CALC!C42)-1,CCFMODEL!$I$127:$AF$128,2)*0.8)),FJ41)</f>
        <v>24.3805131678832</v>
      </c>
      <c r="FK42" s="1128" t="n">
        <f aca="false">SUM(FB42:FG42)*FI42+FH42*FJ42</f>
        <v>450063.416466499</v>
      </c>
      <c r="FL42" s="1126" t="n">
        <f aca="false">IF(MONTH(C42)=5,FL41*(IF(Summary!$E$70="no",(1+(Summary!$E$71*0.8)),1+HLOOKUP(YEAR(CALC!C42)-1,CCFMODEL!$I$127:$AF$128,2)*0.8)),+FL41)</f>
        <v>58.6659366618005</v>
      </c>
      <c r="FM42" s="1127" t="n">
        <f aca="false">IF(MONTH(C42)=5,FM41*(IF(Summary!$E$70="no",(1+(Summary!$E$71*0.8)),1+HLOOKUP(YEAR(CALC!C42)-1,CCFMODEL!$I$127:$AF$128,2)*0.8)),+FM41)</f>
        <v>27.9994138783455</v>
      </c>
      <c r="FN42" s="1128" t="n">
        <f aca="false">IF((OR(MONTH(C42)=5,MONTH(C42)=6,MONTH(C42)=7,MONTH(C42)=8,MONTH(C42)=9)),SUM(FB42:FG42)/(1-BC42)*FL42,SUM(FB42:FG42)/(1-BC42)*FM42)</f>
        <v>458630.399327299</v>
      </c>
      <c r="FO42" s="1129" t="n">
        <f aca="false">FK42+FN42</f>
        <v>908693.815793799</v>
      </c>
      <c r="FP42" s="1169" t="n">
        <f aca="false">FB42</f>
        <v>8865</v>
      </c>
      <c r="FQ42" s="1129" t="n">
        <f aca="false">FC42</f>
        <v>2659.5</v>
      </c>
      <c r="FR42" s="1129" t="n">
        <f aca="false">FD42</f>
        <v>1773</v>
      </c>
      <c r="FS42" s="1129" t="n">
        <f aca="false">FE42</f>
        <v>531.9</v>
      </c>
      <c r="FT42" s="1129" t="n">
        <f aca="false">FF42</f>
        <v>1773</v>
      </c>
      <c r="FU42" s="1129" t="n">
        <f aca="false">FG42</f>
        <v>531.9</v>
      </c>
      <c r="FV42" s="1170" t="n">
        <f aca="false">FH42</f>
        <v>0</v>
      </c>
      <c r="FW42" s="1115" t="n">
        <f aca="false">IF(ER42&gt;0,MIN(FB42-FP42,BL42),0)</f>
        <v>0</v>
      </c>
      <c r="FX42" s="1115" t="n">
        <f aca="false">IF(ES42&gt;0,MIN(FD42-FR42,BM42),0)</f>
        <v>0</v>
      </c>
      <c r="FY42" s="1115" t="n">
        <f aca="false">IF(ET42&gt;0,MIN(FF42-FT42,BN42),0)</f>
        <v>0</v>
      </c>
      <c r="FZ42" s="1143" t="n">
        <f aca="false">IF(EU42&gt;0,MIN(FH42-FV42,BO42),0)</f>
        <v>0</v>
      </c>
      <c r="GA42" s="1132" t="n">
        <f aca="false">(SUM(FP42:FV42)+SUM(GU42:HB42)/(1-Summary!$O$25))*CY42/1000</f>
        <v>212669.441752723</v>
      </c>
      <c r="GB42" s="1133" t="n">
        <f aca="false">IF($C42&lt;Summary!$M$81,+Summary!$O$81,VLOOKUP(C42,GasTable,19))</f>
        <v>2.4</v>
      </c>
      <c r="GC42" s="1134" t="n">
        <f aca="false">IF(H42&lt;=Summary!$N$84,MIN(GA42,Summary!$O$75*(H42-G42+1)),0)</f>
        <v>140000</v>
      </c>
      <c r="GD42" s="1135" t="n">
        <f aca="false">IF(Summary!$O$75*(H42-G42+1)*0.8&gt;GC42,1,0)</f>
        <v>0</v>
      </c>
      <c r="GE42" s="1136" t="n">
        <v>0</v>
      </c>
      <c r="GF42" s="1134" t="n">
        <f aca="false">ABS(MIN(0,GC42-$GA42))</f>
        <v>72669.4417527232</v>
      </c>
      <c r="GG42" s="1135" t="n">
        <f aca="false">GF42*(IF(Summary!$O$74=1,VLOOKUP($C42,GasTable,16)+Summary!$O$92+Summary!$O$93,VLOOKUP($C42,GasTable,19)+Summary!$O$92+Summary!$O$93))</f>
        <v>203016.661598694</v>
      </c>
      <c r="GH42" s="1137" t="n">
        <v>19555.2</v>
      </c>
      <c r="GI42" s="1138" t="n">
        <v>0</v>
      </c>
      <c r="GJ42" s="1139" t="n">
        <f aca="false">+GB42*GC42+GE42+GG42+GH42-GI42</f>
        <v>558571.861598694</v>
      </c>
      <c r="GK42" s="1115" t="n">
        <f aca="false">SUM(FP42:FV42,GU42:GX42,GY42:HB42)</f>
        <v>27152.7858</v>
      </c>
      <c r="GL42" s="1140" t="n">
        <v>0.757978398272</v>
      </c>
      <c r="GM42" s="1141" t="n">
        <f aca="false">IF(GK42&gt;GC42/(CY42/1000),GC42/(CY42/1000),+GK42)*GL42</f>
        <v>13748</v>
      </c>
      <c r="GN42" s="1115" t="n">
        <f aca="false">IF(SUM(GU42:HB42)=0,0,IF(Summary!$O$16="Yes",SUM(GX42:HB42),IF(Summary!$O$17="Yes",SUM(GY42:HB42),SUM(GU42:HB42))))</f>
        <v>11018.4858</v>
      </c>
      <c r="GO42" s="1142" t="n">
        <v>5.89035685766423</v>
      </c>
      <c r="GP42" s="1143" t="n">
        <f aca="false">GN42*GO42</f>
        <v>64902.813393106</v>
      </c>
      <c r="GQ42" s="1115"/>
      <c r="GR42" s="1115"/>
      <c r="GS42" s="1115"/>
      <c r="GT42" s="1115"/>
      <c r="GU42" s="1150" t="n">
        <v>5132.835</v>
      </c>
      <c r="GV42" s="1115" t="n">
        <v>1026.567</v>
      </c>
      <c r="GW42" s="1115" t="n">
        <v>1026.567</v>
      </c>
      <c r="GX42" s="1115"/>
      <c r="GY42" s="1151" t="n">
        <v>2737.512</v>
      </c>
      <c r="GZ42" s="1115" t="n">
        <v>547.5024</v>
      </c>
      <c r="HA42" s="1115" t="n">
        <v>547.5024</v>
      </c>
      <c r="HB42" s="1141"/>
      <c r="HC42" s="1115" t="n">
        <v>11018.4858</v>
      </c>
      <c r="HD42" s="1115"/>
      <c r="HE42" s="1115" t="n">
        <v>18923.0517</v>
      </c>
      <c r="HF42" s="1115" t="n">
        <v>365826.489565867</v>
      </c>
      <c r="HG42" s="1115"/>
      <c r="HH42" s="1142" t="n">
        <v>32.9532812992611</v>
      </c>
      <c r="HI42" s="1115" t="n">
        <v>623576.645710561</v>
      </c>
      <c r="HJ42" s="1150" t="n">
        <f aca="false">MAX(FB42-FP42-FW42,0)</f>
        <v>0</v>
      </c>
      <c r="HK42" s="1115" t="n">
        <f aca="false">MAX(FD42-FR42-FX42,0)</f>
        <v>0</v>
      </c>
      <c r="HL42" s="1115" t="n">
        <f aca="false">MAX(FF42-FT42-FY42,0)</f>
        <v>0</v>
      </c>
      <c r="HM42" s="1141" t="n">
        <f aca="false">MAX(FH42-FV42-FZ42,0)</f>
        <v>0</v>
      </c>
      <c r="HN42" s="1115" t="n">
        <f aca="false">SUM(HJ42:HM42)</f>
        <v>0</v>
      </c>
      <c r="HO42" s="1142" t="n">
        <f aca="false">IF(ISERROR(+HP42/HN42),0,+HP42/HN42)</f>
        <v>0</v>
      </c>
      <c r="HP42" s="1143" t="n">
        <f aca="false">(HJ42*CE42+HK42*CF42+HL42*CG42+HM42*CH42)</f>
        <v>0</v>
      </c>
      <c r="HQ42" s="1142"/>
      <c r="HR42" s="1142"/>
      <c r="HS42" s="1142"/>
      <c r="HT42" s="1142"/>
      <c r="HU42" s="1142"/>
      <c r="HV42" s="1142"/>
      <c r="HW42" s="1142"/>
      <c r="HX42" s="1142"/>
      <c r="HY42" s="852"/>
      <c r="HZ42" s="1142"/>
      <c r="IA42" s="1142"/>
      <c r="IB42" s="1142"/>
      <c r="IC42" s="1142"/>
      <c r="ID42" s="1142"/>
      <c r="IE42" s="1142"/>
      <c r="IF42" s="1142"/>
      <c r="IG42" s="1142"/>
      <c r="IH42" s="1142"/>
      <c r="II42" s="1142"/>
      <c r="IJ42" s="1142"/>
      <c r="IK42" s="1142"/>
      <c r="IL42" s="1190"/>
      <c r="IM42" s="222"/>
      <c r="IN42" s="222"/>
      <c r="IR42" s="844"/>
    </row>
    <row r="43" customFormat="false" ht="13.5" hidden="false" customHeight="false" outlineLevel="0" collapsed="false">
      <c r="A43" s="0" t="str">
        <f aca="false">+D43&amp;"Q"&amp;ROUNDUP(E43/3,0)</f>
        <v>2002Q1</v>
      </c>
      <c r="B43" s="0" t="n">
        <f aca="false">YEAR(C43)</f>
        <v>2002</v>
      </c>
      <c r="C43" s="1153" t="n">
        <f aca="false">EOMONTH(C42,0)+1</f>
        <v>37316</v>
      </c>
      <c r="D43" s="841" t="n">
        <f aca="false">+YEAR(C43)</f>
        <v>2002</v>
      </c>
      <c r="E43" s="807" t="n">
        <f aca="false">MONTH(C43)</f>
        <v>3</v>
      </c>
      <c r="F43" s="1154" t="e">
        <f aca="false">IF(G43="","",Holiday(D43,E43))</f>
        <v>#VALUE!</v>
      </c>
      <c r="G43" s="1155" t="n">
        <v>37316</v>
      </c>
      <c r="H43" s="1156" t="n">
        <v>37346</v>
      </c>
      <c r="I43" s="1157" t="n">
        <f aca="false">I42</f>
        <v>0.0715</v>
      </c>
      <c r="J43" s="1158" t="n">
        <f aca="false">(1+I43/2)^(-2*(DATE(D44,E44,20)-$H$7)/365.25)</f>
        <v>0.84803445199578</v>
      </c>
      <c r="K43" s="1159" t="e">
        <f aca="false">IF(#REF!=1,+#REF!,I43+#REF!/10000)</f>
        <v>#REF!</v>
      </c>
      <c r="L43" s="1158" t="e">
        <f aca="false">(1+K43/2)^(-2*(DATE(D44,E44,20)-$H$7)/365.25)</f>
        <v>#REF!</v>
      </c>
      <c r="M43" s="1082" t="n">
        <v>0</v>
      </c>
      <c r="N43" s="1110" t="n">
        <f aca="false">M43</f>
        <v>0</v>
      </c>
      <c r="O43" s="1174" t="n">
        <f aca="false">N43</f>
        <v>0</v>
      </c>
      <c r="P43" s="1175" t="n">
        <f aca="false">M43</f>
        <v>0</v>
      </c>
      <c r="Q43" s="1110" t="n">
        <f aca="false">P43</f>
        <v>0</v>
      </c>
      <c r="R43" s="1174" t="n">
        <f aca="false">Q43</f>
        <v>0</v>
      </c>
      <c r="S43" s="1110" t="n">
        <f aca="false">R43</f>
        <v>0</v>
      </c>
      <c r="T43" s="1110" t="n">
        <f aca="false">S43</f>
        <v>0</v>
      </c>
      <c r="U43" s="1110" t="n">
        <f aca="false">T43</f>
        <v>0</v>
      </c>
      <c r="V43" s="1175" t="n">
        <f aca="false">U43</f>
        <v>0</v>
      </c>
      <c r="W43" s="1110" t="n">
        <f aca="false">V43</f>
        <v>0</v>
      </c>
      <c r="X43" s="1176" t="n">
        <f aca="false">W43</f>
        <v>0</v>
      </c>
      <c r="Y43" s="1086" t="n">
        <v>0</v>
      </c>
      <c r="Z43" s="1086" t="n">
        <v>0</v>
      </c>
      <c r="AA43" s="1087" t="n">
        <v>0</v>
      </c>
      <c r="AB43" s="1086" t="n">
        <v>0</v>
      </c>
      <c r="AC43" s="1086" t="n">
        <v>0</v>
      </c>
      <c r="AD43" s="1087" t="n">
        <v>0</v>
      </c>
      <c r="AE43" s="1086" t="n">
        <v>0</v>
      </c>
      <c r="AF43" s="1086" t="n">
        <v>0</v>
      </c>
      <c r="AG43" s="1087" t="n">
        <v>0</v>
      </c>
      <c r="AH43" s="1086" t="n">
        <v>0</v>
      </c>
      <c r="AI43" s="1086" t="n">
        <v>0</v>
      </c>
      <c r="AJ43" s="1087" t="n">
        <v>0</v>
      </c>
      <c r="AK43" s="1086" t="n">
        <v>0</v>
      </c>
      <c r="AL43" s="1086" t="n">
        <v>0</v>
      </c>
      <c r="AM43" s="1087" t="n">
        <v>0</v>
      </c>
      <c r="AN43" s="1086" t="n">
        <v>0</v>
      </c>
      <c r="AO43" s="1086" t="n">
        <v>0</v>
      </c>
      <c r="AP43" s="1087" t="n">
        <v>0</v>
      </c>
      <c r="AQ43" s="1086" t="n">
        <v>0</v>
      </c>
      <c r="AR43" s="1086" t="n">
        <v>0</v>
      </c>
      <c r="AS43" s="1087" t="n">
        <v>0</v>
      </c>
      <c r="AT43" s="1086" t="n">
        <v>0</v>
      </c>
      <c r="AU43" s="1086" t="n">
        <v>0</v>
      </c>
      <c r="AV43" s="1086" t="n">
        <v>0</v>
      </c>
      <c r="AW43" s="1172" t="n">
        <v>0</v>
      </c>
      <c r="AX43" s="807" t="n">
        <f aca="false">BB43-SUM(AY43:BA43)</f>
        <v>21</v>
      </c>
      <c r="AY43" s="807" t="n">
        <f aca="false">IF(AND($E43=MONTH(Summary!$E$24),$D43=YEAR(Summary!$E$24)),Summary!$E$25,1)*IF(G43="",0,INT((H43-MOD(H43,7)-G43)/7)+1-IF(BA43,IF(WEEKDAY(F43)=7,1,0),0))</f>
        <v>5</v>
      </c>
      <c r="AZ43" s="807" t="n">
        <f aca="false">IF(AND($E43=MONTH(Summary!$E$24),$D43=YEAR(Summary!$E$24)),Summary!$E$25,1)*IF(G43="",0,INT((H43-MOD(H43-1,7)-G43)/7)+1-IF(BA43,IF(WEEKDAY(F43)=1,1,0),0))</f>
        <v>5</v>
      </c>
      <c r="BA43" s="807" t="n">
        <v>0</v>
      </c>
      <c r="BB43" s="807" t="n">
        <f aca="false">IF(AND($E43=MONTH(Summary!$E$24),$D43=YEAR(Summary!$E$24)),Summary!$E$25,1)*IF(G43="",0,H43-G43+1)</f>
        <v>31</v>
      </c>
      <c r="BC43" s="1089" t="n">
        <f aca="false">Summary!$E$19</f>
        <v>0.015</v>
      </c>
      <c r="BD43" s="1090" t="n">
        <v>14893.2</v>
      </c>
      <c r="BE43" s="1091" t="n">
        <v>3546</v>
      </c>
      <c r="BF43" s="1091" t="n">
        <v>3546</v>
      </c>
      <c r="BG43" s="842"/>
      <c r="BH43" s="1092" t="n">
        <v>1</v>
      </c>
      <c r="BI43" s="1092" t="n">
        <v>1</v>
      </c>
      <c r="BJ43" s="1092" t="n">
        <v>1</v>
      </c>
      <c r="BK43" s="1092" t="n">
        <v>1</v>
      </c>
      <c r="BL43" s="1093" t="n">
        <v>2978.64</v>
      </c>
      <c r="BM43" s="1091" t="n">
        <v>709.2</v>
      </c>
      <c r="BN43" s="1091" t="n">
        <v>709.2</v>
      </c>
      <c r="BO43" s="842"/>
      <c r="BP43" s="1092" t="n">
        <v>1</v>
      </c>
      <c r="BQ43" s="1094" t="n">
        <v>1</v>
      </c>
      <c r="BR43" s="1094" t="n">
        <v>1</v>
      </c>
      <c r="BS43" s="1095" t="n">
        <v>1</v>
      </c>
      <c r="BT43" s="1093" t="n">
        <f aca="false">SUM(BD43:BF43)</f>
        <v>21985.2</v>
      </c>
      <c r="BU43" s="1098" t="n">
        <f aca="false">SUM(BD43:BG43)</f>
        <v>21985.2</v>
      </c>
      <c r="BV43" s="1090" t="n">
        <f aca="false">SUM(BL43:BN43)</f>
        <v>4397.04</v>
      </c>
      <c r="BW43" s="1098" t="n">
        <f aca="false">SUM(BL43:BO43)</f>
        <v>4397.04</v>
      </c>
      <c r="BX43" s="852" t="n">
        <v>2.20944558521561</v>
      </c>
      <c r="BY43" s="1099" t="n">
        <v>0</v>
      </c>
      <c r="BZ43" s="852" t="n">
        <v>0</v>
      </c>
      <c r="CA43" s="852" t="n">
        <v>0</v>
      </c>
      <c r="CB43" s="852" t="n">
        <v>0</v>
      </c>
      <c r="CC43" s="852" t="n">
        <v>0</v>
      </c>
      <c r="CD43" s="852" t="n">
        <v>0</v>
      </c>
      <c r="CE43" s="1100" t="n">
        <v>0</v>
      </c>
      <c r="CF43" s="852" t="n">
        <v>0</v>
      </c>
      <c r="CG43" s="852" t="n">
        <v>0</v>
      </c>
      <c r="CH43" s="852" t="n">
        <v>0</v>
      </c>
      <c r="CI43" s="852" t="n">
        <v>0</v>
      </c>
      <c r="CJ43" s="1101" t="n">
        <v>0</v>
      </c>
      <c r="CK43" s="852" t="n">
        <v>0</v>
      </c>
      <c r="CL43" s="852" t="n">
        <v>0</v>
      </c>
      <c r="CM43" s="852" t="n">
        <v>0</v>
      </c>
      <c r="CN43" s="852" t="n">
        <v>0</v>
      </c>
      <c r="CO43" s="852" t="n">
        <v>0</v>
      </c>
      <c r="CP43" s="852" t="n">
        <v>0</v>
      </c>
      <c r="CQ43" s="1102" t="n">
        <v>0</v>
      </c>
      <c r="CR43" s="1103" t="n">
        <v>0</v>
      </c>
      <c r="CS43" s="1103" t="n">
        <v>0</v>
      </c>
      <c r="CT43" s="1103" t="n">
        <v>0</v>
      </c>
      <c r="CU43" s="1103" t="n">
        <v>0</v>
      </c>
      <c r="CV43" s="1103" t="n">
        <v>0</v>
      </c>
      <c r="CW43" s="1103" t="n">
        <v>0</v>
      </c>
      <c r="CX43" s="1104" t="n">
        <v>0</v>
      </c>
      <c r="CY43" s="1105" t="n">
        <v>7720.67528</v>
      </c>
      <c r="CZ43" s="1099" t="n">
        <v>0</v>
      </c>
      <c r="DA43" s="852" t="n">
        <v>0</v>
      </c>
      <c r="DB43" s="852" t="n">
        <v>0</v>
      </c>
      <c r="DC43" s="852" t="n">
        <v>0</v>
      </c>
      <c r="DD43" s="852" t="n">
        <v>0</v>
      </c>
      <c r="DE43" s="1113" t="n">
        <v>0</v>
      </c>
      <c r="DF43" s="1109" t="n">
        <v>0</v>
      </c>
      <c r="DG43" s="1110" t="n">
        <v>0</v>
      </c>
      <c r="DH43" s="1111" t="n">
        <v>0</v>
      </c>
      <c r="DI43" s="1112" t="n">
        <v>0</v>
      </c>
      <c r="DJ43" s="1112" t="n">
        <v>0</v>
      </c>
      <c r="DK43" s="1112" t="n">
        <v>0</v>
      </c>
      <c r="DL43" s="1113" t="n">
        <v>0</v>
      </c>
      <c r="DM43" s="1114" t="n">
        <v>0</v>
      </c>
      <c r="DN43" s="1114" t="n">
        <v>0</v>
      </c>
      <c r="DO43" s="1114" t="n">
        <v>0</v>
      </c>
      <c r="DP43" s="1114" t="n">
        <v>0</v>
      </c>
      <c r="DQ43" s="1114" t="n">
        <v>0</v>
      </c>
      <c r="DR43" s="1109" t="n">
        <v>0</v>
      </c>
      <c r="DS43" s="852" t="n">
        <v>0</v>
      </c>
      <c r="DT43" s="852" t="n">
        <v>0</v>
      </c>
      <c r="DU43" s="852" t="n">
        <v>0</v>
      </c>
      <c r="DV43" s="852" t="n">
        <v>0</v>
      </c>
      <c r="DW43" s="852" t="n">
        <v>0</v>
      </c>
      <c r="DX43" s="852" t="n">
        <v>0</v>
      </c>
      <c r="DY43" s="852" t="n">
        <v>0</v>
      </c>
      <c r="DZ43" s="852" t="n">
        <v>0</v>
      </c>
      <c r="EA43" s="852" t="n">
        <v>0</v>
      </c>
      <c r="EB43" s="1113" t="n">
        <v>0</v>
      </c>
      <c r="EC43" s="1115" t="n">
        <f aca="false">DS43*BD43</f>
        <v>0</v>
      </c>
      <c r="ED43" s="1115" t="n">
        <f aca="false">DT43*BE43</f>
        <v>0</v>
      </c>
      <c r="EE43" s="1115" t="n">
        <f aca="false">DU43*BF43</f>
        <v>0</v>
      </c>
      <c r="EF43" s="1115" t="n">
        <f aca="false">DV43*BG43</f>
        <v>0</v>
      </c>
      <c r="EG43" s="1115" t="n">
        <f aca="false">DS43*BD43+DT43*BE43+DU43*BF43+DV43*BG43</f>
        <v>0</v>
      </c>
      <c r="EH43" s="1116" t="n">
        <v>0</v>
      </c>
      <c r="EI43" s="1117" t="n">
        <v>0</v>
      </c>
      <c r="EJ43" s="1117" t="n">
        <v>0</v>
      </c>
      <c r="EK43" s="1117" t="n">
        <v>0</v>
      </c>
      <c r="EL43" s="1118" t="n">
        <f aca="false">IF(C43&gt;=Summary!$E$26,MAX(0,SUM(EH43:EK43)),0)</f>
        <v>0</v>
      </c>
      <c r="EM43" s="1115" t="n">
        <f aca="false">IF(C43&gt;=Summary!$E$26,DX43*BL43,0)</f>
        <v>0</v>
      </c>
      <c r="EN43" s="1115" t="n">
        <f aca="false">IF(C43&gt;=Summary!$E$26,DY43*BM43,0)</f>
        <v>0</v>
      </c>
      <c r="EO43" s="1115" t="n">
        <f aca="false">IF(C43&gt;=Summary!$E$26,DZ43*BN43,0)</f>
        <v>0</v>
      </c>
      <c r="EP43" s="1115" t="n">
        <f aca="false">IF(C43&gt;=Summary!$E$26,EA43*BO43,0)</f>
        <v>0</v>
      </c>
      <c r="EQ43" s="1115" t="n">
        <f aca="false">IF(C43&gt;=Summary!$E$26,DX43*BL43+DY43*BM43+DZ43*BN43+EA43*BO43,0)</f>
        <v>0</v>
      </c>
      <c r="ER43" s="1119" t="n">
        <v>0</v>
      </c>
      <c r="ES43" s="1120" t="n">
        <v>0</v>
      </c>
      <c r="ET43" s="1120" t="n">
        <v>0</v>
      </c>
      <c r="EU43" s="1120" t="n">
        <v>0</v>
      </c>
      <c r="EV43" s="1143" t="n">
        <f aca="false">IF(C43&gt;=Summary!$E$26,MAX(0,SUM(ER43:EU43)),0)</f>
        <v>0</v>
      </c>
      <c r="EW43" s="1115"/>
      <c r="EX43" s="1165" t="n">
        <f aca="false">(EQ43-EV43)+IF(EZ43="Yes",(EG43-EL43),0)</f>
        <v>0</v>
      </c>
      <c r="EY43" s="1166" t="str">
        <f aca="false">IF(EX43,EX43/EQ43,"")</f>
        <v/>
      </c>
      <c r="EZ43" s="1122" t="s">
        <v>37</v>
      </c>
      <c r="FA43" s="1096" t="n">
        <f aca="false">FA42</f>
        <v>45</v>
      </c>
      <c r="FB43" s="1167" t="n">
        <f aca="false">IF(EZ43="No",IF((OR(MONTH(C43)=5,MONTH(C43)=6,MONTH(C43)=7,MONTH(C43)=8,MONTH(C43)=9)),$FA43*12*AX43*(1-$BC43),$FA43*10*AX43*(1-$BC43)),0)</f>
        <v>9308.25</v>
      </c>
      <c r="FC43" s="1129" t="n">
        <f aca="false">IF(EZ43="No",IF((OR(MONTH(C43)=5,MONTH(C43)=6,MONTH(C43)=7,MONTH(C43)=8,MONTH(C43)=9)),0,$FA43*3*AX43*(1-$BC43)),0)</f>
        <v>2792.475</v>
      </c>
      <c r="FD43" s="1129" t="n">
        <f aca="false">IF(EZ43="No",IF((OR(MONTH(C43)=5,MONTH(C43)=6,MONTH(C43)=7,MONTH(C43)=8,MONTH(C43)=9)),$FA43*12*AY43*(1-$BC43),$FA43*10*AY43*(1-$BC43)),0)</f>
        <v>2216.25</v>
      </c>
      <c r="FE43" s="1129" t="n">
        <f aca="false">IF(EZ43="No",IF((OR(MONTH(C43)=5,MONTH(C43)=6,MONTH(C43)=7,MONTH(C43)=8,MONTH(C43)=9)),0,$FA43*3*AY43*(1-$BC43)),0)</f>
        <v>664.875</v>
      </c>
      <c r="FF43" s="1129" t="n">
        <f aca="false">IF(EZ43="No",IF((OR(MONTH(C43)=5,MONTH(C43)=6,MONTH(C43)=7,MONTH(C43)=8,MONTH(C43)=9)),$FA43*12*(AZ43+BA43)*(1-$BC43),$FA43*10*(AZ43+BA43)*(1-$BC43)),0)</f>
        <v>2216.25</v>
      </c>
      <c r="FG43" s="1129" t="n">
        <f aca="false">IF(EZ43="No",IF((OR(MONTH(C43)=5,MONTH(C43)=6,MONTH(C43)=7,MONTH(C43)=8,MONTH(C43)=9)),0,$FA43*3*(AZ43+BA43)*(1-$BC43)),0)</f>
        <v>664.875</v>
      </c>
      <c r="FH43" s="1170" t="n">
        <f aca="false">IF(EZ43="No",IF((OR(MONTH(C43)=5,MONTH(C43)=6,MONTH(C43)=7,MONTH(C43)=8,MONTH(C43)=9)),Summary!$O$15*12*(AX43+AY43+AZ43+BA43)*(1-$BC43),Summary!$O$15*13*(AX43+AY43+AZ43+BA43)*(1-$BC43)+IF(Summary!$O$16="Yes",(CALC!FA43+Summary!$O$15)*6*(AX43+AY43+AZ43+BA43)*(1-$BC43),0)),0)</f>
        <v>0</v>
      </c>
      <c r="FI43" s="1126" t="n">
        <f aca="false">IF(MONTH(C43)=5,FI42*(IF(Summary!$E$70="no",(1+(Summary!$E$71*0.8)),1+HLOOKUP(YEAR(C43)-1,CCFMODEL!$I$127:$AF$128,2)*0.8)),+FI42)</f>
        <v>27.8948213722628</v>
      </c>
      <c r="FJ43" s="1127" t="n">
        <f aca="false">IF(MONTH(C43)=5,FJ42*(IF(Summary!$E$70="no",(1+(Summary!$E$71*0.8)),1+HLOOKUP(YEAR(CALC!C43)-1,CCFMODEL!$I$127:$AF$128,2)*0.8)),FJ42)</f>
        <v>24.3805131678832</v>
      </c>
      <c r="FK43" s="1128" t="n">
        <f aca="false">SUM(FB43:FG43)*FI43+FH43*FJ43</f>
        <v>498284.496802196</v>
      </c>
      <c r="FL43" s="1126" t="n">
        <f aca="false">IF(MONTH(C43)=5,FL42*(IF(Summary!$E$70="no",(1+(Summary!$E$71*0.8)),1+HLOOKUP(YEAR(CALC!C43)-1,CCFMODEL!$I$127:$AF$128,2)*0.8)),+FL42)</f>
        <v>58.6659366618005</v>
      </c>
      <c r="FM43" s="1127" t="n">
        <f aca="false">IF(MONTH(C43)=5,FM42*(IF(Summary!$E$70="no",(1+(Summary!$E$71*0.8)),1+HLOOKUP(YEAR(CALC!C43)-1,CCFMODEL!$I$127:$AF$128,2)*0.8)),+FM42)</f>
        <v>27.9994138783455</v>
      </c>
      <c r="FN43" s="1128" t="n">
        <f aca="false">IF((OR(MONTH(C43)=5,MONTH(C43)=6,MONTH(C43)=7,MONTH(C43)=8,MONTH(C43)=9)),SUM(FB43:FG43)/(1-BC43)*FL43,SUM(FB43:FG43)/(1-BC43)*FM43)</f>
        <v>507769.370683796</v>
      </c>
      <c r="FO43" s="1129" t="n">
        <f aca="false">FK43+FN43</f>
        <v>1006053.86748599</v>
      </c>
      <c r="FP43" s="1169" t="n">
        <f aca="false">FB43</f>
        <v>9308.25</v>
      </c>
      <c r="FQ43" s="1129" t="n">
        <f aca="false">FC43</f>
        <v>2792.475</v>
      </c>
      <c r="FR43" s="1129" t="n">
        <f aca="false">FD43</f>
        <v>2216.25</v>
      </c>
      <c r="FS43" s="1129" t="n">
        <f aca="false">FE43</f>
        <v>664.875</v>
      </c>
      <c r="FT43" s="1129" t="n">
        <f aca="false">FF43</f>
        <v>2216.25</v>
      </c>
      <c r="FU43" s="1129" t="n">
        <f aca="false">FG43</f>
        <v>664.875</v>
      </c>
      <c r="FV43" s="1170" t="n">
        <f aca="false">FH43</f>
        <v>0</v>
      </c>
      <c r="FW43" s="1115" t="n">
        <f aca="false">IF(ER43&gt;0,MIN(FB43-FP43,BL43),0)</f>
        <v>0</v>
      </c>
      <c r="FX43" s="1115" t="n">
        <f aca="false">IF(ES43&gt;0,MIN(FD43-FR43,BM43),0)</f>
        <v>0</v>
      </c>
      <c r="FY43" s="1115" t="n">
        <f aca="false">IF(ET43&gt;0,MIN(FF43-FT43,BN43),0)</f>
        <v>0</v>
      </c>
      <c r="FZ43" s="1143" t="n">
        <f aca="false">IF(EU43&gt;0,MIN(FH43-FV43,BO43),0)</f>
        <v>0</v>
      </c>
      <c r="GA43" s="1132" t="n">
        <f aca="false">(SUM(FP43:FV43)+SUM(GU43:HB43)/(1-Summary!$O$25))*CY43/1000</f>
        <v>235515.068855125</v>
      </c>
      <c r="GB43" s="1133" t="n">
        <f aca="false">IF($C43&lt;Summary!$M$81,+Summary!$O$81,VLOOKUP(C43,GasTable,19))</f>
        <v>2.4</v>
      </c>
      <c r="GC43" s="1134" t="n">
        <f aca="false">IF(H43&lt;=Summary!$N$84,MIN(GA43,Summary!$O$75*(H43-G43+1)),0)</f>
        <v>155000</v>
      </c>
      <c r="GD43" s="1135" t="n">
        <f aca="false">IF(Summary!$O$75*(H43-G43+1)*0.8&gt;GC43,1,0)</f>
        <v>0</v>
      </c>
      <c r="GE43" s="1136" t="n">
        <v>0</v>
      </c>
      <c r="GF43" s="1134" t="n">
        <f aca="false">ABS(MIN(0,GC43-$GA43))</f>
        <v>80515.0688551252</v>
      </c>
      <c r="GG43" s="1135" t="n">
        <f aca="false">GF43*(IF(Summary!$O$74=1,VLOOKUP($C43,GasTable,16)+Summary!$O$92+Summary!$O$93,VLOOKUP($C43,GasTable,19)+Summary!$O$92+Summary!$O$93))</f>
        <v>212913.617788859</v>
      </c>
      <c r="GH43" s="1137" t="n">
        <v>20813.4</v>
      </c>
      <c r="GI43" s="1138" t="n">
        <v>0</v>
      </c>
      <c r="GJ43" s="1139" t="n">
        <f aca="false">+GB43*GC43+GE43+GG43+GH43-GI43</f>
        <v>605727.017788859</v>
      </c>
      <c r="GK43" s="1115" t="n">
        <f aca="false">SUM(FP43:FV43,GU43:GX43,GY43:HB43)</f>
        <v>30062.01285</v>
      </c>
      <c r="GL43" s="1140" t="n">
        <v>0.758170312496</v>
      </c>
      <c r="GM43" s="1141" t="n">
        <f aca="false">IF(GK43&gt;GC43/(CY43/1000),GC43/(CY43/1000),+GK43)*GL43</f>
        <v>15221</v>
      </c>
      <c r="GN43" s="1115" t="n">
        <f aca="false">IF(SUM(GU43:HB43)=0,0,IF(Summary!$O$16="Yes",SUM(GX43:HB43),IF(Summary!$O$17="Yes",SUM(GY43:HB43),SUM(GU43:HB43))))</f>
        <v>12199.03785</v>
      </c>
      <c r="GO43" s="1142" t="n">
        <v>5.89035685766423</v>
      </c>
      <c r="GP43" s="1143" t="n">
        <f aca="false">GN43*GO43</f>
        <v>71856.6862566531</v>
      </c>
      <c r="GQ43" s="1115"/>
      <c r="GR43" s="1115"/>
      <c r="GS43" s="1115"/>
      <c r="GT43" s="1115"/>
      <c r="GU43" s="1150" t="n">
        <v>5389.47675</v>
      </c>
      <c r="GV43" s="1115" t="n">
        <v>1283.20875</v>
      </c>
      <c r="GW43" s="1115" t="n">
        <v>1283.20875</v>
      </c>
      <c r="GX43" s="1115"/>
      <c r="GY43" s="1151" t="n">
        <v>2874.3876</v>
      </c>
      <c r="GZ43" s="1115" t="n">
        <v>684.378</v>
      </c>
      <c r="HA43" s="1115" t="n">
        <v>684.378</v>
      </c>
      <c r="HB43" s="1141"/>
      <c r="HC43" s="1115" t="n">
        <v>12199.03785</v>
      </c>
      <c r="HD43" s="1115"/>
      <c r="HE43" s="1115" t="n">
        <v>20950.521525</v>
      </c>
      <c r="HF43" s="1115" t="n">
        <v>364447.289438514</v>
      </c>
      <c r="HG43" s="1115"/>
      <c r="HH43" s="1142" t="n">
        <v>29.3848223498553</v>
      </c>
      <c r="HI43" s="1115" t="n">
        <v>615627.353148944</v>
      </c>
      <c r="HJ43" s="1150" t="n">
        <f aca="false">MAX(FB43-FP43-FW43,0)</f>
        <v>0</v>
      </c>
      <c r="HK43" s="1115" t="n">
        <f aca="false">MAX(FD43-FR43-FX43,0)</f>
        <v>0</v>
      </c>
      <c r="HL43" s="1115" t="n">
        <f aca="false">MAX(FF43-FT43-FY43,0)</f>
        <v>0</v>
      </c>
      <c r="HM43" s="1141" t="n">
        <f aca="false">MAX(FH43-FV43-FZ43,0)</f>
        <v>0</v>
      </c>
      <c r="HN43" s="1115" t="n">
        <f aca="false">SUM(HJ43:HM43)</f>
        <v>0</v>
      </c>
      <c r="HO43" s="1142" t="n">
        <f aca="false">IF(ISERROR(+HP43/HN43),0,+HP43/HN43)</f>
        <v>0</v>
      </c>
      <c r="HP43" s="1143" t="n">
        <f aca="false">(HJ43*CE43+HK43*CF43+HL43*CG43+HM43*CH43)</f>
        <v>0</v>
      </c>
      <c r="HQ43" s="1142"/>
      <c r="HR43" s="222"/>
      <c r="HS43" s="0"/>
      <c r="HT43" s="0"/>
      <c r="HU43" s="0"/>
      <c r="HV43" s="0"/>
      <c r="HW43" s="816"/>
      <c r="HX43" s="0"/>
      <c r="HY43" s="838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222"/>
      <c r="IN43" s="222"/>
      <c r="IR43" s="844"/>
    </row>
    <row r="44" customFormat="false" ht="13.5" hidden="false" customHeight="false" outlineLevel="0" collapsed="false">
      <c r="A44" s="0" t="str">
        <f aca="false">+D44&amp;"Q"&amp;ROUNDUP(E44/3,0)</f>
        <v>2002Q2</v>
      </c>
      <c r="B44" s="0" t="n">
        <f aca="false">YEAR(C44)</f>
        <v>2002</v>
      </c>
      <c r="C44" s="1153" t="n">
        <f aca="false">EOMONTH(C43,0)+1</f>
        <v>37347</v>
      </c>
      <c r="D44" s="841" t="n">
        <f aca="false">+YEAR(C44)</f>
        <v>2002</v>
      </c>
      <c r="E44" s="807" t="n">
        <f aca="false">MONTH(C44)</f>
        <v>4</v>
      </c>
      <c r="F44" s="1154" t="e">
        <f aca="false">IF(G44="","",Holiday(D44,E44))</f>
        <v>#VALUE!</v>
      </c>
      <c r="G44" s="1155" t="n">
        <v>37347</v>
      </c>
      <c r="H44" s="1156" t="n">
        <v>37376</v>
      </c>
      <c r="I44" s="1157" t="n">
        <f aca="false">I43</f>
        <v>0.0715</v>
      </c>
      <c r="J44" s="1158" t="n">
        <f aca="false">(1+I44/2)^(-2*(DATE(D45,E45,20)-$H$7)/365.25)</f>
        <v>0.84315525446709</v>
      </c>
      <c r="K44" s="1159" t="e">
        <f aca="false">IF(#REF!=1,+#REF!,I44+#REF!/10000)</f>
        <v>#REF!</v>
      </c>
      <c r="L44" s="1158" t="e">
        <f aca="false">(1+K44/2)^(-2*(DATE(D45,E45,20)-$H$7)/365.25)</f>
        <v>#REF!</v>
      </c>
      <c r="M44" s="1082" t="n">
        <v>0</v>
      </c>
      <c r="N44" s="1110" t="n">
        <f aca="false">M44</f>
        <v>0</v>
      </c>
      <c r="O44" s="1174" t="n">
        <f aca="false">N44</f>
        <v>0</v>
      </c>
      <c r="P44" s="1175" t="n">
        <f aca="false">M44</f>
        <v>0</v>
      </c>
      <c r="Q44" s="1110" t="n">
        <f aca="false">P44</f>
        <v>0</v>
      </c>
      <c r="R44" s="1174" t="n">
        <f aca="false">Q44</f>
        <v>0</v>
      </c>
      <c r="S44" s="1110" t="n">
        <f aca="false">R44</f>
        <v>0</v>
      </c>
      <c r="T44" s="1110" t="n">
        <f aca="false">S44</f>
        <v>0</v>
      </c>
      <c r="U44" s="1110" t="n">
        <f aca="false">T44</f>
        <v>0</v>
      </c>
      <c r="V44" s="1175" t="n">
        <f aca="false">U44</f>
        <v>0</v>
      </c>
      <c r="W44" s="1110" t="n">
        <f aca="false">V44</f>
        <v>0</v>
      </c>
      <c r="X44" s="1176" t="n">
        <f aca="false">W44</f>
        <v>0</v>
      </c>
      <c r="Y44" s="1086" t="n">
        <v>0</v>
      </c>
      <c r="Z44" s="1086" t="n">
        <v>0</v>
      </c>
      <c r="AA44" s="1087" t="n">
        <v>0</v>
      </c>
      <c r="AB44" s="1086" t="n">
        <v>0</v>
      </c>
      <c r="AC44" s="1086" t="n">
        <v>0</v>
      </c>
      <c r="AD44" s="1087" t="n">
        <v>0</v>
      </c>
      <c r="AE44" s="1086" t="n">
        <v>0</v>
      </c>
      <c r="AF44" s="1086" t="n">
        <v>0</v>
      </c>
      <c r="AG44" s="1087" t="n">
        <v>0</v>
      </c>
      <c r="AH44" s="1086" t="n">
        <v>0</v>
      </c>
      <c r="AI44" s="1086" t="n">
        <v>0</v>
      </c>
      <c r="AJ44" s="1087" t="n">
        <v>0</v>
      </c>
      <c r="AK44" s="1086" t="n">
        <v>0</v>
      </c>
      <c r="AL44" s="1086" t="n">
        <v>0</v>
      </c>
      <c r="AM44" s="1087" t="n">
        <v>0</v>
      </c>
      <c r="AN44" s="1086" t="n">
        <v>0</v>
      </c>
      <c r="AO44" s="1086" t="n">
        <v>0</v>
      </c>
      <c r="AP44" s="1087" t="n">
        <v>0</v>
      </c>
      <c r="AQ44" s="1086" t="n">
        <v>0</v>
      </c>
      <c r="AR44" s="1086" t="n">
        <v>0</v>
      </c>
      <c r="AS44" s="1087" t="n">
        <v>0</v>
      </c>
      <c r="AT44" s="1086" t="n">
        <v>0</v>
      </c>
      <c r="AU44" s="1086" t="n">
        <v>0</v>
      </c>
      <c r="AV44" s="1086" t="n">
        <v>0</v>
      </c>
      <c r="AW44" s="1172" t="n">
        <v>0</v>
      </c>
      <c r="AX44" s="807" t="n">
        <f aca="false">BB44-SUM(AY44:BA44)</f>
        <v>22</v>
      </c>
      <c r="AY44" s="807" t="n">
        <f aca="false">IF(AND($E44=MONTH(Summary!$E$24),$D44=YEAR(Summary!$E$24)),Summary!$E$25,1)*IF(G44="",0,INT((H44-MOD(H44,7)-G44)/7)+1-IF(BA44,IF(WEEKDAY(F44)=7,1,0),0))</f>
        <v>4</v>
      </c>
      <c r="AZ44" s="807" t="n">
        <f aca="false">IF(AND($E44=MONTH(Summary!$E$24),$D44=YEAR(Summary!$E$24)),Summary!$E$25,1)*IF(G44="",0,INT((H44-MOD(H44-1,7)-G44)/7)+1-IF(BA44,IF(WEEKDAY(F44)=1,1,0),0))</f>
        <v>4</v>
      </c>
      <c r="BA44" s="807" t="n">
        <v>0</v>
      </c>
      <c r="BB44" s="807" t="n">
        <f aca="false">IF(AND($E44=MONTH(Summary!$E$24),$D44=YEAR(Summary!$E$24)),Summary!$E$25,1)*IF(G44="",0,H44-G44+1)</f>
        <v>30</v>
      </c>
      <c r="BC44" s="1089" t="n">
        <f aca="false">Summary!$E$19</f>
        <v>0.015</v>
      </c>
      <c r="BD44" s="1090" t="n">
        <v>15602.4</v>
      </c>
      <c r="BE44" s="1091" t="n">
        <v>2836.8</v>
      </c>
      <c r="BF44" s="1091" t="n">
        <v>2836.8</v>
      </c>
      <c r="BG44" s="842"/>
      <c r="BH44" s="1092" t="n">
        <v>1</v>
      </c>
      <c r="BI44" s="1092" t="n">
        <v>1</v>
      </c>
      <c r="BJ44" s="1092" t="n">
        <v>1</v>
      </c>
      <c r="BK44" s="1092" t="n">
        <v>1</v>
      </c>
      <c r="BL44" s="1093" t="n">
        <v>3120.48</v>
      </c>
      <c r="BM44" s="1091" t="n">
        <v>567.36</v>
      </c>
      <c r="BN44" s="1091" t="n">
        <v>567.36</v>
      </c>
      <c r="BO44" s="842"/>
      <c r="BP44" s="1092" t="n">
        <v>1</v>
      </c>
      <c r="BQ44" s="1094" t="n">
        <v>1</v>
      </c>
      <c r="BR44" s="1094" t="n">
        <v>1</v>
      </c>
      <c r="BS44" s="1095" t="n">
        <v>1</v>
      </c>
      <c r="BT44" s="1093" t="n">
        <f aca="false">SUM(BD44:BF44)</f>
        <v>21276</v>
      </c>
      <c r="BU44" s="1098" t="n">
        <f aca="false">SUM(BD44:BG44)</f>
        <v>21276</v>
      </c>
      <c r="BV44" s="1090" t="n">
        <f aca="false">SUM(BL44:BN44)</f>
        <v>4255.2</v>
      </c>
      <c r="BW44" s="1098" t="n">
        <f aca="false">SUM(BL44:BO44)</f>
        <v>4255.2</v>
      </c>
      <c r="BX44" s="852" t="n">
        <v>2.2943189596167</v>
      </c>
      <c r="BY44" s="1099" t="n">
        <v>0</v>
      </c>
      <c r="BZ44" s="852" t="n">
        <v>0</v>
      </c>
      <c r="CA44" s="852" t="n">
        <v>0</v>
      </c>
      <c r="CB44" s="852" t="n">
        <v>0</v>
      </c>
      <c r="CC44" s="852" t="n">
        <v>0</v>
      </c>
      <c r="CD44" s="852" t="n">
        <v>0</v>
      </c>
      <c r="CE44" s="1100" t="n">
        <v>0</v>
      </c>
      <c r="CF44" s="852" t="n">
        <v>0</v>
      </c>
      <c r="CG44" s="852" t="n">
        <v>0</v>
      </c>
      <c r="CH44" s="852" t="n">
        <v>0</v>
      </c>
      <c r="CI44" s="852" t="n">
        <v>0</v>
      </c>
      <c r="CJ44" s="1101" t="n">
        <v>0</v>
      </c>
      <c r="CK44" s="852" t="n">
        <v>0</v>
      </c>
      <c r="CL44" s="852" t="n">
        <v>0</v>
      </c>
      <c r="CM44" s="852" t="n">
        <v>0</v>
      </c>
      <c r="CN44" s="852" t="n">
        <v>0</v>
      </c>
      <c r="CO44" s="852" t="n">
        <v>0</v>
      </c>
      <c r="CP44" s="852" t="n">
        <v>0</v>
      </c>
      <c r="CQ44" s="1102" t="n">
        <v>0</v>
      </c>
      <c r="CR44" s="1103" t="n">
        <v>0</v>
      </c>
      <c r="CS44" s="1103" t="n">
        <v>0</v>
      </c>
      <c r="CT44" s="1103" t="n">
        <v>0</v>
      </c>
      <c r="CU44" s="1103" t="n">
        <v>0</v>
      </c>
      <c r="CV44" s="1103" t="n">
        <v>0</v>
      </c>
      <c r="CW44" s="1103" t="n">
        <v>0</v>
      </c>
      <c r="CX44" s="1104" t="n">
        <v>0</v>
      </c>
      <c r="CY44" s="1105" t="n">
        <v>7722.6296</v>
      </c>
      <c r="CZ44" s="1099" t="n">
        <v>0</v>
      </c>
      <c r="DA44" s="852" t="n">
        <v>0</v>
      </c>
      <c r="DB44" s="852" t="n">
        <v>0</v>
      </c>
      <c r="DC44" s="852" t="n">
        <v>0</v>
      </c>
      <c r="DD44" s="852" t="n">
        <v>0</v>
      </c>
      <c r="DE44" s="1113" t="n">
        <v>0</v>
      </c>
      <c r="DF44" s="1109" t="n">
        <v>0</v>
      </c>
      <c r="DG44" s="1110" t="n">
        <v>0</v>
      </c>
      <c r="DH44" s="1111" t="n">
        <v>0</v>
      </c>
      <c r="DI44" s="1112" t="n">
        <v>0</v>
      </c>
      <c r="DJ44" s="1112" t="n">
        <v>0</v>
      </c>
      <c r="DK44" s="1112" t="n">
        <v>0</v>
      </c>
      <c r="DL44" s="1113" t="n">
        <v>0</v>
      </c>
      <c r="DM44" s="1114" t="n">
        <v>0</v>
      </c>
      <c r="DN44" s="1114" t="n">
        <v>0</v>
      </c>
      <c r="DO44" s="1114" t="n">
        <v>0</v>
      </c>
      <c r="DP44" s="1114" t="n">
        <v>0</v>
      </c>
      <c r="DQ44" s="1114" t="n">
        <v>0</v>
      </c>
      <c r="DR44" s="1109" t="n">
        <v>0</v>
      </c>
      <c r="DS44" s="852" t="n">
        <v>0</v>
      </c>
      <c r="DT44" s="852" t="n">
        <v>0</v>
      </c>
      <c r="DU44" s="852" t="n">
        <v>0</v>
      </c>
      <c r="DV44" s="852" t="n">
        <v>0</v>
      </c>
      <c r="DW44" s="852" t="n">
        <v>0</v>
      </c>
      <c r="DX44" s="852" t="n">
        <v>0</v>
      </c>
      <c r="DY44" s="852" t="n">
        <v>0</v>
      </c>
      <c r="DZ44" s="852" t="n">
        <v>0</v>
      </c>
      <c r="EA44" s="852" t="n">
        <v>0</v>
      </c>
      <c r="EB44" s="1113" t="n">
        <v>0</v>
      </c>
      <c r="EC44" s="1115" t="n">
        <f aca="false">DS44*BD44</f>
        <v>0</v>
      </c>
      <c r="ED44" s="1115" t="n">
        <f aca="false">DT44*BE44</f>
        <v>0</v>
      </c>
      <c r="EE44" s="1115" t="n">
        <f aca="false">DU44*BF44</f>
        <v>0</v>
      </c>
      <c r="EF44" s="1115" t="n">
        <f aca="false">DV44*BG44</f>
        <v>0</v>
      </c>
      <c r="EG44" s="1115" t="n">
        <f aca="false">DS44*BD44+DT44*BE44+DU44*BF44+DV44*BG44</f>
        <v>0</v>
      </c>
      <c r="EH44" s="1116" t="n">
        <v>0</v>
      </c>
      <c r="EI44" s="1117" t="n">
        <v>0</v>
      </c>
      <c r="EJ44" s="1117" t="n">
        <v>0</v>
      </c>
      <c r="EK44" s="1117" t="n">
        <v>0</v>
      </c>
      <c r="EL44" s="1118" t="n">
        <f aca="false">IF(C44&gt;=Summary!$E$26,MAX(0,SUM(EH44:EK44)),0)</f>
        <v>0</v>
      </c>
      <c r="EM44" s="1115" t="n">
        <f aca="false">IF(C44&gt;=Summary!$E$26,DX44*BL44,0)</f>
        <v>0</v>
      </c>
      <c r="EN44" s="1115" t="n">
        <f aca="false">IF(C44&gt;=Summary!$E$26,DY44*BM44,0)</f>
        <v>0</v>
      </c>
      <c r="EO44" s="1115" t="n">
        <f aca="false">IF(C44&gt;=Summary!$E$26,DZ44*BN44,0)</f>
        <v>0</v>
      </c>
      <c r="EP44" s="1115" t="n">
        <f aca="false">IF(C44&gt;=Summary!$E$26,EA44*BO44,0)</f>
        <v>0</v>
      </c>
      <c r="EQ44" s="1115" t="n">
        <f aca="false">IF(C44&gt;=Summary!$E$26,DX44*BL44+DY44*BM44+DZ44*BN44+EA44*BO44,0)</f>
        <v>0</v>
      </c>
      <c r="ER44" s="1119" t="n">
        <v>0</v>
      </c>
      <c r="ES44" s="1120" t="n">
        <v>0</v>
      </c>
      <c r="ET44" s="1120" t="n">
        <v>0</v>
      </c>
      <c r="EU44" s="1120" t="n">
        <v>0</v>
      </c>
      <c r="EV44" s="1143" t="n">
        <f aca="false">IF(C44&gt;=Summary!$E$26,MAX(0,SUM(ER44:EU44)),0)</f>
        <v>0</v>
      </c>
      <c r="EW44" s="1115"/>
      <c r="EX44" s="1165" t="n">
        <f aca="false">(EQ44-EV44)+IF(EZ44="Yes",(EG44-EL44),0)</f>
        <v>0</v>
      </c>
      <c r="EY44" s="1166" t="str">
        <f aca="false">IF(EX44,EX44/EQ44,"")</f>
        <v/>
      </c>
      <c r="EZ44" s="1122" t="s">
        <v>37</v>
      </c>
      <c r="FA44" s="1096" t="n">
        <f aca="false">FA43</f>
        <v>45</v>
      </c>
      <c r="FB44" s="1167" t="n">
        <f aca="false">IF(EZ44="No",IF((OR(MONTH(C44)=5,MONTH(C44)=6,MONTH(C44)=7,MONTH(C44)=8,MONTH(C44)=9)),$FA44*12*AX44*(1-$BC44),$FA44*10*AX44*(1-$BC44)),0)</f>
        <v>9751.5</v>
      </c>
      <c r="FC44" s="1129" t="n">
        <f aca="false">IF(EZ44="No",IF((OR(MONTH(C44)=5,MONTH(C44)=6,MONTH(C44)=7,MONTH(C44)=8,MONTH(C44)=9)),0,$FA44*3*AX44*(1-$BC44)),0)</f>
        <v>2925.45</v>
      </c>
      <c r="FD44" s="1129" t="n">
        <f aca="false">IF(EZ44="No",IF((OR(MONTH(C44)=5,MONTH(C44)=6,MONTH(C44)=7,MONTH(C44)=8,MONTH(C44)=9)),$FA44*12*AY44*(1-$BC44),$FA44*10*AY44*(1-$BC44)),0)</f>
        <v>1773</v>
      </c>
      <c r="FE44" s="1129" t="n">
        <f aca="false">IF(EZ44="No",IF((OR(MONTH(C44)=5,MONTH(C44)=6,MONTH(C44)=7,MONTH(C44)=8,MONTH(C44)=9)),0,$FA44*3*AY44*(1-$BC44)),0)</f>
        <v>531.9</v>
      </c>
      <c r="FF44" s="1129" t="n">
        <f aca="false">IF(EZ44="No",IF((OR(MONTH(C44)=5,MONTH(C44)=6,MONTH(C44)=7,MONTH(C44)=8,MONTH(C44)=9)),$FA44*12*(AZ44+BA44)*(1-$BC44),$FA44*10*(AZ44+BA44)*(1-$BC44)),0)</f>
        <v>1773</v>
      </c>
      <c r="FG44" s="1129" t="n">
        <f aca="false">IF(EZ44="No",IF((OR(MONTH(C44)=5,MONTH(C44)=6,MONTH(C44)=7,MONTH(C44)=8,MONTH(C44)=9)),0,$FA44*3*(AZ44+BA44)*(1-$BC44)),0)</f>
        <v>531.9</v>
      </c>
      <c r="FH44" s="1170" t="n">
        <f aca="false">IF(EZ44="No",IF((OR(MONTH(C44)=5,MONTH(C44)=6,MONTH(C44)=7,MONTH(C44)=8,MONTH(C44)=9)),Summary!$O$15*12*(AX44+AY44+AZ44+BA44)*(1-$BC44),Summary!$O$15*13*(AX44+AY44+AZ44+BA44)*(1-$BC44)+IF(Summary!$O$16="Yes",(CALC!FA44+Summary!$O$15)*6*(AX44+AY44+AZ44+BA44)*(1-$BC44),0)),0)</f>
        <v>0</v>
      </c>
      <c r="FI44" s="1126" t="n">
        <f aca="false">IF(MONTH(C44)=5,FI43*(IF(Summary!$E$70="no",(1+(Summary!$E$71*0.8)),1+HLOOKUP(YEAR(C44)-1,CCFMODEL!$I$127:$AF$128,2)*0.8)),+FI43)</f>
        <v>27.8948213722628</v>
      </c>
      <c r="FJ44" s="1127" t="n">
        <f aca="false">IF(MONTH(C44)=5,FJ43*(IF(Summary!$E$70="no",(1+(Summary!$E$71*0.8)),1+HLOOKUP(YEAR(CALC!C44)-1,CCFMODEL!$I$127:$AF$128,2)*0.8)),FJ43)</f>
        <v>24.3805131678832</v>
      </c>
      <c r="FK44" s="1128" t="n">
        <f aca="false">SUM(FB44:FG44)*FI44+FH44*FJ44</f>
        <v>482210.803356964</v>
      </c>
      <c r="FL44" s="1126" t="n">
        <f aca="false">IF(MONTH(C44)=5,FL43*(IF(Summary!$E$70="no",(1+(Summary!$E$71*0.8)),1+HLOOKUP(YEAR(CALC!C44)-1,CCFMODEL!$I$127:$AF$128,2)*0.8)),+FL43)</f>
        <v>58.6659366618005</v>
      </c>
      <c r="FM44" s="1127" t="n">
        <f aca="false">IF(MONTH(C44)=5,FM43*(IF(Summary!$E$70="no",(1+(Summary!$E$71*0.8)),1+HLOOKUP(YEAR(CALC!C44)-1,CCFMODEL!$I$127:$AF$128,2)*0.8)),+FM43)</f>
        <v>27.9994138783455</v>
      </c>
      <c r="FN44" s="1128" t="n">
        <f aca="false">IF((OR(MONTH(C44)=5,MONTH(C44)=6,MONTH(C44)=7,MONTH(C44)=8,MONTH(C44)=9)),SUM(FB44:FG44)/(1-BC44)*FL44,SUM(FB44:FG44)/(1-BC44)*FM44)</f>
        <v>491389.713564964</v>
      </c>
      <c r="FO44" s="1129" t="n">
        <f aca="false">FK44+FN44</f>
        <v>973600.516921927</v>
      </c>
      <c r="FP44" s="1169" t="n">
        <f aca="false">FB44</f>
        <v>9751.5</v>
      </c>
      <c r="FQ44" s="1129" t="n">
        <f aca="false">FC44</f>
        <v>2925.45</v>
      </c>
      <c r="FR44" s="1129" t="n">
        <f aca="false">FD44</f>
        <v>1773</v>
      </c>
      <c r="FS44" s="1129" t="n">
        <f aca="false">FE44</f>
        <v>531.9</v>
      </c>
      <c r="FT44" s="1129" t="n">
        <f aca="false">FF44</f>
        <v>1773</v>
      </c>
      <c r="FU44" s="1129" t="n">
        <f aca="false">FG44</f>
        <v>531.9</v>
      </c>
      <c r="FV44" s="1170" t="n">
        <f aca="false">FH44</f>
        <v>0</v>
      </c>
      <c r="FW44" s="1115" t="n">
        <f aca="false">IF(ER44&gt;0,MIN(FB44-FP44,BL44),0)</f>
        <v>0</v>
      </c>
      <c r="FX44" s="1115" t="n">
        <f aca="false">IF(ES44&gt;0,MIN(FD44-FR44,BM44),0)</f>
        <v>0</v>
      </c>
      <c r="FY44" s="1115" t="n">
        <f aca="false">IF(ET44&gt;0,MIN(FF44-FT44,BN44),0)</f>
        <v>0</v>
      </c>
      <c r="FZ44" s="1143" t="n">
        <f aca="false">IF(EU44&gt;0,MIN(FH44-FV44,BO44),0)</f>
        <v>0</v>
      </c>
      <c r="GA44" s="1132" t="n">
        <f aca="false">(SUM(FP44:FV44)+SUM(GU44:HB44)/(1-Summary!$O$25))*CY44/1000</f>
        <v>227975.50097532</v>
      </c>
      <c r="GB44" s="1133" t="n">
        <f aca="false">IF($C44&lt;Summary!$M$81,+Summary!$O$81,VLOOKUP(C44,GasTable,19))</f>
        <v>2.4</v>
      </c>
      <c r="GC44" s="1134" t="n">
        <f aca="false">IF(H44&lt;=Summary!$N$84,MIN(GA44,Summary!$O$75*(H44-G44+1)),0)</f>
        <v>150000</v>
      </c>
      <c r="GD44" s="1135" t="n">
        <f aca="false">IF(Summary!$O$75*(H44-G44+1)*0.8&gt;GC44,1,0)</f>
        <v>0</v>
      </c>
      <c r="GE44" s="1136" t="n">
        <v>0</v>
      </c>
      <c r="GF44" s="1134" t="n">
        <f aca="false">ABS(MIN(0,GC44-$GA44))</f>
        <v>77975.5009753199</v>
      </c>
      <c r="GG44" s="1135" t="n">
        <f aca="false">GF44*(IF(Summary!$O$74=1,VLOOKUP($C44,GasTable,16)+Summary!$O$92+Summary!$O$93,VLOOKUP($C44,GasTable,19)+Summary!$O$92+Summary!$O$93))</f>
        <v>199599.297537382</v>
      </c>
      <c r="GH44" s="1137" t="n">
        <v>19332</v>
      </c>
      <c r="GI44" s="1138" t="n">
        <v>0</v>
      </c>
      <c r="GJ44" s="1139" t="n">
        <f aca="false">+GB44*GC44+GE44+GG44+GH44-GI44</f>
        <v>578931.297537382</v>
      </c>
      <c r="GK44" s="1115" t="n">
        <f aca="false">SUM(FP44:FV44,GU44:GX44,GY44:HB44)</f>
        <v>29092.2705</v>
      </c>
      <c r="GL44" s="1140" t="n">
        <v>0.75836222672</v>
      </c>
      <c r="GM44" s="1141" t="n">
        <f aca="false">IF(GK44&gt;GC44/(CY44/1000),GC44/(CY44/1000),+GK44)*GL44</f>
        <v>14730</v>
      </c>
      <c r="GN44" s="1115" t="n">
        <f aca="false">IF(SUM(GU44:HB44)=0,0,IF(Summary!$O$16="Yes",SUM(GX44:HB44),IF(Summary!$O$17="Yes",SUM(GY44:HB44),SUM(GU44:HB44))))</f>
        <v>11805.5205</v>
      </c>
      <c r="GO44" s="1142" t="n">
        <v>5.89035685766423</v>
      </c>
      <c r="GP44" s="1143" t="n">
        <f aca="false">GN44*GO44</f>
        <v>69538.7286354707</v>
      </c>
      <c r="GQ44" s="1115"/>
      <c r="GR44" s="1115"/>
      <c r="GS44" s="1115"/>
      <c r="GT44" s="1115"/>
      <c r="GU44" s="1150" t="n">
        <v>5646.1185</v>
      </c>
      <c r="GV44" s="1115" t="n">
        <v>1026.567</v>
      </c>
      <c r="GW44" s="1115" t="n">
        <v>1026.567</v>
      </c>
      <c r="GX44" s="1115"/>
      <c r="GY44" s="1151" t="n">
        <v>3011.2632</v>
      </c>
      <c r="GZ44" s="1115" t="n">
        <v>547.5024</v>
      </c>
      <c r="HA44" s="1115" t="n">
        <v>547.5024</v>
      </c>
      <c r="HB44" s="1141"/>
      <c r="HC44" s="1115" t="n">
        <v>11805.5205</v>
      </c>
      <c r="HD44" s="1115"/>
      <c r="HE44" s="1115" t="n">
        <v>20274.69825</v>
      </c>
      <c r="HF44" s="1115" t="n">
        <v>341571.096884711</v>
      </c>
      <c r="HG44" s="1115"/>
      <c r="HH44" s="1142" t="n">
        <v>28.4103557208297</v>
      </c>
      <c r="HI44" s="1115" t="n">
        <v>576011.389414984</v>
      </c>
      <c r="HJ44" s="1150" t="n">
        <f aca="false">MAX(FB44-FP44-FW44,0)</f>
        <v>0</v>
      </c>
      <c r="HK44" s="1115" t="n">
        <f aca="false">MAX(FD44-FR44-FX44,0)</f>
        <v>0</v>
      </c>
      <c r="HL44" s="1115" t="n">
        <f aca="false">MAX(FF44-FT44-FY44,0)</f>
        <v>0</v>
      </c>
      <c r="HM44" s="1141" t="n">
        <f aca="false">MAX(FH44-FV44-FZ44,0)</f>
        <v>0</v>
      </c>
      <c r="HN44" s="1115" t="n">
        <f aca="false">SUM(HJ44:HM44)</f>
        <v>0</v>
      </c>
      <c r="HO44" s="1142" t="n">
        <f aca="false">IF(ISERROR(+HP44/HN44),0,+HP44/HN44)</f>
        <v>0</v>
      </c>
      <c r="HP44" s="1143" t="n">
        <f aca="false">(HJ44*CE44+HK44*CF44+HL44*CG44+HM44*CH44)</f>
        <v>0</v>
      </c>
      <c r="HQ44" s="1142"/>
      <c r="HR44" s="222"/>
      <c r="HS44" s="222"/>
      <c r="HT44" s="222"/>
      <c r="HU44" s="222"/>
      <c r="HV44" s="222"/>
      <c r="HW44" s="222"/>
      <c r="HX44" s="222"/>
      <c r="HY44" s="222"/>
      <c r="HZ44" s="222"/>
      <c r="IA44" s="222"/>
      <c r="IB44" s="222"/>
      <c r="IC44" s="222"/>
      <c r="ID44" s="222"/>
      <c r="IE44" s="222"/>
      <c r="IF44" s="222"/>
      <c r="IG44" s="222"/>
      <c r="IH44" s="222"/>
      <c r="II44" s="222"/>
      <c r="IJ44" s="222"/>
      <c r="IK44" s="222"/>
      <c r="IL44" s="222"/>
      <c r="IM44" s="222"/>
      <c r="IN44" s="222"/>
      <c r="IO44" s="222"/>
      <c r="IR44" s="844"/>
    </row>
    <row r="45" customFormat="false" ht="13.5" hidden="false" customHeight="false" outlineLevel="0" collapsed="false">
      <c r="A45" s="0" t="str">
        <f aca="false">+D45&amp;"Q"&amp;ROUNDUP(E45/3,0)</f>
        <v>2002Q2</v>
      </c>
      <c r="B45" s="0" t="n">
        <f aca="false">YEAR(C45)</f>
        <v>2002</v>
      </c>
      <c r="C45" s="1153" t="n">
        <f aca="false">EOMONTH(C44,0)+1</f>
        <v>37377</v>
      </c>
      <c r="D45" s="841" t="n">
        <f aca="false">+YEAR(C45)</f>
        <v>2002</v>
      </c>
      <c r="E45" s="807" t="n">
        <f aca="false">MONTH(C45)</f>
        <v>5</v>
      </c>
      <c r="F45" s="1154" t="e">
        <f aca="false">IF(G45="","",Holiday(D45,E45))</f>
        <v>#VALUE!</v>
      </c>
      <c r="G45" s="1155" t="n">
        <v>37377</v>
      </c>
      <c r="H45" s="1156" t="n">
        <v>37407</v>
      </c>
      <c r="I45" s="1157" t="n">
        <f aca="false">I44</f>
        <v>0.0715</v>
      </c>
      <c r="J45" s="1158" t="n">
        <f aca="false">(1+I45/2)^(-2*(DATE(D46,E46,20)-$H$7)/365.25)</f>
        <v>0.838142907003975</v>
      </c>
      <c r="K45" s="1159" t="e">
        <f aca="false">IF(#REF!=1,+#REF!,I45+#REF!/10000)</f>
        <v>#REF!</v>
      </c>
      <c r="L45" s="1158" t="e">
        <f aca="false">(1+K45/2)^(-2*(DATE(D46,E46,20)-$H$7)/365.25)</f>
        <v>#REF!</v>
      </c>
      <c r="M45" s="1082" t="n">
        <v>0</v>
      </c>
      <c r="N45" s="1110" t="n">
        <f aca="false">M45</f>
        <v>0</v>
      </c>
      <c r="O45" s="1174" t="n">
        <f aca="false">N45</f>
        <v>0</v>
      </c>
      <c r="P45" s="1175" t="n">
        <f aca="false">M45</f>
        <v>0</v>
      </c>
      <c r="Q45" s="1110" t="n">
        <f aca="false">P45</f>
        <v>0</v>
      </c>
      <c r="R45" s="1174" t="n">
        <f aca="false">Q45</f>
        <v>0</v>
      </c>
      <c r="S45" s="1110" t="n">
        <f aca="false">R45</f>
        <v>0</v>
      </c>
      <c r="T45" s="1110" t="n">
        <f aca="false">S45</f>
        <v>0</v>
      </c>
      <c r="U45" s="1110" t="n">
        <f aca="false">T45</f>
        <v>0</v>
      </c>
      <c r="V45" s="1175" t="n">
        <f aca="false">U45</f>
        <v>0</v>
      </c>
      <c r="W45" s="1110" t="n">
        <f aca="false">V45</f>
        <v>0</v>
      </c>
      <c r="X45" s="1176" t="n">
        <f aca="false">W45</f>
        <v>0</v>
      </c>
      <c r="Y45" s="1086" t="n">
        <v>0</v>
      </c>
      <c r="Z45" s="1086" t="n">
        <v>0</v>
      </c>
      <c r="AA45" s="1087" t="n">
        <v>0</v>
      </c>
      <c r="AB45" s="1086" t="n">
        <v>0</v>
      </c>
      <c r="AC45" s="1086" t="n">
        <v>0</v>
      </c>
      <c r="AD45" s="1087" t="n">
        <v>0</v>
      </c>
      <c r="AE45" s="1086" t="n">
        <v>0</v>
      </c>
      <c r="AF45" s="1086" t="n">
        <v>0</v>
      </c>
      <c r="AG45" s="1087" t="n">
        <v>0</v>
      </c>
      <c r="AH45" s="1086" t="n">
        <v>0</v>
      </c>
      <c r="AI45" s="1086" t="n">
        <v>0</v>
      </c>
      <c r="AJ45" s="1087" t="n">
        <v>0</v>
      </c>
      <c r="AK45" s="1086" t="n">
        <v>0</v>
      </c>
      <c r="AL45" s="1086" t="n">
        <v>0</v>
      </c>
      <c r="AM45" s="1087" t="n">
        <v>0</v>
      </c>
      <c r="AN45" s="1086" t="n">
        <v>0</v>
      </c>
      <c r="AO45" s="1086" t="n">
        <v>0</v>
      </c>
      <c r="AP45" s="1087" t="n">
        <v>0</v>
      </c>
      <c r="AQ45" s="1086" t="n">
        <v>0</v>
      </c>
      <c r="AR45" s="1086" t="n">
        <v>0</v>
      </c>
      <c r="AS45" s="1087" t="n">
        <v>0</v>
      </c>
      <c r="AT45" s="1086" t="n">
        <v>0</v>
      </c>
      <c r="AU45" s="1086" t="n">
        <v>0</v>
      </c>
      <c r="AV45" s="1086" t="n">
        <v>0</v>
      </c>
      <c r="AW45" s="1172" t="n">
        <v>0</v>
      </c>
      <c r="AX45" s="807" t="e">
        <f aca="false">BB45-SUM(AY45:BA45)</f>
        <v>#VALUE!</v>
      </c>
      <c r="AY45" s="807" t="e">
        <f aca="false">IF(AND($E45=MONTH(Summary!$E$24),$D45=YEAR(Summary!$E$24)),Summary!$E$25,1)*IF(G45="",0,INT((H45-MOD(H45,7)-G45)/7)+1-IF(BA45,IF(WEEKDAY(F45)=7,1,0),0))</f>
        <v>#VALUE!</v>
      </c>
      <c r="AZ45" s="807" t="e">
        <f aca="false">IF(AND($E45=MONTH(Summary!$E$24),$D45=YEAR(Summary!$E$24)),Summary!$E$25,1)*IF(G45="",0,INT((H45-MOD(H45-1,7)-G45)/7)+1-IF(BA45,IF(WEEKDAY(F45)=1,1,0),0))</f>
        <v>#VALUE!</v>
      </c>
      <c r="BA45" s="807" t="n">
        <v>1</v>
      </c>
      <c r="BB45" s="807" t="n">
        <f aca="false">IF(AND($E45=MONTH(Summary!$E$24),$D45=YEAR(Summary!$E$24)),Summary!$E$25,1)*IF(G45="",0,H45-G45+1)</f>
        <v>31</v>
      </c>
      <c r="BC45" s="1089" t="n">
        <f aca="false">Summary!$E$19</f>
        <v>0.015</v>
      </c>
      <c r="BD45" s="1090" t="n">
        <v>15602.4</v>
      </c>
      <c r="BE45" s="1091" t="n">
        <v>2836.8</v>
      </c>
      <c r="BF45" s="1091" t="n">
        <v>3546</v>
      </c>
      <c r="BG45" s="842"/>
      <c r="BH45" s="1092" t="n">
        <v>1</v>
      </c>
      <c r="BI45" s="1092" t="n">
        <v>1</v>
      </c>
      <c r="BJ45" s="1092" t="n">
        <v>1</v>
      </c>
      <c r="BK45" s="1092" t="n">
        <v>1</v>
      </c>
      <c r="BL45" s="1093" t="n">
        <v>3120.48</v>
      </c>
      <c r="BM45" s="1091" t="n">
        <v>567.36</v>
      </c>
      <c r="BN45" s="1091" t="n">
        <v>709.2</v>
      </c>
      <c r="BO45" s="842"/>
      <c r="BP45" s="1092" t="n">
        <v>1</v>
      </c>
      <c r="BQ45" s="1094" t="n">
        <v>1</v>
      </c>
      <c r="BR45" s="1094" t="n">
        <v>1</v>
      </c>
      <c r="BS45" s="1095" t="n">
        <v>1</v>
      </c>
      <c r="BT45" s="1093" t="n">
        <f aca="false">SUM(BD45:BF45)</f>
        <v>21985.2</v>
      </c>
      <c r="BU45" s="1098" t="n">
        <f aca="false">SUM(BD45:BG45)</f>
        <v>21985.2</v>
      </c>
      <c r="BV45" s="1090" t="n">
        <f aca="false">SUM(BL45:BN45)</f>
        <v>4397.04</v>
      </c>
      <c r="BW45" s="1098" t="n">
        <f aca="false">SUM(BL45:BO45)</f>
        <v>4397.04</v>
      </c>
      <c r="BX45" s="852" t="n">
        <v>2.37645448323066</v>
      </c>
      <c r="BY45" s="1099" t="n">
        <v>0</v>
      </c>
      <c r="BZ45" s="852" t="n">
        <v>0</v>
      </c>
      <c r="CA45" s="852" t="n">
        <v>0</v>
      </c>
      <c r="CB45" s="852" t="n">
        <v>0</v>
      </c>
      <c r="CC45" s="852" t="n">
        <v>0</v>
      </c>
      <c r="CD45" s="852" t="n">
        <v>0</v>
      </c>
      <c r="CE45" s="1100" t="n">
        <v>0</v>
      </c>
      <c r="CF45" s="852" t="n">
        <v>0</v>
      </c>
      <c r="CG45" s="852" t="n">
        <v>0</v>
      </c>
      <c r="CH45" s="852" t="n">
        <v>0</v>
      </c>
      <c r="CI45" s="852" t="n">
        <v>0</v>
      </c>
      <c r="CJ45" s="1101" t="n">
        <v>0</v>
      </c>
      <c r="CK45" s="852" t="n">
        <v>0</v>
      </c>
      <c r="CL45" s="852" t="n">
        <v>0</v>
      </c>
      <c r="CM45" s="852" t="n">
        <v>0</v>
      </c>
      <c r="CN45" s="852" t="n">
        <v>0</v>
      </c>
      <c r="CO45" s="852" t="n">
        <v>0</v>
      </c>
      <c r="CP45" s="852" t="n">
        <v>0</v>
      </c>
      <c r="CQ45" s="1102" t="n">
        <v>0</v>
      </c>
      <c r="CR45" s="1103" t="n">
        <v>0</v>
      </c>
      <c r="CS45" s="1103" t="n">
        <v>0</v>
      </c>
      <c r="CT45" s="1103" t="n">
        <v>0</v>
      </c>
      <c r="CU45" s="1103" t="n">
        <v>0</v>
      </c>
      <c r="CV45" s="1103" t="n">
        <v>0</v>
      </c>
      <c r="CW45" s="1103" t="n">
        <v>0</v>
      </c>
      <c r="CX45" s="1104" t="n">
        <v>0</v>
      </c>
      <c r="CY45" s="1105" t="n">
        <v>7724.58392</v>
      </c>
      <c r="CZ45" s="1099" t="n">
        <v>0</v>
      </c>
      <c r="DA45" s="852" t="n">
        <v>0</v>
      </c>
      <c r="DB45" s="852" t="n">
        <v>0</v>
      </c>
      <c r="DC45" s="852" t="n">
        <v>0</v>
      </c>
      <c r="DD45" s="852" t="n">
        <v>0</v>
      </c>
      <c r="DE45" s="1113" t="n">
        <v>0</v>
      </c>
      <c r="DF45" s="1109" t="n">
        <v>0</v>
      </c>
      <c r="DG45" s="1110" t="n">
        <v>0</v>
      </c>
      <c r="DH45" s="1111" t="n">
        <v>0</v>
      </c>
      <c r="DI45" s="1112" t="n">
        <v>0</v>
      </c>
      <c r="DJ45" s="1112" t="n">
        <v>0</v>
      </c>
      <c r="DK45" s="1112" t="n">
        <v>0</v>
      </c>
      <c r="DL45" s="1113" t="n">
        <v>0</v>
      </c>
      <c r="DM45" s="1114" t="n">
        <v>0</v>
      </c>
      <c r="DN45" s="1114" t="n">
        <v>0</v>
      </c>
      <c r="DO45" s="1114" t="n">
        <v>0</v>
      </c>
      <c r="DP45" s="1114" t="n">
        <v>0</v>
      </c>
      <c r="DQ45" s="1114" t="n">
        <v>0</v>
      </c>
      <c r="DR45" s="1109" t="n">
        <v>0</v>
      </c>
      <c r="DS45" s="852" t="n">
        <v>0</v>
      </c>
      <c r="DT45" s="852" t="n">
        <v>0</v>
      </c>
      <c r="DU45" s="852" t="n">
        <v>0</v>
      </c>
      <c r="DV45" s="852" t="n">
        <v>0</v>
      </c>
      <c r="DW45" s="852" t="n">
        <v>0</v>
      </c>
      <c r="DX45" s="852" t="n">
        <v>0</v>
      </c>
      <c r="DY45" s="852" t="n">
        <v>0</v>
      </c>
      <c r="DZ45" s="852" t="n">
        <v>0</v>
      </c>
      <c r="EA45" s="852" t="n">
        <v>0</v>
      </c>
      <c r="EB45" s="1113" t="n">
        <v>0</v>
      </c>
      <c r="EC45" s="1115" t="n">
        <f aca="false">DS45*BD45</f>
        <v>0</v>
      </c>
      <c r="ED45" s="1115" t="n">
        <f aca="false">DT45*BE45</f>
        <v>0</v>
      </c>
      <c r="EE45" s="1115" t="n">
        <f aca="false">DU45*BF45</f>
        <v>0</v>
      </c>
      <c r="EF45" s="1115" t="n">
        <f aca="false">DV45*BG45</f>
        <v>0</v>
      </c>
      <c r="EG45" s="1115" t="n">
        <f aca="false">DS45*BD45+DT45*BE45+DU45*BF45+DV45*BG45</f>
        <v>0</v>
      </c>
      <c r="EH45" s="1116" t="n">
        <v>0</v>
      </c>
      <c r="EI45" s="1117" t="n">
        <v>0</v>
      </c>
      <c r="EJ45" s="1117" t="n">
        <v>0</v>
      </c>
      <c r="EK45" s="1117" t="n">
        <v>0</v>
      </c>
      <c r="EL45" s="1118" t="n">
        <f aca="false">IF(C45&gt;=Summary!$E$26,MAX(0,SUM(EH45:EK45)),0)</f>
        <v>0</v>
      </c>
      <c r="EM45" s="1115" t="n">
        <f aca="false">IF(C45&gt;=Summary!$E$26,DX45*BL45,0)</f>
        <v>0</v>
      </c>
      <c r="EN45" s="1115" t="n">
        <f aca="false">IF(C45&gt;=Summary!$E$26,DY45*BM45,0)</f>
        <v>0</v>
      </c>
      <c r="EO45" s="1115" t="n">
        <f aca="false">IF(C45&gt;=Summary!$E$26,DZ45*BN45,0)</f>
        <v>0</v>
      </c>
      <c r="EP45" s="1115" t="n">
        <f aca="false">IF(C45&gt;=Summary!$E$26,EA45*BO45,0)</f>
        <v>0</v>
      </c>
      <c r="EQ45" s="1115" t="n">
        <f aca="false">IF(C45&gt;=Summary!$E$26,DX45*BL45+DY45*BM45+DZ45*BN45+EA45*BO45,0)</f>
        <v>0</v>
      </c>
      <c r="ER45" s="1119" t="n">
        <v>0</v>
      </c>
      <c r="ES45" s="1120" t="n">
        <v>0</v>
      </c>
      <c r="ET45" s="1120" t="n">
        <v>0</v>
      </c>
      <c r="EU45" s="1120" t="n">
        <v>0</v>
      </c>
      <c r="EV45" s="1143" t="n">
        <f aca="false">IF(C45&gt;=Summary!$E$26,MAX(0,SUM(ER45:EU45)),0)</f>
        <v>0</v>
      </c>
      <c r="EW45" s="1115"/>
      <c r="EX45" s="1165" t="n">
        <f aca="false">(EQ45-EV45)+IF(EZ45="Yes",(EG45-EL45),0)</f>
        <v>0</v>
      </c>
      <c r="EY45" s="1166" t="str">
        <f aca="false">IF(EX45,EX45/EQ45,"")</f>
        <v/>
      </c>
      <c r="EZ45" s="1122" t="s">
        <v>37</v>
      </c>
      <c r="FA45" s="1096" t="n">
        <f aca="false">FA44</f>
        <v>45</v>
      </c>
      <c r="FB45" s="1167" t="e">
        <f aca="false">IF(EZ45="No",IF((OR(MONTH(C45)=5,MONTH(C45)=6,MONTH(C45)=7,MONTH(C45)=8,MONTH(C45)=9)),$FA45*12*AX45*(1-$BC45),$FA45*10*AX45*(1-$BC45)),0)</f>
        <v>#VALUE!</v>
      </c>
      <c r="FC45" s="1129" t="n">
        <f aca="false">IF(EZ45="No",IF((OR(MONTH(C45)=5,MONTH(C45)=6,MONTH(C45)=7,MONTH(C45)=8,MONTH(C45)=9)),0,$FA45*3*AX45*(1-$BC45)),0)</f>
        <v>0</v>
      </c>
      <c r="FD45" s="1129" t="e">
        <f aca="false">IF(EZ45="No",IF((OR(MONTH(C45)=5,MONTH(C45)=6,MONTH(C45)=7,MONTH(C45)=8,MONTH(C45)=9)),$FA45*12*AY45*(1-$BC45),$FA45*10*AY45*(1-$BC45)),0)</f>
        <v>#VALUE!</v>
      </c>
      <c r="FE45" s="1129" t="n">
        <f aca="false">IF(EZ45="No",IF((OR(MONTH(C45)=5,MONTH(C45)=6,MONTH(C45)=7,MONTH(C45)=8,MONTH(C45)=9)),0,$FA45*3*AY45*(1-$BC45)),0)</f>
        <v>0</v>
      </c>
      <c r="FF45" s="1129" t="e">
        <f aca="false">IF(EZ45="No",IF((OR(MONTH(C45)=5,MONTH(C45)=6,MONTH(C45)=7,MONTH(C45)=8,MONTH(C45)=9)),$FA45*12*(AZ45+BA45)*(1-$BC45),$FA45*10*(AZ45+BA45)*(1-$BC45)),0)</f>
        <v>#VALUE!</v>
      </c>
      <c r="FG45" s="1129" t="n">
        <f aca="false">IF(EZ45="No",IF((OR(MONTH(C45)=5,MONTH(C45)=6,MONTH(C45)=7,MONTH(C45)=8,MONTH(C45)=9)),0,$FA45*3*(AZ45+BA45)*(1-$BC45)),0)</f>
        <v>0</v>
      </c>
      <c r="FH45" s="1170" t="e">
        <f aca="false">IF(EZ45="No",IF((OR(MONTH(C45)=5,MONTH(C45)=6,MONTH(C45)=7,MONTH(C45)=8,MONTH(C45)=9)),Summary!$O$15*12*(AX45+AY45+AZ45+BA45)*(1-$BC45),Summary!$O$15*13*(AX45+AY45+AZ45+BA45)*(1-$BC45)+IF(Summary!$O$16="Yes",(CALC!FA45+Summary!$O$15)*6*(AX45+AY45+AZ45+BA45)*(1-$BC45),0)),0)</f>
        <v>#VALUE!</v>
      </c>
      <c r="FI45" s="1126" t="n">
        <f aca="false">IF(MONTH(C45)=5,FI44*(IF(Summary!$E$70="no",(1+(Summary!$E$71*0.8)),1+HLOOKUP(YEAR(C45)-1,CCFMODEL!$I$127:$AF$128,2)*0.8)),+FI44)</f>
        <v>28.5642970851971</v>
      </c>
      <c r="FJ45" s="1127" t="n">
        <f aca="false">IF(MONTH(C45)=5,FJ44*(IF(Summary!$E$70="no",(1+(Summary!$E$71*0.8)),1+HLOOKUP(YEAR(CALC!C45)-1,CCFMODEL!$I$127:$AF$128,2)*0.8)),FJ44)</f>
        <v>24.9656454839124</v>
      </c>
      <c r="FK45" s="1128" t="e">
        <f aca="false">SUM(FB45:FG45)*FI45+FH45*FJ45</f>
        <v>#VALUE!</v>
      </c>
      <c r="FL45" s="1126" t="n">
        <f aca="false">IF(MONTH(C45)=5,FL44*(IF(Summary!$E$70="no",(1+(Summary!$E$71*0.8)),1+HLOOKUP(YEAR(CALC!C45)-1,CCFMODEL!$I$127:$AF$128,2)*0.8)),+FL44)</f>
        <v>60.0739191416837</v>
      </c>
      <c r="FM45" s="1127" t="n">
        <f aca="false">IF(MONTH(C45)=5,FM44*(IF(Summary!$E$70="no",(1+(Summary!$E$71*0.8)),1+HLOOKUP(YEAR(CALC!C45)-1,CCFMODEL!$I$127:$AF$128,2)*0.8)),+FM44)</f>
        <v>28.6713998114258</v>
      </c>
      <c r="FN45" s="1128" t="e">
        <f aca="false">IF((OR(MONTH(C45)=5,MONTH(C45)=6,MONTH(C45)=7,MONTH(C45)=8,MONTH(C45)=9)),SUM(FB45:FG45)/(1-BC45)*FL45,SUM(FB45:FG45)/(1-BC45)*FM45)</f>
        <v>#VALUE!</v>
      </c>
      <c r="FO45" s="1129" t="e">
        <f aca="false">FK45+FN45</f>
        <v>#VALUE!</v>
      </c>
      <c r="FP45" s="1169" t="e">
        <f aca="false">FB45</f>
        <v>#VALUE!</v>
      </c>
      <c r="FQ45" s="1129" t="n">
        <f aca="false">FC45</f>
        <v>0</v>
      </c>
      <c r="FR45" s="1129" t="e">
        <f aca="false">FD45</f>
        <v>#VALUE!</v>
      </c>
      <c r="FS45" s="1129" t="n">
        <f aca="false">FE45</f>
        <v>0</v>
      </c>
      <c r="FT45" s="1129" t="e">
        <f aca="false">FF45</f>
        <v>#VALUE!</v>
      </c>
      <c r="FU45" s="1129" t="n">
        <f aca="false">FG45</f>
        <v>0</v>
      </c>
      <c r="FV45" s="1170" t="e">
        <f aca="false">FH45</f>
        <v>#VALUE!</v>
      </c>
      <c r="FW45" s="1115" t="n">
        <f aca="false">IF(ER45&gt;0,MIN(FB45-FP45,BL45),0)</f>
        <v>0</v>
      </c>
      <c r="FX45" s="1115" t="n">
        <f aca="false">IF(ES45&gt;0,MIN(FD45-FR45,BM45),0)</f>
        <v>0</v>
      </c>
      <c r="FY45" s="1115" t="n">
        <f aca="false">IF(ET45&gt;0,MIN(FF45-FT45,BN45),0)</f>
        <v>0</v>
      </c>
      <c r="FZ45" s="1143" t="n">
        <f aca="false">IF(EU45&gt;0,MIN(FH45-FV45,BO45),0)</f>
        <v>0</v>
      </c>
      <c r="GA45" s="1132" t="e">
        <f aca="false">(SUM(FP45:FV45)+SUM(GU45:HB45)/(1-Summary!$O$25))*CY45/1000</f>
        <v>#VALUE!</v>
      </c>
      <c r="GB45" s="1133" t="n">
        <f aca="false">IF($C45&lt;Summary!$M$81,+Summary!$O$81,VLOOKUP(C45,GasTable,19))</f>
        <v>2.4</v>
      </c>
      <c r="GC45" s="1134" t="e">
        <f aca="false">IF(H45&lt;=Summary!$N$84,MIN(GA45,Summary!$O$75*(H45-G45+1)),0)</f>
        <v>#VALUE!</v>
      </c>
      <c r="GD45" s="1135" t="e">
        <f aca="false">IF(Summary!$O$75*(H45-G45+1)*0.8&gt;GC45,1,0)</f>
        <v>#VALUE!</v>
      </c>
      <c r="GE45" s="1136" t="n">
        <v>0</v>
      </c>
      <c r="GF45" s="1134" t="e">
        <f aca="false">ABS(MIN(0,GC45-$GA45))</f>
        <v>#VALUE!</v>
      </c>
      <c r="GG45" s="1135" t="e">
        <f aca="false">GF45*(IF(Summary!$O$74=1,VLOOKUP($C45,GasTable,16)+Summary!$O$92+Summary!$O$93,VLOOKUP($C45,GasTable,19)+Summary!$O$92+Summary!$O$93))</f>
        <v>#VALUE!</v>
      </c>
      <c r="GH45" s="1137" t="n">
        <v>19790.4</v>
      </c>
      <c r="GI45" s="1138" t="n">
        <v>0</v>
      </c>
      <c r="GJ45" s="1139" t="e">
        <f aca="false">+GB45*GC45+GE45+GG45+GH45-GI45</f>
        <v>#VALUE!</v>
      </c>
      <c r="GK45" s="1115" t="e">
        <f aca="false">SUM(FP45:FV45,GU45:GX45,GY45:HB45)</f>
        <v>#VALUE!</v>
      </c>
      <c r="GL45" s="1140" t="n">
        <v>0.758554140944</v>
      </c>
      <c r="GM45" s="1141" t="e">
        <f aca="false">IF(GK45&gt;GC45/(CY45/1000),GC45/(CY45/1000),+GK45)*GL45</f>
        <v>#VALUE!</v>
      </c>
      <c r="GN45" s="1115" t="n">
        <f aca="false">IF(SUM(GU45:HB45)=0,0,IF(Summary!$O$16="Yes",SUM(GX45:HB45),IF(Summary!$O$17="Yes",SUM(GY45:HB45),SUM(GU45:HB45))))</f>
        <v>9547.0731</v>
      </c>
      <c r="GO45" s="1142" t="n">
        <v>5.89035685766423</v>
      </c>
      <c r="GP45" s="1143" t="n">
        <f aca="false">GN45*GO45</f>
        <v>56235.6675052067</v>
      </c>
      <c r="GQ45" s="1115"/>
      <c r="GR45" s="1115"/>
      <c r="GS45" s="1115"/>
      <c r="GT45" s="1115"/>
      <c r="GU45" s="1150" t="n">
        <v>3764.079</v>
      </c>
      <c r="GV45" s="1115" t="n">
        <v>684.378</v>
      </c>
      <c r="GW45" s="1115" t="n">
        <v>855.4725</v>
      </c>
      <c r="GX45" s="1115"/>
      <c r="GY45" s="1151" t="n">
        <v>3011.2632</v>
      </c>
      <c r="GZ45" s="1115" t="n">
        <v>547.5024</v>
      </c>
      <c r="HA45" s="1115" t="n">
        <v>684.378</v>
      </c>
      <c r="HB45" s="1141"/>
      <c r="HC45" s="1115" t="n">
        <v>9547.0731</v>
      </c>
      <c r="HD45" s="1115"/>
      <c r="HE45" s="1115" t="n">
        <v>22276.5039</v>
      </c>
      <c r="HF45" s="1115" t="n">
        <v>279740.555810391</v>
      </c>
      <c r="HG45" s="1115"/>
      <c r="HH45" s="1142" t="n">
        <v>29.6878030949644</v>
      </c>
      <c r="HI45" s="1115" t="n">
        <v>661340.461427407</v>
      </c>
      <c r="HJ45" s="1150" t="e">
        <f aca="false">MAX(FB45-FP45-FW45,0)</f>
        <v>#VALUE!</v>
      </c>
      <c r="HK45" s="1115" t="e">
        <f aca="false">MAX(FD45-FR45-FX45,0)</f>
        <v>#VALUE!</v>
      </c>
      <c r="HL45" s="1115" t="e">
        <f aca="false">MAX(FF45-FT45-FY45,0)</f>
        <v>#VALUE!</v>
      </c>
      <c r="HM45" s="1141" t="e">
        <f aca="false">MAX(FH45-FV45-FZ45,0)</f>
        <v>#VALUE!</v>
      </c>
      <c r="HN45" s="1115" t="e">
        <f aca="false">SUM(HJ45:HM45)</f>
        <v>#VALUE!</v>
      </c>
      <c r="HO45" s="1142" t="n">
        <f aca="false">IF(ISERROR(+HP45/HN45),0,+HP45/HN45)</f>
        <v>0</v>
      </c>
      <c r="HP45" s="1143" t="e">
        <f aca="false">(HJ45*CE45+HK45*CF45+HL45*CG45+HM45*CH45)</f>
        <v>#VALUE!</v>
      </c>
      <c r="HQ45" s="1142"/>
      <c r="HR45" s="1115"/>
      <c r="HS45" s="1115"/>
      <c r="HT45" s="1115"/>
      <c r="HU45" s="1115"/>
      <c r="HV45" s="1115"/>
      <c r="HW45" s="1115"/>
      <c r="HX45" s="1115"/>
      <c r="HY45" s="1115"/>
      <c r="HZ45" s="1115"/>
      <c r="IA45" s="1115"/>
      <c r="IB45" s="1115"/>
      <c r="IC45" s="1115"/>
      <c r="ID45" s="1115"/>
      <c r="IE45" s="1115"/>
      <c r="IF45" s="1115"/>
      <c r="IG45" s="1115"/>
      <c r="IH45" s="1115"/>
      <c r="II45" s="1115"/>
      <c r="IJ45" s="1115"/>
      <c r="IK45" s="1115"/>
      <c r="IL45" s="1004"/>
      <c r="IM45" s="222"/>
      <c r="IN45" s="222"/>
      <c r="IO45" s="222"/>
      <c r="IR45" s="844"/>
    </row>
    <row r="46" customFormat="false" ht="13.5" hidden="false" customHeight="false" outlineLevel="0" collapsed="false">
      <c r="A46" s="0" t="str">
        <f aca="false">+D46&amp;"Q"&amp;ROUNDUP(E46/3,0)</f>
        <v>2002Q2</v>
      </c>
      <c r="B46" s="0" t="n">
        <f aca="false">YEAR(C46)</f>
        <v>2002</v>
      </c>
      <c r="C46" s="1153" t="n">
        <f aca="false">EOMONTH(C45,0)+1</f>
        <v>37408</v>
      </c>
      <c r="D46" s="841" t="n">
        <f aca="false">+YEAR(C46)</f>
        <v>2002</v>
      </c>
      <c r="E46" s="807" t="n">
        <f aca="false">MONTH(C46)</f>
        <v>6</v>
      </c>
      <c r="F46" s="1154" t="e">
        <f aca="false">IF(G46="","",Holiday(D46,E46))</f>
        <v>#VALUE!</v>
      </c>
      <c r="G46" s="1155" t="n">
        <v>37408</v>
      </c>
      <c r="H46" s="1156" t="n">
        <v>37437</v>
      </c>
      <c r="I46" s="1157" t="n">
        <f aca="false">I45</f>
        <v>0.0715</v>
      </c>
      <c r="J46" s="1158" t="n">
        <f aca="false">(1+I46/2)^(-2*(DATE(D47,E47,20)-$H$7)/365.25)</f>
        <v>0.833320620844587</v>
      </c>
      <c r="K46" s="1159" t="e">
        <f aca="false">IF(#REF!=1,+#REF!,I46+#REF!/10000)</f>
        <v>#REF!</v>
      </c>
      <c r="L46" s="1158" t="e">
        <f aca="false">(1+K46/2)^(-2*(DATE(D47,E47,20)-$H$7)/365.25)</f>
        <v>#REF!</v>
      </c>
      <c r="M46" s="1082" t="n">
        <v>0</v>
      </c>
      <c r="N46" s="1110" t="n">
        <f aca="false">M46</f>
        <v>0</v>
      </c>
      <c r="O46" s="1174" t="n">
        <f aca="false">N46</f>
        <v>0</v>
      </c>
      <c r="P46" s="1175" t="n">
        <f aca="false">M46</f>
        <v>0</v>
      </c>
      <c r="Q46" s="1110" t="n">
        <f aca="false">P46</f>
        <v>0</v>
      </c>
      <c r="R46" s="1174" t="n">
        <f aca="false">Q46</f>
        <v>0</v>
      </c>
      <c r="S46" s="1110" t="n">
        <f aca="false">R46</f>
        <v>0</v>
      </c>
      <c r="T46" s="1110" t="n">
        <f aca="false">S46</f>
        <v>0</v>
      </c>
      <c r="U46" s="1110" t="n">
        <f aca="false">T46</f>
        <v>0</v>
      </c>
      <c r="V46" s="1175" t="n">
        <f aca="false">U46</f>
        <v>0</v>
      </c>
      <c r="W46" s="1110" t="n">
        <f aca="false">V46</f>
        <v>0</v>
      </c>
      <c r="X46" s="1176" t="n">
        <f aca="false">W46</f>
        <v>0</v>
      </c>
      <c r="Y46" s="1086" t="n">
        <v>0</v>
      </c>
      <c r="Z46" s="1086" t="n">
        <v>0</v>
      </c>
      <c r="AA46" s="1087" t="n">
        <v>0</v>
      </c>
      <c r="AB46" s="1086" t="n">
        <v>0</v>
      </c>
      <c r="AC46" s="1086" t="n">
        <v>0</v>
      </c>
      <c r="AD46" s="1087" t="n">
        <v>0</v>
      </c>
      <c r="AE46" s="1086" t="n">
        <v>0</v>
      </c>
      <c r="AF46" s="1086" t="n">
        <v>0</v>
      </c>
      <c r="AG46" s="1087" t="n">
        <v>0</v>
      </c>
      <c r="AH46" s="1086" t="n">
        <v>0</v>
      </c>
      <c r="AI46" s="1086" t="n">
        <v>0</v>
      </c>
      <c r="AJ46" s="1087" t="n">
        <v>0</v>
      </c>
      <c r="AK46" s="1086" t="n">
        <v>0</v>
      </c>
      <c r="AL46" s="1086" t="n">
        <v>0</v>
      </c>
      <c r="AM46" s="1087" t="n">
        <v>0</v>
      </c>
      <c r="AN46" s="1086" t="n">
        <v>0</v>
      </c>
      <c r="AO46" s="1086" t="n">
        <v>0</v>
      </c>
      <c r="AP46" s="1087" t="n">
        <v>0</v>
      </c>
      <c r="AQ46" s="1086" t="n">
        <v>0</v>
      </c>
      <c r="AR46" s="1086" t="n">
        <v>0</v>
      </c>
      <c r="AS46" s="1087" t="n">
        <v>0</v>
      </c>
      <c r="AT46" s="1086" t="n">
        <v>0</v>
      </c>
      <c r="AU46" s="1086" t="n">
        <v>0</v>
      </c>
      <c r="AV46" s="1086" t="n">
        <v>0</v>
      </c>
      <c r="AW46" s="1172" t="n">
        <v>0</v>
      </c>
      <c r="AX46" s="807" t="n">
        <f aca="false">BB46-SUM(AY46:BA46)</f>
        <v>20</v>
      </c>
      <c r="AY46" s="807" t="n">
        <f aca="false">IF(AND($E46=MONTH(Summary!$E$24),$D46=YEAR(Summary!$E$24)),Summary!$E$25,1)*IF(G46="",0,INT((H46-MOD(H46,7)-G46)/7)+1-IF(BA46,IF(WEEKDAY(F46)=7,1,0),0))</f>
        <v>5</v>
      </c>
      <c r="AZ46" s="807" t="n">
        <f aca="false">IF(AND($E46=MONTH(Summary!$E$24),$D46=YEAR(Summary!$E$24)),Summary!$E$25,1)*IF(G46="",0,INT((H46-MOD(H46-1,7)-G46)/7)+1-IF(BA46,IF(WEEKDAY(F46)=1,1,0),0))</f>
        <v>5</v>
      </c>
      <c r="BA46" s="807" t="n">
        <v>0</v>
      </c>
      <c r="BB46" s="807" t="n">
        <f aca="false">IF(AND($E46=MONTH(Summary!$E$24),$D46=YEAR(Summary!$E$24)),Summary!$E$25,1)*IF(G46="",0,H46-G46+1)</f>
        <v>30</v>
      </c>
      <c r="BC46" s="1089" t="n">
        <f aca="false">Summary!$E$19</f>
        <v>0.015</v>
      </c>
      <c r="BD46" s="1090" t="n">
        <v>14184</v>
      </c>
      <c r="BE46" s="1091" t="n">
        <v>3546</v>
      </c>
      <c r="BF46" s="1091" t="n">
        <v>3546</v>
      </c>
      <c r="BG46" s="842"/>
      <c r="BH46" s="1092" t="n">
        <v>1</v>
      </c>
      <c r="BI46" s="1092" t="n">
        <v>1</v>
      </c>
      <c r="BJ46" s="1092" t="n">
        <v>1</v>
      </c>
      <c r="BK46" s="1092" t="n">
        <v>1</v>
      </c>
      <c r="BL46" s="1093" t="n">
        <v>2836.8</v>
      </c>
      <c r="BM46" s="1091" t="n">
        <v>709.2</v>
      </c>
      <c r="BN46" s="1091" t="n">
        <v>709.2</v>
      </c>
      <c r="BO46" s="842"/>
      <c r="BP46" s="1092" t="n">
        <v>1</v>
      </c>
      <c r="BQ46" s="1094" t="n">
        <v>1</v>
      </c>
      <c r="BR46" s="1094" t="n">
        <v>1</v>
      </c>
      <c r="BS46" s="1095" t="n">
        <v>1</v>
      </c>
      <c r="BT46" s="1093" t="n">
        <f aca="false">SUM(BD46:BF46)</f>
        <v>21276</v>
      </c>
      <c r="BU46" s="1098" t="n">
        <f aca="false">SUM(BD46:BG46)</f>
        <v>21276</v>
      </c>
      <c r="BV46" s="1090" t="n">
        <f aca="false">SUM(BL46:BN46)</f>
        <v>4255.2</v>
      </c>
      <c r="BW46" s="1098" t="n">
        <f aca="false">SUM(BL46:BO46)</f>
        <v>4255.2</v>
      </c>
      <c r="BX46" s="852" t="n">
        <v>2.46132785763176</v>
      </c>
      <c r="BY46" s="1099" t="n">
        <v>0</v>
      </c>
      <c r="BZ46" s="852" t="n">
        <v>0</v>
      </c>
      <c r="CA46" s="852" t="n">
        <v>0</v>
      </c>
      <c r="CB46" s="852" t="n">
        <v>0</v>
      </c>
      <c r="CC46" s="852" t="n">
        <v>0</v>
      </c>
      <c r="CD46" s="852" t="n">
        <v>0</v>
      </c>
      <c r="CE46" s="1100" t="n">
        <v>0</v>
      </c>
      <c r="CF46" s="852" t="n">
        <v>0</v>
      </c>
      <c r="CG46" s="852" t="n">
        <v>0</v>
      </c>
      <c r="CH46" s="852" t="n">
        <v>0</v>
      </c>
      <c r="CI46" s="852" t="n">
        <v>0</v>
      </c>
      <c r="CJ46" s="1101" t="n">
        <v>0</v>
      </c>
      <c r="CK46" s="852" t="n">
        <v>0</v>
      </c>
      <c r="CL46" s="852" t="n">
        <v>0</v>
      </c>
      <c r="CM46" s="852" t="n">
        <v>0</v>
      </c>
      <c r="CN46" s="852" t="n">
        <v>0</v>
      </c>
      <c r="CO46" s="852" t="n">
        <v>0</v>
      </c>
      <c r="CP46" s="852" t="n">
        <v>0</v>
      </c>
      <c r="CQ46" s="1102" t="n">
        <v>0</v>
      </c>
      <c r="CR46" s="1103" t="n">
        <v>0</v>
      </c>
      <c r="CS46" s="1103" t="n">
        <v>0</v>
      </c>
      <c r="CT46" s="1103" t="n">
        <v>0</v>
      </c>
      <c r="CU46" s="1103" t="n">
        <v>0</v>
      </c>
      <c r="CV46" s="1103" t="n">
        <v>0</v>
      </c>
      <c r="CW46" s="1103" t="n">
        <v>0</v>
      </c>
      <c r="CX46" s="1104" t="n">
        <v>0</v>
      </c>
      <c r="CY46" s="1105" t="n">
        <v>7726.53824</v>
      </c>
      <c r="CZ46" s="1099" t="n">
        <v>0</v>
      </c>
      <c r="DA46" s="852" t="n">
        <v>0</v>
      </c>
      <c r="DB46" s="852" t="n">
        <v>0</v>
      </c>
      <c r="DC46" s="852" t="n">
        <v>0</v>
      </c>
      <c r="DD46" s="852" t="n">
        <v>0</v>
      </c>
      <c r="DE46" s="1113" t="n">
        <v>0</v>
      </c>
      <c r="DF46" s="1109" t="n">
        <v>0</v>
      </c>
      <c r="DG46" s="1110" t="n">
        <v>0</v>
      </c>
      <c r="DH46" s="1111" t="n">
        <v>0</v>
      </c>
      <c r="DI46" s="1112" t="n">
        <v>0</v>
      </c>
      <c r="DJ46" s="1112" t="n">
        <v>0</v>
      </c>
      <c r="DK46" s="1112" t="n">
        <v>0</v>
      </c>
      <c r="DL46" s="1113" t="n">
        <v>0</v>
      </c>
      <c r="DM46" s="1114" t="n">
        <v>0</v>
      </c>
      <c r="DN46" s="1114" t="n">
        <v>0</v>
      </c>
      <c r="DO46" s="1114" t="n">
        <v>0</v>
      </c>
      <c r="DP46" s="1114" t="n">
        <v>0</v>
      </c>
      <c r="DQ46" s="1114" t="n">
        <v>0</v>
      </c>
      <c r="DR46" s="1109" t="n">
        <v>0</v>
      </c>
      <c r="DS46" s="852" t="n">
        <v>0</v>
      </c>
      <c r="DT46" s="852" t="n">
        <v>0</v>
      </c>
      <c r="DU46" s="852" t="n">
        <v>0</v>
      </c>
      <c r="DV46" s="852" t="n">
        <v>0</v>
      </c>
      <c r="DW46" s="852" t="n">
        <v>0</v>
      </c>
      <c r="DX46" s="852" t="n">
        <v>0</v>
      </c>
      <c r="DY46" s="852" t="n">
        <v>0</v>
      </c>
      <c r="DZ46" s="852" t="n">
        <v>0</v>
      </c>
      <c r="EA46" s="852" t="n">
        <v>0</v>
      </c>
      <c r="EB46" s="1113" t="n">
        <v>0</v>
      </c>
      <c r="EC46" s="1115" t="n">
        <f aca="false">DS46*BD46</f>
        <v>0</v>
      </c>
      <c r="ED46" s="1115" t="n">
        <f aca="false">DT46*BE46</f>
        <v>0</v>
      </c>
      <c r="EE46" s="1115" t="n">
        <f aca="false">DU46*BF46</f>
        <v>0</v>
      </c>
      <c r="EF46" s="1115" t="n">
        <f aca="false">DV46*BG46</f>
        <v>0</v>
      </c>
      <c r="EG46" s="1115" t="n">
        <f aca="false">DS46*BD46+DT46*BE46+DU46*BF46+DV46*BG46</f>
        <v>0</v>
      </c>
      <c r="EH46" s="1116" t="n">
        <v>0</v>
      </c>
      <c r="EI46" s="1117" t="n">
        <v>0</v>
      </c>
      <c r="EJ46" s="1117" t="n">
        <v>0</v>
      </c>
      <c r="EK46" s="1117" t="n">
        <v>0</v>
      </c>
      <c r="EL46" s="1118" t="n">
        <f aca="false">IF(C46&gt;=Summary!$E$26,MAX(0,SUM(EH46:EK46)),0)</f>
        <v>0</v>
      </c>
      <c r="EM46" s="1115" t="n">
        <f aca="false">IF(C46&gt;=Summary!$E$26,DX46*BL46,0)</f>
        <v>0</v>
      </c>
      <c r="EN46" s="1115" t="n">
        <f aca="false">IF(C46&gt;=Summary!$E$26,DY46*BM46,0)</f>
        <v>0</v>
      </c>
      <c r="EO46" s="1115" t="n">
        <f aca="false">IF(C46&gt;=Summary!$E$26,DZ46*BN46,0)</f>
        <v>0</v>
      </c>
      <c r="EP46" s="1115" t="n">
        <f aca="false">IF(C46&gt;=Summary!$E$26,EA46*BO46,0)</f>
        <v>0</v>
      </c>
      <c r="EQ46" s="1115" t="n">
        <f aca="false">IF(C46&gt;=Summary!$E$26,DX46*BL46+DY46*BM46+DZ46*BN46+EA46*BO46,0)</f>
        <v>0</v>
      </c>
      <c r="ER46" s="1119" t="n">
        <v>0</v>
      </c>
      <c r="ES46" s="1120" t="n">
        <v>0</v>
      </c>
      <c r="ET46" s="1120" t="n">
        <v>0</v>
      </c>
      <c r="EU46" s="1120" t="n">
        <v>0</v>
      </c>
      <c r="EV46" s="1143" t="n">
        <f aca="false">IF(C46&gt;=Summary!$E$26,MAX(0,SUM(ER46:EU46)),0)</f>
        <v>0</v>
      </c>
      <c r="EW46" s="1115"/>
      <c r="EX46" s="1165" t="n">
        <f aca="false">(EQ46-EV46)+IF(EZ46="Yes",(EG46-EL46),0)</f>
        <v>0</v>
      </c>
      <c r="EY46" s="1166" t="str">
        <f aca="false">IF(EX46,EX46/EQ46,"")</f>
        <v/>
      </c>
      <c r="EZ46" s="1122" t="s">
        <v>37</v>
      </c>
      <c r="FA46" s="1096" t="n">
        <f aca="false">FA45</f>
        <v>45</v>
      </c>
      <c r="FB46" s="1167" t="n">
        <f aca="false">IF(EZ46="No",IF((OR(MONTH(C46)=5,MONTH(C46)=6,MONTH(C46)=7,MONTH(C46)=8,MONTH(C46)=9)),$FA46*12*AX46*(1-$BC46),$FA46*10*AX46*(1-$BC46)),0)</f>
        <v>10638</v>
      </c>
      <c r="FC46" s="1129" t="n">
        <f aca="false">IF(EZ46="No",IF((OR(MONTH(C46)=5,MONTH(C46)=6,MONTH(C46)=7,MONTH(C46)=8,MONTH(C46)=9)),0,$FA46*3*AX46*(1-$BC46)),0)</f>
        <v>0</v>
      </c>
      <c r="FD46" s="1129" t="n">
        <f aca="false">IF(EZ46="No",IF((OR(MONTH(C46)=5,MONTH(C46)=6,MONTH(C46)=7,MONTH(C46)=8,MONTH(C46)=9)),$FA46*12*AY46*(1-$BC46),$FA46*10*AY46*(1-$BC46)),0)</f>
        <v>2659.5</v>
      </c>
      <c r="FE46" s="1129" t="n">
        <f aca="false">IF(EZ46="No",IF((OR(MONTH(C46)=5,MONTH(C46)=6,MONTH(C46)=7,MONTH(C46)=8,MONTH(C46)=9)),0,$FA46*3*AY46*(1-$BC46)),0)</f>
        <v>0</v>
      </c>
      <c r="FF46" s="1129" t="n">
        <f aca="false">IF(EZ46="No",IF((OR(MONTH(C46)=5,MONTH(C46)=6,MONTH(C46)=7,MONTH(C46)=8,MONTH(C46)=9)),$FA46*12*(AZ46+BA46)*(1-$BC46),$FA46*10*(AZ46+BA46)*(1-$BC46)),0)</f>
        <v>2659.5</v>
      </c>
      <c r="FG46" s="1129" t="n">
        <f aca="false">IF(EZ46="No",IF((OR(MONTH(C46)=5,MONTH(C46)=6,MONTH(C46)=7,MONTH(C46)=8,MONTH(C46)=9)),0,$FA46*3*(AZ46+BA46)*(1-$BC46)),0)</f>
        <v>0</v>
      </c>
      <c r="FH46" s="1170" t="n">
        <f aca="false">IF(EZ46="No",IF((OR(MONTH(C46)=5,MONTH(C46)=6,MONTH(C46)=7,MONTH(C46)=8,MONTH(C46)=9)),Summary!$O$15*12*(AX46+AY46+AZ46+BA46)*(1-$BC46),Summary!$O$15*13*(AX46+AY46+AZ46+BA46)*(1-$BC46)+IF(Summary!$O$16="Yes",(CALC!FA46+Summary!$O$15)*6*(AX46+AY46+AZ46+BA46)*(1-$BC46),0)),0)</f>
        <v>0</v>
      </c>
      <c r="FI46" s="1126" t="n">
        <f aca="false">IF(MONTH(C46)=5,FI45*(IF(Summary!$E$70="no",(1+(Summary!$E$71*0.8)),1+HLOOKUP(YEAR(C46)-1,CCFMODEL!$I$127:$AF$128,2)*0.8)),+FI45)</f>
        <v>28.5642970851971</v>
      </c>
      <c r="FJ46" s="1127" t="n">
        <f aca="false">IF(MONTH(C46)=5,FJ45*(IF(Summary!$E$70="no",(1+(Summary!$E$71*0.8)),1+HLOOKUP(YEAR(CALC!C46)-1,CCFMODEL!$I$127:$AF$128,2)*0.8)),FJ45)</f>
        <v>24.9656454839124</v>
      </c>
      <c r="FK46" s="1128" t="n">
        <f aca="false">SUM(FB46:FG46)*FI46+FH46*FJ46</f>
        <v>455800.48858849</v>
      </c>
      <c r="FL46" s="1126" t="n">
        <f aca="false">IF(MONTH(C46)=5,FL45*(IF(Summary!$E$70="no",(1+(Summary!$E$71*0.8)),1+HLOOKUP(YEAR(CALC!C46)-1,CCFMODEL!$I$127:$AF$128,2)*0.8)),+FL45)</f>
        <v>60.0739191416837</v>
      </c>
      <c r="FM46" s="1127" t="n">
        <f aca="false">IF(MONTH(C46)=5,FM45*(IF(Summary!$E$70="no",(1+(Summary!$E$71*0.8)),1+HLOOKUP(YEAR(CALC!C46)-1,CCFMODEL!$I$127:$AF$128,2)*0.8)),+FM45)</f>
        <v>28.6713998114258</v>
      </c>
      <c r="FN46" s="1128" t="n">
        <f aca="false">IF((OR(MONTH(C46)=5,MONTH(C46)=6,MONTH(C46)=7,MONTH(C46)=8,MONTH(C46)=9)),SUM(FB46:FG46)/(1-BC46)*FL46,SUM(FB46:FG46)/(1-BC46)*FM46)</f>
        <v>973197.490095276</v>
      </c>
      <c r="FO46" s="1129" t="n">
        <f aca="false">FK46+FN46</f>
        <v>1428997.97868377</v>
      </c>
      <c r="FP46" s="1169" t="n">
        <f aca="false">FB46</f>
        <v>10638</v>
      </c>
      <c r="FQ46" s="1129" t="n">
        <f aca="false">FC46</f>
        <v>0</v>
      </c>
      <c r="FR46" s="1129" t="n">
        <f aca="false">FD46</f>
        <v>2659.5</v>
      </c>
      <c r="FS46" s="1129" t="n">
        <f aca="false">FE46</f>
        <v>0</v>
      </c>
      <c r="FT46" s="1129" t="n">
        <f aca="false">FF46</f>
        <v>2659.5</v>
      </c>
      <c r="FU46" s="1129" t="n">
        <f aca="false">FG46</f>
        <v>0</v>
      </c>
      <c r="FV46" s="1170" t="n">
        <f aca="false">FH46</f>
        <v>0</v>
      </c>
      <c r="FW46" s="1115" t="n">
        <f aca="false">IF(ER46&gt;0,MIN(FB46-FP46,BL46),0)</f>
        <v>0</v>
      </c>
      <c r="FX46" s="1115" t="n">
        <f aca="false">IF(ES46&gt;0,MIN(FD46-FR46,BM46),0)</f>
        <v>0</v>
      </c>
      <c r="FY46" s="1115" t="n">
        <f aca="false">IF(ET46&gt;0,MIN(FF46-FT46,BN46),0)</f>
        <v>0</v>
      </c>
      <c r="FZ46" s="1143" t="n">
        <f aca="false">IF(EU46&gt;0,MIN(FH46-FV46,BO46),0)</f>
        <v>0</v>
      </c>
      <c r="GA46" s="1132" t="n">
        <f aca="false">(SUM(FP46:FV46)+SUM(GU46:HB46)/(1-Summary!$O$25))*CY46/1000</f>
        <v>156170.336214528</v>
      </c>
      <c r="GB46" s="1133" t="n">
        <f aca="false">IF($C46&lt;Summary!$M$81,+Summary!$O$81,VLOOKUP(C46,GasTable,19))</f>
        <v>2.4</v>
      </c>
      <c r="GC46" s="1134" t="n">
        <f aca="false">IF(H46&lt;=Summary!$N$84,MIN(GA46,Summary!$O$75*(H46-G46+1)),0)</f>
        <v>150000</v>
      </c>
      <c r="GD46" s="1135" t="n">
        <f aca="false">IF(Summary!$O$75*(H46-G46+1)*0.8&gt;GC46,1,0)</f>
        <v>0</v>
      </c>
      <c r="GE46" s="1136" t="n">
        <v>0</v>
      </c>
      <c r="GF46" s="1134" t="n">
        <f aca="false">ABS(MIN(0,GC46-$GA46))</f>
        <v>6170.33621452798</v>
      </c>
      <c r="GG46" s="1135" t="n">
        <f aca="false">GF46*(IF(Summary!$O$74=1,VLOOKUP($C46,GasTable,16)+Summary!$O$92+Summary!$O$93,VLOOKUP($C46,GasTable,19)+Summary!$O$92+Summary!$O$93))</f>
        <v>15710.0013946523</v>
      </c>
      <c r="GH46" s="1137" t="n">
        <v>19062</v>
      </c>
      <c r="GI46" s="1138" t="n">
        <v>0</v>
      </c>
      <c r="GJ46" s="1139" t="n">
        <f aca="false">+GB46*GC46+GE46+GG46+GH46-GI46</f>
        <v>394772.001394652</v>
      </c>
      <c r="GK46" s="1115" t="n">
        <f aca="false">SUM(FP46:FV46,GU46:GX46,GY46:HB46)</f>
        <v>20063.268</v>
      </c>
      <c r="GL46" s="1140" t="n">
        <v>0.758746055168</v>
      </c>
      <c r="GM46" s="1141" t="n">
        <f aca="false">IF(GK46&gt;GC46/(CY46/1000),GC46/(CY46/1000),+GK46)*GL46</f>
        <v>14730</v>
      </c>
      <c r="GN46" s="1115" t="n">
        <f aca="false">IF(SUM(GU46:HB46)=0,0,IF(Summary!$O$16="Yes",SUM(GX46:HB46),IF(Summary!$O$17="Yes",SUM(GY46:HB46),SUM(GU46:HB46))))</f>
        <v>4106.268</v>
      </c>
      <c r="GO46" s="1142" t="n">
        <v>5.89035685766423</v>
      </c>
      <c r="GP46" s="1143" t="n">
        <f aca="false">GN46*GO46</f>
        <v>24187.3838732072</v>
      </c>
      <c r="GQ46" s="1115"/>
      <c r="GR46" s="1115"/>
      <c r="GS46" s="1115"/>
      <c r="GT46" s="1115"/>
      <c r="GU46" s="1150" t="n">
        <v>0</v>
      </c>
      <c r="GV46" s="1115" t="n">
        <v>0</v>
      </c>
      <c r="GW46" s="1115" t="n">
        <v>0</v>
      </c>
      <c r="GX46" s="1115"/>
      <c r="GY46" s="1151" t="n">
        <v>2737.512</v>
      </c>
      <c r="GZ46" s="1115" t="n">
        <v>684.378</v>
      </c>
      <c r="HA46" s="1115" t="n">
        <v>684.378</v>
      </c>
      <c r="HB46" s="1141"/>
      <c r="HC46" s="1115" t="n">
        <v>4106.268</v>
      </c>
      <c r="HD46" s="1115"/>
      <c r="HE46" s="1115" t="n">
        <v>16425.072</v>
      </c>
      <c r="HF46" s="1115" t="n">
        <v>111929.758493634</v>
      </c>
      <c r="HG46" s="1115"/>
      <c r="HH46" s="1142" t="n">
        <v>27.2582691859454</v>
      </c>
      <c r="HI46" s="1115" t="n">
        <v>447719.033974534</v>
      </c>
      <c r="HJ46" s="1150" t="n">
        <f aca="false">MAX(FB46-FP46-FW46,0)</f>
        <v>0</v>
      </c>
      <c r="HK46" s="1115" t="n">
        <f aca="false">MAX(FD46-FR46-FX46,0)</f>
        <v>0</v>
      </c>
      <c r="HL46" s="1115" t="n">
        <f aca="false">MAX(FF46-FT46-FY46,0)</f>
        <v>0</v>
      </c>
      <c r="HM46" s="1141" t="n">
        <f aca="false">MAX(FH46-FV46-FZ46,0)</f>
        <v>0</v>
      </c>
      <c r="HN46" s="1115" t="n">
        <f aca="false">SUM(HJ46:HM46)</f>
        <v>0</v>
      </c>
      <c r="HO46" s="1142" t="n">
        <f aca="false">IF(ISERROR(+HP46/HN46),0,+HP46/HN46)</f>
        <v>0</v>
      </c>
      <c r="HP46" s="1143" t="n">
        <f aca="false">(HJ46*CE46+HK46*CF46+HL46*CG46+HM46*CH46)</f>
        <v>0</v>
      </c>
      <c r="HQ46" s="1142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222"/>
      <c r="IN46" s="222"/>
      <c r="IR46" s="844"/>
    </row>
    <row r="47" customFormat="false" ht="13.5" hidden="false" customHeight="false" outlineLevel="0" collapsed="false">
      <c r="A47" s="0" t="str">
        <f aca="false">+D47&amp;"Q"&amp;ROUNDUP(E47/3,0)</f>
        <v>2002Q3</v>
      </c>
      <c r="B47" s="0" t="n">
        <f aca="false">YEAR(C47)</f>
        <v>2002</v>
      </c>
      <c r="C47" s="1153" t="n">
        <f aca="false">EOMONTH(C46,0)+1</f>
        <v>37438</v>
      </c>
      <c r="D47" s="841" t="n">
        <f aca="false">+YEAR(C47)</f>
        <v>2002</v>
      </c>
      <c r="E47" s="807" t="n">
        <f aca="false">MONTH(C47)</f>
        <v>7</v>
      </c>
      <c r="F47" s="1154" t="e">
        <f aca="false">IF(G47="","",Holiday(D47,E47))</f>
        <v>#VALUE!</v>
      </c>
      <c r="G47" s="1155" t="n">
        <v>37438</v>
      </c>
      <c r="H47" s="1156" t="n">
        <v>37468</v>
      </c>
      <c r="I47" s="1157" t="n">
        <f aca="false">I46</f>
        <v>0.0715</v>
      </c>
      <c r="J47" s="1158" t="n">
        <f aca="false">(1+I47/2)^(-2*(DATE(D48,E48,20)-$H$7)/365.25)</f>
        <v>0.828366737822781</v>
      </c>
      <c r="K47" s="1159" t="e">
        <f aca="false">IF(#REF!=1,+#REF!,I47+#REF!/10000)</f>
        <v>#REF!</v>
      </c>
      <c r="L47" s="1158" t="e">
        <f aca="false">(1+K47/2)^(-2*(DATE(D48,E48,20)-$H$7)/365.25)</f>
        <v>#REF!</v>
      </c>
      <c r="M47" s="1082" t="n">
        <v>0</v>
      </c>
      <c r="N47" s="1110" t="n">
        <f aca="false">M47</f>
        <v>0</v>
      </c>
      <c r="O47" s="1174" t="n">
        <f aca="false">N47</f>
        <v>0</v>
      </c>
      <c r="P47" s="1175" t="n">
        <f aca="false">M47</f>
        <v>0</v>
      </c>
      <c r="Q47" s="1110" t="n">
        <f aca="false">P47</f>
        <v>0</v>
      </c>
      <c r="R47" s="1174" t="n">
        <f aca="false">Q47</f>
        <v>0</v>
      </c>
      <c r="S47" s="1110" t="n">
        <f aca="false">R47</f>
        <v>0</v>
      </c>
      <c r="T47" s="1110" t="n">
        <f aca="false">S47</f>
        <v>0</v>
      </c>
      <c r="U47" s="1110" t="n">
        <f aca="false">T47</f>
        <v>0</v>
      </c>
      <c r="V47" s="1175" t="n">
        <f aca="false">U47</f>
        <v>0</v>
      </c>
      <c r="W47" s="1110" t="n">
        <f aca="false">V47</f>
        <v>0</v>
      </c>
      <c r="X47" s="1176" t="n">
        <f aca="false">W47</f>
        <v>0</v>
      </c>
      <c r="Y47" s="1086" t="n">
        <v>0</v>
      </c>
      <c r="Z47" s="1086" t="n">
        <v>0</v>
      </c>
      <c r="AA47" s="1087" t="n">
        <v>0</v>
      </c>
      <c r="AB47" s="1086" t="n">
        <v>0</v>
      </c>
      <c r="AC47" s="1086" t="n">
        <v>0</v>
      </c>
      <c r="AD47" s="1087" t="n">
        <v>0</v>
      </c>
      <c r="AE47" s="1086" t="n">
        <v>0</v>
      </c>
      <c r="AF47" s="1086" t="n">
        <v>0</v>
      </c>
      <c r="AG47" s="1087" t="n">
        <v>0</v>
      </c>
      <c r="AH47" s="1086" t="n">
        <v>0</v>
      </c>
      <c r="AI47" s="1086" t="n">
        <v>0</v>
      </c>
      <c r="AJ47" s="1087" t="n">
        <v>0</v>
      </c>
      <c r="AK47" s="1086" t="n">
        <v>0</v>
      </c>
      <c r="AL47" s="1086" t="n">
        <v>0</v>
      </c>
      <c r="AM47" s="1087" t="n">
        <v>0</v>
      </c>
      <c r="AN47" s="1086" t="n">
        <v>0</v>
      </c>
      <c r="AO47" s="1086" t="n">
        <v>0</v>
      </c>
      <c r="AP47" s="1087" t="n">
        <v>0</v>
      </c>
      <c r="AQ47" s="1086" t="n">
        <v>0</v>
      </c>
      <c r="AR47" s="1086" t="n">
        <v>0</v>
      </c>
      <c r="AS47" s="1087" t="n">
        <v>0</v>
      </c>
      <c r="AT47" s="1086" t="n">
        <v>0</v>
      </c>
      <c r="AU47" s="1086" t="n">
        <v>0</v>
      </c>
      <c r="AV47" s="1086" t="n">
        <v>0</v>
      </c>
      <c r="AW47" s="1172" t="n">
        <v>0</v>
      </c>
      <c r="AX47" s="807" t="e">
        <f aca="false">BB47-SUM(AY47:BA47)</f>
        <v>#VALUE!</v>
      </c>
      <c r="AY47" s="807" t="e">
        <f aca="false">IF(AND($E47=MONTH(Summary!$E$24),$D47=YEAR(Summary!$E$24)),Summary!$E$25,1)*IF(G47="",0,INT((H47-MOD(H47,7)-G47)/7)+1-IF(BA47,IF(WEEKDAY(F47)=7,1,0),0))</f>
        <v>#VALUE!</v>
      </c>
      <c r="AZ47" s="807" t="e">
        <f aca="false">IF(AND($E47=MONTH(Summary!$E$24),$D47=YEAR(Summary!$E$24)),Summary!$E$25,1)*IF(G47="",0,INT((H47-MOD(H47-1,7)-G47)/7)+1-IF(BA47,IF(WEEKDAY(F47)=1,1,0),0))</f>
        <v>#VALUE!</v>
      </c>
      <c r="BA47" s="807" t="n">
        <v>1</v>
      </c>
      <c r="BB47" s="807" t="n">
        <f aca="false">IF(AND($E47=MONTH(Summary!$E$24),$D47=YEAR(Summary!$E$24)),Summary!$E$25,1)*IF(G47="",0,H47-G47+1)</f>
        <v>31</v>
      </c>
      <c r="BC47" s="1089" t="n">
        <f aca="false">Summary!$E$19</f>
        <v>0.015</v>
      </c>
      <c r="BD47" s="1090" t="n">
        <v>15602.4</v>
      </c>
      <c r="BE47" s="1091" t="n">
        <v>2836.8</v>
      </c>
      <c r="BF47" s="1091" t="n">
        <v>3546</v>
      </c>
      <c r="BG47" s="842"/>
      <c r="BH47" s="1092" t="n">
        <v>1</v>
      </c>
      <c r="BI47" s="1092" t="n">
        <v>1</v>
      </c>
      <c r="BJ47" s="1092" t="n">
        <v>1</v>
      </c>
      <c r="BK47" s="1092" t="n">
        <v>1</v>
      </c>
      <c r="BL47" s="1093" t="n">
        <v>3120.48</v>
      </c>
      <c r="BM47" s="1091" t="n">
        <v>567.36</v>
      </c>
      <c r="BN47" s="1091" t="n">
        <v>709.2</v>
      </c>
      <c r="BO47" s="842"/>
      <c r="BP47" s="1092" t="n">
        <v>1</v>
      </c>
      <c r="BQ47" s="1094" t="n">
        <v>1</v>
      </c>
      <c r="BR47" s="1094" t="n">
        <v>1</v>
      </c>
      <c r="BS47" s="1095" t="n">
        <v>1</v>
      </c>
      <c r="BT47" s="1093" t="n">
        <f aca="false">SUM(BD47:BF47)</f>
        <v>21985.2</v>
      </c>
      <c r="BU47" s="1098" t="n">
        <f aca="false">SUM(BD47:BG47)</f>
        <v>21985.2</v>
      </c>
      <c r="BV47" s="1090" t="n">
        <f aca="false">SUM(BL47:BN47)</f>
        <v>4397.04</v>
      </c>
      <c r="BW47" s="1098" t="n">
        <f aca="false">SUM(BL47:BO47)</f>
        <v>4397.04</v>
      </c>
      <c r="BX47" s="852" t="n">
        <v>2.54346338124572</v>
      </c>
      <c r="BY47" s="1099" t="n">
        <v>0</v>
      </c>
      <c r="BZ47" s="852" t="n">
        <v>0</v>
      </c>
      <c r="CA47" s="852" t="n">
        <v>0</v>
      </c>
      <c r="CB47" s="852" t="n">
        <v>0</v>
      </c>
      <c r="CC47" s="852" t="n">
        <v>0</v>
      </c>
      <c r="CD47" s="852" t="n">
        <v>0</v>
      </c>
      <c r="CE47" s="1100" t="n">
        <v>0</v>
      </c>
      <c r="CF47" s="852" t="n">
        <v>0</v>
      </c>
      <c r="CG47" s="852" t="n">
        <v>0</v>
      </c>
      <c r="CH47" s="852" t="n">
        <v>0</v>
      </c>
      <c r="CI47" s="852" t="n">
        <v>0</v>
      </c>
      <c r="CJ47" s="1101" t="n">
        <v>0</v>
      </c>
      <c r="CK47" s="852" t="n">
        <v>0</v>
      </c>
      <c r="CL47" s="852" t="n">
        <v>0</v>
      </c>
      <c r="CM47" s="852" t="n">
        <v>0</v>
      </c>
      <c r="CN47" s="852" t="n">
        <v>0</v>
      </c>
      <c r="CO47" s="852" t="n">
        <v>0</v>
      </c>
      <c r="CP47" s="852" t="n">
        <v>0</v>
      </c>
      <c r="CQ47" s="1102" t="n">
        <v>0</v>
      </c>
      <c r="CR47" s="1103" t="n">
        <v>0</v>
      </c>
      <c r="CS47" s="1103" t="n">
        <v>0</v>
      </c>
      <c r="CT47" s="1103" t="n">
        <v>0</v>
      </c>
      <c r="CU47" s="1103" t="n">
        <v>0</v>
      </c>
      <c r="CV47" s="1103" t="n">
        <v>0</v>
      </c>
      <c r="CW47" s="1103" t="n">
        <v>0</v>
      </c>
      <c r="CX47" s="1104" t="n">
        <v>0</v>
      </c>
      <c r="CY47" s="1105" t="n">
        <v>7728.49256</v>
      </c>
      <c r="CZ47" s="1099" t="n">
        <v>0</v>
      </c>
      <c r="DA47" s="852" t="n">
        <v>0</v>
      </c>
      <c r="DB47" s="852" t="n">
        <v>0</v>
      </c>
      <c r="DC47" s="852" t="n">
        <v>0</v>
      </c>
      <c r="DD47" s="852" t="n">
        <v>0</v>
      </c>
      <c r="DE47" s="1113" t="n">
        <v>0</v>
      </c>
      <c r="DF47" s="1109" t="n">
        <v>0</v>
      </c>
      <c r="DG47" s="1110" t="n">
        <v>0</v>
      </c>
      <c r="DH47" s="1111" t="n">
        <v>0</v>
      </c>
      <c r="DI47" s="1112" t="n">
        <v>0</v>
      </c>
      <c r="DJ47" s="1112" t="n">
        <v>0</v>
      </c>
      <c r="DK47" s="1112" t="n">
        <v>0</v>
      </c>
      <c r="DL47" s="1113" t="n">
        <v>0</v>
      </c>
      <c r="DM47" s="1114" t="n">
        <v>0</v>
      </c>
      <c r="DN47" s="1114" t="n">
        <v>0</v>
      </c>
      <c r="DO47" s="1114" t="n">
        <v>0</v>
      </c>
      <c r="DP47" s="1114" t="n">
        <v>0</v>
      </c>
      <c r="DQ47" s="1114" t="n">
        <v>0</v>
      </c>
      <c r="DR47" s="1109" t="n">
        <v>0</v>
      </c>
      <c r="DS47" s="852" t="n">
        <v>0</v>
      </c>
      <c r="DT47" s="852" t="n">
        <v>0</v>
      </c>
      <c r="DU47" s="852" t="n">
        <v>0</v>
      </c>
      <c r="DV47" s="852" t="n">
        <v>0</v>
      </c>
      <c r="DW47" s="852" t="n">
        <v>0</v>
      </c>
      <c r="DX47" s="852" t="n">
        <v>0</v>
      </c>
      <c r="DY47" s="852" t="n">
        <v>0</v>
      </c>
      <c r="DZ47" s="852" t="n">
        <v>0</v>
      </c>
      <c r="EA47" s="852" t="n">
        <v>0</v>
      </c>
      <c r="EB47" s="1113" t="n">
        <v>0</v>
      </c>
      <c r="EC47" s="1115" t="n">
        <f aca="false">DS47*BD47</f>
        <v>0</v>
      </c>
      <c r="ED47" s="1115" t="n">
        <f aca="false">DT47*BE47</f>
        <v>0</v>
      </c>
      <c r="EE47" s="1115" t="n">
        <f aca="false">DU47*BF47</f>
        <v>0</v>
      </c>
      <c r="EF47" s="1115" t="n">
        <f aca="false">DV47*BG47</f>
        <v>0</v>
      </c>
      <c r="EG47" s="1115" t="n">
        <f aca="false">DS47*BD47+DT47*BE47+DU47*BF47+DV47*BG47</f>
        <v>0</v>
      </c>
      <c r="EH47" s="1116" t="n">
        <v>0</v>
      </c>
      <c r="EI47" s="1117" t="n">
        <v>0</v>
      </c>
      <c r="EJ47" s="1117" t="n">
        <v>0</v>
      </c>
      <c r="EK47" s="1117" t="n">
        <v>0</v>
      </c>
      <c r="EL47" s="1118" t="n">
        <f aca="false">IF(C47&gt;=Summary!$E$26,MAX(0,SUM(EH47:EK47)),0)</f>
        <v>0</v>
      </c>
      <c r="EM47" s="1115" t="n">
        <f aca="false">IF(C47&gt;=Summary!$E$26,DX47*BL47,0)</f>
        <v>0</v>
      </c>
      <c r="EN47" s="1115" t="n">
        <f aca="false">IF(C47&gt;=Summary!$E$26,DY47*BM47,0)</f>
        <v>0</v>
      </c>
      <c r="EO47" s="1115" t="n">
        <f aca="false">IF(C47&gt;=Summary!$E$26,DZ47*BN47,0)</f>
        <v>0</v>
      </c>
      <c r="EP47" s="1115" t="n">
        <f aca="false">IF(C47&gt;=Summary!$E$26,EA47*BO47,0)</f>
        <v>0</v>
      </c>
      <c r="EQ47" s="1115" t="n">
        <f aca="false">IF(C47&gt;=Summary!$E$26,DX47*BL47+DY47*BM47+DZ47*BN47+EA47*BO47,0)</f>
        <v>0</v>
      </c>
      <c r="ER47" s="1119" t="n">
        <v>0</v>
      </c>
      <c r="ES47" s="1120" t="n">
        <v>0</v>
      </c>
      <c r="ET47" s="1120" t="n">
        <v>0</v>
      </c>
      <c r="EU47" s="1120" t="n">
        <v>0</v>
      </c>
      <c r="EV47" s="1143" t="n">
        <f aca="false">IF(C47&gt;=Summary!$E$26,MAX(0,SUM(ER47:EU47)),0)</f>
        <v>0</v>
      </c>
      <c r="EW47" s="1115"/>
      <c r="EX47" s="1165" t="n">
        <f aca="false">(EQ47-EV47)+IF(EZ47="Yes",(EG47-EL47),0)</f>
        <v>0</v>
      </c>
      <c r="EY47" s="1166" t="str">
        <f aca="false">IF(EX47,EX47/EQ47,"")</f>
        <v/>
      </c>
      <c r="EZ47" s="1122" t="s">
        <v>37</v>
      </c>
      <c r="FA47" s="1096" t="n">
        <f aca="false">FA46</f>
        <v>45</v>
      </c>
      <c r="FB47" s="1167" t="e">
        <f aca="false">IF(EZ47="No",IF((OR(MONTH(C47)=5,MONTH(C47)=6,MONTH(C47)=7,MONTH(C47)=8,MONTH(C47)=9)),$FA47*12*AX47*(1-$BC47),$FA47*10*AX47*(1-$BC47)),0)</f>
        <v>#VALUE!</v>
      </c>
      <c r="FC47" s="1129" t="n">
        <f aca="false">IF(EZ47="No",IF((OR(MONTH(C47)=5,MONTH(C47)=6,MONTH(C47)=7,MONTH(C47)=8,MONTH(C47)=9)),0,$FA47*3*AX47*(1-$BC47)),0)</f>
        <v>0</v>
      </c>
      <c r="FD47" s="1129" t="e">
        <f aca="false">IF(EZ47="No",IF((OR(MONTH(C47)=5,MONTH(C47)=6,MONTH(C47)=7,MONTH(C47)=8,MONTH(C47)=9)),$FA47*12*AY47*(1-$BC47),$FA47*10*AY47*(1-$BC47)),0)</f>
        <v>#VALUE!</v>
      </c>
      <c r="FE47" s="1129" t="n">
        <f aca="false">IF(EZ47="No",IF((OR(MONTH(C47)=5,MONTH(C47)=6,MONTH(C47)=7,MONTH(C47)=8,MONTH(C47)=9)),0,$FA47*3*AY47*(1-$BC47)),0)</f>
        <v>0</v>
      </c>
      <c r="FF47" s="1129" t="e">
        <f aca="false">IF(EZ47="No",IF((OR(MONTH(C47)=5,MONTH(C47)=6,MONTH(C47)=7,MONTH(C47)=8,MONTH(C47)=9)),$FA47*12*(AZ47+BA47)*(1-$BC47),$FA47*10*(AZ47+BA47)*(1-$BC47)),0)</f>
        <v>#VALUE!</v>
      </c>
      <c r="FG47" s="1129" t="n">
        <f aca="false">IF(EZ47="No",IF((OR(MONTH(C47)=5,MONTH(C47)=6,MONTH(C47)=7,MONTH(C47)=8,MONTH(C47)=9)),0,$FA47*3*(AZ47+BA47)*(1-$BC47)),0)</f>
        <v>0</v>
      </c>
      <c r="FH47" s="1170" t="e">
        <f aca="false">IF(EZ47="No",IF((OR(MONTH(C47)=5,MONTH(C47)=6,MONTH(C47)=7,MONTH(C47)=8,MONTH(C47)=9)),Summary!$O$15*12*(AX47+AY47+AZ47+BA47)*(1-$BC47),Summary!$O$15*13*(AX47+AY47+AZ47+BA47)*(1-$BC47)+IF(Summary!$O$16="Yes",(CALC!FA47+Summary!$O$15)*6*(AX47+AY47+AZ47+BA47)*(1-$BC47),0)),0)</f>
        <v>#VALUE!</v>
      </c>
      <c r="FI47" s="1126" t="n">
        <f aca="false">IF(MONTH(C47)=5,FI46*(IF(Summary!$E$70="no",(1+(Summary!$E$71*0.8)),1+HLOOKUP(YEAR(C47)-1,CCFMODEL!$I$127:$AF$128,2)*0.8)),+FI46)</f>
        <v>28.5642970851971</v>
      </c>
      <c r="FJ47" s="1127" t="n">
        <f aca="false">IF(MONTH(C47)=5,FJ46*(IF(Summary!$E$70="no",(1+(Summary!$E$71*0.8)),1+HLOOKUP(YEAR(CALC!C47)-1,CCFMODEL!$I$127:$AF$128,2)*0.8)),FJ46)</f>
        <v>24.9656454839124</v>
      </c>
      <c r="FK47" s="1128" t="e">
        <f aca="false">SUM(FB47:FG47)*FI47+FH47*FJ47</f>
        <v>#VALUE!</v>
      </c>
      <c r="FL47" s="1126" t="n">
        <f aca="false">IF(MONTH(C47)=5,FL46*(IF(Summary!$E$70="no",(1+(Summary!$E$71*0.8)),1+HLOOKUP(YEAR(CALC!C47)-1,CCFMODEL!$I$127:$AF$128,2)*0.8)),+FL46)</f>
        <v>60.0739191416837</v>
      </c>
      <c r="FM47" s="1127" t="n">
        <f aca="false">IF(MONTH(C47)=5,FM46*(IF(Summary!$E$70="no",(1+(Summary!$E$71*0.8)),1+HLOOKUP(YEAR(CALC!C47)-1,CCFMODEL!$I$127:$AF$128,2)*0.8)),+FM46)</f>
        <v>28.6713998114258</v>
      </c>
      <c r="FN47" s="1128" t="e">
        <f aca="false">IF((OR(MONTH(C47)=5,MONTH(C47)=6,MONTH(C47)=7,MONTH(C47)=8,MONTH(C47)=9)),SUM(FB47:FG47)/(1-BC47)*FL47,SUM(FB47:FG47)/(1-BC47)*FM47)</f>
        <v>#VALUE!</v>
      </c>
      <c r="FO47" s="1129" t="e">
        <f aca="false">FK47+FN47</f>
        <v>#VALUE!</v>
      </c>
      <c r="FP47" s="1169" t="e">
        <f aca="false">FB47</f>
        <v>#VALUE!</v>
      </c>
      <c r="FQ47" s="1129" t="n">
        <f aca="false">FC47</f>
        <v>0</v>
      </c>
      <c r="FR47" s="1129" t="e">
        <f aca="false">FD47</f>
        <v>#VALUE!</v>
      </c>
      <c r="FS47" s="1129" t="n">
        <f aca="false">FE47</f>
        <v>0</v>
      </c>
      <c r="FT47" s="1129" t="e">
        <f aca="false">FF47</f>
        <v>#VALUE!</v>
      </c>
      <c r="FU47" s="1129" t="n">
        <f aca="false">FG47</f>
        <v>0</v>
      </c>
      <c r="FV47" s="1170" t="e">
        <f aca="false">FH47</f>
        <v>#VALUE!</v>
      </c>
      <c r="FW47" s="1115" t="n">
        <f aca="false">IF(ER47&gt;0,MIN(FB47-FP47,BL47),0)</f>
        <v>0</v>
      </c>
      <c r="FX47" s="1115" t="n">
        <f aca="false">IF(ES47&gt;0,MIN(FD47-FR47,BM47),0)</f>
        <v>0</v>
      </c>
      <c r="FY47" s="1115" t="n">
        <f aca="false">IF(ET47&gt;0,MIN(FF47-FT47,BN47),0)</f>
        <v>0</v>
      </c>
      <c r="FZ47" s="1143" t="n">
        <f aca="false">IF(EU47&gt;0,MIN(FH47-FV47,BO47),0)</f>
        <v>0</v>
      </c>
      <c r="GA47" s="1132" t="e">
        <f aca="false">(SUM(FP47:FV47)+SUM(GU47:HB47)/(1-Summary!$O$25))*CY47/1000</f>
        <v>#VALUE!</v>
      </c>
      <c r="GB47" s="1133" t="n">
        <f aca="false">IF($C47&lt;Summary!$M$81,+Summary!$O$81,VLOOKUP(C47,GasTable,19))</f>
        <v>2.4</v>
      </c>
      <c r="GC47" s="1134" t="e">
        <f aca="false">IF(H47&lt;=Summary!$N$84,MIN(GA47,Summary!$O$75*(H47-G47+1)),0)</f>
        <v>#VALUE!</v>
      </c>
      <c r="GD47" s="1135" t="e">
        <f aca="false">IF(Summary!$O$75*(H47-G47+1)*0.8&gt;GC47,1,0)</f>
        <v>#VALUE!</v>
      </c>
      <c r="GE47" s="1136" t="n">
        <v>0</v>
      </c>
      <c r="GF47" s="1134" t="e">
        <f aca="false">ABS(MIN(0,GC47-$GA47))</f>
        <v>#VALUE!</v>
      </c>
      <c r="GG47" s="1135" t="e">
        <f aca="false">GF47*(IF(Summary!$O$74=1,VLOOKUP($C47,GasTable,16)+Summary!$O$92+Summary!$O$93,VLOOKUP($C47,GasTable,19)+Summary!$O$92+Summary!$O$93))</f>
        <v>#VALUE!</v>
      </c>
      <c r="GH47" s="1137" t="n">
        <v>19666.4</v>
      </c>
      <c r="GI47" s="1138" t="n">
        <v>0</v>
      </c>
      <c r="GJ47" s="1139" t="e">
        <f aca="false">+GB47*GC47+GE47+GG47+GH47-GI47</f>
        <v>#VALUE!</v>
      </c>
      <c r="GK47" s="1115" t="e">
        <f aca="false">SUM(FP47:FV47,GU47:GX47,GY47:HB47)</f>
        <v>#VALUE!</v>
      </c>
      <c r="GL47" s="1140" t="n">
        <v>0.758937969392</v>
      </c>
      <c r="GM47" s="1141" t="e">
        <f aca="false">IF(GK47&gt;GC47/(CY47/1000),GC47/(CY47/1000),+GK47)*GL47</f>
        <v>#VALUE!</v>
      </c>
      <c r="GN47" s="1115" t="n">
        <f aca="false">IF(SUM(GU47:HB47)=0,0,IF(Summary!$O$16="Yes",SUM(GX47:HB47),IF(Summary!$O$17="Yes",SUM(GY47:HB47),SUM(GU47:HB47))))</f>
        <v>9547.0731</v>
      </c>
      <c r="GO47" s="1142" t="n">
        <v>5.89035685766423</v>
      </c>
      <c r="GP47" s="1143" t="n">
        <f aca="false">GN47*GO47</f>
        <v>56235.6675052067</v>
      </c>
      <c r="GQ47" s="1115"/>
      <c r="GR47" s="1115"/>
      <c r="GS47" s="1115"/>
      <c r="GT47" s="1115"/>
      <c r="GU47" s="1150" t="n">
        <v>3764.079</v>
      </c>
      <c r="GV47" s="1115" t="n">
        <v>684.378</v>
      </c>
      <c r="GW47" s="1115" t="n">
        <v>855.4725</v>
      </c>
      <c r="GX47" s="1115"/>
      <c r="GY47" s="1151" t="n">
        <v>3011.2632</v>
      </c>
      <c r="GZ47" s="1115" t="n">
        <v>547.5024</v>
      </c>
      <c r="HA47" s="1115" t="n">
        <v>684.378</v>
      </c>
      <c r="HB47" s="1141"/>
      <c r="HC47" s="1115" t="n">
        <v>9547.0731</v>
      </c>
      <c r="HD47" s="1115"/>
      <c r="HE47" s="1115" t="n">
        <v>22276.5039</v>
      </c>
      <c r="HF47" s="1115" t="n">
        <v>353008.005446523</v>
      </c>
      <c r="HG47" s="1115"/>
      <c r="HH47" s="1142" t="n">
        <v>39.1561508325408</v>
      </c>
      <c r="HI47" s="1115" t="n">
        <v>872262.146730083</v>
      </c>
      <c r="HJ47" s="1150" t="e">
        <f aca="false">MAX(FB47-FP47-FW47,0)</f>
        <v>#VALUE!</v>
      </c>
      <c r="HK47" s="1115" t="e">
        <f aca="false">MAX(FD47-FR47-FX47,0)</f>
        <v>#VALUE!</v>
      </c>
      <c r="HL47" s="1115" t="e">
        <f aca="false">MAX(FF47-FT47-FY47,0)</f>
        <v>#VALUE!</v>
      </c>
      <c r="HM47" s="1141" t="e">
        <f aca="false">MAX(FH47-FV47-FZ47,0)</f>
        <v>#VALUE!</v>
      </c>
      <c r="HN47" s="1115" t="e">
        <f aca="false">SUM(HJ47:HM47)</f>
        <v>#VALUE!</v>
      </c>
      <c r="HO47" s="1142" t="n">
        <f aca="false">IF(ISERROR(+HP47/HN47),0,+HP47/HN47)</f>
        <v>0</v>
      </c>
      <c r="HP47" s="1143" t="e">
        <f aca="false">(HJ47*CE47+HK47*CF47+HL47*CG47+HM47*CH47)</f>
        <v>#VALUE!</v>
      </c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R47" s="844"/>
    </row>
    <row r="48" customFormat="false" ht="13.5" hidden="false" customHeight="false" outlineLevel="0" collapsed="false">
      <c r="A48" s="0" t="str">
        <f aca="false">+D48&amp;"Q"&amp;ROUNDUP(E48/3,0)</f>
        <v>2002Q3</v>
      </c>
      <c r="B48" s="0" t="n">
        <f aca="false">YEAR(C48)</f>
        <v>2002</v>
      </c>
      <c r="C48" s="1153" t="n">
        <f aca="false">EOMONTH(C47,0)+1</f>
        <v>37469</v>
      </c>
      <c r="D48" s="841" t="n">
        <f aca="false">+YEAR(C48)</f>
        <v>2002</v>
      </c>
      <c r="E48" s="807" t="n">
        <f aca="false">MONTH(C48)</f>
        <v>8</v>
      </c>
      <c r="F48" s="1154" t="e">
        <f aca="false">IF(G48="","",Holiday(D48,E48))</f>
        <v>#VALUE!</v>
      </c>
      <c r="G48" s="1155" t="n">
        <v>37469</v>
      </c>
      <c r="H48" s="1156" t="n">
        <v>37499</v>
      </c>
      <c r="I48" s="1157" t="n">
        <f aca="false">I47</f>
        <v>0.0715</v>
      </c>
      <c r="J48" s="1158" t="n">
        <f aca="false">(1+I48/2)^(-2*(DATE(D49,E49,20)-$H$7)/365.25)</f>
        <v>0.82344230439862</v>
      </c>
      <c r="K48" s="1159" t="e">
        <f aca="false">IF(#REF!=1,+#REF!,I48+#REF!/10000)</f>
        <v>#REF!</v>
      </c>
      <c r="L48" s="1158" t="e">
        <f aca="false">(1+K48/2)^(-2*(DATE(D49,E49,20)-$H$7)/365.25)</f>
        <v>#REF!</v>
      </c>
      <c r="M48" s="1082" t="n">
        <v>0</v>
      </c>
      <c r="N48" s="1110" t="n">
        <f aca="false">M48</f>
        <v>0</v>
      </c>
      <c r="O48" s="1174" t="n">
        <f aca="false">N48</f>
        <v>0</v>
      </c>
      <c r="P48" s="1175" t="n">
        <f aca="false">M48</f>
        <v>0</v>
      </c>
      <c r="Q48" s="1110" t="n">
        <f aca="false">P48</f>
        <v>0</v>
      </c>
      <c r="R48" s="1174" t="n">
        <f aca="false">Q48</f>
        <v>0</v>
      </c>
      <c r="S48" s="1110" t="n">
        <f aca="false">R48</f>
        <v>0</v>
      </c>
      <c r="T48" s="1110" t="n">
        <f aca="false">S48</f>
        <v>0</v>
      </c>
      <c r="U48" s="1110" t="n">
        <f aca="false">T48</f>
        <v>0</v>
      </c>
      <c r="V48" s="1175" t="n">
        <f aca="false">U48</f>
        <v>0</v>
      </c>
      <c r="W48" s="1110" t="n">
        <f aca="false">V48</f>
        <v>0</v>
      </c>
      <c r="X48" s="1176" t="n">
        <f aca="false">W48</f>
        <v>0</v>
      </c>
      <c r="Y48" s="1086" t="n">
        <v>0</v>
      </c>
      <c r="Z48" s="1086" t="n">
        <v>0</v>
      </c>
      <c r="AA48" s="1087" t="n">
        <v>0</v>
      </c>
      <c r="AB48" s="1086" t="n">
        <v>0</v>
      </c>
      <c r="AC48" s="1086" t="n">
        <v>0</v>
      </c>
      <c r="AD48" s="1087" t="n">
        <v>0</v>
      </c>
      <c r="AE48" s="1086" t="n">
        <v>0</v>
      </c>
      <c r="AF48" s="1086" t="n">
        <v>0</v>
      </c>
      <c r="AG48" s="1087" t="n">
        <v>0</v>
      </c>
      <c r="AH48" s="1086" t="n">
        <v>0</v>
      </c>
      <c r="AI48" s="1086" t="n">
        <v>0</v>
      </c>
      <c r="AJ48" s="1087" t="n">
        <v>0</v>
      </c>
      <c r="AK48" s="1086" t="n">
        <v>0</v>
      </c>
      <c r="AL48" s="1086" t="n">
        <v>0</v>
      </c>
      <c r="AM48" s="1087" t="n">
        <v>0</v>
      </c>
      <c r="AN48" s="1086" t="n">
        <v>0</v>
      </c>
      <c r="AO48" s="1086" t="n">
        <v>0</v>
      </c>
      <c r="AP48" s="1087" t="n">
        <v>0</v>
      </c>
      <c r="AQ48" s="1086" t="n">
        <v>0</v>
      </c>
      <c r="AR48" s="1086" t="n">
        <v>0</v>
      </c>
      <c r="AS48" s="1087" t="n">
        <v>0</v>
      </c>
      <c r="AT48" s="1086" t="n">
        <v>0</v>
      </c>
      <c r="AU48" s="1086" t="n">
        <v>0</v>
      </c>
      <c r="AV48" s="1086" t="n">
        <v>0</v>
      </c>
      <c r="AW48" s="1172" t="n">
        <v>0</v>
      </c>
      <c r="AX48" s="807" t="n">
        <f aca="false">BB48-SUM(AY48:BA48)</f>
        <v>22</v>
      </c>
      <c r="AY48" s="807" t="n">
        <f aca="false">IF(AND($E48=MONTH(Summary!$E$24),$D48=YEAR(Summary!$E$24)),Summary!$E$25,1)*IF(G48="",0,INT((H48-MOD(H48,7)-G48)/7)+1-IF(BA48,IF(WEEKDAY(F48)=7,1,0),0))</f>
        <v>5</v>
      </c>
      <c r="AZ48" s="807" t="n">
        <f aca="false">IF(AND($E48=MONTH(Summary!$E$24),$D48=YEAR(Summary!$E$24)),Summary!$E$25,1)*IF(G48="",0,INT((H48-MOD(H48-1,7)-G48)/7)+1-IF(BA48,IF(WEEKDAY(F48)=1,1,0),0))</f>
        <v>4</v>
      </c>
      <c r="BA48" s="807" t="n">
        <v>0</v>
      </c>
      <c r="BB48" s="807" t="n">
        <f aca="false">IF(AND($E48=MONTH(Summary!$E$24),$D48=YEAR(Summary!$E$24)),Summary!$E$25,1)*IF(G48="",0,H48-G48+1)</f>
        <v>31</v>
      </c>
      <c r="BC48" s="1089" t="n">
        <f aca="false">Summary!$E$19</f>
        <v>0.015</v>
      </c>
      <c r="BD48" s="1090" t="n">
        <v>15602.4</v>
      </c>
      <c r="BE48" s="1091" t="n">
        <v>3546</v>
      </c>
      <c r="BF48" s="1091" t="n">
        <v>2836.8</v>
      </c>
      <c r="BG48" s="842"/>
      <c r="BH48" s="1092" t="n">
        <v>1</v>
      </c>
      <c r="BI48" s="1092" t="n">
        <v>1</v>
      </c>
      <c r="BJ48" s="1092" t="n">
        <v>1</v>
      </c>
      <c r="BK48" s="1092" t="n">
        <v>1</v>
      </c>
      <c r="BL48" s="1093" t="n">
        <v>3120.48</v>
      </c>
      <c r="BM48" s="1091" t="n">
        <v>709.2</v>
      </c>
      <c r="BN48" s="1091" t="n">
        <v>567.36</v>
      </c>
      <c r="BO48" s="842"/>
      <c r="BP48" s="1092" t="n">
        <v>1</v>
      </c>
      <c r="BQ48" s="1094" t="n">
        <v>1</v>
      </c>
      <c r="BR48" s="1094" t="n">
        <v>1</v>
      </c>
      <c r="BS48" s="1095" t="n">
        <v>1</v>
      </c>
      <c r="BT48" s="1093" t="n">
        <f aca="false">SUM(BD48:BF48)</f>
        <v>21985.2</v>
      </c>
      <c r="BU48" s="1098" t="n">
        <f aca="false">SUM(BD48:BG48)</f>
        <v>21985.2</v>
      </c>
      <c r="BV48" s="1090" t="n">
        <f aca="false">SUM(BL48:BN48)</f>
        <v>4397.04</v>
      </c>
      <c r="BW48" s="1098" t="n">
        <f aca="false">SUM(BL48:BO48)</f>
        <v>4397.04</v>
      </c>
      <c r="BX48" s="852" t="n">
        <v>2.62833675564682</v>
      </c>
      <c r="BY48" s="1099" t="n">
        <v>0</v>
      </c>
      <c r="BZ48" s="852" t="n">
        <v>0</v>
      </c>
      <c r="CA48" s="852" t="n">
        <v>0</v>
      </c>
      <c r="CB48" s="852" t="n">
        <v>0</v>
      </c>
      <c r="CC48" s="852" t="n">
        <v>0</v>
      </c>
      <c r="CD48" s="852" t="n">
        <v>0</v>
      </c>
      <c r="CE48" s="1100" t="n">
        <v>0</v>
      </c>
      <c r="CF48" s="852" t="n">
        <v>0</v>
      </c>
      <c r="CG48" s="852" t="n">
        <v>0</v>
      </c>
      <c r="CH48" s="852" t="n">
        <v>0</v>
      </c>
      <c r="CI48" s="852" t="n">
        <v>0</v>
      </c>
      <c r="CJ48" s="1101" t="n">
        <v>0</v>
      </c>
      <c r="CK48" s="852" t="n">
        <v>0</v>
      </c>
      <c r="CL48" s="852" t="n">
        <v>0</v>
      </c>
      <c r="CM48" s="852" t="n">
        <v>0</v>
      </c>
      <c r="CN48" s="852" t="n">
        <v>0</v>
      </c>
      <c r="CO48" s="852" t="n">
        <v>0</v>
      </c>
      <c r="CP48" s="852" t="n">
        <v>0</v>
      </c>
      <c r="CQ48" s="1102" t="n">
        <v>0</v>
      </c>
      <c r="CR48" s="1103" t="n">
        <v>0</v>
      </c>
      <c r="CS48" s="1103" t="n">
        <v>0</v>
      </c>
      <c r="CT48" s="1103" t="n">
        <v>0</v>
      </c>
      <c r="CU48" s="1103" t="n">
        <v>0</v>
      </c>
      <c r="CV48" s="1103" t="n">
        <v>0</v>
      </c>
      <c r="CW48" s="1103" t="n">
        <v>0</v>
      </c>
      <c r="CX48" s="1104" t="n">
        <v>0</v>
      </c>
      <c r="CY48" s="1105" t="n">
        <v>7730.44688</v>
      </c>
      <c r="CZ48" s="1099" t="n">
        <v>0</v>
      </c>
      <c r="DA48" s="852" t="n">
        <v>0</v>
      </c>
      <c r="DB48" s="852" t="n">
        <v>0</v>
      </c>
      <c r="DC48" s="852" t="n">
        <v>0</v>
      </c>
      <c r="DD48" s="852" t="n">
        <v>0</v>
      </c>
      <c r="DE48" s="1113" t="n">
        <v>0</v>
      </c>
      <c r="DF48" s="1109" t="n">
        <v>0</v>
      </c>
      <c r="DG48" s="1110" t="n">
        <v>0</v>
      </c>
      <c r="DH48" s="1111" t="n">
        <v>0</v>
      </c>
      <c r="DI48" s="1112" t="n">
        <v>0</v>
      </c>
      <c r="DJ48" s="1112" t="n">
        <v>0</v>
      </c>
      <c r="DK48" s="1112" t="n">
        <v>0</v>
      </c>
      <c r="DL48" s="1113" t="n">
        <v>0</v>
      </c>
      <c r="DM48" s="1114" t="n">
        <v>0</v>
      </c>
      <c r="DN48" s="1114" t="n">
        <v>0</v>
      </c>
      <c r="DO48" s="1114" t="n">
        <v>0</v>
      </c>
      <c r="DP48" s="1114" t="n">
        <v>0</v>
      </c>
      <c r="DQ48" s="1114" t="n">
        <v>0</v>
      </c>
      <c r="DR48" s="1109" t="n">
        <v>0</v>
      </c>
      <c r="DS48" s="852" t="n">
        <v>0</v>
      </c>
      <c r="DT48" s="852" t="n">
        <v>0</v>
      </c>
      <c r="DU48" s="852" t="n">
        <v>0</v>
      </c>
      <c r="DV48" s="852" t="n">
        <v>0</v>
      </c>
      <c r="DW48" s="852" t="n">
        <v>0</v>
      </c>
      <c r="DX48" s="852" t="n">
        <v>0</v>
      </c>
      <c r="DY48" s="852" t="n">
        <v>0</v>
      </c>
      <c r="DZ48" s="852" t="n">
        <v>0</v>
      </c>
      <c r="EA48" s="852" t="n">
        <v>0</v>
      </c>
      <c r="EB48" s="1113" t="n">
        <v>0</v>
      </c>
      <c r="EC48" s="1115" t="n">
        <f aca="false">DS48*BD48</f>
        <v>0</v>
      </c>
      <c r="ED48" s="1115" t="n">
        <f aca="false">DT48*BE48</f>
        <v>0</v>
      </c>
      <c r="EE48" s="1115" t="n">
        <f aca="false">DU48*BF48</f>
        <v>0</v>
      </c>
      <c r="EF48" s="1115" t="n">
        <f aca="false">DV48*BG48</f>
        <v>0</v>
      </c>
      <c r="EG48" s="1115" t="n">
        <f aca="false">DS48*BD48+DT48*BE48+DU48*BF48+DV48*BG48</f>
        <v>0</v>
      </c>
      <c r="EH48" s="1116" t="n">
        <v>0</v>
      </c>
      <c r="EI48" s="1117" t="n">
        <v>0</v>
      </c>
      <c r="EJ48" s="1117" t="n">
        <v>0</v>
      </c>
      <c r="EK48" s="1117" t="n">
        <v>0</v>
      </c>
      <c r="EL48" s="1118" t="n">
        <f aca="false">IF(C48&gt;=Summary!$E$26,MAX(0,SUM(EH48:EK48)),0)</f>
        <v>0</v>
      </c>
      <c r="EM48" s="1115" t="n">
        <f aca="false">IF(C48&gt;=Summary!$E$26,DX48*BL48,0)</f>
        <v>0</v>
      </c>
      <c r="EN48" s="1115" t="n">
        <f aca="false">IF(C48&gt;=Summary!$E$26,DY48*BM48,0)</f>
        <v>0</v>
      </c>
      <c r="EO48" s="1115" t="n">
        <f aca="false">IF(C48&gt;=Summary!$E$26,DZ48*BN48,0)</f>
        <v>0</v>
      </c>
      <c r="EP48" s="1115" t="n">
        <f aca="false">IF(C48&gt;=Summary!$E$26,EA48*BO48,0)</f>
        <v>0</v>
      </c>
      <c r="EQ48" s="1115" t="n">
        <f aca="false">IF(C48&gt;=Summary!$E$26,DX48*BL48+DY48*BM48+DZ48*BN48+EA48*BO48,0)</f>
        <v>0</v>
      </c>
      <c r="ER48" s="1119" t="n">
        <v>0</v>
      </c>
      <c r="ES48" s="1120" t="n">
        <v>0</v>
      </c>
      <c r="ET48" s="1120" t="n">
        <v>0</v>
      </c>
      <c r="EU48" s="1120" t="n">
        <v>0</v>
      </c>
      <c r="EV48" s="1143" t="n">
        <f aca="false">IF(C48&gt;=Summary!$E$26,MAX(0,SUM(ER48:EU48)),0)</f>
        <v>0</v>
      </c>
      <c r="EW48" s="1115"/>
      <c r="EX48" s="1165" t="n">
        <f aca="false">(EQ48-EV48)+IF(EZ48="Yes",(EG48-EL48),0)</f>
        <v>0</v>
      </c>
      <c r="EY48" s="1166" t="str">
        <f aca="false">IF(EX48,EX48/EQ48,"")</f>
        <v/>
      </c>
      <c r="EZ48" s="1122" t="s">
        <v>37</v>
      </c>
      <c r="FA48" s="1096" t="n">
        <f aca="false">FA47</f>
        <v>45</v>
      </c>
      <c r="FB48" s="1167" t="n">
        <f aca="false">IF(EZ48="No",IF((OR(MONTH(C48)=5,MONTH(C48)=6,MONTH(C48)=7,MONTH(C48)=8,MONTH(C48)=9)),$FA48*12*AX48*(1-$BC48),$FA48*10*AX48*(1-$BC48)),0)</f>
        <v>11701.8</v>
      </c>
      <c r="FC48" s="1129" t="n">
        <f aca="false">IF(EZ48="No",IF((OR(MONTH(C48)=5,MONTH(C48)=6,MONTH(C48)=7,MONTH(C48)=8,MONTH(C48)=9)),0,$FA48*3*AX48*(1-$BC48)),0)</f>
        <v>0</v>
      </c>
      <c r="FD48" s="1129" t="n">
        <f aca="false">IF(EZ48="No",IF((OR(MONTH(C48)=5,MONTH(C48)=6,MONTH(C48)=7,MONTH(C48)=8,MONTH(C48)=9)),$FA48*12*AY48*(1-$BC48),$FA48*10*AY48*(1-$BC48)),0)</f>
        <v>2659.5</v>
      </c>
      <c r="FE48" s="1129" t="n">
        <f aca="false">IF(EZ48="No",IF((OR(MONTH(C48)=5,MONTH(C48)=6,MONTH(C48)=7,MONTH(C48)=8,MONTH(C48)=9)),0,$FA48*3*AY48*(1-$BC48)),0)</f>
        <v>0</v>
      </c>
      <c r="FF48" s="1129" t="n">
        <f aca="false">IF(EZ48="No",IF((OR(MONTH(C48)=5,MONTH(C48)=6,MONTH(C48)=7,MONTH(C48)=8,MONTH(C48)=9)),$FA48*12*(AZ48+BA48)*(1-$BC48),$FA48*10*(AZ48+BA48)*(1-$BC48)),0)</f>
        <v>2127.6</v>
      </c>
      <c r="FG48" s="1129" t="n">
        <f aca="false">IF(EZ48="No",IF((OR(MONTH(C48)=5,MONTH(C48)=6,MONTH(C48)=7,MONTH(C48)=8,MONTH(C48)=9)),0,$FA48*3*(AZ48+BA48)*(1-$BC48)),0)</f>
        <v>0</v>
      </c>
      <c r="FH48" s="1170" t="n">
        <f aca="false">IF(EZ48="No",IF((OR(MONTH(C48)=5,MONTH(C48)=6,MONTH(C48)=7,MONTH(C48)=8,MONTH(C48)=9)),Summary!$O$15*12*(AX48+AY48+AZ48+BA48)*(1-$BC48),Summary!$O$15*13*(AX48+AY48+AZ48+BA48)*(1-$BC48)+IF(Summary!$O$16="Yes",(CALC!FA48+Summary!$O$15)*6*(AX48+AY48+AZ48+BA48)*(1-$BC48),0)),0)</f>
        <v>0</v>
      </c>
      <c r="FI48" s="1126" t="n">
        <f aca="false">IF(MONTH(C48)=5,FI47*(IF(Summary!$E$70="no",(1+(Summary!$E$71*0.8)),1+HLOOKUP(YEAR(C48)-1,CCFMODEL!$I$127:$AF$128,2)*0.8)),+FI47)</f>
        <v>28.5642970851971</v>
      </c>
      <c r="FJ48" s="1127" t="n">
        <f aca="false">IF(MONTH(C48)=5,FJ47*(IF(Summary!$E$70="no",(1+(Summary!$E$71*0.8)),1+HLOOKUP(YEAR(CALC!C48)-1,CCFMODEL!$I$127:$AF$128,2)*0.8)),FJ47)</f>
        <v>24.9656454839124</v>
      </c>
      <c r="FK48" s="1128" t="n">
        <f aca="false">SUM(FB48:FG48)*FI48+FH48*FJ48</f>
        <v>470993.838208106</v>
      </c>
      <c r="FL48" s="1126" t="n">
        <f aca="false">IF(MONTH(C48)=5,FL47*(IF(Summary!$E$70="no",(1+(Summary!$E$71*0.8)),1+HLOOKUP(YEAR(CALC!C48)-1,CCFMODEL!$I$127:$AF$128,2)*0.8)),+FL47)</f>
        <v>60.0739191416837</v>
      </c>
      <c r="FM48" s="1127" t="n">
        <f aca="false">IF(MONTH(C48)=5,FM47*(IF(Summary!$E$70="no",(1+(Summary!$E$71*0.8)),1+HLOOKUP(YEAR(CALC!C48)-1,CCFMODEL!$I$127:$AF$128,2)*0.8)),+FM47)</f>
        <v>28.6713998114258</v>
      </c>
      <c r="FN48" s="1128" t="n">
        <f aca="false">IF((OR(MONTH(C48)=5,MONTH(C48)=6,MONTH(C48)=7,MONTH(C48)=8,MONTH(C48)=9)),SUM(FB48:FG48)/(1-BC48)*FL48,SUM(FB48:FG48)/(1-BC48)*FM48)</f>
        <v>1005637.40643179</v>
      </c>
      <c r="FO48" s="1129" t="n">
        <f aca="false">FK48+FN48</f>
        <v>1476631.24463989</v>
      </c>
      <c r="FP48" s="1169" t="n">
        <f aca="false">FB48</f>
        <v>11701.8</v>
      </c>
      <c r="FQ48" s="1129" t="n">
        <f aca="false">FC48</f>
        <v>0</v>
      </c>
      <c r="FR48" s="1129" t="n">
        <f aca="false">FD48</f>
        <v>2659.5</v>
      </c>
      <c r="FS48" s="1129" t="n">
        <f aca="false">FE48</f>
        <v>0</v>
      </c>
      <c r="FT48" s="1129" t="n">
        <f aca="false">FF48</f>
        <v>2127.6</v>
      </c>
      <c r="FU48" s="1129" t="n">
        <f aca="false">FG48</f>
        <v>0</v>
      </c>
      <c r="FV48" s="1170" t="n">
        <f aca="false">FH48</f>
        <v>0</v>
      </c>
      <c r="FW48" s="1115" t="n">
        <f aca="false">IF(ER48&gt;0,MIN(FB48-FP48,BL48),0)</f>
        <v>0</v>
      </c>
      <c r="FX48" s="1115" t="n">
        <f aca="false">IF(ES48&gt;0,MIN(FD48-FR48,BM48),0)</f>
        <v>0</v>
      </c>
      <c r="FY48" s="1115" t="n">
        <f aca="false">IF(ET48&gt;0,MIN(FF48-FT48,BN48),0)</f>
        <v>0</v>
      </c>
      <c r="FZ48" s="1143" t="n">
        <f aca="false">IF(EU48&gt;0,MIN(FH48-FV48,BO48),0)</f>
        <v>0</v>
      </c>
      <c r="GA48" s="1132" t="n">
        <f aca="false">(SUM(FP48:FV48)+SUM(GU48:HB48)/(1-Summary!$O$25))*CY48/1000</f>
        <v>203946.504895411</v>
      </c>
      <c r="GB48" s="1133" t="n">
        <f aca="false">IF($C48&lt;Summary!$M$81,+Summary!$O$81,VLOOKUP(C48,GasTable,19))</f>
        <v>2.4</v>
      </c>
      <c r="GC48" s="1134" t="n">
        <f aca="false">IF(H48&lt;=Summary!$N$84,MIN(GA48,Summary!$O$75*(H48-G48+1)),0)</f>
        <v>155000</v>
      </c>
      <c r="GD48" s="1135" t="n">
        <f aca="false">IF(Summary!$O$75*(H48-G48+1)*0.8&gt;GC48,1,0)</f>
        <v>0</v>
      </c>
      <c r="GE48" s="1136" t="n">
        <v>0</v>
      </c>
      <c r="GF48" s="1134" t="n">
        <f aca="false">ABS(MIN(0,GC48-$GA48))</f>
        <v>48946.5048954112</v>
      </c>
      <c r="GG48" s="1135" t="n">
        <f aca="false">GF48*(IF(Summary!$O$74=1,VLOOKUP($C48,GasTable,16)+Summary!$O$92+Summary!$O$93,VLOOKUP($C48,GasTable,19)+Summary!$O$92+Summary!$O$93))</f>
        <v>131055.312257733</v>
      </c>
      <c r="GH48" s="1137" t="n">
        <v>19635.4</v>
      </c>
      <c r="GI48" s="1138" t="n">
        <v>0</v>
      </c>
      <c r="GJ48" s="1139" t="n">
        <f aca="false">+GB48*GC48+GE48+GG48+GH48-GI48</f>
        <v>522690.712257733</v>
      </c>
      <c r="GK48" s="1115" t="n">
        <f aca="false">SUM(FP48:FV48,GU48:GX48,GY48:HB48)</f>
        <v>26035.9731</v>
      </c>
      <c r="GL48" s="1140" t="n">
        <v>0.759129883616</v>
      </c>
      <c r="GM48" s="1141" t="n">
        <f aca="false">IF(GK48&gt;GC48/(CY48/1000),GC48/(CY48/1000),+GK48)*GL48</f>
        <v>15221</v>
      </c>
      <c r="GN48" s="1115" t="n">
        <f aca="false">IF(SUM(GU48:HB48)=0,0,IF(Summary!$O$16="Yes",SUM(GX48:HB48),IF(Summary!$O$17="Yes",SUM(GY48:HB48),SUM(GU48:HB48))))</f>
        <v>9547.0731</v>
      </c>
      <c r="GO48" s="1142" t="n">
        <v>5.89035685766423</v>
      </c>
      <c r="GP48" s="1143" t="n">
        <f aca="false">GN48*GO48</f>
        <v>56235.6675052067</v>
      </c>
      <c r="GQ48" s="1115"/>
      <c r="GR48" s="1115"/>
      <c r="GS48" s="1115"/>
      <c r="GT48" s="1115"/>
      <c r="GU48" s="1150" t="n">
        <v>3764.079</v>
      </c>
      <c r="GV48" s="1115" t="n">
        <v>855.4725</v>
      </c>
      <c r="GW48" s="1115" t="n">
        <v>684.378</v>
      </c>
      <c r="GX48" s="1115"/>
      <c r="GY48" s="1151" t="n">
        <v>3011.2632</v>
      </c>
      <c r="GZ48" s="1115" t="n">
        <v>684.378</v>
      </c>
      <c r="HA48" s="1115" t="n">
        <v>547.5024</v>
      </c>
      <c r="HB48" s="1141"/>
      <c r="HC48" s="1115" t="n">
        <v>9547.0731</v>
      </c>
      <c r="HD48" s="1115"/>
      <c r="HE48" s="1115" t="n">
        <v>22276.5039</v>
      </c>
      <c r="HF48" s="1115" t="n">
        <v>510588.695430581</v>
      </c>
      <c r="HG48" s="1115"/>
      <c r="HH48" s="1142" t="n">
        <v>56.3105156001787</v>
      </c>
      <c r="HI48" s="1115" t="n">
        <v>1254401.42037839</v>
      </c>
      <c r="HJ48" s="1150" t="n">
        <f aca="false">MAX(FB48-FP48-FW48,0)</f>
        <v>0</v>
      </c>
      <c r="HK48" s="1115" t="n">
        <f aca="false">MAX(FD48-FR48-FX48,0)</f>
        <v>0</v>
      </c>
      <c r="HL48" s="1115" t="n">
        <f aca="false">MAX(FF48-FT48-FY48,0)</f>
        <v>0</v>
      </c>
      <c r="HM48" s="1141" t="n">
        <f aca="false">MAX(FH48-FV48-FZ48,0)</f>
        <v>0</v>
      </c>
      <c r="HN48" s="1115" t="n">
        <f aca="false">SUM(HJ48:HM48)</f>
        <v>0</v>
      </c>
      <c r="HO48" s="1142" t="n">
        <f aca="false">IF(ISERROR(+HP48/HN48),0,+HP48/HN48)</f>
        <v>0</v>
      </c>
      <c r="HP48" s="1143" t="n">
        <f aca="false">(HJ48*CE48+HK48*CF48+HL48*CG48+HM48*CH48)</f>
        <v>0</v>
      </c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R48" s="844"/>
    </row>
    <row r="49" customFormat="false" ht="13.5" hidden="false" customHeight="false" outlineLevel="0" collapsed="false">
      <c r="A49" s="0" t="str">
        <f aca="false">+D49&amp;"Q"&amp;ROUNDUP(E49/3,0)</f>
        <v>2002Q3</v>
      </c>
      <c r="B49" s="0" t="n">
        <f aca="false">YEAR(C49)</f>
        <v>2002</v>
      </c>
      <c r="C49" s="1153" t="n">
        <f aca="false">EOMONTH(C48,0)+1</f>
        <v>37500</v>
      </c>
      <c r="D49" s="841" t="n">
        <f aca="false">+YEAR(C49)</f>
        <v>2002</v>
      </c>
      <c r="E49" s="807" t="n">
        <f aca="false">MONTH(C49)</f>
        <v>9</v>
      </c>
      <c r="F49" s="1154" t="e">
        <f aca="false">IF(G49="","",Holiday(D49,E49))</f>
        <v>#VALUE!</v>
      </c>
      <c r="G49" s="1155" t="n">
        <v>37500</v>
      </c>
      <c r="H49" s="1156" t="n">
        <v>37529</v>
      </c>
      <c r="I49" s="1157" t="n">
        <f aca="false">I48</f>
        <v>0.0715</v>
      </c>
      <c r="J49" s="1158" t="n">
        <f aca="false">(1+I49/2)^(-2*(DATE(D50,E50,20)-$H$7)/365.25)</f>
        <v>0.818704598699063</v>
      </c>
      <c r="K49" s="1159" t="e">
        <f aca="false">IF(#REF!=1,+#REF!,I49+#REF!/10000)</f>
        <v>#REF!</v>
      </c>
      <c r="L49" s="1158" t="e">
        <f aca="false">(1+K49/2)^(-2*(DATE(D50,E50,20)-$H$7)/365.25)</f>
        <v>#REF!</v>
      </c>
      <c r="M49" s="1082" t="n">
        <v>0</v>
      </c>
      <c r="N49" s="1110" t="n">
        <f aca="false">M49</f>
        <v>0</v>
      </c>
      <c r="O49" s="1174" t="n">
        <f aca="false">N49</f>
        <v>0</v>
      </c>
      <c r="P49" s="1175" t="n">
        <f aca="false">M49</f>
        <v>0</v>
      </c>
      <c r="Q49" s="1110" t="n">
        <f aca="false">P49</f>
        <v>0</v>
      </c>
      <c r="R49" s="1174" t="n">
        <f aca="false">Q49</f>
        <v>0</v>
      </c>
      <c r="S49" s="1110" t="n">
        <f aca="false">R49</f>
        <v>0</v>
      </c>
      <c r="T49" s="1110" t="n">
        <f aca="false">S49</f>
        <v>0</v>
      </c>
      <c r="U49" s="1110" t="n">
        <f aca="false">T49</f>
        <v>0</v>
      </c>
      <c r="V49" s="1175" t="n">
        <f aca="false">U49</f>
        <v>0</v>
      </c>
      <c r="W49" s="1110" t="n">
        <f aca="false">V49</f>
        <v>0</v>
      </c>
      <c r="X49" s="1176" t="n">
        <f aca="false">W49</f>
        <v>0</v>
      </c>
      <c r="Y49" s="1086" t="n">
        <v>0</v>
      </c>
      <c r="Z49" s="1086" t="n">
        <v>0</v>
      </c>
      <c r="AA49" s="1087" t="n">
        <v>0</v>
      </c>
      <c r="AB49" s="1086" t="n">
        <v>0</v>
      </c>
      <c r="AC49" s="1086" t="n">
        <v>0</v>
      </c>
      <c r="AD49" s="1087" t="n">
        <v>0</v>
      </c>
      <c r="AE49" s="1086" t="n">
        <v>0</v>
      </c>
      <c r="AF49" s="1086" t="n">
        <v>0</v>
      </c>
      <c r="AG49" s="1087" t="n">
        <v>0</v>
      </c>
      <c r="AH49" s="1086" t="n">
        <v>0</v>
      </c>
      <c r="AI49" s="1086" t="n">
        <v>0</v>
      </c>
      <c r="AJ49" s="1087" t="n">
        <v>0</v>
      </c>
      <c r="AK49" s="1086" t="n">
        <v>0</v>
      </c>
      <c r="AL49" s="1086" t="n">
        <v>0</v>
      </c>
      <c r="AM49" s="1087" t="n">
        <v>0</v>
      </c>
      <c r="AN49" s="1086" t="n">
        <v>0</v>
      </c>
      <c r="AO49" s="1086" t="n">
        <v>0</v>
      </c>
      <c r="AP49" s="1087" t="n">
        <v>0</v>
      </c>
      <c r="AQ49" s="1086" t="n">
        <v>0</v>
      </c>
      <c r="AR49" s="1086" t="n">
        <v>0</v>
      </c>
      <c r="AS49" s="1087" t="n">
        <v>0</v>
      </c>
      <c r="AT49" s="1086" t="n">
        <v>0</v>
      </c>
      <c r="AU49" s="1086" t="n">
        <v>0</v>
      </c>
      <c r="AV49" s="1086" t="n">
        <v>0</v>
      </c>
      <c r="AW49" s="1172" t="n">
        <v>0</v>
      </c>
      <c r="AX49" s="807" t="e">
        <f aca="false">BB49-SUM(AY49:BA49)</f>
        <v>#VALUE!</v>
      </c>
      <c r="AY49" s="807" t="e">
        <f aca="false">IF(AND($E49=MONTH(Summary!$E$24),$D49=YEAR(Summary!$E$24)),Summary!$E$25,1)*IF(G49="",0,INT((H49-MOD(H49,7)-G49)/7)+1-IF(BA49,IF(WEEKDAY(F49)=7,1,0),0))</f>
        <v>#VALUE!</v>
      </c>
      <c r="AZ49" s="807" t="e">
        <f aca="false">IF(AND($E49=MONTH(Summary!$E$24),$D49=YEAR(Summary!$E$24)),Summary!$E$25,1)*IF(G49="",0,INT((H49-MOD(H49-1,7)-G49)/7)+1-IF(BA49,IF(WEEKDAY(F49)=1,1,0),0))</f>
        <v>#VALUE!</v>
      </c>
      <c r="BA49" s="807" t="n">
        <v>1</v>
      </c>
      <c r="BB49" s="807" t="n">
        <f aca="false">IF(AND($E49=MONTH(Summary!$E$24),$D49=YEAR(Summary!$E$24)),Summary!$E$25,1)*IF(G49="",0,H49-G49+1)</f>
        <v>30</v>
      </c>
      <c r="BC49" s="1089" t="n">
        <f aca="false">Summary!$E$19</f>
        <v>0.015</v>
      </c>
      <c r="BD49" s="1090" t="n">
        <v>14184</v>
      </c>
      <c r="BE49" s="1091" t="n">
        <v>2836.8</v>
      </c>
      <c r="BF49" s="1091" t="n">
        <v>4255.2</v>
      </c>
      <c r="BG49" s="842"/>
      <c r="BH49" s="1092" t="n">
        <v>1</v>
      </c>
      <c r="BI49" s="1092" t="n">
        <v>1</v>
      </c>
      <c r="BJ49" s="1092" t="n">
        <v>1</v>
      </c>
      <c r="BK49" s="1092" t="n">
        <v>1</v>
      </c>
      <c r="BL49" s="1093" t="n">
        <v>2836.8</v>
      </c>
      <c r="BM49" s="1091" t="n">
        <v>567.36</v>
      </c>
      <c r="BN49" s="1091" t="n">
        <v>851.04</v>
      </c>
      <c r="BO49" s="842"/>
      <c r="BP49" s="1092" t="n">
        <v>1</v>
      </c>
      <c r="BQ49" s="1094" t="n">
        <v>1</v>
      </c>
      <c r="BR49" s="1094" t="n">
        <v>1</v>
      </c>
      <c r="BS49" s="1095" t="n">
        <v>1</v>
      </c>
      <c r="BT49" s="1093" t="n">
        <f aca="false">SUM(BD49:BF49)</f>
        <v>21276</v>
      </c>
      <c r="BU49" s="1098" t="n">
        <f aca="false">SUM(BD49:BG49)</f>
        <v>21276</v>
      </c>
      <c r="BV49" s="1090" t="n">
        <f aca="false">SUM(BL49:BN49)</f>
        <v>4255.2</v>
      </c>
      <c r="BW49" s="1098" t="n">
        <f aca="false">SUM(BL49:BO49)</f>
        <v>4255.2</v>
      </c>
      <c r="BX49" s="852" t="n">
        <v>2.71321013004791</v>
      </c>
      <c r="BY49" s="1099" t="n">
        <v>0</v>
      </c>
      <c r="BZ49" s="852" t="n">
        <v>0</v>
      </c>
      <c r="CA49" s="852" t="n">
        <v>0</v>
      </c>
      <c r="CB49" s="852" t="n">
        <v>0</v>
      </c>
      <c r="CC49" s="852" t="n">
        <v>0</v>
      </c>
      <c r="CD49" s="852" t="n">
        <v>0</v>
      </c>
      <c r="CE49" s="1100" t="n">
        <v>0</v>
      </c>
      <c r="CF49" s="852" t="n">
        <v>0</v>
      </c>
      <c r="CG49" s="852" t="n">
        <v>0</v>
      </c>
      <c r="CH49" s="852" t="n">
        <v>0</v>
      </c>
      <c r="CI49" s="852" t="n">
        <v>0</v>
      </c>
      <c r="CJ49" s="1101" t="n">
        <v>0</v>
      </c>
      <c r="CK49" s="852" t="n">
        <v>0</v>
      </c>
      <c r="CL49" s="852" t="n">
        <v>0</v>
      </c>
      <c r="CM49" s="852" t="n">
        <v>0</v>
      </c>
      <c r="CN49" s="852" t="n">
        <v>0</v>
      </c>
      <c r="CO49" s="852" t="n">
        <v>0</v>
      </c>
      <c r="CP49" s="852" t="n">
        <v>0</v>
      </c>
      <c r="CQ49" s="1102" t="n">
        <v>0</v>
      </c>
      <c r="CR49" s="1103" t="n">
        <v>0</v>
      </c>
      <c r="CS49" s="1103" t="n">
        <v>0</v>
      </c>
      <c r="CT49" s="1103" t="n">
        <v>0</v>
      </c>
      <c r="CU49" s="1103" t="n">
        <v>0</v>
      </c>
      <c r="CV49" s="1103" t="n">
        <v>0</v>
      </c>
      <c r="CW49" s="1103" t="n">
        <v>0</v>
      </c>
      <c r="CX49" s="1104" t="n">
        <v>0</v>
      </c>
      <c r="CY49" s="1105" t="n">
        <v>7732.4012</v>
      </c>
      <c r="CZ49" s="1099" t="n">
        <v>0</v>
      </c>
      <c r="DA49" s="852" t="n">
        <v>0</v>
      </c>
      <c r="DB49" s="852" t="n">
        <v>0</v>
      </c>
      <c r="DC49" s="852" t="n">
        <v>0</v>
      </c>
      <c r="DD49" s="852" t="n">
        <v>0</v>
      </c>
      <c r="DE49" s="1113" t="n">
        <v>0</v>
      </c>
      <c r="DF49" s="1109" t="n">
        <v>0</v>
      </c>
      <c r="DG49" s="1110" t="n">
        <v>0</v>
      </c>
      <c r="DH49" s="1111" t="n">
        <v>0</v>
      </c>
      <c r="DI49" s="1112" t="n">
        <v>0</v>
      </c>
      <c r="DJ49" s="1112" t="n">
        <v>0</v>
      </c>
      <c r="DK49" s="1112" t="n">
        <v>0</v>
      </c>
      <c r="DL49" s="1113" t="n">
        <v>0</v>
      </c>
      <c r="DM49" s="1114" t="n">
        <v>0</v>
      </c>
      <c r="DN49" s="1114" t="n">
        <v>0</v>
      </c>
      <c r="DO49" s="1114" t="n">
        <v>0</v>
      </c>
      <c r="DP49" s="1114" t="n">
        <v>0</v>
      </c>
      <c r="DQ49" s="1114" t="n">
        <v>0</v>
      </c>
      <c r="DR49" s="1109" t="n">
        <v>0</v>
      </c>
      <c r="DS49" s="852" t="n">
        <v>0</v>
      </c>
      <c r="DT49" s="852" t="n">
        <v>0</v>
      </c>
      <c r="DU49" s="852" t="n">
        <v>0</v>
      </c>
      <c r="DV49" s="852" t="n">
        <v>0</v>
      </c>
      <c r="DW49" s="852" t="n">
        <v>0</v>
      </c>
      <c r="DX49" s="852" t="n">
        <v>0</v>
      </c>
      <c r="DY49" s="852" t="n">
        <v>0</v>
      </c>
      <c r="DZ49" s="852" t="n">
        <v>0</v>
      </c>
      <c r="EA49" s="852" t="n">
        <v>0</v>
      </c>
      <c r="EB49" s="1113" t="n">
        <v>0</v>
      </c>
      <c r="EC49" s="1115" t="n">
        <f aca="false">DS49*BD49</f>
        <v>0</v>
      </c>
      <c r="ED49" s="1115" t="n">
        <f aca="false">DT49*BE49</f>
        <v>0</v>
      </c>
      <c r="EE49" s="1115" t="n">
        <f aca="false">DU49*BF49</f>
        <v>0</v>
      </c>
      <c r="EF49" s="1115" t="n">
        <f aca="false">DV49*BG49</f>
        <v>0</v>
      </c>
      <c r="EG49" s="1115" t="n">
        <f aca="false">DS49*BD49+DT49*BE49+DU49*BF49+DV49*BG49</f>
        <v>0</v>
      </c>
      <c r="EH49" s="1116" t="n">
        <v>0</v>
      </c>
      <c r="EI49" s="1117" t="n">
        <v>0</v>
      </c>
      <c r="EJ49" s="1117" t="n">
        <v>0</v>
      </c>
      <c r="EK49" s="1117" t="n">
        <v>0</v>
      </c>
      <c r="EL49" s="1118" t="n">
        <f aca="false">IF(C49&gt;=Summary!$E$26,MAX(0,SUM(EH49:EK49)),0)</f>
        <v>0</v>
      </c>
      <c r="EM49" s="1115" t="n">
        <f aca="false">IF(C49&gt;=Summary!$E$26,DX49*BL49,0)</f>
        <v>0</v>
      </c>
      <c r="EN49" s="1115" t="n">
        <f aca="false">IF(C49&gt;=Summary!$E$26,DY49*BM49,0)</f>
        <v>0</v>
      </c>
      <c r="EO49" s="1115" t="n">
        <f aca="false">IF(C49&gt;=Summary!$E$26,DZ49*BN49,0)</f>
        <v>0</v>
      </c>
      <c r="EP49" s="1115" t="n">
        <f aca="false">IF(C49&gt;=Summary!$E$26,EA49*BO49,0)</f>
        <v>0</v>
      </c>
      <c r="EQ49" s="1115" t="n">
        <f aca="false">IF(C49&gt;=Summary!$E$26,DX49*BL49+DY49*BM49+DZ49*BN49+EA49*BO49,0)</f>
        <v>0</v>
      </c>
      <c r="ER49" s="1119" t="n">
        <v>0</v>
      </c>
      <c r="ES49" s="1120" t="n">
        <v>0</v>
      </c>
      <c r="ET49" s="1120" t="n">
        <v>0</v>
      </c>
      <c r="EU49" s="1120" t="n">
        <v>0</v>
      </c>
      <c r="EV49" s="1143" t="n">
        <f aca="false">IF(C49&gt;=Summary!$E$26,MAX(0,SUM(ER49:EU49)),0)</f>
        <v>0</v>
      </c>
      <c r="EW49" s="1115"/>
      <c r="EX49" s="1165" t="n">
        <f aca="false">(EQ49-EV49)+IF(EZ49="Yes",(EG49-EL49),0)</f>
        <v>0</v>
      </c>
      <c r="EY49" s="1166" t="str">
        <f aca="false">IF(EX49,EX49/EQ49,"")</f>
        <v/>
      </c>
      <c r="EZ49" s="1122" t="s">
        <v>37</v>
      </c>
      <c r="FA49" s="1096" t="n">
        <f aca="false">FA48</f>
        <v>45</v>
      </c>
      <c r="FB49" s="1167" t="e">
        <f aca="false">IF(EZ49="No",IF((OR(MONTH(C49)=5,MONTH(C49)=6,MONTH(C49)=7,MONTH(C49)=8,MONTH(C49)=9)),$FA49*12*AX49*(1-$BC49),$FA49*10*AX49*(1-$BC49)),0)</f>
        <v>#VALUE!</v>
      </c>
      <c r="FC49" s="1129" t="n">
        <f aca="false">IF(EZ49="No",IF((OR(MONTH(C49)=5,MONTH(C49)=6,MONTH(C49)=7,MONTH(C49)=8,MONTH(C49)=9)),0,$FA49*3*AX49*(1-$BC49)),0)</f>
        <v>0</v>
      </c>
      <c r="FD49" s="1129" t="e">
        <f aca="false">IF(EZ49="No",IF((OR(MONTH(C49)=5,MONTH(C49)=6,MONTH(C49)=7,MONTH(C49)=8,MONTH(C49)=9)),$FA49*12*AY49*(1-$BC49),$FA49*10*AY49*(1-$BC49)),0)</f>
        <v>#VALUE!</v>
      </c>
      <c r="FE49" s="1129" t="n">
        <f aca="false">IF(EZ49="No",IF((OR(MONTH(C49)=5,MONTH(C49)=6,MONTH(C49)=7,MONTH(C49)=8,MONTH(C49)=9)),0,$FA49*3*AY49*(1-$BC49)),0)</f>
        <v>0</v>
      </c>
      <c r="FF49" s="1129" t="e">
        <f aca="false">IF(EZ49="No",IF((OR(MONTH(C49)=5,MONTH(C49)=6,MONTH(C49)=7,MONTH(C49)=8,MONTH(C49)=9)),$FA49*12*(AZ49+BA49)*(1-$BC49),$FA49*10*(AZ49+BA49)*(1-$BC49)),0)</f>
        <v>#VALUE!</v>
      </c>
      <c r="FG49" s="1129" t="n">
        <f aca="false">IF(EZ49="No",IF((OR(MONTH(C49)=5,MONTH(C49)=6,MONTH(C49)=7,MONTH(C49)=8,MONTH(C49)=9)),0,$FA49*3*(AZ49+BA49)*(1-$BC49)),0)</f>
        <v>0</v>
      </c>
      <c r="FH49" s="1170" t="e">
        <f aca="false">IF(EZ49="No",IF((OR(MONTH(C49)=5,MONTH(C49)=6,MONTH(C49)=7,MONTH(C49)=8,MONTH(C49)=9)),Summary!$O$15*12*(AX49+AY49+AZ49+BA49)*(1-$BC49),Summary!$O$15*13*(AX49+AY49+AZ49+BA49)*(1-$BC49)+IF(Summary!$O$16="Yes",(CALC!FA49+Summary!$O$15)*6*(AX49+AY49+AZ49+BA49)*(1-$BC49),0)),0)</f>
        <v>#VALUE!</v>
      </c>
      <c r="FI49" s="1126" t="n">
        <f aca="false">IF(MONTH(C49)=5,FI48*(IF(Summary!$E$70="no",(1+(Summary!$E$71*0.8)),1+HLOOKUP(YEAR(C49)-1,CCFMODEL!$I$127:$AF$128,2)*0.8)),+FI48)</f>
        <v>28.5642970851971</v>
      </c>
      <c r="FJ49" s="1127" t="n">
        <f aca="false">IF(MONTH(C49)=5,FJ48*(IF(Summary!$E$70="no",(1+(Summary!$E$71*0.8)),1+HLOOKUP(YEAR(CALC!C49)-1,CCFMODEL!$I$127:$AF$128,2)*0.8)),FJ48)</f>
        <v>24.9656454839124</v>
      </c>
      <c r="FK49" s="1128" t="e">
        <f aca="false">SUM(FB49:FG49)*FI49+FH49*FJ49</f>
        <v>#VALUE!</v>
      </c>
      <c r="FL49" s="1126" t="n">
        <f aca="false">IF(MONTH(C49)=5,FL48*(IF(Summary!$E$70="no",(1+(Summary!$E$71*0.8)),1+HLOOKUP(YEAR(CALC!C49)-1,CCFMODEL!$I$127:$AF$128,2)*0.8)),+FL48)</f>
        <v>60.0739191416837</v>
      </c>
      <c r="FM49" s="1127" t="n">
        <f aca="false">IF(MONTH(C49)=5,FM48*(IF(Summary!$E$70="no",(1+(Summary!$E$71*0.8)),1+HLOOKUP(YEAR(CALC!C49)-1,CCFMODEL!$I$127:$AF$128,2)*0.8)),+FM48)</f>
        <v>28.6713998114258</v>
      </c>
      <c r="FN49" s="1128" t="e">
        <f aca="false">IF((OR(MONTH(C49)=5,MONTH(C49)=6,MONTH(C49)=7,MONTH(C49)=8,MONTH(C49)=9)),SUM(FB49:FG49)/(1-BC49)*FL49,SUM(FB49:FG49)/(1-BC49)*FM49)</f>
        <v>#VALUE!</v>
      </c>
      <c r="FO49" s="1129" t="e">
        <f aca="false">FK49+FN49</f>
        <v>#VALUE!</v>
      </c>
      <c r="FP49" s="1169" t="e">
        <f aca="false">FB49</f>
        <v>#VALUE!</v>
      </c>
      <c r="FQ49" s="1129" t="n">
        <f aca="false">FC49</f>
        <v>0</v>
      </c>
      <c r="FR49" s="1129" t="e">
        <f aca="false">FD49</f>
        <v>#VALUE!</v>
      </c>
      <c r="FS49" s="1129" t="n">
        <f aca="false">FE49</f>
        <v>0</v>
      </c>
      <c r="FT49" s="1129" t="e">
        <f aca="false">FF49</f>
        <v>#VALUE!</v>
      </c>
      <c r="FU49" s="1129" t="n">
        <f aca="false">FG49</f>
        <v>0</v>
      </c>
      <c r="FV49" s="1170" t="e">
        <f aca="false">FH49</f>
        <v>#VALUE!</v>
      </c>
      <c r="FW49" s="1115" t="n">
        <f aca="false">IF(ER49&gt;0,MIN(FB49-FP49,BL49),0)</f>
        <v>0</v>
      </c>
      <c r="FX49" s="1115" t="n">
        <f aca="false">IF(ES49&gt;0,MIN(FD49-FR49,BM49),0)</f>
        <v>0</v>
      </c>
      <c r="FY49" s="1115" t="n">
        <f aca="false">IF(ET49&gt;0,MIN(FF49-FT49,BN49),0)</f>
        <v>0</v>
      </c>
      <c r="FZ49" s="1143" t="n">
        <f aca="false">IF(EU49&gt;0,MIN(FH49-FV49,BO49),0)</f>
        <v>0</v>
      </c>
      <c r="GA49" s="1132" t="e">
        <f aca="false">(SUM(FP49:FV49)+SUM(GU49:HB49)/(1-Summary!$O$25))*CY49/1000</f>
        <v>#VALUE!</v>
      </c>
      <c r="GB49" s="1133" t="n">
        <f aca="false">IF($C49&lt;Summary!$M$81,+Summary!$O$81,VLOOKUP(C49,GasTable,19))</f>
        <v>2.4</v>
      </c>
      <c r="GC49" s="1134" t="e">
        <f aca="false">IF(H49&lt;=Summary!$N$84,MIN(GA49,Summary!$O$75*(H49-G49+1)),0)</f>
        <v>#VALUE!</v>
      </c>
      <c r="GD49" s="1135" t="e">
        <f aca="false">IF(Summary!$O$75*(H49-G49+1)*0.8&gt;GC49,1,0)</f>
        <v>#VALUE!</v>
      </c>
      <c r="GE49" s="1136" t="n">
        <v>0</v>
      </c>
      <c r="GF49" s="1134" t="e">
        <f aca="false">ABS(MIN(0,GC49-$GA49))</f>
        <v>#VALUE!</v>
      </c>
      <c r="GG49" s="1135" t="e">
        <f aca="false">GF49*(IF(Summary!$O$74=1,VLOOKUP($C49,GasTable,16)+Summary!$O$92+Summary!$O$93,VLOOKUP($C49,GasTable,19)+Summary!$O$92+Summary!$O$93))</f>
        <v>#VALUE!</v>
      </c>
      <c r="GH49" s="1137" t="n">
        <v>18912</v>
      </c>
      <c r="GI49" s="1138" t="n">
        <v>0</v>
      </c>
      <c r="GJ49" s="1139" t="e">
        <f aca="false">+GB49*GC49+GE49+GG49+GH49-GI49</f>
        <v>#VALUE!</v>
      </c>
      <c r="GK49" s="1115" t="e">
        <f aca="false">SUM(FP49:FV49,GU49:GX49,GY49:HB49)</f>
        <v>#VALUE!</v>
      </c>
      <c r="GL49" s="1140" t="n">
        <v>0.75932179784</v>
      </c>
      <c r="GM49" s="1141" t="e">
        <f aca="false">IF(GK49&gt;GC49/(CY49/1000),GC49/(CY49/1000),+GK49)*GL49</f>
        <v>#VALUE!</v>
      </c>
      <c r="GN49" s="1115" t="n">
        <f aca="false">IF(SUM(GU49:HB49)=0,0,IF(Summary!$O$16="Yes",SUM(GX49:HB49),IF(Summary!$O$17="Yes",SUM(GY49:HB49),SUM(GU49:HB49))))</f>
        <v>9239.103</v>
      </c>
      <c r="GO49" s="1142" t="n">
        <v>5.89035685766423</v>
      </c>
      <c r="GP49" s="1143" t="n">
        <f aca="false">GN49*GO49</f>
        <v>54421.6137147162</v>
      </c>
      <c r="GQ49" s="1115"/>
      <c r="GR49" s="1115"/>
      <c r="GS49" s="1115"/>
      <c r="GT49" s="1115"/>
      <c r="GU49" s="1150" t="n">
        <v>3421.89</v>
      </c>
      <c r="GV49" s="1115" t="n">
        <v>684.378</v>
      </c>
      <c r="GW49" s="1115" t="n">
        <v>1026.567</v>
      </c>
      <c r="GX49" s="1115"/>
      <c r="GY49" s="1151" t="n">
        <v>2737.512</v>
      </c>
      <c r="GZ49" s="1115" t="n">
        <v>547.5024</v>
      </c>
      <c r="HA49" s="1115" t="n">
        <v>821.2536</v>
      </c>
      <c r="HB49" s="1141"/>
      <c r="HC49" s="1115" t="n">
        <v>9239.103</v>
      </c>
      <c r="HD49" s="1115"/>
      <c r="HE49" s="1115" t="n">
        <v>21557.907</v>
      </c>
      <c r="HF49" s="1115" t="n">
        <v>411815.265135601</v>
      </c>
      <c r="HG49" s="1115"/>
      <c r="HH49" s="1142" t="n">
        <v>46.2642600685139</v>
      </c>
      <c r="HI49" s="1115" t="n">
        <v>997360.615980835</v>
      </c>
      <c r="HJ49" s="1150" t="e">
        <f aca="false">MAX(FB49-FP49-FW49,0)</f>
        <v>#VALUE!</v>
      </c>
      <c r="HK49" s="1115" t="e">
        <f aca="false">MAX(FD49-FR49-FX49,0)</f>
        <v>#VALUE!</v>
      </c>
      <c r="HL49" s="1115" t="e">
        <f aca="false">MAX(FF49-FT49-FY49,0)</f>
        <v>#VALUE!</v>
      </c>
      <c r="HM49" s="1141" t="e">
        <f aca="false">MAX(FH49-FV49-FZ49,0)</f>
        <v>#VALUE!</v>
      </c>
      <c r="HN49" s="1115" t="e">
        <f aca="false">SUM(HJ49:HM49)</f>
        <v>#VALUE!</v>
      </c>
      <c r="HO49" s="1142" t="n">
        <f aca="false">IF(ISERROR(+HP49/HN49),0,+HP49/HN49)</f>
        <v>0</v>
      </c>
      <c r="HP49" s="1143" t="e">
        <f aca="false">(HJ49*CE49+HK49*CF49+HL49*CG49+HM49*CH49)</f>
        <v>#VALUE!</v>
      </c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R49" s="844"/>
    </row>
    <row r="50" customFormat="false" ht="13.5" hidden="false" customHeight="false" outlineLevel="0" collapsed="false">
      <c r="A50" s="0" t="str">
        <f aca="false">+D50&amp;"Q"&amp;ROUNDUP(E50/3,0)</f>
        <v>2002Q4</v>
      </c>
      <c r="B50" s="0" t="n">
        <f aca="false">YEAR(C50)</f>
        <v>2002</v>
      </c>
      <c r="C50" s="1153" t="n">
        <f aca="false">EOMONTH(C49,0)+1</f>
        <v>37530</v>
      </c>
      <c r="D50" s="841" t="n">
        <f aca="false">+YEAR(C50)</f>
        <v>2002</v>
      </c>
      <c r="E50" s="807" t="n">
        <f aca="false">MONTH(C50)</f>
        <v>10</v>
      </c>
      <c r="F50" s="1154" t="e">
        <f aca="false">IF(G50="","",Holiday(D50,E50))</f>
        <v>#VALUE!</v>
      </c>
      <c r="G50" s="1155" t="n">
        <v>37530</v>
      </c>
      <c r="H50" s="1156" t="n">
        <v>37560</v>
      </c>
      <c r="I50" s="1157" t="n">
        <f aca="false">I49</f>
        <v>0.0715</v>
      </c>
      <c r="J50" s="1158" t="n">
        <f aca="false">(1+I50/2)^(-2*(DATE(D51,E51,20)-$H$7)/365.25)</f>
        <v>0.813837604279485</v>
      </c>
      <c r="K50" s="1159" t="e">
        <f aca="false">IF(#REF!=1,+#REF!,I50+#REF!/10000)</f>
        <v>#REF!</v>
      </c>
      <c r="L50" s="1158" t="e">
        <f aca="false">(1+K50/2)^(-2*(DATE(D51,E51,20)-$H$7)/365.25)</f>
        <v>#REF!</v>
      </c>
      <c r="M50" s="1082" t="n">
        <v>0</v>
      </c>
      <c r="N50" s="1110" t="n">
        <f aca="false">M50</f>
        <v>0</v>
      </c>
      <c r="O50" s="1174" t="n">
        <f aca="false">N50</f>
        <v>0</v>
      </c>
      <c r="P50" s="1175" t="n">
        <f aca="false">M50</f>
        <v>0</v>
      </c>
      <c r="Q50" s="1110" t="n">
        <f aca="false">P50</f>
        <v>0</v>
      </c>
      <c r="R50" s="1174" t="n">
        <f aca="false">Q50</f>
        <v>0</v>
      </c>
      <c r="S50" s="1110" t="n">
        <f aca="false">R50</f>
        <v>0</v>
      </c>
      <c r="T50" s="1110" t="n">
        <f aca="false">S50</f>
        <v>0</v>
      </c>
      <c r="U50" s="1110" t="n">
        <f aca="false">T50</f>
        <v>0</v>
      </c>
      <c r="V50" s="1175" t="n">
        <f aca="false">U50</f>
        <v>0</v>
      </c>
      <c r="W50" s="1110" t="n">
        <f aca="false">V50</f>
        <v>0</v>
      </c>
      <c r="X50" s="1176" t="n">
        <f aca="false">W50</f>
        <v>0</v>
      </c>
      <c r="Y50" s="1086" t="n">
        <v>0</v>
      </c>
      <c r="Z50" s="1086" t="n">
        <v>0</v>
      </c>
      <c r="AA50" s="1087" t="n">
        <v>0</v>
      </c>
      <c r="AB50" s="1086" t="n">
        <v>0</v>
      </c>
      <c r="AC50" s="1086" t="n">
        <v>0</v>
      </c>
      <c r="AD50" s="1087" t="n">
        <v>0</v>
      </c>
      <c r="AE50" s="1086" t="n">
        <v>0</v>
      </c>
      <c r="AF50" s="1086" t="n">
        <v>0</v>
      </c>
      <c r="AG50" s="1087" t="n">
        <v>0</v>
      </c>
      <c r="AH50" s="1086" t="n">
        <v>0</v>
      </c>
      <c r="AI50" s="1086" t="n">
        <v>0</v>
      </c>
      <c r="AJ50" s="1087" t="n">
        <v>0</v>
      </c>
      <c r="AK50" s="1086" t="n">
        <v>0</v>
      </c>
      <c r="AL50" s="1086" t="n">
        <v>0</v>
      </c>
      <c r="AM50" s="1087" t="n">
        <v>0</v>
      </c>
      <c r="AN50" s="1086" t="n">
        <v>0</v>
      </c>
      <c r="AO50" s="1086" t="n">
        <v>0</v>
      </c>
      <c r="AP50" s="1087" t="n">
        <v>0</v>
      </c>
      <c r="AQ50" s="1086" t="n">
        <v>0</v>
      </c>
      <c r="AR50" s="1086" t="n">
        <v>0</v>
      </c>
      <c r="AS50" s="1087" t="n">
        <v>0</v>
      </c>
      <c r="AT50" s="1086" t="n">
        <v>0</v>
      </c>
      <c r="AU50" s="1086" t="n">
        <v>0</v>
      </c>
      <c r="AV50" s="1086" t="n">
        <v>0</v>
      </c>
      <c r="AW50" s="1172" t="n">
        <v>0</v>
      </c>
      <c r="AX50" s="807" t="n">
        <f aca="false">BB50-SUM(AY50:BA50)</f>
        <v>23</v>
      </c>
      <c r="AY50" s="807" t="n">
        <f aca="false">IF(AND($E50=MONTH(Summary!$E$24),$D50=YEAR(Summary!$E$24)),Summary!$E$25,1)*IF(G50="",0,INT((H50-MOD(H50,7)-G50)/7)+1-IF(BA50,IF(WEEKDAY(F50)=7,1,0),0))</f>
        <v>4</v>
      </c>
      <c r="AZ50" s="807" t="n">
        <f aca="false">IF(AND($E50=MONTH(Summary!$E$24),$D50=YEAR(Summary!$E$24)),Summary!$E$25,1)*IF(G50="",0,INT((H50-MOD(H50-1,7)-G50)/7)+1-IF(BA50,IF(WEEKDAY(F50)=1,1,0),0))</f>
        <v>4</v>
      </c>
      <c r="BA50" s="807" t="n">
        <v>0</v>
      </c>
      <c r="BB50" s="807" t="n">
        <f aca="false">IF(AND($E50=MONTH(Summary!$E$24),$D50=YEAR(Summary!$E$24)),Summary!$E$25,1)*IF(G50="",0,H50-G50+1)</f>
        <v>31</v>
      </c>
      <c r="BC50" s="1089" t="n">
        <f aca="false">Summary!$E$19</f>
        <v>0.015</v>
      </c>
      <c r="BD50" s="1090" t="n">
        <v>16311.6</v>
      </c>
      <c r="BE50" s="1091" t="n">
        <v>2836.8</v>
      </c>
      <c r="BF50" s="1091" t="n">
        <v>2836.8</v>
      </c>
      <c r="BG50" s="842"/>
      <c r="BH50" s="1092" t="n">
        <v>1</v>
      </c>
      <c r="BI50" s="1092" t="n">
        <v>1</v>
      </c>
      <c r="BJ50" s="1092" t="n">
        <v>1</v>
      </c>
      <c r="BK50" s="1092" t="n">
        <v>1</v>
      </c>
      <c r="BL50" s="1093" t="n">
        <v>3262.32</v>
      </c>
      <c r="BM50" s="1091" t="n">
        <v>567.36</v>
      </c>
      <c r="BN50" s="1091" t="n">
        <v>567.36</v>
      </c>
      <c r="BO50" s="842"/>
      <c r="BP50" s="1092" t="n">
        <v>1</v>
      </c>
      <c r="BQ50" s="1094" t="n">
        <v>1</v>
      </c>
      <c r="BR50" s="1094" t="n">
        <v>1</v>
      </c>
      <c r="BS50" s="1095" t="n">
        <v>1</v>
      </c>
      <c r="BT50" s="1093" t="n">
        <f aca="false">SUM(BD50:BF50)</f>
        <v>21985.2</v>
      </c>
      <c r="BU50" s="1098" t="n">
        <f aca="false">SUM(BD50:BG50)</f>
        <v>21985.2</v>
      </c>
      <c r="BV50" s="1090" t="n">
        <f aca="false">SUM(BL50:BN50)</f>
        <v>4397.04</v>
      </c>
      <c r="BW50" s="1098" t="n">
        <f aca="false">SUM(BL50:BO50)</f>
        <v>4397.04</v>
      </c>
      <c r="BX50" s="852" t="n">
        <v>2.79534565366188</v>
      </c>
      <c r="BY50" s="1099" t="n">
        <v>0</v>
      </c>
      <c r="BZ50" s="852" t="n">
        <v>0</v>
      </c>
      <c r="CA50" s="852" t="n">
        <v>0</v>
      </c>
      <c r="CB50" s="852" t="n">
        <v>0</v>
      </c>
      <c r="CC50" s="852" t="n">
        <v>0</v>
      </c>
      <c r="CD50" s="852" t="n">
        <v>0</v>
      </c>
      <c r="CE50" s="1100" t="n">
        <v>0</v>
      </c>
      <c r="CF50" s="852" t="n">
        <v>0</v>
      </c>
      <c r="CG50" s="852" t="n">
        <v>0</v>
      </c>
      <c r="CH50" s="852" t="n">
        <v>0</v>
      </c>
      <c r="CI50" s="852" t="n">
        <v>0</v>
      </c>
      <c r="CJ50" s="1101" t="n">
        <v>0</v>
      </c>
      <c r="CK50" s="852" t="n">
        <v>0</v>
      </c>
      <c r="CL50" s="852" t="n">
        <v>0</v>
      </c>
      <c r="CM50" s="852" t="n">
        <v>0</v>
      </c>
      <c r="CN50" s="852" t="n">
        <v>0</v>
      </c>
      <c r="CO50" s="852" t="n">
        <v>0</v>
      </c>
      <c r="CP50" s="852" t="n">
        <v>0</v>
      </c>
      <c r="CQ50" s="1102" t="n">
        <v>0</v>
      </c>
      <c r="CR50" s="1103" t="n">
        <v>0</v>
      </c>
      <c r="CS50" s="1103" t="n">
        <v>0</v>
      </c>
      <c r="CT50" s="1103" t="n">
        <v>0</v>
      </c>
      <c r="CU50" s="1103" t="n">
        <v>0</v>
      </c>
      <c r="CV50" s="1103" t="n">
        <v>0</v>
      </c>
      <c r="CW50" s="1103" t="n">
        <v>0</v>
      </c>
      <c r="CX50" s="1104" t="n">
        <v>0</v>
      </c>
      <c r="CY50" s="1105" t="n">
        <v>7734.35552</v>
      </c>
      <c r="CZ50" s="1099" t="n">
        <v>0</v>
      </c>
      <c r="DA50" s="852" t="n">
        <v>0</v>
      </c>
      <c r="DB50" s="852" t="n">
        <v>0</v>
      </c>
      <c r="DC50" s="852" t="n">
        <v>0</v>
      </c>
      <c r="DD50" s="852" t="n">
        <v>0</v>
      </c>
      <c r="DE50" s="1113" t="n">
        <v>0</v>
      </c>
      <c r="DF50" s="1109" t="n">
        <v>0</v>
      </c>
      <c r="DG50" s="1110" t="n">
        <v>0</v>
      </c>
      <c r="DH50" s="1111" t="n">
        <v>0</v>
      </c>
      <c r="DI50" s="1112" t="n">
        <v>0</v>
      </c>
      <c r="DJ50" s="1112" t="n">
        <v>0</v>
      </c>
      <c r="DK50" s="1112" t="n">
        <v>0</v>
      </c>
      <c r="DL50" s="1113" t="n">
        <v>0</v>
      </c>
      <c r="DM50" s="1114" t="n">
        <v>0</v>
      </c>
      <c r="DN50" s="1114" t="n">
        <v>0</v>
      </c>
      <c r="DO50" s="1114" t="n">
        <v>0</v>
      </c>
      <c r="DP50" s="1114" t="n">
        <v>0</v>
      </c>
      <c r="DQ50" s="1114" t="n">
        <v>0</v>
      </c>
      <c r="DR50" s="1109" t="n">
        <v>0</v>
      </c>
      <c r="DS50" s="852" t="n">
        <v>0</v>
      </c>
      <c r="DT50" s="852" t="n">
        <v>0</v>
      </c>
      <c r="DU50" s="852" t="n">
        <v>0</v>
      </c>
      <c r="DV50" s="852" t="n">
        <v>0</v>
      </c>
      <c r="DW50" s="852" t="n">
        <v>0</v>
      </c>
      <c r="DX50" s="852" t="n">
        <v>0</v>
      </c>
      <c r="DY50" s="852" t="n">
        <v>0</v>
      </c>
      <c r="DZ50" s="852" t="n">
        <v>0</v>
      </c>
      <c r="EA50" s="852" t="n">
        <v>0</v>
      </c>
      <c r="EB50" s="1113" t="n">
        <v>0</v>
      </c>
      <c r="EC50" s="1115" t="n">
        <f aca="false">DS50*BD50</f>
        <v>0</v>
      </c>
      <c r="ED50" s="1115" t="n">
        <f aca="false">DT50*BE50</f>
        <v>0</v>
      </c>
      <c r="EE50" s="1115" t="n">
        <f aca="false">DU50*BF50</f>
        <v>0</v>
      </c>
      <c r="EF50" s="1115" t="n">
        <f aca="false">DV50*BG50</f>
        <v>0</v>
      </c>
      <c r="EG50" s="1115" t="n">
        <f aca="false">DS50*BD50+DT50*BE50+DU50*BF50+DV50*BG50</f>
        <v>0</v>
      </c>
      <c r="EH50" s="1116" t="n">
        <v>0</v>
      </c>
      <c r="EI50" s="1117" t="n">
        <v>0</v>
      </c>
      <c r="EJ50" s="1117" t="n">
        <v>0</v>
      </c>
      <c r="EK50" s="1117" t="n">
        <v>0</v>
      </c>
      <c r="EL50" s="1118" t="n">
        <f aca="false">IF(C50&gt;=Summary!$E$26,MAX(0,SUM(EH50:EK50)),0)</f>
        <v>0</v>
      </c>
      <c r="EM50" s="1115" t="n">
        <f aca="false">IF(C50&gt;=Summary!$E$26,DX50*BL50,0)</f>
        <v>0</v>
      </c>
      <c r="EN50" s="1115" t="n">
        <f aca="false">IF(C50&gt;=Summary!$E$26,DY50*BM50,0)</f>
        <v>0</v>
      </c>
      <c r="EO50" s="1115" t="n">
        <f aca="false">IF(C50&gt;=Summary!$E$26,DZ50*BN50,0)</f>
        <v>0</v>
      </c>
      <c r="EP50" s="1115" t="n">
        <f aca="false">IF(C50&gt;=Summary!$E$26,EA50*BO50,0)</f>
        <v>0</v>
      </c>
      <c r="EQ50" s="1115" t="n">
        <f aca="false">IF(C50&gt;=Summary!$E$26,DX50*BL50+DY50*BM50+DZ50*BN50+EA50*BO50,0)</f>
        <v>0</v>
      </c>
      <c r="ER50" s="1119" t="n">
        <v>0</v>
      </c>
      <c r="ES50" s="1120" t="n">
        <v>0</v>
      </c>
      <c r="ET50" s="1120" t="n">
        <v>0</v>
      </c>
      <c r="EU50" s="1120" t="n">
        <v>0</v>
      </c>
      <c r="EV50" s="1143" t="n">
        <f aca="false">IF(C50&gt;=Summary!$E$26,MAX(0,SUM(ER50:EU50)),0)</f>
        <v>0</v>
      </c>
      <c r="EW50" s="1115"/>
      <c r="EX50" s="1165" t="n">
        <f aca="false">(EQ50-EV50)+IF(EZ50="Yes",(EG50-EL50),0)</f>
        <v>0</v>
      </c>
      <c r="EY50" s="1166" t="str">
        <f aca="false">IF(EX50,EX50/EQ50,"")</f>
        <v/>
      </c>
      <c r="EZ50" s="1122" t="s">
        <v>37</v>
      </c>
      <c r="FA50" s="1096" t="n">
        <f aca="false">FA49</f>
        <v>45</v>
      </c>
      <c r="FB50" s="1167" t="n">
        <f aca="false">IF(EZ50="No",IF((OR(MONTH(C50)=5,MONTH(C50)=6,MONTH(C50)=7,MONTH(C50)=8,MONTH(C50)=9)),$FA50*12*AX50*(1-$BC50),$FA50*10*AX50*(1-$BC50)),0)</f>
        <v>10194.75</v>
      </c>
      <c r="FC50" s="1129" t="n">
        <f aca="false">IF(EZ50="No",IF((OR(MONTH(C50)=5,MONTH(C50)=6,MONTH(C50)=7,MONTH(C50)=8,MONTH(C50)=9)),0,$FA50*3*AX50*(1-$BC50)),0)</f>
        <v>3058.425</v>
      </c>
      <c r="FD50" s="1129" t="n">
        <f aca="false">IF(EZ50="No",IF((OR(MONTH(C50)=5,MONTH(C50)=6,MONTH(C50)=7,MONTH(C50)=8,MONTH(C50)=9)),$FA50*12*AY50*(1-$BC50),$FA50*10*AY50*(1-$BC50)),0)</f>
        <v>1773</v>
      </c>
      <c r="FE50" s="1129" t="n">
        <f aca="false">IF(EZ50="No",IF((OR(MONTH(C50)=5,MONTH(C50)=6,MONTH(C50)=7,MONTH(C50)=8,MONTH(C50)=9)),0,$FA50*3*AY50*(1-$BC50)),0)</f>
        <v>531.9</v>
      </c>
      <c r="FF50" s="1129" t="n">
        <f aca="false">IF(EZ50="No",IF((OR(MONTH(C50)=5,MONTH(C50)=6,MONTH(C50)=7,MONTH(C50)=8,MONTH(C50)=9)),$FA50*12*(AZ50+BA50)*(1-$BC50),$FA50*10*(AZ50+BA50)*(1-$BC50)),0)</f>
        <v>1773</v>
      </c>
      <c r="FG50" s="1129" t="n">
        <f aca="false">IF(EZ50="No",IF((OR(MONTH(C50)=5,MONTH(C50)=6,MONTH(C50)=7,MONTH(C50)=8,MONTH(C50)=9)),0,$FA50*3*(AZ50+BA50)*(1-$BC50)),0)</f>
        <v>531.9</v>
      </c>
      <c r="FH50" s="1170" t="n">
        <f aca="false">IF(EZ50="No",IF((OR(MONTH(C50)=5,MONTH(C50)=6,MONTH(C50)=7,MONTH(C50)=8,MONTH(C50)=9)),Summary!$O$15*12*(AX50+AY50+AZ50+BA50)*(1-$BC50),Summary!$O$15*13*(AX50+AY50+AZ50+BA50)*(1-$BC50)+IF(Summary!$O$16="Yes",(CALC!FA50+Summary!$O$15)*6*(AX50+AY50+AZ50+BA50)*(1-$BC50),0)),0)</f>
        <v>0</v>
      </c>
      <c r="FI50" s="1126" t="n">
        <f aca="false">IF(MONTH(C50)=5,FI49*(IF(Summary!$E$70="no",(1+(Summary!$E$71*0.8)),1+HLOOKUP(YEAR(C50)-1,CCFMODEL!$I$127:$AF$128,2)*0.8)),+FI49)</f>
        <v>28.5642970851971</v>
      </c>
      <c r="FJ50" s="1127" t="n">
        <f aca="false">IF(MONTH(C50)=5,FJ49*(IF(Summary!$E$70="no",(1+(Summary!$E$71*0.8)),1+HLOOKUP(YEAR(CALC!C50)-1,CCFMODEL!$I$127:$AF$128,2)*0.8)),FJ49)</f>
        <v>24.9656454839124</v>
      </c>
      <c r="FK50" s="1128" t="n">
        <f aca="false">SUM(FB50:FG50)*FI50+FH50*FJ50</f>
        <v>510243.324725448</v>
      </c>
      <c r="FL50" s="1126" t="n">
        <f aca="false">IF(MONTH(C50)=5,FL49*(IF(Summary!$E$70="no",(1+(Summary!$E$71*0.8)),1+HLOOKUP(YEAR(CALC!C50)-1,CCFMODEL!$I$127:$AF$128,2)*0.8)),+FL49)</f>
        <v>60.0739191416837</v>
      </c>
      <c r="FM50" s="1127" t="n">
        <f aca="false">IF(MONTH(C50)=5,FM49*(IF(Summary!$E$70="no",(1+(Summary!$E$71*0.8)),1+HLOOKUP(YEAR(CALC!C50)-1,CCFMODEL!$I$127:$AF$128,2)*0.8)),+FM49)</f>
        <v>28.6713998114258</v>
      </c>
      <c r="FN50" s="1128" t="n">
        <f aca="false">IF((OR(MONTH(C50)=5,MONTH(C50)=6,MONTH(C50)=7,MONTH(C50)=8,MONTH(C50)=9)),SUM(FB50:FG50)/(1-BC50)*FL50,SUM(FB50:FG50)/(1-BC50)*FM50)</f>
        <v>519955.835580207</v>
      </c>
      <c r="FO50" s="1129" t="n">
        <f aca="false">FK50+FN50</f>
        <v>1030199.16030566</v>
      </c>
      <c r="FP50" s="1169" t="n">
        <f aca="false">FB50</f>
        <v>10194.75</v>
      </c>
      <c r="FQ50" s="1129" t="n">
        <f aca="false">FC50</f>
        <v>3058.425</v>
      </c>
      <c r="FR50" s="1129" t="n">
        <f aca="false">FD50</f>
        <v>1773</v>
      </c>
      <c r="FS50" s="1129" t="n">
        <f aca="false">FE50</f>
        <v>531.9</v>
      </c>
      <c r="FT50" s="1129" t="n">
        <f aca="false">FF50</f>
        <v>1773</v>
      </c>
      <c r="FU50" s="1129" t="n">
        <f aca="false">FG50</f>
        <v>531.9</v>
      </c>
      <c r="FV50" s="1170" t="n">
        <f aca="false">FH50</f>
        <v>0</v>
      </c>
      <c r="FW50" s="1115" t="n">
        <f aca="false">IF(ER50&gt;0,MIN(FB50-FP50,BL50),0)</f>
        <v>0</v>
      </c>
      <c r="FX50" s="1115" t="n">
        <f aca="false">IF(ES50&gt;0,MIN(FD50-FR50,BM50),0)</f>
        <v>0</v>
      </c>
      <c r="FY50" s="1115" t="n">
        <f aca="false">IF(ET50&gt;0,MIN(FF50-FT50,BN50),0)</f>
        <v>0</v>
      </c>
      <c r="FZ50" s="1143" t="n">
        <f aca="false">IF(EU50&gt;0,MIN(FH50-FV50,BO50),0)</f>
        <v>0</v>
      </c>
      <c r="GA50" s="1132" t="n">
        <f aca="false">(SUM(FP50:FV50)+SUM(GU50:HB50)/(1-Summary!$O$25))*CY50/1000</f>
        <v>235932.377257397</v>
      </c>
      <c r="GB50" s="1133" t="n">
        <f aca="false">IF($C50&lt;Summary!$M$81,+Summary!$O$81,VLOOKUP(C50,GasTable,19))</f>
        <v>2.4</v>
      </c>
      <c r="GC50" s="1134" t="n">
        <f aca="false">IF(H50&lt;=Summary!$N$84,MIN(GA50,Summary!$O$75*(H50-G50+1)),0)</f>
        <v>155000</v>
      </c>
      <c r="GD50" s="1135" t="n">
        <f aca="false">IF(Summary!$O$75*(H50-G50+1)*0.8&gt;GC50,1,0)</f>
        <v>0</v>
      </c>
      <c r="GE50" s="1136" t="n">
        <v>0</v>
      </c>
      <c r="GF50" s="1134" t="n">
        <f aca="false">ABS(MIN(0,GC50-$GA50))</f>
        <v>80932.3772573968</v>
      </c>
      <c r="GG50" s="1135" t="n">
        <f aca="false">GF50*(IF(Summary!$O$74=1,VLOOKUP($C50,GasTable,16)+Summary!$O$92+Summary!$O$93,VLOOKUP($C50,GasTable,19)+Summary!$O$92+Summary!$O$93))</f>
        <v>232958.857607041</v>
      </c>
      <c r="GH50" s="1137" t="n">
        <v>19635.4</v>
      </c>
      <c r="GI50" s="1138" t="n">
        <v>0</v>
      </c>
      <c r="GJ50" s="1139" t="n">
        <f aca="false">+GB50*GC50+GE50+GG50+GH50-GI50</f>
        <v>624594.257607041</v>
      </c>
      <c r="GK50" s="1115" t="n">
        <f aca="false">SUM(FP50:FV50,GU50:GX50,GY50:HB50)</f>
        <v>30062.01285</v>
      </c>
      <c r="GL50" s="1140" t="n">
        <v>0.759513712064</v>
      </c>
      <c r="GM50" s="1141" t="n">
        <f aca="false">IF(GK50&gt;GC50/(CY50/1000),GC50/(CY50/1000),+GK50)*GL50</f>
        <v>15221</v>
      </c>
      <c r="GN50" s="1115" t="n">
        <f aca="false">IF(SUM(GU50:HB50)=0,0,IF(Summary!$O$16="Yes",SUM(GX50:HB50),IF(Summary!$O$17="Yes",SUM(GY50:HB50),SUM(GU50:HB50))))</f>
        <v>12199.03785</v>
      </c>
      <c r="GO50" s="1142" t="n">
        <v>5.89035685766423</v>
      </c>
      <c r="GP50" s="1143" t="n">
        <f aca="false">GN50*GO50</f>
        <v>71856.6862566531</v>
      </c>
      <c r="GQ50" s="1115"/>
      <c r="GR50" s="1115"/>
      <c r="GS50" s="1115"/>
      <c r="GT50" s="1115"/>
      <c r="GU50" s="1150" t="n">
        <v>5902.76025</v>
      </c>
      <c r="GV50" s="1115" t="n">
        <v>1026.567</v>
      </c>
      <c r="GW50" s="1115" t="n">
        <v>1026.567</v>
      </c>
      <c r="GX50" s="1115"/>
      <c r="GY50" s="1151" t="n">
        <v>3148.1388</v>
      </c>
      <c r="GZ50" s="1115" t="n">
        <v>547.5024</v>
      </c>
      <c r="HA50" s="1115" t="n">
        <v>547.5024</v>
      </c>
      <c r="HB50" s="1141"/>
      <c r="HC50" s="1115" t="n">
        <v>12199.03785</v>
      </c>
      <c r="HD50" s="1115"/>
      <c r="HE50" s="1115" t="n">
        <v>20950.521525</v>
      </c>
      <c r="HF50" s="1115" t="n">
        <v>509197.712127424</v>
      </c>
      <c r="HG50" s="1115"/>
      <c r="HH50" s="1142" t="n">
        <v>41.0806176056707</v>
      </c>
      <c r="HI50" s="1115" t="n">
        <v>860660.363407898</v>
      </c>
      <c r="HJ50" s="1150" t="n">
        <f aca="false">MAX(FB50-FP50-FW50,0)</f>
        <v>0</v>
      </c>
      <c r="HK50" s="1115" t="n">
        <f aca="false">MAX(FD50-FR50-FX50,0)</f>
        <v>0</v>
      </c>
      <c r="HL50" s="1115" t="n">
        <f aca="false">MAX(FF50-FT50-FY50,0)</f>
        <v>0</v>
      </c>
      <c r="HM50" s="1141" t="n">
        <f aca="false">MAX(FH50-FV50-FZ50,0)</f>
        <v>0</v>
      </c>
      <c r="HN50" s="1115" t="n">
        <f aca="false">SUM(HJ50:HM50)</f>
        <v>0</v>
      </c>
      <c r="HO50" s="1142" t="n">
        <f aca="false">IF(ISERROR(+HP50/HN50),0,+HP50/HN50)</f>
        <v>0</v>
      </c>
      <c r="HP50" s="1143" t="n">
        <f aca="false">(HJ50*CE50+HK50*CF50+HL50*CG50+HM50*CH50)</f>
        <v>0</v>
      </c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R50" s="844"/>
    </row>
    <row r="51" customFormat="false" ht="13.5" hidden="false" customHeight="false" outlineLevel="0" collapsed="false">
      <c r="A51" s="0" t="str">
        <f aca="false">+D51&amp;"Q"&amp;ROUNDUP(E51/3,0)</f>
        <v>2002Q4</v>
      </c>
      <c r="B51" s="0" t="n">
        <f aca="false">YEAR(C51)</f>
        <v>2002</v>
      </c>
      <c r="C51" s="1153" t="n">
        <f aca="false">EOMONTH(C50,0)+1</f>
        <v>37561</v>
      </c>
      <c r="D51" s="841" t="n">
        <f aca="false">+YEAR(C51)</f>
        <v>2002</v>
      </c>
      <c r="E51" s="807" t="n">
        <f aca="false">MONTH(C51)</f>
        <v>11</v>
      </c>
      <c r="F51" s="1154" t="e">
        <f aca="false">IF(G51="","",Holiday(D51,E51))</f>
        <v>#VALUE!</v>
      </c>
      <c r="G51" s="1155" t="n">
        <v>37561</v>
      </c>
      <c r="H51" s="1156" t="n">
        <v>37590</v>
      </c>
      <c r="I51" s="1157" t="n">
        <f aca="false">I50</f>
        <v>0.0715</v>
      </c>
      <c r="J51" s="1158" t="n">
        <f aca="false">(1+I51/2)^(-2*(DATE(D52,E52,20)-$H$7)/365.25)</f>
        <v>0.809155159576666</v>
      </c>
      <c r="K51" s="1159" t="e">
        <f aca="false">IF(#REF!=1,+#REF!,I51+#REF!/10000)</f>
        <v>#REF!</v>
      </c>
      <c r="L51" s="1158" t="e">
        <f aca="false">(1+K51/2)^(-2*(DATE(D52,E52,20)-$H$7)/365.25)</f>
        <v>#REF!</v>
      </c>
      <c r="M51" s="1082" t="n">
        <v>0</v>
      </c>
      <c r="N51" s="1110" t="n">
        <f aca="false">M51</f>
        <v>0</v>
      </c>
      <c r="O51" s="1174" t="n">
        <f aca="false">N51</f>
        <v>0</v>
      </c>
      <c r="P51" s="1175" t="n">
        <f aca="false">M51</f>
        <v>0</v>
      </c>
      <c r="Q51" s="1110" t="n">
        <f aca="false">P51</f>
        <v>0</v>
      </c>
      <c r="R51" s="1174" t="n">
        <f aca="false">Q51</f>
        <v>0</v>
      </c>
      <c r="S51" s="1110" t="n">
        <f aca="false">R51</f>
        <v>0</v>
      </c>
      <c r="T51" s="1110" t="n">
        <f aca="false">S51</f>
        <v>0</v>
      </c>
      <c r="U51" s="1110" t="n">
        <f aca="false">T51</f>
        <v>0</v>
      </c>
      <c r="V51" s="1175" t="n">
        <f aca="false">U51</f>
        <v>0</v>
      </c>
      <c r="W51" s="1110" t="n">
        <f aca="false">V51</f>
        <v>0</v>
      </c>
      <c r="X51" s="1176" t="n">
        <f aca="false">W51</f>
        <v>0</v>
      </c>
      <c r="Y51" s="1086" t="n">
        <v>0</v>
      </c>
      <c r="Z51" s="1086" t="n">
        <v>0</v>
      </c>
      <c r="AA51" s="1087" t="n">
        <v>0</v>
      </c>
      <c r="AB51" s="1086" t="n">
        <v>0</v>
      </c>
      <c r="AC51" s="1086" t="n">
        <v>0</v>
      </c>
      <c r="AD51" s="1087" t="n">
        <v>0</v>
      </c>
      <c r="AE51" s="1086" t="n">
        <v>0</v>
      </c>
      <c r="AF51" s="1086" t="n">
        <v>0</v>
      </c>
      <c r="AG51" s="1087" t="n">
        <v>0</v>
      </c>
      <c r="AH51" s="1086" t="n">
        <v>0</v>
      </c>
      <c r="AI51" s="1086" t="n">
        <v>0</v>
      </c>
      <c r="AJ51" s="1087" t="n">
        <v>0</v>
      </c>
      <c r="AK51" s="1086" t="n">
        <v>0</v>
      </c>
      <c r="AL51" s="1086" t="n">
        <v>0</v>
      </c>
      <c r="AM51" s="1087" t="n">
        <v>0</v>
      </c>
      <c r="AN51" s="1086" t="n">
        <v>0</v>
      </c>
      <c r="AO51" s="1086" t="n">
        <v>0</v>
      </c>
      <c r="AP51" s="1087" t="n">
        <v>0</v>
      </c>
      <c r="AQ51" s="1086" t="n">
        <v>0</v>
      </c>
      <c r="AR51" s="1086" t="n">
        <v>0</v>
      </c>
      <c r="AS51" s="1087" t="n">
        <v>0</v>
      </c>
      <c r="AT51" s="1086" t="n">
        <v>0</v>
      </c>
      <c r="AU51" s="1086" t="n">
        <v>0</v>
      </c>
      <c r="AV51" s="1086" t="n">
        <v>0</v>
      </c>
      <c r="AW51" s="1172" t="n">
        <v>0</v>
      </c>
      <c r="AX51" s="807" t="e">
        <f aca="false">BB51-SUM(AY51:BA51)</f>
        <v>#VALUE!</v>
      </c>
      <c r="AY51" s="807" t="e">
        <f aca="false">IF(AND($E51=MONTH(Summary!$E$24),$D51=YEAR(Summary!$E$24)),Summary!$E$25,1)*IF(G51="",0,INT((H51-MOD(H51,7)-G51)/7)+1-IF(BA51,IF(WEEKDAY(F51)=7,1,0),0))</f>
        <v>#VALUE!</v>
      </c>
      <c r="AZ51" s="807" t="e">
        <f aca="false">IF(AND($E51=MONTH(Summary!$E$24),$D51=YEAR(Summary!$E$24)),Summary!$E$25,1)*IF(G51="",0,INT((H51-MOD(H51-1,7)-G51)/7)+1-IF(BA51,IF(WEEKDAY(F51)=1,1,0),0))</f>
        <v>#VALUE!</v>
      </c>
      <c r="BA51" s="807" t="n">
        <v>1</v>
      </c>
      <c r="BB51" s="807" t="n">
        <f aca="false">IF(AND($E51=MONTH(Summary!$E$24),$D51=YEAR(Summary!$E$24)),Summary!$E$25,1)*IF(G51="",0,H51-G51+1)</f>
        <v>30</v>
      </c>
      <c r="BC51" s="1089" t="n">
        <f aca="false">Summary!$E$19</f>
        <v>0.015</v>
      </c>
      <c r="BD51" s="1090" t="n">
        <v>14184</v>
      </c>
      <c r="BE51" s="1091" t="n">
        <v>3546</v>
      </c>
      <c r="BF51" s="1091" t="n">
        <v>3546</v>
      </c>
      <c r="BG51" s="842"/>
      <c r="BH51" s="1092" t="n">
        <v>1</v>
      </c>
      <c r="BI51" s="1092" t="n">
        <v>1</v>
      </c>
      <c r="BJ51" s="1092" t="n">
        <v>1</v>
      </c>
      <c r="BK51" s="1092" t="n">
        <v>1</v>
      </c>
      <c r="BL51" s="1093" t="n">
        <v>2836.8</v>
      </c>
      <c r="BM51" s="1091" t="n">
        <v>709.2</v>
      </c>
      <c r="BN51" s="1091" t="n">
        <v>709.2</v>
      </c>
      <c r="BO51" s="842"/>
      <c r="BP51" s="1092" t="n">
        <v>1</v>
      </c>
      <c r="BQ51" s="1094" t="n">
        <v>1</v>
      </c>
      <c r="BR51" s="1094" t="n">
        <v>1</v>
      </c>
      <c r="BS51" s="1095" t="n">
        <v>1</v>
      </c>
      <c r="BT51" s="1093" t="n">
        <f aca="false">SUM(BD51:BF51)</f>
        <v>21276</v>
      </c>
      <c r="BU51" s="1098" t="n">
        <f aca="false">SUM(BD51:BG51)</f>
        <v>21276</v>
      </c>
      <c r="BV51" s="1090" t="n">
        <f aca="false">SUM(BL51:BN51)</f>
        <v>4255.2</v>
      </c>
      <c r="BW51" s="1098" t="n">
        <f aca="false">SUM(BL51:BO51)</f>
        <v>4255.2</v>
      </c>
      <c r="BX51" s="852" t="n">
        <v>2.88021902806297</v>
      </c>
      <c r="BY51" s="1099" t="n">
        <v>0</v>
      </c>
      <c r="BZ51" s="852" t="n">
        <v>0</v>
      </c>
      <c r="CA51" s="852" t="n">
        <v>0</v>
      </c>
      <c r="CB51" s="852" t="n">
        <v>0</v>
      </c>
      <c r="CC51" s="852" t="n">
        <v>0</v>
      </c>
      <c r="CD51" s="852" t="n">
        <v>0</v>
      </c>
      <c r="CE51" s="1100" t="n">
        <v>0</v>
      </c>
      <c r="CF51" s="852" t="n">
        <v>0</v>
      </c>
      <c r="CG51" s="852" t="n">
        <v>0</v>
      </c>
      <c r="CH51" s="852" t="n">
        <v>0</v>
      </c>
      <c r="CI51" s="852" t="n">
        <v>0</v>
      </c>
      <c r="CJ51" s="1101" t="n">
        <v>0</v>
      </c>
      <c r="CK51" s="852" t="n">
        <v>0</v>
      </c>
      <c r="CL51" s="852" t="n">
        <v>0</v>
      </c>
      <c r="CM51" s="852" t="n">
        <v>0</v>
      </c>
      <c r="CN51" s="852" t="n">
        <v>0</v>
      </c>
      <c r="CO51" s="852" t="n">
        <v>0</v>
      </c>
      <c r="CP51" s="852" t="n">
        <v>0</v>
      </c>
      <c r="CQ51" s="1102" t="n">
        <v>0</v>
      </c>
      <c r="CR51" s="1103" t="n">
        <v>0</v>
      </c>
      <c r="CS51" s="1103" t="n">
        <v>0</v>
      </c>
      <c r="CT51" s="1103" t="n">
        <v>0</v>
      </c>
      <c r="CU51" s="1103" t="n">
        <v>0</v>
      </c>
      <c r="CV51" s="1103" t="n">
        <v>0</v>
      </c>
      <c r="CW51" s="1103" t="n">
        <v>0</v>
      </c>
      <c r="CX51" s="1104" t="n">
        <v>0</v>
      </c>
      <c r="CY51" s="1105" t="n">
        <v>7736.30984</v>
      </c>
      <c r="CZ51" s="1099" t="n">
        <v>0</v>
      </c>
      <c r="DA51" s="852" t="n">
        <v>0</v>
      </c>
      <c r="DB51" s="852" t="n">
        <v>0</v>
      </c>
      <c r="DC51" s="852" t="n">
        <v>0</v>
      </c>
      <c r="DD51" s="852" t="n">
        <v>0</v>
      </c>
      <c r="DE51" s="1113" t="n">
        <v>0</v>
      </c>
      <c r="DF51" s="1109" t="n">
        <v>0</v>
      </c>
      <c r="DG51" s="1110" t="n">
        <v>0</v>
      </c>
      <c r="DH51" s="1111" t="n">
        <v>0</v>
      </c>
      <c r="DI51" s="1112" t="n">
        <v>0</v>
      </c>
      <c r="DJ51" s="1112" t="n">
        <v>0</v>
      </c>
      <c r="DK51" s="1112" t="n">
        <v>0</v>
      </c>
      <c r="DL51" s="1113" t="n">
        <v>0</v>
      </c>
      <c r="DM51" s="1114" t="n">
        <v>0</v>
      </c>
      <c r="DN51" s="1114" t="n">
        <v>0</v>
      </c>
      <c r="DO51" s="1114" t="n">
        <v>0</v>
      </c>
      <c r="DP51" s="1114" t="n">
        <v>0</v>
      </c>
      <c r="DQ51" s="1114" t="n">
        <v>0</v>
      </c>
      <c r="DR51" s="1109" t="n">
        <v>0</v>
      </c>
      <c r="DS51" s="852" t="n">
        <v>0</v>
      </c>
      <c r="DT51" s="852" t="n">
        <v>0</v>
      </c>
      <c r="DU51" s="852" t="n">
        <v>0</v>
      </c>
      <c r="DV51" s="852" t="n">
        <v>0</v>
      </c>
      <c r="DW51" s="852" t="n">
        <v>0</v>
      </c>
      <c r="DX51" s="852" t="n">
        <v>0</v>
      </c>
      <c r="DY51" s="852" t="n">
        <v>0</v>
      </c>
      <c r="DZ51" s="852" t="n">
        <v>0</v>
      </c>
      <c r="EA51" s="852" t="n">
        <v>0</v>
      </c>
      <c r="EB51" s="1113" t="n">
        <v>0</v>
      </c>
      <c r="EC51" s="1115" t="n">
        <f aca="false">DS51*BD51</f>
        <v>0</v>
      </c>
      <c r="ED51" s="1115" t="n">
        <f aca="false">DT51*BE51</f>
        <v>0</v>
      </c>
      <c r="EE51" s="1115" t="n">
        <f aca="false">DU51*BF51</f>
        <v>0</v>
      </c>
      <c r="EF51" s="1115" t="n">
        <f aca="false">DV51*BG51</f>
        <v>0</v>
      </c>
      <c r="EG51" s="1115" t="n">
        <f aca="false">DS51*BD51+DT51*BE51+DU51*BF51+DV51*BG51</f>
        <v>0</v>
      </c>
      <c r="EH51" s="1116" t="n">
        <v>0</v>
      </c>
      <c r="EI51" s="1117" t="n">
        <v>0</v>
      </c>
      <c r="EJ51" s="1117" t="n">
        <v>0</v>
      </c>
      <c r="EK51" s="1117" t="n">
        <v>0</v>
      </c>
      <c r="EL51" s="1118" t="n">
        <f aca="false">IF(C51&gt;=Summary!$E$26,MAX(0,SUM(EH51:EK51)),0)</f>
        <v>0</v>
      </c>
      <c r="EM51" s="1115" t="n">
        <f aca="false">IF(C51&gt;=Summary!$E$26,DX51*BL51,0)</f>
        <v>0</v>
      </c>
      <c r="EN51" s="1115" t="n">
        <f aca="false">IF(C51&gt;=Summary!$E$26,DY51*BM51,0)</f>
        <v>0</v>
      </c>
      <c r="EO51" s="1115" t="n">
        <f aca="false">IF(C51&gt;=Summary!$E$26,DZ51*BN51,0)</f>
        <v>0</v>
      </c>
      <c r="EP51" s="1115" t="n">
        <f aca="false">IF(C51&gt;=Summary!$E$26,EA51*BO51,0)</f>
        <v>0</v>
      </c>
      <c r="EQ51" s="1115" t="n">
        <f aca="false">IF(C51&gt;=Summary!$E$26,DX51*BL51+DY51*BM51+DZ51*BN51+EA51*BO51,0)</f>
        <v>0</v>
      </c>
      <c r="ER51" s="1119" t="n">
        <v>0</v>
      </c>
      <c r="ES51" s="1120" t="n">
        <v>0</v>
      </c>
      <c r="ET51" s="1120" t="n">
        <v>0</v>
      </c>
      <c r="EU51" s="1120" t="n">
        <v>0</v>
      </c>
      <c r="EV51" s="1143" t="n">
        <f aca="false">IF(C51&gt;=Summary!$E$26,MAX(0,SUM(ER51:EU51)),0)</f>
        <v>0</v>
      </c>
      <c r="EW51" s="1115"/>
      <c r="EX51" s="1165" t="n">
        <f aca="false">(EQ51-EV51)+IF(EZ51="Yes",(EG51-EL51),0)</f>
        <v>0</v>
      </c>
      <c r="EY51" s="1166" t="str">
        <f aca="false">IF(EX51,EX51/EQ51,"")</f>
        <v/>
      </c>
      <c r="EZ51" s="1122" t="s">
        <v>37</v>
      </c>
      <c r="FA51" s="1096" t="n">
        <f aca="false">FA50</f>
        <v>45</v>
      </c>
      <c r="FB51" s="1167" t="e">
        <f aca="false">IF(EZ51="No",IF((OR(MONTH(C51)=5,MONTH(C51)=6,MONTH(C51)=7,MONTH(C51)=8,MONTH(C51)=9)),$FA51*12*AX51*(1-$BC51),$FA51*10*AX51*(1-$BC51)),0)</f>
        <v>#VALUE!</v>
      </c>
      <c r="FC51" s="1129" t="e">
        <f aca="false">IF(EZ51="No",IF((OR(MONTH(C51)=5,MONTH(C51)=6,MONTH(C51)=7,MONTH(C51)=8,MONTH(C51)=9)),0,$FA51*3*AX51*(1-$BC51)),0)</f>
        <v>#VALUE!</v>
      </c>
      <c r="FD51" s="1129" t="e">
        <f aca="false">IF(EZ51="No",IF((OR(MONTH(C51)=5,MONTH(C51)=6,MONTH(C51)=7,MONTH(C51)=8,MONTH(C51)=9)),$FA51*12*AY51*(1-$BC51),$FA51*10*AY51*(1-$BC51)),0)</f>
        <v>#VALUE!</v>
      </c>
      <c r="FE51" s="1129" t="e">
        <f aca="false">IF(EZ51="No",IF((OR(MONTH(C51)=5,MONTH(C51)=6,MONTH(C51)=7,MONTH(C51)=8,MONTH(C51)=9)),0,$FA51*3*AY51*(1-$BC51)),0)</f>
        <v>#VALUE!</v>
      </c>
      <c r="FF51" s="1129" t="e">
        <f aca="false">IF(EZ51="No",IF((OR(MONTH(C51)=5,MONTH(C51)=6,MONTH(C51)=7,MONTH(C51)=8,MONTH(C51)=9)),$FA51*12*(AZ51+BA51)*(1-$BC51),$FA51*10*(AZ51+BA51)*(1-$BC51)),0)</f>
        <v>#VALUE!</v>
      </c>
      <c r="FG51" s="1129" t="e">
        <f aca="false">IF(EZ51="No",IF((OR(MONTH(C51)=5,MONTH(C51)=6,MONTH(C51)=7,MONTH(C51)=8,MONTH(C51)=9)),0,$FA51*3*(AZ51+BA51)*(1-$BC51)),0)</f>
        <v>#VALUE!</v>
      </c>
      <c r="FH51" s="1170" t="e">
        <f aca="false">IF(EZ51="No",IF((OR(MONTH(C51)=5,MONTH(C51)=6,MONTH(C51)=7,MONTH(C51)=8,MONTH(C51)=9)),Summary!$O$15*12*(AX51+AY51+AZ51+BA51)*(1-$BC51),Summary!$O$15*13*(AX51+AY51+AZ51+BA51)*(1-$BC51)+IF(Summary!$O$16="Yes",(CALC!FA51+Summary!$O$15)*6*(AX51+AY51+AZ51+BA51)*(1-$BC51),0)),0)</f>
        <v>#VALUE!</v>
      </c>
      <c r="FI51" s="1126" t="n">
        <f aca="false">IF(MONTH(C51)=5,FI50*(IF(Summary!$E$70="no",(1+(Summary!$E$71*0.8)),1+HLOOKUP(YEAR(C51)-1,CCFMODEL!$I$127:$AF$128,2)*0.8)),+FI50)</f>
        <v>28.5642970851971</v>
      </c>
      <c r="FJ51" s="1127" t="n">
        <f aca="false">IF(MONTH(C51)=5,FJ50*(IF(Summary!$E$70="no",(1+(Summary!$E$71*0.8)),1+HLOOKUP(YEAR(CALC!C51)-1,CCFMODEL!$I$127:$AF$128,2)*0.8)),FJ50)</f>
        <v>24.9656454839124</v>
      </c>
      <c r="FK51" s="1128" t="e">
        <f aca="false">SUM(FB51:FG51)*FI51+FH51*FJ51</f>
        <v>#VALUE!</v>
      </c>
      <c r="FL51" s="1126" t="n">
        <f aca="false">IF(MONTH(C51)=5,FL50*(IF(Summary!$E$70="no",(1+(Summary!$E$71*0.8)),1+HLOOKUP(YEAR(CALC!C51)-1,CCFMODEL!$I$127:$AF$128,2)*0.8)),+FL50)</f>
        <v>60.0739191416837</v>
      </c>
      <c r="FM51" s="1127" t="n">
        <f aca="false">IF(MONTH(C51)=5,FM50*(IF(Summary!$E$70="no",(1+(Summary!$E$71*0.8)),1+HLOOKUP(YEAR(CALC!C51)-1,CCFMODEL!$I$127:$AF$128,2)*0.8)),+FM50)</f>
        <v>28.6713998114258</v>
      </c>
      <c r="FN51" s="1128" t="e">
        <f aca="false">IF((OR(MONTH(C51)=5,MONTH(C51)=6,MONTH(C51)=7,MONTH(C51)=8,MONTH(C51)=9)),SUM(FB51:FG51)/(1-BC51)*FL51,SUM(FB51:FG51)/(1-BC51)*FM51)</f>
        <v>#VALUE!</v>
      </c>
      <c r="FO51" s="1129" t="e">
        <f aca="false">FK51+FN51</f>
        <v>#VALUE!</v>
      </c>
      <c r="FP51" s="1169" t="e">
        <f aca="false">FB51</f>
        <v>#VALUE!</v>
      </c>
      <c r="FQ51" s="1129" t="e">
        <f aca="false">FC51</f>
        <v>#VALUE!</v>
      </c>
      <c r="FR51" s="1129" t="e">
        <f aca="false">FD51</f>
        <v>#VALUE!</v>
      </c>
      <c r="FS51" s="1129" t="e">
        <f aca="false">FE51</f>
        <v>#VALUE!</v>
      </c>
      <c r="FT51" s="1129" t="e">
        <f aca="false">FF51</f>
        <v>#VALUE!</v>
      </c>
      <c r="FU51" s="1129" t="e">
        <f aca="false">FG51</f>
        <v>#VALUE!</v>
      </c>
      <c r="FV51" s="1170" t="e">
        <f aca="false">FH51</f>
        <v>#VALUE!</v>
      </c>
      <c r="FW51" s="1115" t="n">
        <f aca="false">IF(ER51&gt;0,MIN(FB51-FP51,BL51),0)</f>
        <v>0</v>
      </c>
      <c r="FX51" s="1115" t="n">
        <f aca="false">IF(ES51&gt;0,MIN(FD51-FR51,BM51),0)</f>
        <v>0</v>
      </c>
      <c r="FY51" s="1115" t="n">
        <f aca="false">IF(ET51&gt;0,MIN(FF51-FT51,BN51),0)</f>
        <v>0</v>
      </c>
      <c r="FZ51" s="1143" t="n">
        <f aca="false">IF(EU51&gt;0,MIN(FH51-FV51,BO51),0)</f>
        <v>0</v>
      </c>
      <c r="GA51" s="1132" t="e">
        <f aca="false">(SUM(FP51:FV51)+SUM(GU51:HB51)/(1-Summary!$O$25))*CY51/1000</f>
        <v>#VALUE!</v>
      </c>
      <c r="GB51" s="1133" t="n">
        <f aca="false">IF($C51&lt;Summary!$M$81,+Summary!$O$81,VLOOKUP(C51,GasTable,19))</f>
        <v>2.4</v>
      </c>
      <c r="GC51" s="1134" t="e">
        <f aca="false">IF(H51&lt;=Summary!$N$84,MIN(GA51,Summary!$O$75*(H51-G51+1)),0)</f>
        <v>#VALUE!</v>
      </c>
      <c r="GD51" s="1135" t="e">
        <f aca="false">IF(Summary!$O$75*(H51-G51+1)*0.8&gt;GC51,1,0)</f>
        <v>#VALUE!</v>
      </c>
      <c r="GE51" s="1136" t="n">
        <v>0</v>
      </c>
      <c r="GF51" s="1134" t="e">
        <f aca="false">ABS(MIN(0,GC51-$GA51))</f>
        <v>#VALUE!</v>
      </c>
      <c r="GG51" s="1135" t="e">
        <f aca="false">GF51*(IF(Summary!$O$74=1,VLOOKUP($C51,GasTable,16)+Summary!$O$92+Summary!$O$93,VLOOKUP($C51,GasTable,19)+Summary!$O$92+Summary!$O$93))</f>
        <v>#VALUE!</v>
      </c>
      <c r="GH51" s="1137" t="n">
        <v>19566</v>
      </c>
      <c r="GI51" s="1138" t="n">
        <v>0</v>
      </c>
      <c r="GJ51" s="1139" t="e">
        <f aca="false">+GB51*GC51+GE51+GG51+GH51-GI51</f>
        <v>#VALUE!</v>
      </c>
      <c r="GK51" s="1115" t="e">
        <f aca="false">SUM(FP51:FV51,GU51:GX51,GY51:HB51)</f>
        <v>#VALUE!</v>
      </c>
      <c r="GL51" s="1140" t="n">
        <v>0.759705626288</v>
      </c>
      <c r="GM51" s="1141" t="e">
        <f aca="false">IF(GK51&gt;GC51/(CY51/1000),GC51/(CY51/1000),+GK51)*GL51</f>
        <v>#VALUE!</v>
      </c>
      <c r="GN51" s="1115" t="n">
        <f aca="false">IF(SUM(GU51:HB51)=0,0,IF(Summary!$O$16="Yes",SUM(GX51:HB51),IF(Summary!$O$17="Yes",SUM(GY51:HB51),SUM(GU51:HB51))))</f>
        <v>11805.5205</v>
      </c>
      <c r="GO51" s="1142" t="n">
        <v>5.89035685766423</v>
      </c>
      <c r="GP51" s="1143" t="n">
        <f aca="false">GN51*GO51</f>
        <v>69538.7286354707</v>
      </c>
      <c r="GQ51" s="1115"/>
      <c r="GR51" s="1115"/>
      <c r="GS51" s="1115"/>
      <c r="GT51" s="1115"/>
      <c r="GU51" s="1150" t="n">
        <v>5132.835</v>
      </c>
      <c r="GV51" s="1115" t="n">
        <v>1283.20875</v>
      </c>
      <c r="GW51" s="1115" t="n">
        <v>1283.20875</v>
      </c>
      <c r="GX51" s="1115"/>
      <c r="GY51" s="1151" t="n">
        <v>2737.512</v>
      </c>
      <c r="GZ51" s="1115" t="n">
        <v>684.378</v>
      </c>
      <c r="HA51" s="1115" t="n">
        <v>684.378</v>
      </c>
      <c r="HB51" s="1141"/>
      <c r="HC51" s="1115" t="n">
        <v>11805.5205</v>
      </c>
      <c r="HD51" s="1115"/>
      <c r="HE51" s="1115" t="n">
        <v>20274.69825</v>
      </c>
      <c r="HF51" s="1115" t="n">
        <v>500365.488186262</v>
      </c>
      <c r="HG51" s="1115"/>
      <c r="HH51" s="1142" t="n">
        <v>42.1345221211575</v>
      </c>
      <c r="HI51" s="1115" t="n">
        <v>854264.721914417</v>
      </c>
      <c r="HJ51" s="1150" t="e">
        <f aca="false">MAX(FB51-FP51-FW51,0)</f>
        <v>#VALUE!</v>
      </c>
      <c r="HK51" s="1115" t="e">
        <f aca="false">MAX(FD51-FR51-FX51,0)</f>
        <v>#VALUE!</v>
      </c>
      <c r="HL51" s="1115" t="e">
        <f aca="false">MAX(FF51-FT51-FY51,0)</f>
        <v>#VALUE!</v>
      </c>
      <c r="HM51" s="1141" t="e">
        <f aca="false">MAX(FH51-FV51-FZ51,0)</f>
        <v>#VALUE!</v>
      </c>
      <c r="HN51" s="1115" t="e">
        <f aca="false">SUM(HJ51:HM51)</f>
        <v>#VALUE!</v>
      </c>
      <c r="HO51" s="1142" t="n">
        <f aca="false">IF(ISERROR(+HP51/HN51),0,+HP51/HN51)</f>
        <v>0</v>
      </c>
      <c r="HP51" s="1143" t="e">
        <f aca="false">(HJ51*CE51+HK51*CF51+HL51*CG51+HM51*CH51)</f>
        <v>#VALUE!</v>
      </c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R51" s="844"/>
    </row>
    <row r="52" customFormat="false" ht="13.5" hidden="false" customHeight="false" outlineLevel="0" collapsed="false">
      <c r="A52" s="0" t="str">
        <f aca="false">+D52&amp;"Q"&amp;ROUNDUP(E52/3,0)</f>
        <v>2002Q4</v>
      </c>
      <c r="B52" s="0" t="n">
        <f aca="false">YEAR(C52)</f>
        <v>2002</v>
      </c>
      <c r="C52" s="1153" t="n">
        <f aca="false">EOMONTH(C51,0)+1</f>
        <v>37591</v>
      </c>
      <c r="D52" s="841" t="n">
        <f aca="false">+YEAR(C52)</f>
        <v>2002</v>
      </c>
      <c r="E52" s="807" t="n">
        <f aca="false">MONTH(C52)</f>
        <v>12</v>
      </c>
      <c r="F52" s="1154" t="e">
        <f aca="false">IF(G52="","",Holiday(D52,E52))</f>
        <v>#VALUE!</v>
      </c>
      <c r="G52" s="1155" t="n">
        <v>37591</v>
      </c>
      <c r="H52" s="1156" t="n">
        <v>37621</v>
      </c>
      <c r="I52" s="1157" t="n">
        <f aca="false">I51</f>
        <v>0.0715</v>
      </c>
      <c r="J52" s="1158" t="n">
        <f aca="false">(1+I52/2)^(-2*(DATE(D53,E53,20)-$H$7)/365.25)</f>
        <v>0.804344934188302</v>
      </c>
      <c r="K52" s="1159" t="e">
        <f aca="false">IF(#REF!=1,+#REF!,I52+#REF!/10000)</f>
        <v>#REF!</v>
      </c>
      <c r="L52" s="1158" t="e">
        <f aca="false">(1+K52/2)^(-2*(DATE(D53,E53,20)-$H$7)/365.25)</f>
        <v>#REF!</v>
      </c>
      <c r="M52" s="1082" t="n">
        <v>0</v>
      </c>
      <c r="N52" s="1110" t="n">
        <f aca="false">M52</f>
        <v>0</v>
      </c>
      <c r="O52" s="1174" t="n">
        <f aca="false">N52</f>
        <v>0</v>
      </c>
      <c r="P52" s="1175" t="n">
        <f aca="false">M52</f>
        <v>0</v>
      </c>
      <c r="Q52" s="1110" t="n">
        <f aca="false">P52</f>
        <v>0</v>
      </c>
      <c r="R52" s="1174" t="n">
        <f aca="false">Q52</f>
        <v>0</v>
      </c>
      <c r="S52" s="1110" t="n">
        <f aca="false">R52</f>
        <v>0</v>
      </c>
      <c r="T52" s="1110" t="n">
        <f aca="false">S52</f>
        <v>0</v>
      </c>
      <c r="U52" s="1110" t="n">
        <f aca="false">T52</f>
        <v>0</v>
      </c>
      <c r="V52" s="1175" t="n">
        <f aca="false">U52</f>
        <v>0</v>
      </c>
      <c r="W52" s="1110" t="n">
        <f aca="false">V52</f>
        <v>0</v>
      </c>
      <c r="X52" s="1176" t="n">
        <f aca="false">W52</f>
        <v>0</v>
      </c>
      <c r="Y52" s="1086" t="n">
        <v>0</v>
      </c>
      <c r="Z52" s="1086" t="n">
        <v>0</v>
      </c>
      <c r="AA52" s="1087" t="n">
        <v>0</v>
      </c>
      <c r="AB52" s="1086" t="n">
        <v>0</v>
      </c>
      <c r="AC52" s="1086" t="n">
        <v>0</v>
      </c>
      <c r="AD52" s="1087" t="n">
        <v>0</v>
      </c>
      <c r="AE52" s="1086" t="n">
        <v>0</v>
      </c>
      <c r="AF52" s="1086" t="n">
        <v>0</v>
      </c>
      <c r="AG52" s="1087" t="n">
        <v>0</v>
      </c>
      <c r="AH52" s="1086" t="n">
        <v>0</v>
      </c>
      <c r="AI52" s="1086" t="n">
        <v>0</v>
      </c>
      <c r="AJ52" s="1087" t="n">
        <v>0</v>
      </c>
      <c r="AK52" s="1086" t="n">
        <v>0</v>
      </c>
      <c r="AL52" s="1086" t="n">
        <v>0</v>
      </c>
      <c r="AM52" s="1087" t="n">
        <v>0</v>
      </c>
      <c r="AN52" s="1086" t="n">
        <v>0</v>
      </c>
      <c r="AO52" s="1086" t="n">
        <v>0</v>
      </c>
      <c r="AP52" s="1087" t="n">
        <v>0</v>
      </c>
      <c r="AQ52" s="1086" t="n">
        <v>0</v>
      </c>
      <c r="AR52" s="1086" t="n">
        <v>0</v>
      </c>
      <c r="AS52" s="1087" t="n">
        <v>0</v>
      </c>
      <c r="AT52" s="1086" t="n">
        <v>0</v>
      </c>
      <c r="AU52" s="1086" t="n">
        <v>0</v>
      </c>
      <c r="AV52" s="1086" t="n">
        <v>0</v>
      </c>
      <c r="AW52" s="1172" t="n">
        <v>0</v>
      </c>
      <c r="AX52" s="807" t="e">
        <f aca="false">BB52-SUM(AY52:BA52)</f>
        <v>#VALUE!</v>
      </c>
      <c r="AY52" s="807" t="e">
        <f aca="false">IF(AND($E52=MONTH(Summary!$E$24),$D52=YEAR(Summary!$E$24)),Summary!$E$25,1)*IF(G52="",0,INT((H52-MOD(H52,7)-G52)/7)+1-IF(BA52,IF(WEEKDAY(F52)=7,1,0),0))</f>
        <v>#VALUE!</v>
      </c>
      <c r="AZ52" s="807" t="e">
        <f aca="false">IF(AND($E52=MONTH(Summary!$E$24),$D52=YEAR(Summary!$E$24)),Summary!$E$25,1)*IF(G52="",0,INT((H52-MOD(H52-1,7)-G52)/7)+1-IF(BA52,IF(WEEKDAY(F52)=1,1,0),0))</f>
        <v>#VALUE!</v>
      </c>
      <c r="BA52" s="807" t="n">
        <v>1</v>
      </c>
      <c r="BB52" s="807" t="n">
        <f aca="false">IF(AND($E52=MONTH(Summary!$E$24),$D52=YEAR(Summary!$E$24)),Summary!$E$25,1)*IF(G52="",0,H52-G52+1)</f>
        <v>31</v>
      </c>
      <c r="BC52" s="1089" t="n">
        <f aca="false">Summary!$E$19</f>
        <v>0.015</v>
      </c>
      <c r="BD52" s="1090" t="n">
        <v>14893.2</v>
      </c>
      <c r="BE52" s="1091" t="n">
        <v>2836.8</v>
      </c>
      <c r="BF52" s="1091" t="n">
        <v>4255.2</v>
      </c>
      <c r="BG52" s="842"/>
      <c r="BH52" s="1092" t="n">
        <v>1</v>
      </c>
      <c r="BI52" s="1092" t="n">
        <v>1</v>
      </c>
      <c r="BJ52" s="1092" t="n">
        <v>1</v>
      </c>
      <c r="BK52" s="1092" t="n">
        <v>1</v>
      </c>
      <c r="BL52" s="1093" t="n">
        <v>2978.64</v>
      </c>
      <c r="BM52" s="1091" t="n">
        <v>567.36</v>
      </c>
      <c r="BN52" s="1091" t="n">
        <v>851.04</v>
      </c>
      <c r="BO52" s="842"/>
      <c r="BP52" s="1092" t="n">
        <v>1</v>
      </c>
      <c r="BQ52" s="1094" t="n">
        <v>1</v>
      </c>
      <c r="BR52" s="1094" t="n">
        <v>1</v>
      </c>
      <c r="BS52" s="1095" t="n">
        <v>1</v>
      </c>
      <c r="BT52" s="1093" t="n">
        <f aca="false">SUM(BD52:BF52)</f>
        <v>21985.2</v>
      </c>
      <c r="BU52" s="1098" t="n">
        <f aca="false">SUM(BD52:BG52)</f>
        <v>21985.2</v>
      </c>
      <c r="BV52" s="1090" t="n">
        <f aca="false">SUM(BL52:BN52)</f>
        <v>4397.04</v>
      </c>
      <c r="BW52" s="1098" t="n">
        <f aca="false">SUM(BL52:BO52)</f>
        <v>4397.04</v>
      </c>
      <c r="BX52" s="852" t="n">
        <v>2.96235455167693</v>
      </c>
      <c r="BY52" s="1099" t="n">
        <v>0</v>
      </c>
      <c r="BZ52" s="852" t="n">
        <v>0</v>
      </c>
      <c r="CA52" s="852" t="n">
        <v>0</v>
      </c>
      <c r="CB52" s="852" t="n">
        <v>0</v>
      </c>
      <c r="CC52" s="852" t="n">
        <v>0</v>
      </c>
      <c r="CD52" s="852" t="n">
        <v>0</v>
      </c>
      <c r="CE52" s="1100" t="n">
        <v>0</v>
      </c>
      <c r="CF52" s="852" t="n">
        <v>0</v>
      </c>
      <c r="CG52" s="852" t="n">
        <v>0</v>
      </c>
      <c r="CH52" s="852" t="n">
        <v>0</v>
      </c>
      <c r="CI52" s="852" t="n">
        <v>0</v>
      </c>
      <c r="CJ52" s="1101" t="n">
        <v>0</v>
      </c>
      <c r="CK52" s="852" t="n">
        <v>0</v>
      </c>
      <c r="CL52" s="852" t="n">
        <v>0</v>
      </c>
      <c r="CM52" s="852" t="n">
        <v>0</v>
      </c>
      <c r="CN52" s="852" t="n">
        <v>0</v>
      </c>
      <c r="CO52" s="852" t="n">
        <v>0</v>
      </c>
      <c r="CP52" s="852" t="n">
        <v>0</v>
      </c>
      <c r="CQ52" s="1102" t="n">
        <v>0</v>
      </c>
      <c r="CR52" s="1103" t="n">
        <v>0</v>
      </c>
      <c r="CS52" s="1103" t="n">
        <v>0</v>
      </c>
      <c r="CT52" s="1103" t="n">
        <v>0</v>
      </c>
      <c r="CU52" s="1103" t="n">
        <v>0</v>
      </c>
      <c r="CV52" s="1103" t="n">
        <v>0</v>
      </c>
      <c r="CW52" s="1103" t="n">
        <v>0</v>
      </c>
      <c r="CX52" s="1104" t="n">
        <v>0</v>
      </c>
      <c r="CY52" s="1105" t="n">
        <v>7738.26416</v>
      </c>
      <c r="CZ52" s="1099" t="n">
        <v>0</v>
      </c>
      <c r="DA52" s="852" t="n">
        <v>0</v>
      </c>
      <c r="DB52" s="852" t="n">
        <v>0</v>
      </c>
      <c r="DC52" s="852" t="n">
        <v>0</v>
      </c>
      <c r="DD52" s="852" t="n">
        <v>0</v>
      </c>
      <c r="DE52" s="1113" t="n">
        <v>0</v>
      </c>
      <c r="DF52" s="1109" t="n">
        <v>0</v>
      </c>
      <c r="DG52" s="1110" t="n">
        <v>0</v>
      </c>
      <c r="DH52" s="1111" t="n">
        <v>0</v>
      </c>
      <c r="DI52" s="1112" t="n">
        <v>0</v>
      </c>
      <c r="DJ52" s="1112" t="n">
        <v>0</v>
      </c>
      <c r="DK52" s="1112" t="n">
        <v>0</v>
      </c>
      <c r="DL52" s="1113" t="n">
        <v>0</v>
      </c>
      <c r="DM52" s="1114" t="n">
        <v>0</v>
      </c>
      <c r="DN52" s="1114" t="n">
        <v>0</v>
      </c>
      <c r="DO52" s="1114" t="n">
        <v>0</v>
      </c>
      <c r="DP52" s="1114" t="n">
        <v>0</v>
      </c>
      <c r="DQ52" s="1114" t="n">
        <v>0</v>
      </c>
      <c r="DR52" s="1109" t="n">
        <v>0</v>
      </c>
      <c r="DS52" s="852" t="n">
        <v>0</v>
      </c>
      <c r="DT52" s="852" t="n">
        <v>0</v>
      </c>
      <c r="DU52" s="852" t="n">
        <v>0</v>
      </c>
      <c r="DV52" s="852" t="n">
        <v>0</v>
      </c>
      <c r="DW52" s="852" t="n">
        <v>0</v>
      </c>
      <c r="DX52" s="852" t="n">
        <v>0</v>
      </c>
      <c r="DY52" s="852" t="n">
        <v>0</v>
      </c>
      <c r="DZ52" s="852" t="n">
        <v>0</v>
      </c>
      <c r="EA52" s="852" t="n">
        <v>0</v>
      </c>
      <c r="EB52" s="1113" t="n">
        <v>0</v>
      </c>
      <c r="EC52" s="1115" t="n">
        <f aca="false">DS52*BD52</f>
        <v>0</v>
      </c>
      <c r="ED52" s="1115" t="n">
        <f aca="false">DT52*BE52</f>
        <v>0</v>
      </c>
      <c r="EE52" s="1115" t="n">
        <f aca="false">DU52*BF52</f>
        <v>0</v>
      </c>
      <c r="EF52" s="1115" t="n">
        <f aca="false">DV52*BG52</f>
        <v>0</v>
      </c>
      <c r="EG52" s="1115" t="n">
        <f aca="false">DS52*BD52+DT52*BE52+DU52*BF52+DV52*BG52</f>
        <v>0</v>
      </c>
      <c r="EH52" s="1116" t="n">
        <v>0</v>
      </c>
      <c r="EI52" s="1117" t="n">
        <v>0</v>
      </c>
      <c r="EJ52" s="1117" t="n">
        <v>0</v>
      </c>
      <c r="EK52" s="1117" t="n">
        <v>0</v>
      </c>
      <c r="EL52" s="1118" t="n">
        <f aca="false">IF(C52&gt;=Summary!$E$26,MAX(0,SUM(EH52:EK52)),0)</f>
        <v>0</v>
      </c>
      <c r="EM52" s="1115" t="n">
        <f aca="false">IF(C52&gt;=Summary!$E$26,DX52*BL52,0)</f>
        <v>0</v>
      </c>
      <c r="EN52" s="1115" t="n">
        <f aca="false">IF(C52&gt;=Summary!$E$26,DY52*BM52,0)</f>
        <v>0</v>
      </c>
      <c r="EO52" s="1115" t="n">
        <f aca="false">IF(C52&gt;=Summary!$E$26,DZ52*BN52,0)</f>
        <v>0</v>
      </c>
      <c r="EP52" s="1115" t="n">
        <f aca="false">IF(C52&gt;=Summary!$E$26,EA52*BO52,0)</f>
        <v>0</v>
      </c>
      <c r="EQ52" s="1115" t="n">
        <f aca="false">IF(C52&gt;=Summary!$E$26,DX52*BL52+DY52*BM52+DZ52*BN52+EA52*BO52,0)</f>
        <v>0</v>
      </c>
      <c r="ER52" s="1119" t="n">
        <v>0</v>
      </c>
      <c r="ES52" s="1120" t="n">
        <v>0</v>
      </c>
      <c r="ET52" s="1120" t="n">
        <v>0</v>
      </c>
      <c r="EU52" s="1120" t="n">
        <v>0</v>
      </c>
      <c r="EV52" s="1143" t="n">
        <f aca="false">IF(C52&gt;=Summary!$E$26,MAX(0,SUM(ER52:EU52)),0)</f>
        <v>0</v>
      </c>
      <c r="EW52" s="1115"/>
      <c r="EX52" s="1165" t="n">
        <f aca="false">(EQ52-EV52)+IF(EZ52="Yes",(EG52-EL52),0)</f>
        <v>0</v>
      </c>
      <c r="EY52" s="1166" t="str">
        <f aca="false">IF(EX52,EX52/EQ52,"")</f>
        <v/>
      </c>
      <c r="EZ52" s="1122" t="s">
        <v>37</v>
      </c>
      <c r="FA52" s="1096" t="n">
        <f aca="false">FA51</f>
        <v>45</v>
      </c>
      <c r="FB52" s="1167" t="e">
        <f aca="false">IF(EZ52="No",IF((OR(MONTH(C52)=5,MONTH(C52)=6,MONTH(C52)=7,MONTH(C52)=8,MONTH(C52)=9)),$FA52*12*AX52*(1-$BC52),$FA52*10*AX52*(1-$BC52)),0)</f>
        <v>#VALUE!</v>
      </c>
      <c r="FC52" s="1129" t="e">
        <f aca="false">IF(EZ52="No",IF((OR(MONTH(C52)=5,MONTH(C52)=6,MONTH(C52)=7,MONTH(C52)=8,MONTH(C52)=9)),0,$FA52*3*AX52*(1-$BC52)),0)</f>
        <v>#VALUE!</v>
      </c>
      <c r="FD52" s="1129" t="e">
        <f aca="false">IF(EZ52="No",IF((OR(MONTH(C52)=5,MONTH(C52)=6,MONTH(C52)=7,MONTH(C52)=8,MONTH(C52)=9)),$FA52*12*AY52*(1-$BC52),$FA52*10*AY52*(1-$BC52)),0)</f>
        <v>#VALUE!</v>
      </c>
      <c r="FE52" s="1129" t="e">
        <f aca="false">IF(EZ52="No",IF((OR(MONTH(C52)=5,MONTH(C52)=6,MONTH(C52)=7,MONTH(C52)=8,MONTH(C52)=9)),0,$FA52*3*AY52*(1-$BC52)),0)</f>
        <v>#VALUE!</v>
      </c>
      <c r="FF52" s="1129" t="e">
        <f aca="false">IF(EZ52="No",IF((OR(MONTH(C52)=5,MONTH(C52)=6,MONTH(C52)=7,MONTH(C52)=8,MONTH(C52)=9)),$FA52*12*(AZ52+BA52)*(1-$BC52),$FA52*10*(AZ52+BA52)*(1-$BC52)),0)</f>
        <v>#VALUE!</v>
      </c>
      <c r="FG52" s="1129" t="e">
        <f aca="false">IF(EZ52="No",IF((OR(MONTH(C52)=5,MONTH(C52)=6,MONTH(C52)=7,MONTH(C52)=8,MONTH(C52)=9)),0,$FA52*3*(AZ52+BA52)*(1-$BC52)),0)</f>
        <v>#VALUE!</v>
      </c>
      <c r="FH52" s="1170" t="e">
        <f aca="false">IF(EZ52="No",IF((OR(MONTH(C52)=5,MONTH(C52)=6,MONTH(C52)=7,MONTH(C52)=8,MONTH(C52)=9)),Summary!$O$15*12*(AX52+AY52+AZ52+BA52)*(1-$BC52),Summary!$O$15*13*(AX52+AY52+AZ52+BA52)*(1-$BC52)+IF(Summary!$O$16="Yes",(CALC!FA52+Summary!$O$15)*6*(AX52+AY52+AZ52+BA52)*(1-$BC52),0)),0)</f>
        <v>#VALUE!</v>
      </c>
      <c r="FI52" s="1126" t="n">
        <f aca="false">IF(MONTH(C52)=5,FI51*(IF(Summary!$E$70="no",(1+(Summary!$E$71*0.8)),1+HLOOKUP(YEAR(C52)-1,CCFMODEL!$I$127:$AF$128,2)*0.8)),+FI51)</f>
        <v>28.5642970851971</v>
      </c>
      <c r="FJ52" s="1127" t="n">
        <f aca="false">IF(MONTH(C52)=5,FJ51*(IF(Summary!$E$70="no",(1+(Summary!$E$71*0.8)),1+HLOOKUP(YEAR(CALC!C52)-1,CCFMODEL!$I$127:$AF$128,2)*0.8)),FJ51)</f>
        <v>24.9656454839124</v>
      </c>
      <c r="FK52" s="1128" t="e">
        <f aca="false">SUM(FB52:FG52)*FI52+FH52*FJ52</f>
        <v>#VALUE!</v>
      </c>
      <c r="FL52" s="1126" t="n">
        <f aca="false">IF(MONTH(C52)=5,FL51*(IF(Summary!$E$70="no",(1+(Summary!$E$71*0.8)),1+HLOOKUP(YEAR(CALC!C52)-1,CCFMODEL!$I$127:$AF$128,2)*0.8)),+FL51)</f>
        <v>60.0739191416837</v>
      </c>
      <c r="FM52" s="1127" t="n">
        <f aca="false">IF(MONTH(C52)=5,FM51*(IF(Summary!$E$70="no",(1+(Summary!$E$71*0.8)),1+HLOOKUP(YEAR(CALC!C52)-1,CCFMODEL!$I$127:$AF$128,2)*0.8)),+FM51)</f>
        <v>28.6713998114258</v>
      </c>
      <c r="FN52" s="1128" t="e">
        <f aca="false">IF((OR(MONTH(C52)=5,MONTH(C52)=6,MONTH(C52)=7,MONTH(C52)=8,MONTH(C52)=9)),SUM(FB52:FG52)/(1-BC52)*FL52,SUM(FB52:FG52)/(1-BC52)*FM52)</f>
        <v>#VALUE!</v>
      </c>
      <c r="FO52" s="1129" t="e">
        <f aca="false">FK52+FN52</f>
        <v>#VALUE!</v>
      </c>
      <c r="FP52" s="1169" t="e">
        <f aca="false">FB52</f>
        <v>#VALUE!</v>
      </c>
      <c r="FQ52" s="1129" t="e">
        <f aca="false">FC52</f>
        <v>#VALUE!</v>
      </c>
      <c r="FR52" s="1129" t="e">
        <f aca="false">FD52</f>
        <v>#VALUE!</v>
      </c>
      <c r="FS52" s="1129" t="e">
        <f aca="false">FE52</f>
        <v>#VALUE!</v>
      </c>
      <c r="FT52" s="1129" t="e">
        <f aca="false">FF52</f>
        <v>#VALUE!</v>
      </c>
      <c r="FU52" s="1129" t="e">
        <f aca="false">FG52</f>
        <v>#VALUE!</v>
      </c>
      <c r="FV52" s="1170" t="e">
        <f aca="false">FH52</f>
        <v>#VALUE!</v>
      </c>
      <c r="FW52" s="1115" t="n">
        <f aca="false">IF(ER52&gt;0,MIN(FB52-FP52,BL52),0)</f>
        <v>0</v>
      </c>
      <c r="FX52" s="1115" t="n">
        <f aca="false">IF(ES52&gt;0,MIN(FD52-FR52,BM52),0)</f>
        <v>0</v>
      </c>
      <c r="FY52" s="1115" t="n">
        <f aca="false">IF(ET52&gt;0,MIN(FF52-FT52,BN52),0)</f>
        <v>0</v>
      </c>
      <c r="FZ52" s="1143" t="n">
        <f aca="false">IF(EU52&gt;0,MIN(FH52-FV52,BO52),0)</f>
        <v>0</v>
      </c>
      <c r="GA52" s="1132" t="e">
        <f aca="false">(SUM(FP52:FV52)+SUM(GU52:HB52)/(1-Summary!$O$25))*CY52/1000</f>
        <v>#VALUE!</v>
      </c>
      <c r="GB52" s="1133" t="n">
        <f aca="false">IF($C52&lt;Summary!$M$81,+Summary!$O$81,VLOOKUP(C52,GasTable,19))</f>
        <v>2.4</v>
      </c>
      <c r="GC52" s="1134" t="e">
        <f aca="false">IF(H52&lt;=Summary!$N$84,MIN(GA52,Summary!$O$75*(H52-G52+1)),0)</f>
        <v>#VALUE!</v>
      </c>
      <c r="GD52" s="1135" t="e">
        <f aca="false">IF(Summary!$O$75*(H52-G52+1)*0.8&gt;GC52,1,0)</f>
        <v>#VALUE!</v>
      </c>
      <c r="GE52" s="1136" t="n">
        <v>0</v>
      </c>
      <c r="GF52" s="1134" t="e">
        <f aca="false">ABS(MIN(0,GC52-$GA52))</f>
        <v>#VALUE!</v>
      </c>
      <c r="GG52" s="1135" t="e">
        <f aca="false">GF52*(IF(Summary!$O$74=1,VLOOKUP($C52,GasTable,16)+Summary!$O$92+Summary!$O$93,VLOOKUP($C52,GasTable,19)+Summary!$O$92+Summary!$O$93))</f>
        <v>#VALUE!</v>
      </c>
      <c r="GH52" s="1137" t="n">
        <v>20782.4</v>
      </c>
      <c r="GI52" s="1138" t="n">
        <v>0</v>
      </c>
      <c r="GJ52" s="1139" t="e">
        <f aca="false">+GB52*GC52+GE52+GG52+GH52-GI52</f>
        <v>#VALUE!</v>
      </c>
      <c r="GK52" s="1115" t="e">
        <f aca="false">SUM(FP52:FV52,GU52:GX52,GY52:HB52)</f>
        <v>#VALUE!</v>
      </c>
      <c r="GL52" s="1140" t="n">
        <v>0.759897540512</v>
      </c>
      <c r="GM52" s="1141" t="e">
        <f aca="false">IF(GK52&gt;GC52/(CY52/1000),GC52/(CY52/1000),+GK52)*GL52</f>
        <v>#VALUE!</v>
      </c>
      <c r="GN52" s="1115" t="n">
        <f aca="false">IF(SUM(GU52:HB52)=0,0,IF(Summary!$O$16="Yes",SUM(GX52:HB52),IF(Summary!$O$17="Yes",SUM(GY52:HB52),SUM(GU52:HB52))))</f>
        <v>12199.03785</v>
      </c>
      <c r="GO52" s="1142" t="n">
        <v>5.89035685766423</v>
      </c>
      <c r="GP52" s="1143" t="n">
        <f aca="false">GN52*GO52</f>
        <v>71856.6862566531</v>
      </c>
      <c r="GQ52" s="1115"/>
      <c r="GR52" s="1115"/>
      <c r="GS52" s="1115"/>
      <c r="GT52" s="1115"/>
      <c r="GU52" s="1150" t="n">
        <v>5389.47675</v>
      </c>
      <c r="GV52" s="1115" t="n">
        <v>1026.567</v>
      </c>
      <c r="GW52" s="1115" t="n">
        <v>1539.8505</v>
      </c>
      <c r="GX52" s="1115"/>
      <c r="GY52" s="1151" t="n">
        <v>2874.3876</v>
      </c>
      <c r="GZ52" s="1115" t="n">
        <v>547.5024</v>
      </c>
      <c r="HA52" s="1115" t="n">
        <v>821.2536</v>
      </c>
      <c r="HB52" s="1141"/>
      <c r="HC52" s="1115" t="n">
        <v>12199.03785</v>
      </c>
      <c r="HD52" s="1115"/>
      <c r="HE52" s="1115" t="n">
        <v>20950.521525</v>
      </c>
      <c r="HF52" s="1115" t="n">
        <v>496249.407473535</v>
      </c>
      <c r="HG52" s="1115"/>
      <c r="HH52" s="1142" t="n">
        <v>40.4168948514077</v>
      </c>
      <c r="HI52" s="1115" t="n">
        <v>846755.025558078</v>
      </c>
      <c r="HJ52" s="1150" t="e">
        <f aca="false">MAX(FB52-FP52-FW52,0)</f>
        <v>#VALUE!</v>
      </c>
      <c r="HK52" s="1115" t="e">
        <f aca="false">MAX(FD52-FR52-FX52,0)</f>
        <v>#VALUE!</v>
      </c>
      <c r="HL52" s="1115" t="e">
        <f aca="false">MAX(FF52-FT52-FY52,0)</f>
        <v>#VALUE!</v>
      </c>
      <c r="HM52" s="1141" t="e">
        <f aca="false">MAX(FH52-FV52-FZ52,0)</f>
        <v>#VALUE!</v>
      </c>
      <c r="HN52" s="1115" t="e">
        <f aca="false">SUM(HJ52:HM52)</f>
        <v>#VALUE!</v>
      </c>
      <c r="HO52" s="1142" t="n">
        <f aca="false">IF(ISERROR(+HP52/HN52),0,+HP52/HN52)</f>
        <v>0</v>
      </c>
      <c r="HP52" s="1143" t="e">
        <f aca="false">(HJ52*CE52+HK52*CF52+HL52*CG52+HM52*CH52)</f>
        <v>#VALUE!</v>
      </c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R52" s="844"/>
    </row>
    <row r="53" customFormat="false" ht="13.5" hidden="false" customHeight="false" outlineLevel="0" collapsed="false">
      <c r="A53" s="0" t="str">
        <f aca="false">+D53&amp;"Q"&amp;ROUNDUP(E53/3,0)</f>
        <v>2003Q1</v>
      </c>
      <c r="B53" s="0" t="n">
        <f aca="false">YEAR(C53)</f>
        <v>2003</v>
      </c>
      <c r="C53" s="1153" t="n">
        <f aca="false">EOMONTH(C52,0)+1</f>
        <v>37622</v>
      </c>
      <c r="D53" s="841" t="n">
        <f aca="false">+YEAR(C53)</f>
        <v>2003</v>
      </c>
      <c r="E53" s="807" t="n">
        <f aca="false">MONTH(C53)</f>
        <v>1</v>
      </c>
      <c r="F53" s="1154" t="e">
        <f aca="false">IF(G53="","",Holiday(D53,E53))</f>
        <v>#VALUE!</v>
      </c>
      <c r="G53" s="1155" t="n">
        <v>37622</v>
      </c>
      <c r="H53" s="1156" t="n">
        <v>37652</v>
      </c>
      <c r="I53" s="1157" t="n">
        <f aca="false">I52</f>
        <v>0.0715</v>
      </c>
      <c r="J53" s="1158" t="n">
        <f aca="false">(1+I53/2)^(-2*(DATE(D54,E54,20)-$H$7)/365.25)</f>
        <v>0.799563304388822</v>
      </c>
      <c r="K53" s="1159" t="e">
        <f aca="false">IF(#REF!=1,+#REF!,I53+#REF!/10000)</f>
        <v>#REF!</v>
      </c>
      <c r="L53" s="1158" t="e">
        <f aca="false">(1+K53/2)^(-2*(DATE(D54,E54,20)-$H$7)/365.25)</f>
        <v>#REF!</v>
      </c>
      <c r="M53" s="1082" t="n">
        <v>0</v>
      </c>
      <c r="N53" s="1110" t="n">
        <f aca="false">M53</f>
        <v>0</v>
      </c>
      <c r="O53" s="1174" t="n">
        <f aca="false">N53</f>
        <v>0</v>
      </c>
      <c r="P53" s="1175" t="n">
        <f aca="false">M53</f>
        <v>0</v>
      </c>
      <c r="Q53" s="1110" t="n">
        <f aca="false">P53</f>
        <v>0</v>
      </c>
      <c r="R53" s="1174" t="n">
        <f aca="false">Q53</f>
        <v>0</v>
      </c>
      <c r="S53" s="1110" t="n">
        <f aca="false">R53</f>
        <v>0</v>
      </c>
      <c r="T53" s="1110" t="n">
        <f aca="false">S53</f>
        <v>0</v>
      </c>
      <c r="U53" s="1110" t="n">
        <f aca="false">T53</f>
        <v>0</v>
      </c>
      <c r="V53" s="1175" t="n">
        <f aca="false">U53</f>
        <v>0</v>
      </c>
      <c r="W53" s="1110" t="n">
        <f aca="false">V53</f>
        <v>0</v>
      </c>
      <c r="X53" s="1176" t="n">
        <f aca="false">W53</f>
        <v>0</v>
      </c>
      <c r="Y53" s="1086" t="n">
        <v>0</v>
      </c>
      <c r="Z53" s="1086" t="n">
        <v>0</v>
      </c>
      <c r="AA53" s="1087" t="n">
        <v>0</v>
      </c>
      <c r="AB53" s="1086" t="n">
        <v>0</v>
      </c>
      <c r="AC53" s="1086" t="n">
        <v>0</v>
      </c>
      <c r="AD53" s="1087" t="n">
        <v>0</v>
      </c>
      <c r="AE53" s="1086" t="n">
        <v>0</v>
      </c>
      <c r="AF53" s="1086" t="n">
        <v>0</v>
      </c>
      <c r="AG53" s="1087" t="n">
        <v>0</v>
      </c>
      <c r="AH53" s="1086" t="n">
        <v>0</v>
      </c>
      <c r="AI53" s="1086" t="n">
        <v>0</v>
      </c>
      <c r="AJ53" s="1087" t="n">
        <v>0</v>
      </c>
      <c r="AK53" s="1086" t="n">
        <v>0</v>
      </c>
      <c r="AL53" s="1086" t="n">
        <v>0</v>
      </c>
      <c r="AM53" s="1087" t="n">
        <v>0</v>
      </c>
      <c r="AN53" s="1086" t="n">
        <v>0</v>
      </c>
      <c r="AO53" s="1086" t="n">
        <v>0</v>
      </c>
      <c r="AP53" s="1087" t="n">
        <v>0</v>
      </c>
      <c r="AQ53" s="1086" t="n">
        <v>0</v>
      </c>
      <c r="AR53" s="1086" t="n">
        <v>0</v>
      </c>
      <c r="AS53" s="1087" t="n">
        <v>0</v>
      </c>
      <c r="AT53" s="1086" t="n">
        <v>0</v>
      </c>
      <c r="AU53" s="1086" t="n">
        <v>0</v>
      </c>
      <c r="AV53" s="1086" t="n">
        <v>0</v>
      </c>
      <c r="AW53" s="1172" t="n">
        <v>0</v>
      </c>
      <c r="AX53" s="807" t="e">
        <f aca="false">BB53-SUM(AY53:BA53)</f>
        <v>#VALUE!</v>
      </c>
      <c r="AY53" s="807" t="e">
        <f aca="false">IF(AND($E53=MONTH(Summary!$E$24),$D53=YEAR(Summary!$E$24)),Summary!$E$25,1)*IF(G53="",0,INT((H53-MOD(H53,7)-G53)/7)+1-IF(BA53,IF(WEEKDAY(F53)=7,1,0),0))</f>
        <v>#VALUE!</v>
      </c>
      <c r="AZ53" s="807" t="e">
        <f aca="false">IF(AND($E53=MONTH(Summary!$E$24),$D53=YEAR(Summary!$E$24)),Summary!$E$25,1)*IF(G53="",0,INT((H53-MOD(H53-1,7)-G53)/7)+1-IF(BA53,IF(WEEKDAY(F53)=1,1,0),0))</f>
        <v>#VALUE!</v>
      </c>
      <c r="BA53" s="807" t="n">
        <v>1</v>
      </c>
      <c r="BB53" s="807" t="n">
        <f aca="false">IF(AND($E53=MONTH(Summary!$E$24),$D53=YEAR(Summary!$E$24)),Summary!$E$25,1)*IF(G53="",0,H53-G53+1)</f>
        <v>31</v>
      </c>
      <c r="BC53" s="1089" t="n">
        <f aca="false">Summary!$E$19</f>
        <v>0.015</v>
      </c>
      <c r="BD53" s="1090" t="n">
        <v>15602.4</v>
      </c>
      <c r="BE53" s="1091" t="n">
        <v>2836.8</v>
      </c>
      <c r="BF53" s="1091" t="n">
        <v>3546</v>
      </c>
      <c r="BG53" s="842"/>
      <c r="BH53" s="1092" t="n">
        <v>1</v>
      </c>
      <c r="BI53" s="1092" t="n">
        <v>1</v>
      </c>
      <c r="BJ53" s="1092" t="n">
        <v>1</v>
      </c>
      <c r="BK53" s="1092" t="n">
        <v>1</v>
      </c>
      <c r="BL53" s="1093" t="n">
        <v>3120.48</v>
      </c>
      <c r="BM53" s="1091" t="n">
        <v>567.36</v>
      </c>
      <c r="BN53" s="1091" t="n">
        <v>709.2</v>
      </c>
      <c r="BO53" s="842"/>
      <c r="BP53" s="1092" t="n">
        <v>1</v>
      </c>
      <c r="BQ53" s="1094" t="n">
        <v>1</v>
      </c>
      <c r="BR53" s="1094" t="n">
        <v>1</v>
      </c>
      <c r="BS53" s="1095" t="n">
        <v>1</v>
      </c>
      <c r="BT53" s="1093" t="n">
        <f aca="false">SUM(BD53:BF53)</f>
        <v>21985.2</v>
      </c>
      <c r="BU53" s="1098" t="n">
        <f aca="false">SUM(BD53:BG53)</f>
        <v>21985.2</v>
      </c>
      <c r="BV53" s="1090" t="n">
        <f aca="false">SUM(BL53:BN53)</f>
        <v>4397.04</v>
      </c>
      <c r="BW53" s="1098" t="n">
        <f aca="false">SUM(BL53:BO53)</f>
        <v>4397.04</v>
      </c>
      <c r="BX53" s="852" t="n">
        <v>3.04722792607803</v>
      </c>
      <c r="BY53" s="1099" t="n">
        <v>0</v>
      </c>
      <c r="BZ53" s="852" t="n">
        <v>0</v>
      </c>
      <c r="CA53" s="852" t="n">
        <v>0</v>
      </c>
      <c r="CB53" s="852" t="n">
        <v>0</v>
      </c>
      <c r="CC53" s="852" t="n">
        <v>0</v>
      </c>
      <c r="CD53" s="852" t="n">
        <v>0</v>
      </c>
      <c r="CE53" s="1100" t="n">
        <v>0</v>
      </c>
      <c r="CF53" s="852" t="n">
        <v>0</v>
      </c>
      <c r="CG53" s="852" t="n">
        <v>0</v>
      </c>
      <c r="CH53" s="852" t="n">
        <v>0</v>
      </c>
      <c r="CI53" s="852" t="n">
        <v>0</v>
      </c>
      <c r="CJ53" s="1101" t="n">
        <v>0</v>
      </c>
      <c r="CK53" s="852" t="n">
        <v>0</v>
      </c>
      <c r="CL53" s="852" t="n">
        <v>0</v>
      </c>
      <c r="CM53" s="852" t="n">
        <v>0</v>
      </c>
      <c r="CN53" s="852" t="n">
        <v>0</v>
      </c>
      <c r="CO53" s="852" t="n">
        <v>0</v>
      </c>
      <c r="CP53" s="852" t="n">
        <v>0</v>
      </c>
      <c r="CQ53" s="1102" t="n">
        <v>0</v>
      </c>
      <c r="CR53" s="1103" t="n">
        <v>0</v>
      </c>
      <c r="CS53" s="1103" t="n">
        <v>0</v>
      </c>
      <c r="CT53" s="1103" t="n">
        <v>0</v>
      </c>
      <c r="CU53" s="1103" t="n">
        <v>0</v>
      </c>
      <c r="CV53" s="1103" t="n">
        <v>0</v>
      </c>
      <c r="CW53" s="1103" t="n">
        <v>0</v>
      </c>
      <c r="CX53" s="1104" t="n">
        <v>0</v>
      </c>
      <c r="CY53" s="1105" t="n">
        <v>7740.21848</v>
      </c>
      <c r="CZ53" s="1099" t="n">
        <v>0</v>
      </c>
      <c r="DA53" s="852" t="n">
        <v>0</v>
      </c>
      <c r="DB53" s="852" t="n">
        <v>0</v>
      </c>
      <c r="DC53" s="852" t="n">
        <v>0</v>
      </c>
      <c r="DD53" s="852" t="n">
        <v>0</v>
      </c>
      <c r="DE53" s="1113" t="n">
        <v>0</v>
      </c>
      <c r="DF53" s="1109" t="n">
        <v>0</v>
      </c>
      <c r="DG53" s="1110" t="n">
        <v>0</v>
      </c>
      <c r="DH53" s="1111" t="n">
        <v>0</v>
      </c>
      <c r="DI53" s="1112" t="n">
        <v>0</v>
      </c>
      <c r="DJ53" s="1112" t="n">
        <v>0</v>
      </c>
      <c r="DK53" s="1112" t="n">
        <v>0</v>
      </c>
      <c r="DL53" s="1113" t="n">
        <v>0</v>
      </c>
      <c r="DM53" s="1114" t="n">
        <v>0</v>
      </c>
      <c r="DN53" s="1114" t="n">
        <v>0</v>
      </c>
      <c r="DO53" s="1114" t="n">
        <v>0</v>
      </c>
      <c r="DP53" s="1114" t="n">
        <v>0</v>
      </c>
      <c r="DQ53" s="1114" t="n">
        <v>0</v>
      </c>
      <c r="DR53" s="1109" t="n">
        <v>0</v>
      </c>
      <c r="DS53" s="852" t="n">
        <v>0</v>
      </c>
      <c r="DT53" s="852" t="n">
        <v>0</v>
      </c>
      <c r="DU53" s="852" t="n">
        <v>0</v>
      </c>
      <c r="DV53" s="852" t="n">
        <v>0</v>
      </c>
      <c r="DW53" s="852" t="n">
        <v>0</v>
      </c>
      <c r="DX53" s="852" t="n">
        <v>0</v>
      </c>
      <c r="DY53" s="852" t="n">
        <v>0</v>
      </c>
      <c r="DZ53" s="852" t="n">
        <v>0</v>
      </c>
      <c r="EA53" s="852" t="n">
        <v>0</v>
      </c>
      <c r="EB53" s="1113" t="n">
        <v>0</v>
      </c>
      <c r="EC53" s="1115" t="n">
        <f aca="false">DS53*BD53</f>
        <v>0</v>
      </c>
      <c r="ED53" s="1115" t="n">
        <f aca="false">DT53*BE53</f>
        <v>0</v>
      </c>
      <c r="EE53" s="1115" t="n">
        <f aca="false">DU53*BF53</f>
        <v>0</v>
      </c>
      <c r="EF53" s="1115" t="n">
        <f aca="false">DV53*BG53</f>
        <v>0</v>
      </c>
      <c r="EG53" s="1115" t="n">
        <f aca="false">DS53*BD53+DT53*BE53+DU53*BF53+DV53*BG53</f>
        <v>0</v>
      </c>
      <c r="EH53" s="1116" t="n">
        <v>0</v>
      </c>
      <c r="EI53" s="1117" t="n">
        <v>0</v>
      </c>
      <c r="EJ53" s="1117" t="n">
        <v>0</v>
      </c>
      <c r="EK53" s="1117" t="n">
        <v>0</v>
      </c>
      <c r="EL53" s="1118" t="n">
        <f aca="false">IF(C53&gt;=Summary!$E$26,MAX(0,SUM(EH53:EK53)),0)</f>
        <v>0</v>
      </c>
      <c r="EM53" s="1115" t="n">
        <f aca="false">IF(C53&gt;=Summary!$E$26,DX53*BL53,0)</f>
        <v>0</v>
      </c>
      <c r="EN53" s="1115" t="n">
        <f aca="false">IF(C53&gt;=Summary!$E$26,DY53*BM53,0)</f>
        <v>0</v>
      </c>
      <c r="EO53" s="1115" t="n">
        <f aca="false">IF(C53&gt;=Summary!$E$26,DZ53*BN53,0)</f>
        <v>0</v>
      </c>
      <c r="EP53" s="1115" t="n">
        <f aca="false">IF(C53&gt;=Summary!$E$26,EA53*BO53,0)</f>
        <v>0</v>
      </c>
      <c r="EQ53" s="1115" t="n">
        <f aca="false">IF(C53&gt;=Summary!$E$26,DX53*BL53+DY53*BM53+DZ53*BN53+EA53*BO53,0)</f>
        <v>0</v>
      </c>
      <c r="ER53" s="1119" t="n">
        <v>0</v>
      </c>
      <c r="ES53" s="1120" t="n">
        <v>0</v>
      </c>
      <c r="ET53" s="1120" t="n">
        <v>0</v>
      </c>
      <c r="EU53" s="1120" t="n">
        <v>0</v>
      </c>
      <c r="EV53" s="1143" t="n">
        <f aca="false">IF(C53&gt;=Summary!$E$26,MAX(0,SUM(ER53:EU53)),0)</f>
        <v>0</v>
      </c>
      <c r="EW53" s="1115"/>
      <c r="EX53" s="1165" t="n">
        <f aca="false">(EQ53-EV53)+IF(EZ53="Yes",(EG53-EL53),0)</f>
        <v>0</v>
      </c>
      <c r="EY53" s="1166" t="str">
        <f aca="false">IF(EX53,EX53/EQ53,"")</f>
        <v/>
      </c>
      <c r="EZ53" s="1122" t="s">
        <v>37</v>
      </c>
      <c r="FA53" s="1096" t="n">
        <f aca="false">FA52</f>
        <v>45</v>
      </c>
      <c r="FB53" s="1167" t="e">
        <f aca="false">IF(EZ53="No",IF((OR(MONTH(C53)=5,MONTH(C53)=6,MONTH(C53)=7,MONTH(C53)=8,MONTH(C53)=9)),$FA53*12*AX53*(1-$BC53),$FA53*10*AX53*(1-$BC53)),0)</f>
        <v>#VALUE!</v>
      </c>
      <c r="FC53" s="1129" t="e">
        <f aca="false">IF(EZ53="No",IF((OR(MONTH(C53)=5,MONTH(C53)=6,MONTH(C53)=7,MONTH(C53)=8,MONTH(C53)=9)),0,$FA53*3*AX53*(1-$BC53)),0)</f>
        <v>#VALUE!</v>
      </c>
      <c r="FD53" s="1129" t="e">
        <f aca="false">IF(EZ53="No",IF((OR(MONTH(C53)=5,MONTH(C53)=6,MONTH(C53)=7,MONTH(C53)=8,MONTH(C53)=9)),$FA53*12*AY53*(1-$BC53),$FA53*10*AY53*(1-$BC53)),0)</f>
        <v>#VALUE!</v>
      </c>
      <c r="FE53" s="1129" t="e">
        <f aca="false">IF(EZ53="No",IF((OR(MONTH(C53)=5,MONTH(C53)=6,MONTH(C53)=7,MONTH(C53)=8,MONTH(C53)=9)),0,$FA53*3*AY53*(1-$BC53)),0)</f>
        <v>#VALUE!</v>
      </c>
      <c r="FF53" s="1129" t="e">
        <f aca="false">IF(EZ53="No",IF((OR(MONTH(C53)=5,MONTH(C53)=6,MONTH(C53)=7,MONTH(C53)=8,MONTH(C53)=9)),$FA53*12*(AZ53+BA53)*(1-$BC53),$FA53*10*(AZ53+BA53)*(1-$BC53)),0)</f>
        <v>#VALUE!</v>
      </c>
      <c r="FG53" s="1129" t="e">
        <f aca="false">IF(EZ53="No",IF((OR(MONTH(C53)=5,MONTH(C53)=6,MONTH(C53)=7,MONTH(C53)=8,MONTH(C53)=9)),0,$FA53*3*(AZ53+BA53)*(1-$BC53)),0)</f>
        <v>#VALUE!</v>
      </c>
      <c r="FH53" s="1170" t="e">
        <f aca="false">IF(EZ53="No",IF((OR(MONTH(C53)=5,MONTH(C53)=6,MONTH(C53)=7,MONTH(C53)=8,MONTH(C53)=9)),Summary!$O$15*12*(AX53+AY53+AZ53+BA53)*(1-$BC53),Summary!$O$15*13*(AX53+AY53+AZ53+BA53)*(1-$BC53)+IF(Summary!$O$16="Yes",(CALC!FA53+Summary!$O$15)*6*(AX53+AY53+AZ53+BA53)*(1-$BC53),0)),0)</f>
        <v>#VALUE!</v>
      </c>
      <c r="FI53" s="1126" t="n">
        <f aca="false">IF(MONTH(C53)=5,FI52*(IF(Summary!$E$70="no",(1+(Summary!$E$71*0.8)),1+HLOOKUP(YEAR(C53)-1,CCFMODEL!$I$127:$AF$128,2)*0.8)),+FI52)</f>
        <v>28.5642970851971</v>
      </c>
      <c r="FJ53" s="1127" t="n">
        <f aca="false">IF(MONTH(C53)=5,FJ52*(IF(Summary!$E$70="no",(1+(Summary!$E$71*0.8)),1+HLOOKUP(YEAR(CALC!C53)-1,CCFMODEL!$I$127:$AF$128,2)*0.8)),FJ52)</f>
        <v>24.9656454839124</v>
      </c>
      <c r="FK53" s="1128" t="e">
        <f aca="false">SUM(FB53:FG53)*FI53+FH53*FJ53</f>
        <v>#VALUE!</v>
      </c>
      <c r="FL53" s="1126" t="n">
        <f aca="false">IF(MONTH(C53)=5,FL52*(IF(Summary!$E$70="no",(1+(Summary!$E$71*0.8)),1+HLOOKUP(YEAR(CALC!C53)-1,CCFMODEL!$I$127:$AF$128,2)*0.8)),+FL52)</f>
        <v>60.0739191416837</v>
      </c>
      <c r="FM53" s="1127" t="n">
        <f aca="false">IF(MONTH(C53)=5,FM52*(IF(Summary!$E$70="no",(1+(Summary!$E$71*0.8)),1+HLOOKUP(YEAR(CALC!C53)-1,CCFMODEL!$I$127:$AF$128,2)*0.8)),+FM52)</f>
        <v>28.6713998114258</v>
      </c>
      <c r="FN53" s="1128" t="e">
        <f aca="false">IF((OR(MONTH(C53)=5,MONTH(C53)=6,MONTH(C53)=7,MONTH(C53)=8,MONTH(C53)=9)),SUM(FB53:FG53)/(1-BC53)*FL53,SUM(FB53:FG53)/(1-BC53)*FM53)</f>
        <v>#VALUE!</v>
      </c>
      <c r="FO53" s="1129" t="e">
        <f aca="false">FK53+FN53</f>
        <v>#VALUE!</v>
      </c>
      <c r="FP53" s="1169" t="e">
        <f aca="false">FB53</f>
        <v>#VALUE!</v>
      </c>
      <c r="FQ53" s="1129" t="e">
        <f aca="false">FC53</f>
        <v>#VALUE!</v>
      </c>
      <c r="FR53" s="1129" t="e">
        <f aca="false">FD53</f>
        <v>#VALUE!</v>
      </c>
      <c r="FS53" s="1129" t="e">
        <f aca="false">FE53</f>
        <v>#VALUE!</v>
      </c>
      <c r="FT53" s="1129" t="e">
        <f aca="false">FF53</f>
        <v>#VALUE!</v>
      </c>
      <c r="FU53" s="1129" t="e">
        <f aca="false">FG53</f>
        <v>#VALUE!</v>
      </c>
      <c r="FV53" s="1170" t="e">
        <f aca="false">FH53</f>
        <v>#VALUE!</v>
      </c>
      <c r="FW53" s="1115" t="n">
        <f aca="false">IF(ER53&gt;0,MIN(FB53-FP53,BL53),0)</f>
        <v>0</v>
      </c>
      <c r="FX53" s="1115" t="n">
        <f aca="false">IF(ES53&gt;0,MIN(FD53-FR53,BM53),0)</f>
        <v>0</v>
      </c>
      <c r="FY53" s="1115" t="n">
        <f aca="false">IF(ET53&gt;0,MIN(FF53-FT53,BN53),0)</f>
        <v>0</v>
      </c>
      <c r="FZ53" s="1143" t="n">
        <f aca="false">IF(EU53&gt;0,MIN(FH53-FV53,BO53),0)</f>
        <v>0</v>
      </c>
      <c r="GA53" s="1132" t="e">
        <f aca="false">(SUM(FP53:FV53)+SUM(GU53:HB53)/(1-Summary!$O$25))*CY53/1000</f>
        <v>#VALUE!</v>
      </c>
      <c r="GB53" s="1133" t="n">
        <f aca="false">IF($C53&lt;Summary!$M$81,+Summary!$O$81,VLOOKUP(C53,GasTable,19))</f>
        <v>2.4</v>
      </c>
      <c r="GC53" s="1134" t="e">
        <f aca="false">IF(H53&lt;=Summary!$N$84,MIN(GA53,Summary!$O$75*(H53-G53+1)),0)</f>
        <v>#VALUE!</v>
      </c>
      <c r="GD53" s="1135" t="e">
        <f aca="false">IF(Summary!$O$75*(H53-G53+1)*0.8&gt;GC53,1,0)</f>
        <v>#VALUE!</v>
      </c>
      <c r="GE53" s="1136" t="n">
        <v>0</v>
      </c>
      <c r="GF53" s="1134" t="e">
        <f aca="false">ABS(MIN(0,GC53-$GA53))</f>
        <v>#VALUE!</v>
      </c>
      <c r="GG53" s="1135" t="e">
        <f aca="false">GF53*(IF(Summary!$O$74=1,VLOOKUP($C53,GasTable,16)+Summary!$O$92+Summary!$O$93,VLOOKUP($C53,GasTable,19)+Summary!$O$92+Summary!$O$93))</f>
        <v>#VALUE!</v>
      </c>
      <c r="GH53" s="1137" t="n">
        <v>20844.4</v>
      </c>
      <c r="GI53" s="1138" t="n">
        <v>0</v>
      </c>
      <c r="GJ53" s="1139" t="e">
        <f aca="false">+GB53*GC53+GE53+GG53+GH53-GI53</f>
        <v>#VALUE!</v>
      </c>
      <c r="GK53" s="1115" t="e">
        <f aca="false">SUM(FP53:FV53,GU53:GX53,GY53:HB53)</f>
        <v>#VALUE!</v>
      </c>
      <c r="GL53" s="1140" t="n">
        <v>0.760089454736</v>
      </c>
      <c r="GM53" s="1141" t="e">
        <f aca="false">IF(GK53&gt;GC53/(CY53/1000),GC53/(CY53/1000),+GK53)*GL53</f>
        <v>#VALUE!</v>
      </c>
      <c r="GN53" s="1115" t="n">
        <f aca="false">IF(SUM(GU53:HB53)=0,0,IF(Summary!$O$16="Yes",SUM(GX53:HB53),IF(Summary!$O$17="Yes",SUM(GY53:HB53),SUM(GU53:HB53))))</f>
        <v>12199.03785</v>
      </c>
      <c r="GO53" s="1142" t="n">
        <v>2.60017181288321</v>
      </c>
      <c r="GP53" s="1143" t="n">
        <f aca="false">GN53*GO53</f>
        <v>31719.5943618654</v>
      </c>
      <c r="GQ53" s="1115"/>
      <c r="GR53" s="1115"/>
      <c r="GS53" s="1115"/>
      <c r="GT53" s="1115"/>
      <c r="GU53" s="1150" t="n">
        <v>5646.1185</v>
      </c>
      <c r="GV53" s="1115" t="n">
        <v>1026.567</v>
      </c>
      <c r="GW53" s="1115" t="n">
        <v>1283.20875</v>
      </c>
      <c r="GX53" s="1115"/>
      <c r="GY53" s="1151" t="n">
        <v>3011.2632</v>
      </c>
      <c r="GZ53" s="1115" t="n">
        <v>547.5024</v>
      </c>
      <c r="HA53" s="1115" t="n">
        <v>684.378</v>
      </c>
      <c r="HB53" s="1141"/>
      <c r="HC53" s="1115" t="n">
        <v>12199.03785</v>
      </c>
      <c r="HD53" s="1115"/>
      <c r="HE53" s="1115" t="n">
        <v>20950.521525</v>
      </c>
      <c r="HF53" s="1115" t="n">
        <v>466607.480742897</v>
      </c>
      <c r="HG53" s="1115"/>
      <c r="HH53" s="1142" t="n">
        <v>37.9566306627362</v>
      </c>
      <c r="HI53" s="1115" t="n">
        <v>795211.207716129</v>
      </c>
      <c r="HJ53" s="1150" t="e">
        <f aca="false">MAX(FB53-FP53-FW53,0)</f>
        <v>#VALUE!</v>
      </c>
      <c r="HK53" s="1115" t="e">
        <f aca="false">MAX(FD53-FR53-FX53,0)</f>
        <v>#VALUE!</v>
      </c>
      <c r="HL53" s="1115" t="e">
        <f aca="false">MAX(FF53-FT53-FY53,0)</f>
        <v>#VALUE!</v>
      </c>
      <c r="HM53" s="1141" t="e">
        <f aca="false">MAX(FH53-FV53-FZ53,0)</f>
        <v>#VALUE!</v>
      </c>
      <c r="HN53" s="1115" t="e">
        <f aca="false">SUM(HJ53:HM53)</f>
        <v>#VALUE!</v>
      </c>
      <c r="HO53" s="1142" t="n">
        <f aca="false">IF(ISERROR(+HP53/HN53),0,+HP53/HN53)</f>
        <v>0</v>
      </c>
      <c r="HP53" s="1143" t="e">
        <f aca="false">(HJ53*CE53+HK53*CF53+HL53*CG53+HM53*CH53)</f>
        <v>#VALUE!</v>
      </c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R53" s="844"/>
    </row>
    <row r="54" customFormat="false" ht="13.5" hidden="false" customHeight="false" outlineLevel="0" collapsed="false">
      <c r="A54" s="0" t="str">
        <f aca="false">+D54&amp;"Q"&amp;ROUNDUP(E54/3,0)</f>
        <v>2003Q1</v>
      </c>
      <c r="B54" s="0" t="n">
        <f aca="false">YEAR(C54)</f>
        <v>2003</v>
      </c>
      <c r="C54" s="1153" t="n">
        <f aca="false">EOMONTH(C53,0)+1</f>
        <v>37653</v>
      </c>
      <c r="D54" s="841" t="n">
        <f aca="false">+YEAR(C54)</f>
        <v>2003</v>
      </c>
      <c r="E54" s="807" t="n">
        <f aca="false">MONTH(C54)</f>
        <v>2</v>
      </c>
      <c r="F54" s="1154" t="e">
        <f aca="false">IF(G54="","",Holiday(D54,E54))</f>
        <v>#VALUE!</v>
      </c>
      <c r="G54" s="1155" t="n">
        <v>37653</v>
      </c>
      <c r="H54" s="1156" t="n">
        <v>37680</v>
      </c>
      <c r="I54" s="1157" t="n">
        <f aca="false">I53</f>
        <v>0.0715</v>
      </c>
      <c r="J54" s="1158" t="n">
        <f aca="false">(1+I54/2)^(-2*(DATE(D55,E55,20)-$H$7)/365.25)</f>
        <v>0.795268850055487</v>
      </c>
      <c r="K54" s="1159" t="e">
        <f aca="false">IF(#REF!=1,+#REF!,I54+#REF!/10000)</f>
        <v>#REF!</v>
      </c>
      <c r="L54" s="1158" t="e">
        <f aca="false">(1+K54/2)^(-2*(DATE(D55,E55,20)-$H$7)/365.25)</f>
        <v>#REF!</v>
      </c>
      <c r="M54" s="1082" t="n">
        <v>0</v>
      </c>
      <c r="N54" s="1110" t="n">
        <f aca="false">M54</f>
        <v>0</v>
      </c>
      <c r="O54" s="1174" t="n">
        <f aca="false">N54</f>
        <v>0</v>
      </c>
      <c r="P54" s="1175" t="n">
        <f aca="false">M54</f>
        <v>0</v>
      </c>
      <c r="Q54" s="1110" t="n">
        <f aca="false">P54</f>
        <v>0</v>
      </c>
      <c r="R54" s="1174" t="n">
        <f aca="false">Q54</f>
        <v>0</v>
      </c>
      <c r="S54" s="1110" t="n">
        <f aca="false">R54</f>
        <v>0</v>
      </c>
      <c r="T54" s="1110" t="n">
        <f aca="false">S54</f>
        <v>0</v>
      </c>
      <c r="U54" s="1110" t="n">
        <f aca="false">T54</f>
        <v>0</v>
      </c>
      <c r="V54" s="1175" t="n">
        <f aca="false">U54</f>
        <v>0</v>
      </c>
      <c r="W54" s="1110" t="n">
        <f aca="false">V54</f>
        <v>0</v>
      </c>
      <c r="X54" s="1176" t="n">
        <f aca="false">W54</f>
        <v>0</v>
      </c>
      <c r="Y54" s="1086" t="n">
        <v>0</v>
      </c>
      <c r="Z54" s="1086" t="n">
        <v>0</v>
      </c>
      <c r="AA54" s="1087" t="n">
        <v>0</v>
      </c>
      <c r="AB54" s="1086" t="n">
        <v>0</v>
      </c>
      <c r="AC54" s="1086" t="n">
        <v>0</v>
      </c>
      <c r="AD54" s="1087" t="n">
        <v>0</v>
      </c>
      <c r="AE54" s="1086" t="n">
        <v>0</v>
      </c>
      <c r="AF54" s="1086" t="n">
        <v>0</v>
      </c>
      <c r="AG54" s="1087" t="n">
        <v>0</v>
      </c>
      <c r="AH54" s="1086" t="n">
        <v>0</v>
      </c>
      <c r="AI54" s="1086" t="n">
        <v>0</v>
      </c>
      <c r="AJ54" s="1087" t="n">
        <v>0</v>
      </c>
      <c r="AK54" s="1086" t="n">
        <v>0</v>
      </c>
      <c r="AL54" s="1086" t="n">
        <v>0</v>
      </c>
      <c r="AM54" s="1087" t="n">
        <v>0</v>
      </c>
      <c r="AN54" s="1086" t="n">
        <v>0</v>
      </c>
      <c r="AO54" s="1086" t="n">
        <v>0</v>
      </c>
      <c r="AP54" s="1087" t="n">
        <v>0</v>
      </c>
      <c r="AQ54" s="1086" t="n">
        <v>0</v>
      </c>
      <c r="AR54" s="1086" t="n">
        <v>0</v>
      </c>
      <c r="AS54" s="1087" t="n">
        <v>0</v>
      </c>
      <c r="AT54" s="1086" t="n">
        <v>0</v>
      </c>
      <c r="AU54" s="1086" t="n">
        <v>0</v>
      </c>
      <c r="AV54" s="1086" t="n">
        <v>0</v>
      </c>
      <c r="AW54" s="1172" t="n">
        <v>0</v>
      </c>
      <c r="AX54" s="807" t="n">
        <f aca="false">BB54-SUM(AY54:BA54)</f>
        <v>20</v>
      </c>
      <c r="AY54" s="807" t="n">
        <f aca="false">IF(AND($E54=MONTH(Summary!$E$24),$D54=YEAR(Summary!$E$24)),Summary!$E$25,1)*IF(G54="",0,INT((H54-MOD(H54,7)-G54)/7)+1-IF(BA54,IF(WEEKDAY(F54)=7,1,0),0))</f>
        <v>4</v>
      </c>
      <c r="AZ54" s="807" t="n">
        <f aca="false">IF(AND($E54=MONTH(Summary!$E$24),$D54=YEAR(Summary!$E$24)),Summary!$E$25,1)*IF(G54="",0,INT((H54-MOD(H54-1,7)-G54)/7)+1-IF(BA54,IF(WEEKDAY(F54)=1,1,0),0))</f>
        <v>4</v>
      </c>
      <c r="BA54" s="807" t="n">
        <v>0</v>
      </c>
      <c r="BB54" s="807" t="n">
        <f aca="false">IF(AND($E54=MONTH(Summary!$E$24),$D54=YEAR(Summary!$E$24)),Summary!$E$25,1)*IF(G54="",0,H54-G54+1)</f>
        <v>28</v>
      </c>
      <c r="BC54" s="1089" t="n">
        <f aca="false">Summary!$E$19</f>
        <v>0.015</v>
      </c>
      <c r="BD54" s="1090" t="n">
        <v>14184</v>
      </c>
      <c r="BE54" s="1091" t="n">
        <v>2836.8</v>
      </c>
      <c r="BF54" s="1091" t="n">
        <v>2836.8</v>
      </c>
      <c r="BG54" s="842"/>
      <c r="BH54" s="1092" t="n">
        <v>1</v>
      </c>
      <c r="BI54" s="1092" t="n">
        <v>1</v>
      </c>
      <c r="BJ54" s="1092" t="n">
        <v>1</v>
      </c>
      <c r="BK54" s="1092" t="n">
        <v>1</v>
      </c>
      <c r="BL54" s="1093" t="n">
        <v>2836.8</v>
      </c>
      <c r="BM54" s="1091" t="n">
        <v>567.36</v>
      </c>
      <c r="BN54" s="1091" t="n">
        <v>567.36</v>
      </c>
      <c r="BO54" s="842"/>
      <c r="BP54" s="1092" t="n">
        <v>1</v>
      </c>
      <c r="BQ54" s="1094" t="n">
        <v>1</v>
      </c>
      <c r="BR54" s="1094" t="n">
        <v>1</v>
      </c>
      <c r="BS54" s="1095" t="n">
        <v>1</v>
      </c>
      <c r="BT54" s="1093" t="n">
        <f aca="false">SUM(BD54:BF54)</f>
        <v>19857.6</v>
      </c>
      <c r="BU54" s="1098" t="n">
        <f aca="false">SUM(BD54:BG54)</f>
        <v>19857.6</v>
      </c>
      <c r="BV54" s="1090" t="n">
        <f aca="false">SUM(BL54:BN54)</f>
        <v>3971.52</v>
      </c>
      <c r="BW54" s="1098" t="n">
        <f aca="false">SUM(BL54:BO54)</f>
        <v>3971.52</v>
      </c>
      <c r="BX54" s="852" t="n">
        <v>3.13210130047912</v>
      </c>
      <c r="BY54" s="1099" t="n">
        <v>0</v>
      </c>
      <c r="BZ54" s="852" t="n">
        <v>0</v>
      </c>
      <c r="CA54" s="852" t="n">
        <v>0</v>
      </c>
      <c r="CB54" s="852" t="n">
        <v>0</v>
      </c>
      <c r="CC54" s="852" t="n">
        <v>0</v>
      </c>
      <c r="CD54" s="852" t="n">
        <v>0</v>
      </c>
      <c r="CE54" s="1100" t="n">
        <v>0</v>
      </c>
      <c r="CF54" s="852" t="n">
        <v>0</v>
      </c>
      <c r="CG54" s="852" t="n">
        <v>0</v>
      </c>
      <c r="CH54" s="852" t="n">
        <v>0</v>
      </c>
      <c r="CI54" s="852" t="n">
        <v>0</v>
      </c>
      <c r="CJ54" s="1101" t="n">
        <v>0</v>
      </c>
      <c r="CK54" s="852" t="n">
        <v>0</v>
      </c>
      <c r="CL54" s="852" t="n">
        <v>0</v>
      </c>
      <c r="CM54" s="852" t="n">
        <v>0</v>
      </c>
      <c r="CN54" s="852" t="n">
        <v>0</v>
      </c>
      <c r="CO54" s="852" t="n">
        <v>0</v>
      </c>
      <c r="CP54" s="852" t="n">
        <v>0</v>
      </c>
      <c r="CQ54" s="1102" t="n">
        <v>0</v>
      </c>
      <c r="CR54" s="1103" t="n">
        <v>0</v>
      </c>
      <c r="CS54" s="1103" t="n">
        <v>0</v>
      </c>
      <c r="CT54" s="1103" t="n">
        <v>0</v>
      </c>
      <c r="CU54" s="1103" t="n">
        <v>0</v>
      </c>
      <c r="CV54" s="1103" t="n">
        <v>0</v>
      </c>
      <c r="CW54" s="1103" t="n">
        <v>0</v>
      </c>
      <c r="CX54" s="1104" t="n">
        <v>0</v>
      </c>
      <c r="CY54" s="1105" t="n">
        <v>7742.1728</v>
      </c>
      <c r="CZ54" s="1099" t="n">
        <v>0</v>
      </c>
      <c r="DA54" s="852" t="n">
        <v>0</v>
      </c>
      <c r="DB54" s="852" t="n">
        <v>0</v>
      </c>
      <c r="DC54" s="852" t="n">
        <v>0</v>
      </c>
      <c r="DD54" s="852" t="n">
        <v>0</v>
      </c>
      <c r="DE54" s="1113" t="n">
        <v>0</v>
      </c>
      <c r="DF54" s="1109" t="n">
        <v>0</v>
      </c>
      <c r="DG54" s="1110" t="n">
        <v>0</v>
      </c>
      <c r="DH54" s="1111" t="n">
        <v>0</v>
      </c>
      <c r="DI54" s="1112" t="n">
        <v>0</v>
      </c>
      <c r="DJ54" s="1112" t="n">
        <v>0</v>
      </c>
      <c r="DK54" s="1112" t="n">
        <v>0</v>
      </c>
      <c r="DL54" s="1113" t="n">
        <v>0</v>
      </c>
      <c r="DM54" s="1114" t="n">
        <v>0</v>
      </c>
      <c r="DN54" s="1114" t="n">
        <v>0</v>
      </c>
      <c r="DO54" s="1114" t="n">
        <v>0</v>
      </c>
      <c r="DP54" s="1114" t="n">
        <v>0</v>
      </c>
      <c r="DQ54" s="1114" t="n">
        <v>0</v>
      </c>
      <c r="DR54" s="1109" t="n">
        <v>0</v>
      </c>
      <c r="DS54" s="852" t="n">
        <v>0</v>
      </c>
      <c r="DT54" s="852" t="n">
        <v>0</v>
      </c>
      <c r="DU54" s="852" t="n">
        <v>0</v>
      </c>
      <c r="DV54" s="852" t="n">
        <v>0</v>
      </c>
      <c r="DW54" s="852" t="n">
        <v>0</v>
      </c>
      <c r="DX54" s="852" t="n">
        <v>0</v>
      </c>
      <c r="DY54" s="852" t="n">
        <v>0</v>
      </c>
      <c r="DZ54" s="852" t="n">
        <v>0</v>
      </c>
      <c r="EA54" s="852" t="n">
        <v>0</v>
      </c>
      <c r="EB54" s="1113" t="n">
        <v>0</v>
      </c>
      <c r="EC54" s="1115" t="n">
        <f aca="false">DS54*BD54</f>
        <v>0</v>
      </c>
      <c r="ED54" s="1115" t="n">
        <f aca="false">DT54*BE54</f>
        <v>0</v>
      </c>
      <c r="EE54" s="1115" t="n">
        <f aca="false">DU54*BF54</f>
        <v>0</v>
      </c>
      <c r="EF54" s="1115" t="n">
        <f aca="false">DV54*BG54</f>
        <v>0</v>
      </c>
      <c r="EG54" s="1115" t="n">
        <f aca="false">DS54*BD54+DT54*BE54+DU54*BF54+DV54*BG54</f>
        <v>0</v>
      </c>
      <c r="EH54" s="1116" t="n">
        <v>0</v>
      </c>
      <c r="EI54" s="1117" t="n">
        <v>0</v>
      </c>
      <c r="EJ54" s="1117" t="n">
        <v>0</v>
      </c>
      <c r="EK54" s="1117" t="n">
        <v>0</v>
      </c>
      <c r="EL54" s="1118" t="n">
        <f aca="false">IF(C54&gt;=Summary!$E$26,MAX(0,SUM(EH54:EK54)),0)</f>
        <v>0</v>
      </c>
      <c r="EM54" s="1115" t="n">
        <f aca="false">IF(C54&gt;=Summary!$E$26,DX54*BL54,0)</f>
        <v>0</v>
      </c>
      <c r="EN54" s="1115" t="n">
        <f aca="false">IF(C54&gt;=Summary!$E$26,DY54*BM54,0)</f>
        <v>0</v>
      </c>
      <c r="EO54" s="1115" t="n">
        <f aca="false">IF(C54&gt;=Summary!$E$26,DZ54*BN54,0)</f>
        <v>0</v>
      </c>
      <c r="EP54" s="1115" t="n">
        <f aca="false">IF(C54&gt;=Summary!$E$26,EA54*BO54,0)</f>
        <v>0</v>
      </c>
      <c r="EQ54" s="1115" t="n">
        <f aca="false">IF(C54&gt;=Summary!$E$26,DX54*BL54+DY54*BM54+DZ54*BN54+EA54*BO54,0)</f>
        <v>0</v>
      </c>
      <c r="ER54" s="1119" t="n">
        <v>0</v>
      </c>
      <c r="ES54" s="1120" t="n">
        <v>0</v>
      </c>
      <c r="ET54" s="1120" t="n">
        <v>0</v>
      </c>
      <c r="EU54" s="1120" t="n">
        <v>0</v>
      </c>
      <c r="EV54" s="1143" t="n">
        <f aca="false">IF(C54&gt;=Summary!$E$26,MAX(0,SUM(ER54:EU54)),0)</f>
        <v>0</v>
      </c>
      <c r="EW54" s="1115"/>
      <c r="EX54" s="1165" t="n">
        <f aca="false">(EQ54-EV54)+IF(EZ54="Yes",(EG54-EL54),0)</f>
        <v>0</v>
      </c>
      <c r="EY54" s="1166" t="str">
        <f aca="false">IF(EX54,EX54/EQ54,"")</f>
        <v/>
      </c>
      <c r="EZ54" s="1122" t="s">
        <v>37</v>
      </c>
      <c r="FA54" s="1096" t="n">
        <f aca="false">FA53</f>
        <v>45</v>
      </c>
      <c r="FB54" s="1167" t="n">
        <f aca="false">IF(EZ54="No",IF((OR(MONTH(C54)=5,MONTH(C54)=6,MONTH(C54)=7,MONTH(C54)=8,MONTH(C54)=9)),$FA54*12*AX54*(1-$BC54),$FA54*10*AX54*(1-$BC54)),0)</f>
        <v>8865</v>
      </c>
      <c r="FC54" s="1129" t="n">
        <f aca="false">IF(EZ54="No",IF((OR(MONTH(C54)=5,MONTH(C54)=6,MONTH(C54)=7,MONTH(C54)=8,MONTH(C54)=9)),0,$FA54*3*AX54*(1-$BC54)),0)</f>
        <v>2659.5</v>
      </c>
      <c r="FD54" s="1129" t="n">
        <f aca="false">IF(EZ54="No",IF((OR(MONTH(C54)=5,MONTH(C54)=6,MONTH(C54)=7,MONTH(C54)=8,MONTH(C54)=9)),$FA54*12*AY54*(1-$BC54),$FA54*10*AY54*(1-$BC54)),0)</f>
        <v>1773</v>
      </c>
      <c r="FE54" s="1129" t="n">
        <f aca="false">IF(EZ54="No",IF((OR(MONTH(C54)=5,MONTH(C54)=6,MONTH(C54)=7,MONTH(C54)=8,MONTH(C54)=9)),0,$FA54*3*AY54*(1-$BC54)),0)</f>
        <v>531.9</v>
      </c>
      <c r="FF54" s="1129" t="n">
        <f aca="false">IF(EZ54="No",IF((OR(MONTH(C54)=5,MONTH(C54)=6,MONTH(C54)=7,MONTH(C54)=8,MONTH(C54)=9)),$FA54*12*(AZ54+BA54)*(1-$BC54),$FA54*10*(AZ54+BA54)*(1-$BC54)),0)</f>
        <v>1773</v>
      </c>
      <c r="FG54" s="1129" t="n">
        <f aca="false">IF(EZ54="No",IF((OR(MONTH(C54)=5,MONTH(C54)=6,MONTH(C54)=7,MONTH(C54)=8,MONTH(C54)=9)),0,$FA54*3*(AZ54+BA54)*(1-$BC54)),0)</f>
        <v>531.9</v>
      </c>
      <c r="FH54" s="1170" t="n">
        <f aca="false">IF(EZ54="No",IF((OR(MONTH(C54)=5,MONTH(C54)=6,MONTH(C54)=7,MONTH(C54)=8,MONTH(C54)=9)),Summary!$O$15*12*(AX54+AY54+AZ54+BA54)*(1-$BC54),Summary!$O$15*13*(AX54+AY54+AZ54+BA54)*(1-$BC54)+IF(Summary!$O$16="Yes",(CALC!FA54+Summary!$O$15)*6*(AX54+AY54+AZ54+BA54)*(1-$BC54),0)),0)</f>
        <v>0</v>
      </c>
      <c r="FI54" s="1126" t="n">
        <f aca="false">IF(MONTH(C54)=5,FI53*(IF(Summary!$E$70="no",(1+(Summary!$E$71*0.8)),1+HLOOKUP(YEAR(C54)-1,CCFMODEL!$I$127:$AF$128,2)*0.8)),+FI53)</f>
        <v>28.5642970851971</v>
      </c>
      <c r="FJ54" s="1127" t="n">
        <f aca="false">IF(MONTH(C54)=5,FJ53*(IF(Summary!$E$70="no",(1+(Summary!$E$71*0.8)),1+HLOOKUP(YEAR(CALC!C54)-1,CCFMODEL!$I$127:$AF$128,2)*0.8)),FJ53)</f>
        <v>24.9656454839124</v>
      </c>
      <c r="FK54" s="1128" t="n">
        <f aca="false">SUM(FB54:FG54)*FI54+FH54*FJ54</f>
        <v>460864.938461695</v>
      </c>
      <c r="FL54" s="1126" t="n">
        <f aca="false">IF(MONTH(C54)=5,FL53*(IF(Summary!$E$70="no",(1+(Summary!$E$71*0.8)),1+HLOOKUP(YEAR(CALC!C54)-1,CCFMODEL!$I$127:$AF$128,2)*0.8)),+FL53)</f>
        <v>60.0739191416837</v>
      </c>
      <c r="FM54" s="1127" t="n">
        <f aca="false">IF(MONTH(C54)=5,FM53*(IF(Summary!$E$70="no",(1+(Summary!$E$71*0.8)),1+HLOOKUP(YEAR(CALC!C54)-1,CCFMODEL!$I$127:$AF$128,2)*0.8)),+FM53)</f>
        <v>28.6713998114258</v>
      </c>
      <c r="FN54" s="1128" t="n">
        <f aca="false">IF((OR(MONTH(C54)=5,MONTH(C54)=6,MONTH(C54)=7,MONTH(C54)=8,MONTH(C54)=9)),SUM(FB54:FG54)/(1-BC54)*FL54,SUM(FB54:FG54)/(1-BC54)*FM54)</f>
        <v>469637.528911154</v>
      </c>
      <c r="FO54" s="1129" t="n">
        <f aca="false">FK54+FN54</f>
        <v>930502.46737285</v>
      </c>
      <c r="FP54" s="1169" t="n">
        <f aca="false">FB54</f>
        <v>8865</v>
      </c>
      <c r="FQ54" s="1129" t="n">
        <f aca="false">FC54</f>
        <v>2659.5</v>
      </c>
      <c r="FR54" s="1129" t="n">
        <f aca="false">FD54</f>
        <v>1773</v>
      </c>
      <c r="FS54" s="1129" t="n">
        <f aca="false">FE54</f>
        <v>531.9</v>
      </c>
      <c r="FT54" s="1129" t="n">
        <f aca="false">FF54</f>
        <v>1773</v>
      </c>
      <c r="FU54" s="1129" t="n">
        <f aca="false">FG54</f>
        <v>531.9</v>
      </c>
      <c r="FV54" s="1170" t="n">
        <f aca="false">FH54</f>
        <v>0</v>
      </c>
      <c r="FW54" s="1115" t="n">
        <f aca="false">IF(ER54&gt;0,MIN(FB54-FP54,BL54),0)</f>
        <v>0</v>
      </c>
      <c r="FX54" s="1115" t="n">
        <f aca="false">IF(ES54&gt;0,MIN(FD54-FR54,BM54),0)</f>
        <v>0</v>
      </c>
      <c r="FY54" s="1115" t="n">
        <f aca="false">IF(ET54&gt;0,MIN(FF54-FT54,BN54),0)</f>
        <v>0</v>
      </c>
      <c r="FZ54" s="1143" t="n">
        <f aca="false">IF(EU54&gt;0,MIN(FH54-FV54,BO54),0)</f>
        <v>0</v>
      </c>
      <c r="GA54" s="1132" t="n">
        <f aca="false">(SUM(FP54:FV54)+SUM(GU54:HB54)/(1-Summary!$O$25))*CY54/1000</f>
        <v>213315.596698176</v>
      </c>
      <c r="GB54" s="1133" t="n">
        <f aca="false">IF($C54&lt;Summary!$M$81,+Summary!$O$81,VLOOKUP(C54,GasTable,19))</f>
        <v>2.4</v>
      </c>
      <c r="GC54" s="1134" t="n">
        <f aca="false">IF(H54&lt;=Summary!$N$84,MIN(GA54,Summary!$O$75*(H54-G54+1)),0)</f>
        <v>140000</v>
      </c>
      <c r="GD54" s="1135" t="n">
        <f aca="false">IF(Summary!$O$75*(H54-G54+1)*0.8&gt;GC54,1,0)</f>
        <v>0</v>
      </c>
      <c r="GE54" s="1136" t="n">
        <v>0</v>
      </c>
      <c r="GF54" s="1134" t="n">
        <f aca="false">ABS(MIN(0,GC54-$GA54))</f>
        <v>73315.596698176</v>
      </c>
      <c r="GG54" s="1135" t="n">
        <f aca="false">GF54*(IF(Summary!$O$74=1,VLOOKUP($C54,GasTable,16)+Summary!$O$92+Summary!$O$93,VLOOKUP($C54,GasTable,19)+Summary!$O$92+Summary!$O$93))</f>
        <v>200674.987107148</v>
      </c>
      <c r="GH54" s="1137" t="n">
        <v>18099.2</v>
      </c>
      <c r="GI54" s="1138" t="n">
        <v>0</v>
      </c>
      <c r="GJ54" s="1139" t="n">
        <f aca="false">+GB54*GC54+GE54+GG54+GH54-GI54</f>
        <v>554774.187107148</v>
      </c>
      <c r="GK54" s="1115" t="n">
        <f aca="false">SUM(FP54:FV54,GU54:GX54,GY54:HB54)</f>
        <v>27152.7858</v>
      </c>
      <c r="GL54" s="1140" t="n">
        <v>0.76028136896</v>
      </c>
      <c r="GM54" s="1141" t="n">
        <f aca="false">IF(GK54&gt;GC54/(CY54/1000),GC54/(CY54/1000),+GK54)*GL54</f>
        <v>13748</v>
      </c>
      <c r="GN54" s="1115" t="n">
        <f aca="false">IF(SUM(GU54:HB54)=0,0,IF(Summary!$O$16="Yes",SUM(GX54:HB54),IF(Summary!$O$17="Yes",SUM(GY54:HB54),SUM(GU54:HB54))))</f>
        <v>11018.4858</v>
      </c>
      <c r="GO54" s="1142" t="n">
        <v>2.60017181288321</v>
      </c>
      <c r="GP54" s="1143" t="n">
        <f aca="false">GN54*GO54</f>
        <v>28649.9561978139</v>
      </c>
      <c r="GQ54" s="1115"/>
      <c r="GR54" s="1115"/>
      <c r="GS54" s="1115"/>
      <c r="GT54" s="1115"/>
      <c r="GU54" s="1150" t="n">
        <v>5132.835</v>
      </c>
      <c r="GV54" s="1115" t="n">
        <v>1026.567</v>
      </c>
      <c r="GW54" s="1115" t="n">
        <v>1026.567</v>
      </c>
      <c r="GX54" s="1115"/>
      <c r="GY54" s="1151" t="n">
        <v>2737.512</v>
      </c>
      <c r="GZ54" s="1115" t="n">
        <v>547.5024</v>
      </c>
      <c r="HA54" s="1115" t="n">
        <v>547.5024</v>
      </c>
      <c r="HB54" s="1141"/>
      <c r="HC54" s="1115" t="n">
        <v>11018.4858</v>
      </c>
      <c r="HD54" s="1115"/>
      <c r="HE54" s="1115" t="n">
        <v>18923.0517</v>
      </c>
      <c r="HF54" s="1115" t="n">
        <v>346567.377103126</v>
      </c>
      <c r="HG54" s="1115"/>
      <c r="HH54" s="1142" t="n">
        <v>31.2184398685272</v>
      </c>
      <c r="HI54" s="1115" t="n">
        <v>590748.151625481</v>
      </c>
      <c r="HJ54" s="1150" t="n">
        <f aca="false">MAX(FB54-FP54-FW54,0)</f>
        <v>0</v>
      </c>
      <c r="HK54" s="1115" t="n">
        <f aca="false">MAX(FD54-FR54-FX54,0)</f>
        <v>0</v>
      </c>
      <c r="HL54" s="1115" t="n">
        <f aca="false">MAX(FF54-FT54-FY54,0)</f>
        <v>0</v>
      </c>
      <c r="HM54" s="1141" t="n">
        <f aca="false">MAX(FH54-FV54-FZ54,0)</f>
        <v>0</v>
      </c>
      <c r="HN54" s="1115" t="n">
        <f aca="false">SUM(HJ54:HM54)</f>
        <v>0</v>
      </c>
      <c r="HO54" s="1142" t="n">
        <f aca="false">IF(ISERROR(+HP54/HN54),0,+HP54/HN54)</f>
        <v>0</v>
      </c>
      <c r="HP54" s="1143" t="n">
        <f aca="false">(HJ54*CE54+HK54*CF54+HL54*CG54+HM54*CH54)</f>
        <v>0</v>
      </c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R54" s="844"/>
    </row>
    <row r="55" customFormat="false" ht="13.5" hidden="false" customHeight="false" outlineLevel="0" collapsed="false">
      <c r="A55" s="0" t="str">
        <f aca="false">+D55&amp;"Q"&amp;ROUNDUP(E55/3,0)</f>
        <v>2003Q1</v>
      </c>
      <c r="B55" s="0" t="n">
        <f aca="false">YEAR(C55)</f>
        <v>2003</v>
      </c>
      <c r="C55" s="1153" t="n">
        <f aca="false">EOMONTH(C54,0)+1</f>
        <v>37681</v>
      </c>
      <c r="D55" s="841" t="n">
        <f aca="false">+YEAR(C55)</f>
        <v>2003</v>
      </c>
      <c r="E55" s="807" t="n">
        <f aca="false">MONTH(C55)</f>
        <v>3</v>
      </c>
      <c r="F55" s="1154" t="e">
        <f aca="false">IF(G55="","",Holiday(D55,E55))</f>
        <v>#VALUE!</v>
      </c>
      <c r="G55" s="1155" t="n">
        <v>37681</v>
      </c>
      <c r="H55" s="1156" t="n">
        <v>37711</v>
      </c>
      <c r="I55" s="1157" t="n">
        <f aca="false">I54</f>
        <v>0.0715</v>
      </c>
      <c r="J55" s="1158" t="n">
        <f aca="false">(1+I55/2)^(-2*(DATE(D56,E56,20)-$H$7)/365.25)</f>
        <v>0.790541175309999</v>
      </c>
      <c r="K55" s="1159" t="e">
        <f aca="false">IF(#REF!=1,+#REF!,I55+#REF!/10000)</f>
        <v>#REF!</v>
      </c>
      <c r="L55" s="1158" t="e">
        <f aca="false">(1+K55/2)^(-2*(DATE(D56,E56,20)-$H$7)/365.25)</f>
        <v>#REF!</v>
      </c>
      <c r="M55" s="1082" t="n">
        <v>0</v>
      </c>
      <c r="N55" s="1110" t="n">
        <f aca="false">M55</f>
        <v>0</v>
      </c>
      <c r="O55" s="1174" t="n">
        <f aca="false">N55</f>
        <v>0</v>
      </c>
      <c r="P55" s="1175" t="n">
        <f aca="false">M55</f>
        <v>0</v>
      </c>
      <c r="Q55" s="1110" t="n">
        <f aca="false">P55</f>
        <v>0</v>
      </c>
      <c r="R55" s="1174" t="n">
        <f aca="false">Q55</f>
        <v>0</v>
      </c>
      <c r="S55" s="1110" t="n">
        <f aca="false">R55</f>
        <v>0</v>
      </c>
      <c r="T55" s="1110" t="n">
        <f aca="false">S55</f>
        <v>0</v>
      </c>
      <c r="U55" s="1110" t="n">
        <f aca="false">T55</f>
        <v>0</v>
      </c>
      <c r="V55" s="1175" t="n">
        <f aca="false">U55</f>
        <v>0</v>
      </c>
      <c r="W55" s="1110" t="n">
        <f aca="false">V55</f>
        <v>0</v>
      </c>
      <c r="X55" s="1176" t="n">
        <f aca="false">W55</f>
        <v>0</v>
      </c>
      <c r="Y55" s="1086" t="n">
        <v>0</v>
      </c>
      <c r="Z55" s="1086" t="n">
        <v>0</v>
      </c>
      <c r="AA55" s="1087" t="n">
        <v>0</v>
      </c>
      <c r="AB55" s="1086" t="n">
        <v>0</v>
      </c>
      <c r="AC55" s="1086" t="n">
        <v>0</v>
      </c>
      <c r="AD55" s="1087" t="n">
        <v>0</v>
      </c>
      <c r="AE55" s="1086" t="n">
        <v>0</v>
      </c>
      <c r="AF55" s="1086" t="n">
        <v>0</v>
      </c>
      <c r="AG55" s="1087" t="n">
        <v>0</v>
      </c>
      <c r="AH55" s="1086" t="n">
        <v>0</v>
      </c>
      <c r="AI55" s="1086" t="n">
        <v>0</v>
      </c>
      <c r="AJ55" s="1087" t="n">
        <v>0</v>
      </c>
      <c r="AK55" s="1086" t="n">
        <v>0</v>
      </c>
      <c r="AL55" s="1086" t="n">
        <v>0</v>
      </c>
      <c r="AM55" s="1087" t="n">
        <v>0</v>
      </c>
      <c r="AN55" s="1086" t="n">
        <v>0</v>
      </c>
      <c r="AO55" s="1086" t="n">
        <v>0</v>
      </c>
      <c r="AP55" s="1087" t="n">
        <v>0</v>
      </c>
      <c r="AQ55" s="1086" t="n">
        <v>0</v>
      </c>
      <c r="AR55" s="1086" t="n">
        <v>0</v>
      </c>
      <c r="AS55" s="1087" t="n">
        <v>0</v>
      </c>
      <c r="AT55" s="1086" t="n">
        <v>0</v>
      </c>
      <c r="AU55" s="1086" t="n">
        <v>0</v>
      </c>
      <c r="AV55" s="1086" t="n">
        <v>0</v>
      </c>
      <c r="AW55" s="1172" t="n">
        <v>0</v>
      </c>
      <c r="AX55" s="807" t="n">
        <f aca="false">BB55-SUM(AY55:BA55)</f>
        <v>21</v>
      </c>
      <c r="AY55" s="807" t="n">
        <f aca="false">IF(AND($E55=MONTH(Summary!$E$24),$D55=YEAR(Summary!$E$24)),Summary!$E$25,1)*IF(G55="",0,INT((H55-MOD(H55,7)-G55)/7)+1-IF(BA55,IF(WEEKDAY(F55)=7,1,0),0))</f>
        <v>5</v>
      </c>
      <c r="AZ55" s="807" t="n">
        <f aca="false">IF(AND($E55=MONTH(Summary!$E$24),$D55=YEAR(Summary!$E$24)),Summary!$E$25,1)*IF(G55="",0,INT((H55-MOD(H55-1,7)-G55)/7)+1-IF(BA55,IF(WEEKDAY(F55)=1,1,0),0))</f>
        <v>5</v>
      </c>
      <c r="BA55" s="807" t="n">
        <v>0</v>
      </c>
      <c r="BB55" s="807" t="n">
        <f aca="false">IF(AND($E55=MONTH(Summary!$E$24),$D55=YEAR(Summary!$E$24)),Summary!$E$25,1)*IF(G55="",0,H55-G55+1)</f>
        <v>31</v>
      </c>
      <c r="BC55" s="1089" t="n">
        <f aca="false">Summary!$E$19</f>
        <v>0.015</v>
      </c>
      <c r="BD55" s="1090" t="n">
        <v>14893.2</v>
      </c>
      <c r="BE55" s="1091" t="n">
        <v>3546</v>
      </c>
      <c r="BF55" s="1091" t="n">
        <v>3546</v>
      </c>
      <c r="BG55" s="842"/>
      <c r="BH55" s="1092" t="n">
        <v>1</v>
      </c>
      <c r="BI55" s="1092" t="n">
        <v>1</v>
      </c>
      <c r="BJ55" s="1092" t="n">
        <v>1</v>
      </c>
      <c r="BK55" s="1092" t="n">
        <v>1</v>
      </c>
      <c r="BL55" s="1093" t="n">
        <v>2978.64</v>
      </c>
      <c r="BM55" s="1091" t="n">
        <v>709.2</v>
      </c>
      <c r="BN55" s="1091" t="n">
        <v>709.2</v>
      </c>
      <c r="BO55" s="842"/>
      <c r="BP55" s="1092" t="n">
        <v>1</v>
      </c>
      <c r="BQ55" s="1094" t="n">
        <v>1</v>
      </c>
      <c r="BR55" s="1094" t="n">
        <v>1</v>
      </c>
      <c r="BS55" s="1095" t="n">
        <v>1</v>
      </c>
      <c r="BT55" s="1093" t="n">
        <f aca="false">SUM(BD55:BF55)</f>
        <v>21985.2</v>
      </c>
      <c r="BU55" s="1098" t="n">
        <f aca="false">SUM(BD55:BG55)</f>
        <v>21985.2</v>
      </c>
      <c r="BV55" s="1090" t="n">
        <f aca="false">SUM(BL55:BN55)</f>
        <v>4397.04</v>
      </c>
      <c r="BW55" s="1098" t="n">
        <f aca="false">SUM(BL55:BO55)</f>
        <v>4397.04</v>
      </c>
      <c r="BX55" s="852" t="n">
        <v>3.20876112251882</v>
      </c>
      <c r="BY55" s="1099" t="n">
        <v>0</v>
      </c>
      <c r="BZ55" s="852" t="n">
        <v>0</v>
      </c>
      <c r="CA55" s="852" t="n">
        <v>0</v>
      </c>
      <c r="CB55" s="852" t="n">
        <v>0</v>
      </c>
      <c r="CC55" s="852" t="n">
        <v>0</v>
      </c>
      <c r="CD55" s="852" t="n">
        <v>0</v>
      </c>
      <c r="CE55" s="1100" t="n">
        <v>0</v>
      </c>
      <c r="CF55" s="852" t="n">
        <v>0</v>
      </c>
      <c r="CG55" s="852" t="n">
        <v>0</v>
      </c>
      <c r="CH55" s="852" t="n">
        <v>0</v>
      </c>
      <c r="CI55" s="852" t="n">
        <v>0</v>
      </c>
      <c r="CJ55" s="1101" t="n">
        <v>0</v>
      </c>
      <c r="CK55" s="852" t="n">
        <v>0</v>
      </c>
      <c r="CL55" s="852" t="n">
        <v>0</v>
      </c>
      <c r="CM55" s="852" t="n">
        <v>0</v>
      </c>
      <c r="CN55" s="852" t="n">
        <v>0</v>
      </c>
      <c r="CO55" s="852" t="n">
        <v>0</v>
      </c>
      <c r="CP55" s="852" t="n">
        <v>0</v>
      </c>
      <c r="CQ55" s="1102" t="n">
        <v>0</v>
      </c>
      <c r="CR55" s="1103" t="n">
        <v>0</v>
      </c>
      <c r="CS55" s="1103" t="n">
        <v>0</v>
      </c>
      <c r="CT55" s="1103" t="n">
        <v>0</v>
      </c>
      <c r="CU55" s="1103" t="n">
        <v>0</v>
      </c>
      <c r="CV55" s="1103" t="n">
        <v>0</v>
      </c>
      <c r="CW55" s="1103" t="n">
        <v>0</v>
      </c>
      <c r="CX55" s="1104" t="n">
        <v>0</v>
      </c>
      <c r="CY55" s="1105" t="n">
        <v>7744.12712</v>
      </c>
      <c r="CZ55" s="1099" t="n">
        <v>0</v>
      </c>
      <c r="DA55" s="852" t="n">
        <v>0</v>
      </c>
      <c r="DB55" s="852" t="n">
        <v>0</v>
      </c>
      <c r="DC55" s="852" t="n">
        <v>0</v>
      </c>
      <c r="DD55" s="852" t="n">
        <v>0</v>
      </c>
      <c r="DE55" s="1113" t="n">
        <v>0</v>
      </c>
      <c r="DF55" s="1109" t="n">
        <v>0</v>
      </c>
      <c r="DG55" s="1110" t="n">
        <v>0</v>
      </c>
      <c r="DH55" s="1111" t="n">
        <v>0</v>
      </c>
      <c r="DI55" s="1112" t="n">
        <v>0</v>
      </c>
      <c r="DJ55" s="1112" t="n">
        <v>0</v>
      </c>
      <c r="DK55" s="1112" t="n">
        <v>0</v>
      </c>
      <c r="DL55" s="1113" t="n">
        <v>0</v>
      </c>
      <c r="DM55" s="1114" t="n">
        <v>0</v>
      </c>
      <c r="DN55" s="1114" t="n">
        <v>0</v>
      </c>
      <c r="DO55" s="1114" t="n">
        <v>0</v>
      </c>
      <c r="DP55" s="1114" t="n">
        <v>0</v>
      </c>
      <c r="DQ55" s="1114" t="n">
        <v>0</v>
      </c>
      <c r="DR55" s="1109" t="n">
        <v>0</v>
      </c>
      <c r="DS55" s="852" t="n">
        <v>0</v>
      </c>
      <c r="DT55" s="852" t="n">
        <v>0</v>
      </c>
      <c r="DU55" s="852" t="n">
        <v>0</v>
      </c>
      <c r="DV55" s="852" t="n">
        <v>0</v>
      </c>
      <c r="DW55" s="852" t="n">
        <v>0</v>
      </c>
      <c r="DX55" s="852" t="n">
        <v>0</v>
      </c>
      <c r="DY55" s="852" t="n">
        <v>0</v>
      </c>
      <c r="DZ55" s="852" t="n">
        <v>0</v>
      </c>
      <c r="EA55" s="852" t="n">
        <v>0</v>
      </c>
      <c r="EB55" s="1113" t="n">
        <v>0</v>
      </c>
      <c r="EC55" s="1115" t="n">
        <f aca="false">DS55*BD55</f>
        <v>0</v>
      </c>
      <c r="ED55" s="1115" t="n">
        <f aca="false">DT55*BE55</f>
        <v>0</v>
      </c>
      <c r="EE55" s="1115" t="n">
        <f aca="false">DU55*BF55</f>
        <v>0</v>
      </c>
      <c r="EF55" s="1115" t="n">
        <f aca="false">DV55*BG55</f>
        <v>0</v>
      </c>
      <c r="EG55" s="1115" t="n">
        <f aca="false">DS55*BD55+DT55*BE55+DU55*BF55+DV55*BG55</f>
        <v>0</v>
      </c>
      <c r="EH55" s="1116" t="n">
        <v>0</v>
      </c>
      <c r="EI55" s="1117" t="n">
        <v>0</v>
      </c>
      <c r="EJ55" s="1117" t="n">
        <v>0</v>
      </c>
      <c r="EK55" s="1117" t="n">
        <v>0</v>
      </c>
      <c r="EL55" s="1118" t="n">
        <f aca="false">IF(C55&gt;=Summary!$E$26,MAX(0,SUM(EH55:EK55)),0)</f>
        <v>0</v>
      </c>
      <c r="EM55" s="1115" t="n">
        <f aca="false">IF(C55&gt;=Summary!$E$26,DX55*BL55,0)</f>
        <v>0</v>
      </c>
      <c r="EN55" s="1115" t="n">
        <f aca="false">IF(C55&gt;=Summary!$E$26,DY55*BM55,0)</f>
        <v>0</v>
      </c>
      <c r="EO55" s="1115" t="n">
        <f aca="false">IF(C55&gt;=Summary!$E$26,DZ55*BN55,0)</f>
        <v>0</v>
      </c>
      <c r="EP55" s="1115" t="n">
        <f aca="false">IF(C55&gt;=Summary!$E$26,EA55*BO55,0)</f>
        <v>0</v>
      </c>
      <c r="EQ55" s="1115" t="n">
        <f aca="false">IF(C55&gt;=Summary!$E$26,DX55*BL55+DY55*BM55+DZ55*BN55+EA55*BO55,0)</f>
        <v>0</v>
      </c>
      <c r="ER55" s="1119" t="n">
        <v>0</v>
      </c>
      <c r="ES55" s="1120" t="n">
        <v>0</v>
      </c>
      <c r="ET55" s="1120" t="n">
        <v>0</v>
      </c>
      <c r="EU55" s="1120" t="n">
        <v>0</v>
      </c>
      <c r="EV55" s="1143" t="n">
        <f aca="false">IF(C55&gt;=Summary!$E$26,MAX(0,SUM(ER55:EU55)),0)</f>
        <v>0</v>
      </c>
      <c r="EW55" s="1115"/>
      <c r="EX55" s="1165" t="n">
        <f aca="false">(EQ55-EV55)+IF(EZ55="Yes",(EG55-EL55),0)</f>
        <v>0</v>
      </c>
      <c r="EY55" s="1166" t="str">
        <f aca="false">IF(EX55,EX55/EQ55,"")</f>
        <v/>
      </c>
      <c r="EZ55" s="1122" t="s">
        <v>37</v>
      </c>
      <c r="FA55" s="1096" t="n">
        <f aca="false">FA54</f>
        <v>45</v>
      </c>
      <c r="FB55" s="1167" t="n">
        <f aca="false">IF(EZ55="No",IF((OR(MONTH(C55)=5,MONTH(C55)=6,MONTH(C55)=7,MONTH(C55)=8,MONTH(C55)=9)),$FA55*12*AX55*(1-$BC55),$FA55*10*AX55*(1-$BC55)),0)</f>
        <v>9308.25</v>
      </c>
      <c r="FC55" s="1129" t="n">
        <f aca="false">IF(EZ55="No",IF((OR(MONTH(C55)=5,MONTH(C55)=6,MONTH(C55)=7,MONTH(C55)=8,MONTH(C55)=9)),0,$FA55*3*AX55*(1-$BC55)),0)</f>
        <v>2792.475</v>
      </c>
      <c r="FD55" s="1129" t="n">
        <f aca="false">IF(EZ55="No",IF((OR(MONTH(C55)=5,MONTH(C55)=6,MONTH(C55)=7,MONTH(C55)=8,MONTH(C55)=9)),$FA55*12*AY55*(1-$BC55),$FA55*10*AY55*(1-$BC55)),0)</f>
        <v>2216.25</v>
      </c>
      <c r="FE55" s="1129" t="n">
        <f aca="false">IF(EZ55="No",IF((OR(MONTH(C55)=5,MONTH(C55)=6,MONTH(C55)=7,MONTH(C55)=8,MONTH(C55)=9)),0,$FA55*3*AY55*(1-$BC55)),0)</f>
        <v>664.875</v>
      </c>
      <c r="FF55" s="1129" t="n">
        <f aca="false">IF(EZ55="No",IF((OR(MONTH(C55)=5,MONTH(C55)=6,MONTH(C55)=7,MONTH(C55)=8,MONTH(C55)=9)),$FA55*12*(AZ55+BA55)*(1-$BC55),$FA55*10*(AZ55+BA55)*(1-$BC55)),0)</f>
        <v>2216.25</v>
      </c>
      <c r="FG55" s="1129" t="n">
        <f aca="false">IF(EZ55="No",IF((OR(MONTH(C55)=5,MONTH(C55)=6,MONTH(C55)=7,MONTH(C55)=8,MONTH(C55)=9)),0,$FA55*3*(AZ55+BA55)*(1-$BC55)),0)</f>
        <v>664.875</v>
      </c>
      <c r="FH55" s="1170" t="n">
        <f aca="false">IF(EZ55="No",IF((OR(MONTH(C55)=5,MONTH(C55)=6,MONTH(C55)=7,MONTH(C55)=8,MONTH(C55)=9)),Summary!$O$15*12*(AX55+AY55+AZ55+BA55)*(1-$BC55),Summary!$O$15*13*(AX55+AY55+AZ55+BA55)*(1-$BC55)+IF(Summary!$O$16="Yes",(CALC!FA55+Summary!$O$15)*6*(AX55+AY55+AZ55+BA55)*(1-$BC55),0)),0)</f>
        <v>0</v>
      </c>
      <c r="FI55" s="1126" t="n">
        <f aca="false">IF(MONTH(C55)=5,FI54*(IF(Summary!$E$70="no",(1+(Summary!$E$71*0.8)),1+HLOOKUP(YEAR(C55)-1,CCFMODEL!$I$127:$AF$128,2)*0.8)),+FI54)</f>
        <v>28.5642970851971</v>
      </c>
      <c r="FJ55" s="1127" t="n">
        <f aca="false">IF(MONTH(C55)=5,FJ54*(IF(Summary!$E$70="no",(1+(Summary!$E$71*0.8)),1+HLOOKUP(YEAR(CALC!C55)-1,CCFMODEL!$I$127:$AF$128,2)*0.8)),FJ54)</f>
        <v>24.9656454839124</v>
      </c>
      <c r="FK55" s="1128" t="n">
        <f aca="false">SUM(FB55:FG55)*FI55+FH55*FJ55</f>
        <v>510243.324725448</v>
      </c>
      <c r="FL55" s="1126" t="n">
        <f aca="false">IF(MONTH(C55)=5,FL54*(IF(Summary!$E$70="no",(1+(Summary!$E$71*0.8)),1+HLOOKUP(YEAR(CALC!C55)-1,CCFMODEL!$I$127:$AF$128,2)*0.8)),+FL54)</f>
        <v>60.0739191416837</v>
      </c>
      <c r="FM55" s="1127" t="n">
        <f aca="false">IF(MONTH(C55)=5,FM54*(IF(Summary!$E$70="no",(1+(Summary!$E$71*0.8)),1+HLOOKUP(YEAR(CALC!C55)-1,CCFMODEL!$I$127:$AF$128,2)*0.8)),+FM54)</f>
        <v>28.6713998114258</v>
      </c>
      <c r="FN55" s="1128" t="n">
        <f aca="false">IF((OR(MONTH(C55)=5,MONTH(C55)=6,MONTH(C55)=7,MONTH(C55)=8,MONTH(C55)=9)),SUM(FB55:FG55)/(1-BC55)*FL55,SUM(FB55:FG55)/(1-BC55)*FM55)</f>
        <v>519955.835580207</v>
      </c>
      <c r="FO55" s="1129" t="n">
        <f aca="false">FK55+FN55</f>
        <v>1030199.16030566</v>
      </c>
      <c r="FP55" s="1169" t="n">
        <f aca="false">FB55</f>
        <v>9308.25</v>
      </c>
      <c r="FQ55" s="1129" t="n">
        <f aca="false">FC55</f>
        <v>2792.475</v>
      </c>
      <c r="FR55" s="1129" t="n">
        <f aca="false">FD55</f>
        <v>2216.25</v>
      </c>
      <c r="FS55" s="1129" t="n">
        <f aca="false">FE55</f>
        <v>664.875</v>
      </c>
      <c r="FT55" s="1129" t="n">
        <f aca="false">FF55</f>
        <v>2216.25</v>
      </c>
      <c r="FU55" s="1129" t="n">
        <f aca="false">FG55</f>
        <v>664.875</v>
      </c>
      <c r="FV55" s="1170" t="n">
        <f aca="false">FH55</f>
        <v>0</v>
      </c>
      <c r="FW55" s="1115" t="n">
        <f aca="false">IF(ER55&gt;0,MIN(FB55-FP55,BL55),0)</f>
        <v>0</v>
      </c>
      <c r="FX55" s="1115" t="n">
        <f aca="false">IF(ES55&gt;0,MIN(FD55-FR55,BM55),0)</f>
        <v>0</v>
      </c>
      <c r="FY55" s="1115" t="n">
        <f aca="false">IF(ET55&gt;0,MIN(FF55-FT55,BN55),0)</f>
        <v>0</v>
      </c>
      <c r="FZ55" s="1143" t="n">
        <f aca="false">IF(EU55&gt;0,MIN(FH55-FV55,BO55),0)</f>
        <v>0</v>
      </c>
      <c r="GA55" s="1132" t="n">
        <f aca="false">(SUM(FP55:FV55)+SUM(GU55:HB55)/(1-Summary!$O$25))*CY55/1000</f>
        <v>236230.454687591</v>
      </c>
      <c r="GB55" s="1133" t="n">
        <f aca="false">IF($C55&lt;Summary!$M$81,+Summary!$O$81,VLOOKUP(C55,GasTable,19))</f>
        <v>2.4</v>
      </c>
      <c r="GC55" s="1134" t="n">
        <f aca="false">IF(H55&lt;=Summary!$N$84,MIN(GA55,Summary!$O$75*(H55-G55+1)),0)</f>
        <v>155000</v>
      </c>
      <c r="GD55" s="1135" t="n">
        <f aca="false">IF(Summary!$O$75*(H55-G55+1)*0.8&gt;GC55,1,0)</f>
        <v>0</v>
      </c>
      <c r="GE55" s="1136" t="n">
        <v>0</v>
      </c>
      <c r="GF55" s="1134" t="n">
        <f aca="false">ABS(MIN(0,GC55-$GA55))</f>
        <v>81230.4546875908</v>
      </c>
      <c r="GG55" s="1135" t="n">
        <f aca="false">GF55*(IF(Summary!$O$74=1,VLOOKUP($C55,GasTable,16)+Summary!$O$92+Summary!$O$93,VLOOKUP($C55,GasTable,19)+Summary!$O$92+Summary!$O$93))</f>
        <v>209781.009652488</v>
      </c>
      <c r="GH55" s="1137" t="n">
        <v>19170.4</v>
      </c>
      <c r="GI55" s="1138" t="n">
        <v>0</v>
      </c>
      <c r="GJ55" s="1139" t="n">
        <f aca="false">+GB55*GC55+GE55+GG55+GH55-GI55</f>
        <v>600951.409652488</v>
      </c>
      <c r="GK55" s="1115" t="n">
        <f aca="false">SUM(FP55:FV55,GU55:GX55,GY55:HB55)</f>
        <v>30062.01285</v>
      </c>
      <c r="GL55" s="1140" t="n">
        <v>0.760473283184</v>
      </c>
      <c r="GM55" s="1141" t="n">
        <f aca="false">IF(GK55&gt;GC55/(CY55/1000),GC55/(CY55/1000),+GK55)*GL55</f>
        <v>15221</v>
      </c>
      <c r="GN55" s="1115" t="n">
        <f aca="false">IF(SUM(GU55:HB55)=0,0,IF(Summary!$O$16="Yes",SUM(GX55:HB55),IF(Summary!$O$17="Yes",SUM(GY55:HB55),SUM(GU55:HB55))))</f>
        <v>12199.03785</v>
      </c>
      <c r="GO55" s="1142" t="n">
        <v>2.60017181288321</v>
      </c>
      <c r="GP55" s="1143" t="n">
        <f aca="false">GN55*GO55</f>
        <v>31719.5943618654</v>
      </c>
      <c r="GQ55" s="1115"/>
      <c r="GR55" s="1115"/>
      <c r="GS55" s="1115"/>
      <c r="GT55" s="1115"/>
      <c r="GU55" s="1150" t="n">
        <v>5389.47675</v>
      </c>
      <c r="GV55" s="1115" t="n">
        <v>1283.20875</v>
      </c>
      <c r="GW55" s="1115" t="n">
        <v>1283.20875</v>
      </c>
      <c r="GX55" s="1115"/>
      <c r="GY55" s="1151" t="n">
        <v>2874.3876</v>
      </c>
      <c r="GZ55" s="1115" t="n">
        <v>684.378</v>
      </c>
      <c r="HA55" s="1115" t="n">
        <v>684.378</v>
      </c>
      <c r="HB55" s="1141"/>
      <c r="HC55" s="1115" t="n">
        <v>12199.03785</v>
      </c>
      <c r="HD55" s="1115"/>
      <c r="HE55" s="1115" t="n">
        <v>20950.521525</v>
      </c>
      <c r="HF55" s="1115" t="n">
        <v>347657.471624677</v>
      </c>
      <c r="HG55" s="1115"/>
      <c r="HH55" s="1142" t="n">
        <v>28.0310852579808</v>
      </c>
      <c r="HI55" s="1115" t="n">
        <v>587265.855066437</v>
      </c>
      <c r="HJ55" s="1150" t="n">
        <f aca="false">MAX(FB55-FP55-FW55,0)</f>
        <v>0</v>
      </c>
      <c r="HK55" s="1115" t="n">
        <f aca="false">MAX(FD55-FR55-FX55,0)</f>
        <v>0</v>
      </c>
      <c r="HL55" s="1115" t="n">
        <f aca="false">MAX(FF55-FT55-FY55,0)</f>
        <v>0</v>
      </c>
      <c r="HM55" s="1141" t="n">
        <f aca="false">MAX(FH55-FV55-FZ55,0)</f>
        <v>0</v>
      </c>
      <c r="HN55" s="1115" t="n">
        <f aca="false">SUM(HJ55:HM55)</f>
        <v>0</v>
      </c>
      <c r="HO55" s="1142" t="n">
        <f aca="false">IF(ISERROR(+HP55/HN55),0,+HP55/HN55)</f>
        <v>0</v>
      </c>
      <c r="HP55" s="1143" t="n">
        <f aca="false">(HJ55*CE55+HK55*CF55+HL55*CG55+HM55*CH55)</f>
        <v>0</v>
      </c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R55" s="844"/>
    </row>
    <row r="56" customFormat="false" ht="13.5" hidden="false" customHeight="false" outlineLevel="0" collapsed="false">
      <c r="A56" s="0" t="str">
        <f aca="false">+D56&amp;"Q"&amp;ROUNDUP(E56/3,0)</f>
        <v>2003Q2</v>
      </c>
      <c r="B56" s="0" t="n">
        <f aca="false">YEAR(C56)</f>
        <v>2003</v>
      </c>
      <c r="C56" s="1153" t="n">
        <f aca="false">EOMONTH(C55,0)+1</f>
        <v>37712</v>
      </c>
      <c r="D56" s="841" t="n">
        <f aca="false">+YEAR(C56)</f>
        <v>2003</v>
      </c>
      <c r="E56" s="807" t="n">
        <f aca="false">MONTH(C56)</f>
        <v>4</v>
      </c>
      <c r="F56" s="1154" t="e">
        <f aca="false">IF(G56="","",Holiday(D56,E56))</f>
        <v>#VALUE!</v>
      </c>
      <c r="G56" s="1155" t="n">
        <v>37712</v>
      </c>
      <c r="H56" s="1156" t="n">
        <v>37741</v>
      </c>
      <c r="I56" s="1157" t="n">
        <f aca="false">I55</f>
        <v>0.0715</v>
      </c>
      <c r="J56" s="1158" t="n">
        <f aca="false">(1+I56/2)^(-2*(DATE(D57,E57,20)-$H$7)/365.25)</f>
        <v>0.785992767471352</v>
      </c>
      <c r="K56" s="1159" t="e">
        <f aca="false">IF(#REF!=1,+#REF!,I56+#REF!/10000)</f>
        <v>#REF!</v>
      </c>
      <c r="L56" s="1158" t="e">
        <f aca="false">(1+K56/2)^(-2*(DATE(D57,E57,20)-$H$7)/365.25)</f>
        <v>#REF!</v>
      </c>
      <c r="M56" s="1082" t="n">
        <v>0</v>
      </c>
      <c r="N56" s="1110" t="n">
        <f aca="false">M56</f>
        <v>0</v>
      </c>
      <c r="O56" s="1174" t="n">
        <f aca="false">N56</f>
        <v>0</v>
      </c>
      <c r="P56" s="1175" t="n">
        <f aca="false">M56</f>
        <v>0</v>
      </c>
      <c r="Q56" s="1110" t="n">
        <f aca="false">P56</f>
        <v>0</v>
      </c>
      <c r="R56" s="1174" t="n">
        <f aca="false">Q56</f>
        <v>0</v>
      </c>
      <c r="S56" s="1110" t="n">
        <f aca="false">R56</f>
        <v>0</v>
      </c>
      <c r="T56" s="1110" t="n">
        <f aca="false">S56</f>
        <v>0</v>
      </c>
      <c r="U56" s="1110" t="n">
        <f aca="false">T56</f>
        <v>0</v>
      </c>
      <c r="V56" s="1175" t="n">
        <f aca="false">U56</f>
        <v>0</v>
      </c>
      <c r="W56" s="1110" t="n">
        <f aca="false">V56</f>
        <v>0</v>
      </c>
      <c r="X56" s="1176" t="n">
        <f aca="false">W56</f>
        <v>0</v>
      </c>
      <c r="Y56" s="1086" t="n">
        <v>0</v>
      </c>
      <c r="Z56" s="1086" t="n">
        <v>0</v>
      </c>
      <c r="AA56" s="1087" t="n">
        <v>0</v>
      </c>
      <c r="AB56" s="1086" t="n">
        <v>0</v>
      </c>
      <c r="AC56" s="1086" t="n">
        <v>0</v>
      </c>
      <c r="AD56" s="1087" t="n">
        <v>0</v>
      </c>
      <c r="AE56" s="1086" t="n">
        <v>0</v>
      </c>
      <c r="AF56" s="1086" t="n">
        <v>0</v>
      </c>
      <c r="AG56" s="1087" t="n">
        <v>0</v>
      </c>
      <c r="AH56" s="1086" t="n">
        <v>0</v>
      </c>
      <c r="AI56" s="1086" t="n">
        <v>0</v>
      </c>
      <c r="AJ56" s="1087" t="n">
        <v>0</v>
      </c>
      <c r="AK56" s="1086" t="n">
        <v>0</v>
      </c>
      <c r="AL56" s="1086" t="n">
        <v>0</v>
      </c>
      <c r="AM56" s="1087" t="n">
        <v>0</v>
      </c>
      <c r="AN56" s="1086" t="n">
        <v>0</v>
      </c>
      <c r="AO56" s="1086" t="n">
        <v>0</v>
      </c>
      <c r="AP56" s="1087" t="n">
        <v>0</v>
      </c>
      <c r="AQ56" s="1086" t="n">
        <v>0</v>
      </c>
      <c r="AR56" s="1086" t="n">
        <v>0</v>
      </c>
      <c r="AS56" s="1087" t="n">
        <v>0</v>
      </c>
      <c r="AT56" s="1086" t="n">
        <v>0</v>
      </c>
      <c r="AU56" s="1086" t="n">
        <v>0</v>
      </c>
      <c r="AV56" s="1086" t="n">
        <v>0</v>
      </c>
      <c r="AW56" s="1172" t="n">
        <v>0</v>
      </c>
      <c r="AX56" s="807" t="n">
        <f aca="false">BB56-SUM(AY56:BA56)</f>
        <v>22</v>
      </c>
      <c r="AY56" s="807" t="n">
        <f aca="false">IF(AND($E56=MONTH(Summary!$E$24),$D56=YEAR(Summary!$E$24)),Summary!$E$25,1)*IF(G56="",0,INT((H56-MOD(H56,7)-G56)/7)+1-IF(BA56,IF(WEEKDAY(F56)=7,1,0),0))</f>
        <v>4</v>
      </c>
      <c r="AZ56" s="807" t="n">
        <f aca="false">IF(AND($E56=MONTH(Summary!$E$24),$D56=YEAR(Summary!$E$24)),Summary!$E$25,1)*IF(G56="",0,INT((H56-MOD(H56-1,7)-G56)/7)+1-IF(BA56,IF(WEEKDAY(F56)=1,1,0),0))</f>
        <v>4</v>
      </c>
      <c r="BA56" s="807" t="n">
        <v>0</v>
      </c>
      <c r="BB56" s="807" t="n">
        <f aca="false">IF(AND($E56=MONTH(Summary!$E$24),$D56=YEAR(Summary!$E$24)),Summary!$E$25,1)*IF(G56="",0,H56-G56+1)</f>
        <v>30</v>
      </c>
      <c r="BC56" s="1089" t="n">
        <f aca="false">Summary!$E$19</f>
        <v>0.015</v>
      </c>
      <c r="BD56" s="1090" t="n">
        <v>15602.4</v>
      </c>
      <c r="BE56" s="1091" t="n">
        <v>2836.8</v>
      </c>
      <c r="BF56" s="1091" t="n">
        <v>2836.8</v>
      </c>
      <c r="BG56" s="842"/>
      <c r="BH56" s="1092" t="n">
        <v>1</v>
      </c>
      <c r="BI56" s="1092" t="n">
        <v>1</v>
      </c>
      <c r="BJ56" s="1092" t="n">
        <v>1</v>
      </c>
      <c r="BK56" s="1092" t="n">
        <v>1</v>
      </c>
      <c r="BL56" s="1093" t="n">
        <v>3120.48</v>
      </c>
      <c r="BM56" s="1091" t="n">
        <v>567.36</v>
      </c>
      <c r="BN56" s="1091" t="n">
        <v>567.36</v>
      </c>
      <c r="BO56" s="842"/>
      <c r="BP56" s="1092" t="n">
        <v>1</v>
      </c>
      <c r="BQ56" s="1094" t="n">
        <v>1</v>
      </c>
      <c r="BR56" s="1094" t="n">
        <v>1</v>
      </c>
      <c r="BS56" s="1095" t="n">
        <v>1</v>
      </c>
      <c r="BT56" s="1093" t="n">
        <f aca="false">SUM(BD56:BF56)</f>
        <v>21276</v>
      </c>
      <c r="BU56" s="1098" t="n">
        <f aca="false">SUM(BD56:BG56)</f>
        <v>21276</v>
      </c>
      <c r="BV56" s="1090" t="n">
        <f aca="false">SUM(BL56:BN56)</f>
        <v>4255.2</v>
      </c>
      <c r="BW56" s="1098" t="n">
        <f aca="false">SUM(BL56:BO56)</f>
        <v>4255.2</v>
      </c>
      <c r="BX56" s="852" t="n">
        <v>3.29363449691992</v>
      </c>
      <c r="BY56" s="1099" t="n">
        <v>0</v>
      </c>
      <c r="BZ56" s="852" t="n">
        <v>0</v>
      </c>
      <c r="CA56" s="852" t="n">
        <v>0</v>
      </c>
      <c r="CB56" s="852" t="n">
        <v>0</v>
      </c>
      <c r="CC56" s="852" t="n">
        <v>0</v>
      </c>
      <c r="CD56" s="852" t="n">
        <v>0</v>
      </c>
      <c r="CE56" s="1100" t="n">
        <v>0</v>
      </c>
      <c r="CF56" s="852" t="n">
        <v>0</v>
      </c>
      <c r="CG56" s="852" t="n">
        <v>0</v>
      </c>
      <c r="CH56" s="852" t="n">
        <v>0</v>
      </c>
      <c r="CI56" s="852" t="n">
        <v>0</v>
      </c>
      <c r="CJ56" s="1101" t="n">
        <v>0</v>
      </c>
      <c r="CK56" s="852" t="n">
        <v>0</v>
      </c>
      <c r="CL56" s="852" t="n">
        <v>0</v>
      </c>
      <c r="CM56" s="852" t="n">
        <v>0</v>
      </c>
      <c r="CN56" s="852" t="n">
        <v>0</v>
      </c>
      <c r="CO56" s="852" t="n">
        <v>0</v>
      </c>
      <c r="CP56" s="852" t="n">
        <v>0</v>
      </c>
      <c r="CQ56" s="1102" t="n">
        <v>0</v>
      </c>
      <c r="CR56" s="1103" t="n">
        <v>0</v>
      </c>
      <c r="CS56" s="1103" t="n">
        <v>0</v>
      </c>
      <c r="CT56" s="1103" t="n">
        <v>0</v>
      </c>
      <c r="CU56" s="1103" t="n">
        <v>0</v>
      </c>
      <c r="CV56" s="1103" t="n">
        <v>0</v>
      </c>
      <c r="CW56" s="1103" t="n">
        <v>0</v>
      </c>
      <c r="CX56" s="1104" t="n">
        <v>0</v>
      </c>
      <c r="CY56" s="1105" t="n">
        <v>7746.08144</v>
      </c>
      <c r="CZ56" s="1099" t="n">
        <v>0</v>
      </c>
      <c r="DA56" s="852" t="n">
        <v>0</v>
      </c>
      <c r="DB56" s="852" t="n">
        <v>0</v>
      </c>
      <c r="DC56" s="852" t="n">
        <v>0</v>
      </c>
      <c r="DD56" s="852" t="n">
        <v>0</v>
      </c>
      <c r="DE56" s="1113" t="n">
        <v>0</v>
      </c>
      <c r="DF56" s="1109" t="n">
        <v>0</v>
      </c>
      <c r="DG56" s="1110" t="n">
        <v>0</v>
      </c>
      <c r="DH56" s="1111" t="n">
        <v>0</v>
      </c>
      <c r="DI56" s="1112" t="n">
        <v>0</v>
      </c>
      <c r="DJ56" s="1112" t="n">
        <v>0</v>
      </c>
      <c r="DK56" s="1112" t="n">
        <v>0</v>
      </c>
      <c r="DL56" s="1113" t="n">
        <v>0</v>
      </c>
      <c r="DM56" s="1114" t="n">
        <v>0</v>
      </c>
      <c r="DN56" s="1114" t="n">
        <v>0</v>
      </c>
      <c r="DO56" s="1114" t="n">
        <v>0</v>
      </c>
      <c r="DP56" s="1114" t="n">
        <v>0</v>
      </c>
      <c r="DQ56" s="1114" t="n">
        <v>0</v>
      </c>
      <c r="DR56" s="1109" t="n">
        <v>0</v>
      </c>
      <c r="DS56" s="852" t="n">
        <v>0</v>
      </c>
      <c r="DT56" s="852" t="n">
        <v>0</v>
      </c>
      <c r="DU56" s="852" t="n">
        <v>0</v>
      </c>
      <c r="DV56" s="852" t="n">
        <v>0</v>
      </c>
      <c r="DW56" s="852" t="n">
        <v>0</v>
      </c>
      <c r="DX56" s="852" t="n">
        <v>0</v>
      </c>
      <c r="DY56" s="852" t="n">
        <v>0</v>
      </c>
      <c r="DZ56" s="852" t="n">
        <v>0</v>
      </c>
      <c r="EA56" s="852" t="n">
        <v>0</v>
      </c>
      <c r="EB56" s="1113" t="n">
        <v>0</v>
      </c>
      <c r="EC56" s="1115" t="n">
        <f aca="false">DS56*BD56</f>
        <v>0</v>
      </c>
      <c r="ED56" s="1115" t="n">
        <f aca="false">DT56*BE56</f>
        <v>0</v>
      </c>
      <c r="EE56" s="1115" t="n">
        <f aca="false">DU56*BF56</f>
        <v>0</v>
      </c>
      <c r="EF56" s="1115" t="n">
        <f aca="false">DV56*BG56</f>
        <v>0</v>
      </c>
      <c r="EG56" s="1115" t="n">
        <f aca="false">DS56*BD56+DT56*BE56+DU56*BF56+DV56*BG56</f>
        <v>0</v>
      </c>
      <c r="EH56" s="1116" t="n">
        <v>0</v>
      </c>
      <c r="EI56" s="1117" t="n">
        <v>0</v>
      </c>
      <c r="EJ56" s="1117" t="n">
        <v>0</v>
      </c>
      <c r="EK56" s="1117" t="n">
        <v>0</v>
      </c>
      <c r="EL56" s="1118" t="n">
        <f aca="false">IF(C56&gt;=Summary!$E$26,MAX(0,SUM(EH56:EK56)),0)</f>
        <v>0</v>
      </c>
      <c r="EM56" s="1115" t="n">
        <f aca="false">IF(C56&gt;=Summary!$E$26,DX56*BL56,0)</f>
        <v>0</v>
      </c>
      <c r="EN56" s="1115" t="n">
        <f aca="false">IF(C56&gt;=Summary!$E$26,DY56*BM56,0)</f>
        <v>0</v>
      </c>
      <c r="EO56" s="1115" t="n">
        <f aca="false">IF(C56&gt;=Summary!$E$26,DZ56*BN56,0)</f>
        <v>0</v>
      </c>
      <c r="EP56" s="1115" t="n">
        <f aca="false">IF(C56&gt;=Summary!$E$26,EA56*BO56,0)</f>
        <v>0</v>
      </c>
      <c r="EQ56" s="1115" t="n">
        <f aca="false">IF(C56&gt;=Summary!$E$26,DX56*BL56+DY56*BM56+DZ56*BN56+EA56*BO56,0)</f>
        <v>0</v>
      </c>
      <c r="ER56" s="1119" t="n">
        <v>0</v>
      </c>
      <c r="ES56" s="1120" t="n">
        <v>0</v>
      </c>
      <c r="ET56" s="1120" t="n">
        <v>0</v>
      </c>
      <c r="EU56" s="1120" t="n">
        <v>0</v>
      </c>
      <c r="EV56" s="1143" t="n">
        <f aca="false">IF(C56&gt;=Summary!$E$26,MAX(0,SUM(ER56:EU56)),0)</f>
        <v>0</v>
      </c>
      <c r="EW56" s="1115"/>
      <c r="EX56" s="1165" t="n">
        <f aca="false">(EQ56-EV56)+IF(EZ56="Yes",(EG56-EL56),0)</f>
        <v>0</v>
      </c>
      <c r="EY56" s="1166" t="str">
        <f aca="false">IF(EX56,EX56/EQ56,"")</f>
        <v/>
      </c>
      <c r="EZ56" s="1122" t="s">
        <v>37</v>
      </c>
      <c r="FA56" s="1096" t="n">
        <f aca="false">FA55</f>
        <v>45</v>
      </c>
      <c r="FB56" s="1167" t="n">
        <f aca="false">IF(EZ56="No",IF((OR(MONTH(C56)=5,MONTH(C56)=6,MONTH(C56)=7,MONTH(C56)=8,MONTH(C56)=9)),$FA56*12*AX56*(1-$BC56),$FA56*10*AX56*(1-$BC56)),0)</f>
        <v>9751.5</v>
      </c>
      <c r="FC56" s="1129" t="n">
        <f aca="false">IF(EZ56="No",IF((OR(MONTH(C56)=5,MONTH(C56)=6,MONTH(C56)=7,MONTH(C56)=8,MONTH(C56)=9)),0,$FA56*3*AX56*(1-$BC56)),0)</f>
        <v>2925.45</v>
      </c>
      <c r="FD56" s="1129" t="n">
        <f aca="false">IF(EZ56="No",IF((OR(MONTH(C56)=5,MONTH(C56)=6,MONTH(C56)=7,MONTH(C56)=8,MONTH(C56)=9)),$FA56*12*AY56*(1-$BC56),$FA56*10*AY56*(1-$BC56)),0)</f>
        <v>1773</v>
      </c>
      <c r="FE56" s="1129" t="n">
        <f aca="false">IF(EZ56="No",IF((OR(MONTH(C56)=5,MONTH(C56)=6,MONTH(C56)=7,MONTH(C56)=8,MONTH(C56)=9)),0,$FA56*3*AY56*(1-$BC56)),0)</f>
        <v>531.9</v>
      </c>
      <c r="FF56" s="1129" t="n">
        <f aca="false">IF(EZ56="No",IF((OR(MONTH(C56)=5,MONTH(C56)=6,MONTH(C56)=7,MONTH(C56)=8,MONTH(C56)=9)),$FA56*12*(AZ56+BA56)*(1-$BC56),$FA56*10*(AZ56+BA56)*(1-$BC56)),0)</f>
        <v>1773</v>
      </c>
      <c r="FG56" s="1129" t="n">
        <f aca="false">IF(EZ56="No",IF((OR(MONTH(C56)=5,MONTH(C56)=6,MONTH(C56)=7,MONTH(C56)=8,MONTH(C56)=9)),0,$FA56*3*(AZ56+BA56)*(1-$BC56)),0)</f>
        <v>531.9</v>
      </c>
      <c r="FH56" s="1170" t="n">
        <f aca="false">IF(EZ56="No",IF((OR(MONTH(C56)=5,MONTH(C56)=6,MONTH(C56)=7,MONTH(C56)=8,MONTH(C56)=9)),Summary!$O$15*12*(AX56+AY56+AZ56+BA56)*(1-$BC56),Summary!$O$15*13*(AX56+AY56+AZ56+BA56)*(1-$BC56)+IF(Summary!$O$16="Yes",(CALC!FA56+Summary!$O$15)*6*(AX56+AY56+AZ56+BA56)*(1-$BC56),0)),0)</f>
        <v>0</v>
      </c>
      <c r="FI56" s="1126" t="n">
        <f aca="false">IF(MONTH(C56)=5,FI55*(IF(Summary!$E$70="no",(1+(Summary!$E$71*0.8)),1+HLOOKUP(YEAR(C56)-1,CCFMODEL!$I$127:$AF$128,2)*0.8)),+FI55)</f>
        <v>28.5642970851971</v>
      </c>
      <c r="FJ56" s="1127" t="n">
        <f aca="false">IF(MONTH(C56)=5,FJ55*(IF(Summary!$E$70="no",(1+(Summary!$E$71*0.8)),1+HLOOKUP(YEAR(CALC!C56)-1,CCFMODEL!$I$127:$AF$128,2)*0.8)),FJ55)</f>
        <v>24.9656454839124</v>
      </c>
      <c r="FK56" s="1128" t="n">
        <f aca="false">SUM(FB56:FG56)*FI56+FH56*FJ56</f>
        <v>493783.862637531</v>
      </c>
      <c r="FL56" s="1126" t="n">
        <f aca="false">IF(MONTH(C56)=5,FL55*(IF(Summary!$E$70="no",(1+(Summary!$E$71*0.8)),1+HLOOKUP(YEAR(CALC!C56)-1,CCFMODEL!$I$127:$AF$128,2)*0.8)),+FL55)</f>
        <v>60.0739191416837</v>
      </c>
      <c r="FM56" s="1127" t="n">
        <f aca="false">IF(MONTH(C56)=5,FM55*(IF(Summary!$E$70="no",(1+(Summary!$E$71*0.8)),1+HLOOKUP(YEAR(CALC!C56)-1,CCFMODEL!$I$127:$AF$128,2)*0.8)),+FM55)</f>
        <v>28.6713998114258</v>
      </c>
      <c r="FN56" s="1128" t="n">
        <f aca="false">IF((OR(MONTH(C56)=5,MONTH(C56)=6,MONTH(C56)=7,MONTH(C56)=8,MONTH(C56)=9)),SUM(FB56:FG56)/(1-BC56)*FL56,SUM(FB56:FG56)/(1-BC56)*FM56)</f>
        <v>503183.066690523</v>
      </c>
      <c r="FO56" s="1129" t="n">
        <f aca="false">FK56+FN56</f>
        <v>996966.929328053</v>
      </c>
      <c r="FP56" s="1169" t="n">
        <f aca="false">FB56</f>
        <v>9751.5</v>
      </c>
      <c r="FQ56" s="1129" t="n">
        <f aca="false">FC56</f>
        <v>2925.45</v>
      </c>
      <c r="FR56" s="1129" t="n">
        <f aca="false">FD56</f>
        <v>1773</v>
      </c>
      <c r="FS56" s="1129" t="n">
        <f aca="false">FE56</f>
        <v>531.9</v>
      </c>
      <c r="FT56" s="1129" t="n">
        <f aca="false">FF56</f>
        <v>1773</v>
      </c>
      <c r="FU56" s="1129" t="n">
        <f aca="false">FG56</f>
        <v>531.9</v>
      </c>
      <c r="FV56" s="1170" t="n">
        <f aca="false">FH56</f>
        <v>0</v>
      </c>
      <c r="FW56" s="1115" t="n">
        <f aca="false">IF(ER56&gt;0,MIN(FB56-FP56,BL56),0)</f>
        <v>0</v>
      </c>
      <c r="FX56" s="1115" t="n">
        <f aca="false">IF(ES56&gt;0,MIN(FD56-FR56,BM56),0)</f>
        <v>0</v>
      </c>
      <c r="FY56" s="1115" t="n">
        <f aca="false">IF(ET56&gt;0,MIN(FF56-FT56,BN56),0)</f>
        <v>0</v>
      </c>
      <c r="FZ56" s="1143" t="n">
        <f aca="false">IF(EU56&gt;0,MIN(FH56-FV56,BO56),0)</f>
        <v>0</v>
      </c>
      <c r="GA56" s="1132" t="n">
        <f aca="false">(SUM(FP56:FV56)+SUM(GU56:HB56)/(1-Summary!$O$25))*CY56/1000</f>
        <v>228667.809845448</v>
      </c>
      <c r="GB56" s="1133" t="n">
        <f aca="false">IF($C56&lt;Summary!$M$81,+Summary!$O$81,VLOOKUP(C56,GasTable,19))</f>
        <v>2.4</v>
      </c>
      <c r="GC56" s="1134" t="n">
        <f aca="false">IF(H56&lt;=Summary!$N$84,MIN(GA56,Summary!$O$75*(H56-G56+1)),0)</f>
        <v>150000</v>
      </c>
      <c r="GD56" s="1135" t="n">
        <f aca="false">IF(Summary!$O$75*(H56-G56+1)*0.8&gt;GC56,1,0)</f>
        <v>0</v>
      </c>
      <c r="GE56" s="1136" t="n">
        <v>0</v>
      </c>
      <c r="GF56" s="1134" t="n">
        <f aca="false">ABS(MIN(0,GC56-$GA56))</f>
        <v>78667.809845448</v>
      </c>
      <c r="GG56" s="1135" t="n">
        <f aca="false">GF56*(IF(Summary!$O$74=1,VLOOKUP($C56,GasTable,16)+Summary!$O$92+Summary!$O$93,VLOOKUP($C56,GasTable,19)+Summary!$O$92+Summary!$O$93))</f>
        <v>196266.116774157</v>
      </c>
      <c r="GH56" s="1137" t="n">
        <v>17712</v>
      </c>
      <c r="GI56" s="1138" t="n">
        <v>0</v>
      </c>
      <c r="GJ56" s="1139" t="n">
        <f aca="false">+GB56*GC56+GE56+GG56+GH56-GI56</f>
        <v>573978.116774157</v>
      </c>
      <c r="GK56" s="1115" t="n">
        <f aca="false">SUM(FP56:FV56,GU56:GX56,GY56:HB56)</f>
        <v>29092.2705</v>
      </c>
      <c r="GL56" s="1140" t="n">
        <v>0.760665197408</v>
      </c>
      <c r="GM56" s="1141" t="n">
        <f aca="false">IF(GK56&gt;GC56/(CY56/1000),GC56/(CY56/1000),+GK56)*GL56</f>
        <v>14730</v>
      </c>
      <c r="GN56" s="1115" t="n">
        <f aca="false">IF(SUM(GU56:HB56)=0,0,IF(Summary!$O$16="Yes",SUM(GX56:HB56),IF(Summary!$O$17="Yes",SUM(GY56:HB56),SUM(GU56:HB56))))</f>
        <v>11805.5205</v>
      </c>
      <c r="GO56" s="1142" t="n">
        <v>2.60017181288321</v>
      </c>
      <c r="GP56" s="1143" t="n">
        <f aca="false">GN56*GO56</f>
        <v>30696.3816405149</v>
      </c>
      <c r="GQ56" s="1115"/>
      <c r="GR56" s="1115"/>
      <c r="GS56" s="1115"/>
      <c r="GT56" s="1115"/>
      <c r="GU56" s="1150" t="n">
        <v>5646.1185</v>
      </c>
      <c r="GV56" s="1115" t="n">
        <v>1026.567</v>
      </c>
      <c r="GW56" s="1115" t="n">
        <v>1026.567</v>
      </c>
      <c r="GX56" s="1115"/>
      <c r="GY56" s="1151" t="n">
        <v>3011.2632</v>
      </c>
      <c r="GZ56" s="1115" t="n">
        <v>547.5024</v>
      </c>
      <c r="HA56" s="1115" t="n">
        <v>547.5024</v>
      </c>
      <c r="HB56" s="1141"/>
      <c r="HC56" s="1115" t="n">
        <v>11805.5205</v>
      </c>
      <c r="HD56" s="1115"/>
      <c r="HE56" s="1115" t="n">
        <v>13858.6545</v>
      </c>
      <c r="HF56" s="1115" t="n">
        <v>323283.340339169</v>
      </c>
      <c r="HG56" s="1115"/>
      <c r="HH56" s="1142" t="n">
        <v>27.3840819080505</v>
      </c>
      <c r="HI56" s="1115" t="n">
        <v>379506.529963372</v>
      </c>
      <c r="HJ56" s="1150" t="n">
        <f aca="false">MAX(FB56-FP56-FW56,0)</f>
        <v>0</v>
      </c>
      <c r="HK56" s="1115" t="n">
        <f aca="false">MAX(FD56-FR56-FX56,0)</f>
        <v>0</v>
      </c>
      <c r="HL56" s="1115" t="n">
        <f aca="false">MAX(FF56-FT56-FY56,0)</f>
        <v>0</v>
      </c>
      <c r="HM56" s="1141" t="n">
        <f aca="false">MAX(FH56-FV56-FZ56,0)</f>
        <v>0</v>
      </c>
      <c r="HN56" s="1115" t="n">
        <f aca="false">SUM(HJ56:HM56)</f>
        <v>0</v>
      </c>
      <c r="HO56" s="1142" t="n">
        <f aca="false">IF(ISERROR(+HP56/HN56),0,+HP56/HN56)</f>
        <v>0</v>
      </c>
      <c r="HP56" s="1143" t="n">
        <f aca="false">(HJ56*CE56+HK56*CF56+HL56*CG56+HM56*CH56)</f>
        <v>0</v>
      </c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R56" s="844"/>
    </row>
    <row r="57" customFormat="false" ht="13.5" hidden="false" customHeight="false" outlineLevel="0" collapsed="false">
      <c r="A57" s="0" t="str">
        <f aca="false">+D57&amp;"Q"&amp;ROUNDUP(E57/3,0)</f>
        <v>2003Q2</v>
      </c>
      <c r="B57" s="0" t="n">
        <f aca="false">YEAR(C57)</f>
        <v>2003</v>
      </c>
      <c r="C57" s="1153" t="n">
        <f aca="false">EOMONTH(C56,0)+1</f>
        <v>37742</v>
      </c>
      <c r="D57" s="841" t="n">
        <f aca="false">+YEAR(C57)</f>
        <v>2003</v>
      </c>
      <c r="E57" s="807" t="n">
        <f aca="false">MONTH(C57)</f>
        <v>5</v>
      </c>
      <c r="F57" s="1154" t="e">
        <f aca="false">IF(G57="","",Holiday(D57,E57))</f>
        <v>#VALUE!</v>
      </c>
      <c r="G57" s="1155" t="n">
        <v>37742</v>
      </c>
      <c r="H57" s="1156" t="n">
        <v>37772</v>
      </c>
      <c r="I57" s="1157" t="n">
        <f aca="false">I56</f>
        <v>0.0715</v>
      </c>
      <c r="J57" s="1158" t="n">
        <f aca="false">(1+I57/2)^(-2*(DATE(D58,E58,20)-$H$7)/365.25)</f>
        <v>0.781320236720712</v>
      </c>
      <c r="K57" s="1159" t="e">
        <f aca="false">IF(#REF!=1,+#REF!,I57+#REF!/10000)</f>
        <v>#REF!</v>
      </c>
      <c r="L57" s="1158" t="e">
        <f aca="false">(1+K57/2)^(-2*(DATE(D58,E58,20)-$H$7)/365.25)</f>
        <v>#REF!</v>
      </c>
      <c r="M57" s="1082" t="n">
        <v>0</v>
      </c>
      <c r="N57" s="1110" t="n">
        <f aca="false">M57</f>
        <v>0</v>
      </c>
      <c r="O57" s="1174" t="n">
        <f aca="false">N57</f>
        <v>0</v>
      </c>
      <c r="P57" s="1175" t="n">
        <f aca="false">M57</f>
        <v>0</v>
      </c>
      <c r="Q57" s="1110" t="n">
        <f aca="false">P57</f>
        <v>0</v>
      </c>
      <c r="R57" s="1174" t="n">
        <f aca="false">Q57</f>
        <v>0</v>
      </c>
      <c r="S57" s="1110" t="n">
        <f aca="false">R57</f>
        <v>0</v>
      </c>
      <c r="T57" s="1110" t="n">
        <f aca="false">S57</f>
        <v>0</v>
      </c>
      <c r="U57" s="1110" t="n">
        <f aca="false">T57</f>
        <v>0</v>
      </c>
      <c r="V57" s="1175" t="n">
        <f aca="false">U57</f>
        <v>0</v>
      </c>
      <c r="W57" s="1110" t="n">
        <f aca="false">V57</f>
        <v>0</v>
      </c>
      <c r="X57" s="1176" t="n">
        <f aca="false">W57</f>
        <v>0</v>
      </c>
      <c r="Y57" s="1086" t="n">
        <v>0</v>
      </c>
      <c r="Z57" s="1086" t="n">
        <v>0</v>
      </c>
      <c r="AA57" s="1087" t="n">
        <v>0</v>
      </c>
      <c r="AB57" s="1086" t="n">
        <v>0</v>
      </c>
      <c r="AC57" s="1086" t="n">
        <v>0</v>
      </c>
      <c r="AD57" s="1087" t="n">
        <v>0</v>
      </c>
      <c r="AE57" s="1086" t="n">
        <v>0</v>
      </c>
      <c r="AF57" s="1086" t="n">
        <v>0</v>
      </c>
      <c r="AG57" s="1087" t="n">
        <v>0</v>
      </c>
      <c r="AH57" s="1086" t="n">
        <v>0</v>
      </c>
      <c r="AI57" s="1086" t="n">
        <v>0</v>
      </c>
      <c r="AJ57" s="1087" t="n">
        <v>0</v>
      </c>
      <c r="AK57" s="1086" t="n">
        <v>0</v>
      </c>
      <c r="AL57" s="1086" t="n">
        <v>0</v>
      </c>
      <c r="AM57" s="1087" t="n">
        <v>0</v>
      </c>
      <c r="AN57" s="1086" t="n">
        <v>0</v>
      </c>
      <c r="AO57" s="1086" t="n">
        <v>0</v>
      </c>
      <c r="AP57" s="1087" t="n">
        <v>0</v>
      </c>
      <c r="AQ57" s="1086" t="n">
        <v>0</v>
      </c>
      <c r="AR57" s="1086" t="n">
        <v>0</v>
      </c>
      <c r="AS57" s="1087" t="n">
        <v>0</v>
      </c>
      <c r="AT57" s="1086" t="n">
        <v>0</v>
      </c>
      <c r="AU57" s="1086" t="n">
        <v>0</v>
      </c>
      <c r="AV57" s="1086" t="n">
        <v>0</v>
      </c>
      <c r="AW57" s="1172" t="n">
        <v>0</v>
      </c>
      <c r="AX57" s="807" t="e">
        <f aca="false">BB57-SUM(AY57:BA57)</f>
        <v>#VALUE!</v>
      </c>
      <c r="AY57" s="807" t="e">
        <f aca="false">IF(AND($E57=MONTH(Summary!$E$24),$D57=YEAR(Summary!$E$24)),Summary!$E$25,1)*IF(G57="",0,INT((H57-MOD(H57,7)-G57)/7)+1-IF(BA57,IF(WEEKDAY(F57)=7,1,0),0))</f>
        <v>#VALUE!</v>
      </c>
      <c r="AZ57" s="807" t="e">
        <f aca="false">IF(AND($E57=MONTH(Summary!$E$24),$D57=YEAR(Summary!$E$24)),Summary!$E$25,1)*IF(G57="",0,INT((H57-MOD(H57-1,7)-G57)/7)+1-IF(BA57,IF(WEEKDAY(F57)=1,1,0),0))</f>
        <v>#VALUE!</v>
      </c>
      <c r="BA57" s="807" t="n">
        <v>1</v>
      </c>
      <c r="BB57" s="807" t="n">
        <f aca="false">IF(AND($E57=MONTH(Summary!$E$24),$D57=YEAR(Summary!$E$24)),Summary!$E$25,1)*IF(G57="",0,H57-G57+1)</f>
        <v>31</v>
      </c>
      <c r="BC57" s="1089" t="n">
        <f aca="false">Summary!$E$19</f>
        <v>0.015</v>
      </c>
      <c r="BD57" s="1090" t="n">
        <v>14893.2</v>
      </c>
      <c r="BE57" s="1091" t="n">
        <v>3546</v>
      </c>
      <c r="BF57" s="1091" t="n">
        <v>3546</v>
      </c>
      <c r="BG57" s="842"/>
      <c r="BH57" s="1092" t="n">
        <v>1</v>
      </c>
      <c r="BI57" s="1092" t="n">
        <v>1</v>
      </c>
      <c r="BJ57" s="1092" t="n">
        <v>1</v>
      </c>
      <c r="BK57" s="1092" t="n">
        <v>1</v>
      </c>
      <c r="BL57" s="1093" t="n">
        <v>2978.64</v>
      </c>
      <c r="BM57" s="1091" t="n">
        <v>709.2</v>
      </c>
      <c r="BN57" s="1091" t="n">
        <v>709.2</v>
      </c>
      <c r="BO57" s="842"/>
      <c r="BP57" s="1092" t="n">
        <v>1</v>
      </c>
      <c r="BQ57" s="1094" t="n">
        <v>1</v>
      </c>
      <c r="BR57" s="1094" t="n">
        <v>1</v>
      </c>
      <c r="BS57" s="1095" t="n">
        <v>1</v>
      </c>
      <c r="BT57" s="1093" t="n">
        <f aca="false">SUM(BD57:BF57)</f>
        <v>21985.2</v>
      </c>
      <c r="BU57" s="1098" t="n">
        <f aca="false">SUM(BD57:BG57)</f>
        <v>21985.2</v>
      </c>
      <c r="BV57" s="1090" t="n">
        <f aca="false">SUM(BL57:BN57)</f>
        <v>4397.04</v>
      </c>
      <c r="BW57" s="1098" t="n">
        <f aca="false">SUM(BL57:BO57)</f>
        <v>4397.04</v>
      </c>
      <c r="BX57" s="852" t="n">
        <v>3.37577002053388</v>
      </c>
      <c r="BY57" s="1099" t="n">
        <v>0</v>
      </c>
      <c r="BZ57" s="852" t="n">
        <v>0</v>
      </c>
      <c r="CA57" s="852" t="n">
        <v>0</v>
      </c>
      <c r="CB57" s="852" t="n">
        <v>0</v>
      </c>
      <c r="CC57" s="852" t="n">
        <v>0</v>
      </c>
      <c r="CD57" s="852" t="n">
        <v>0</v>
      </c>
      <c r="CE57" s="1100" t="n">
        <v>0</v>
      </c>
      <c r="CF57" s="852" t="n">
        <v>0</v>
      </c>
      <c r="CG57" s="852" t="n">
        <v>0</v>
      </c>
      <c r="CH57" s="852" t="n">
        <v>0</v>
      </c>
      <c r="CI57" s="852" t="n">
        <v>0</v>
      </c>
      <c r="CJ57" s="1101" t="n">
        <v>0</v>
      </c>
      <c r="CK57" s="852" t="n">
        <v>0</v>
      </c>
      <c r="CL57" s="852" t="n">
        <v>0</v>
      </c>
      <c r="CM57" s="852" t="n">
        <v>0</v>
      </c>
      <c r="CN57" s="852" t="n">
        <v>0</v>
      </c>
      <c r="CO57" s="852" t="n">
        <v>0</v>
      </c>
      <c r="CP57" s="852" t="n">
        <v>0</v>
      </c>
      <c r="CQ57" s="1102" t="n">
        <v>0</v>
      </c>
      <c r="CR57" s="1103" t="n">
        <v>0</v>
      </c>
      <c r="CS57" s="1103" t="n">
        <v>0</v>
      </c>
      <c r="CT57" s="1103" t="n">
        <v>0</v>
      </c>
      <c r="CU57" s="1103" t="n">
        <v>0</v>
      </c>
      <c r="CV57" s="1103" t="n">
        <v>0</v>
      </c>
      <c r="CW57" s="1103" t="n">
        <v>0</v>
      </c>
      <c r="CX57" s="1104" t="n">
        <v>0</v>
      </c>
      <c r="CY57" s="1105" t="n">
        <v>7748.03576</v>
      </c>
      <c r="CZ57" s="1099" t="n">
        <v>0</v>
      </c>
      <c r="DA57" s="852" t="n">
        <v>0</v>
      </c>
      <c r="DB57" s="852" t="n">
        <v>0</v>
      </c>
      <c r="DC57" s="852" t="n">
        <v>0</v>
      </c>
      <c r="DD57" s="852" t="n">
        <v>0</v>
      </c>
      <c r="DE57" s="1113" t="n">
        <v>0</v>
      </c>
      <c r="DF57" s="1109" t="n">
        <v>0</v>
      </c>
      <c r="DG57" s="1110" t="n">
        <v>0</v>
      </c>
      <c r="DH57" s="1111" t="n">
        <v>0</v>
      </c>
      <c r="DI57" s="1112" t="n">
        <v>0</v>
      </c>
      <c r="DJ57" s="1112" t="n">
        <v>0</v>
      </c>
      <c r="DK57" s="1112" t="n">
        <v>0</v>
      </c>
      <c r="DL57" s="1113" t="n">
        <v>0</v>
      </c>
      <c r="DM57" s="1114" t="n">
        <v>0</v>
      </c>
      <c r="DN57" s="1114" t="n">
        <v>0</v>
      </c>
      <c r="DO57" s="1114" t="n">
        <v>0</v>
      </c>
      <c r="DP57" s="1114" t="n">
        <v>0</v>
      </c>
      <c r="DQ57" s="1114" t="n">
        <v>0</v>
      </c>
      <c r="DR57" s="1109" t="n">
        <v>0</v>
      </c>
      <c r="DS57" s="852" t="n">
        <v>0</v>
      </c>
      <c r="DT57" s="852" t="n">
        <v>0</v>
      </c>
      <c r="DU57" s="852" t="n">
        <v>0</v>
      </c>
      <c r="DV57" s="852" t="n">
        <v>0</v>
      </c>
      <c r="DW57" s="852" t="n">
        <v>0</v>
      </c>
      <c r="DX57" s="852" t="n">
        <v>0</v>
      </c>
      <c r="DY57" s="852" t="n">
        <v>0</v>
      </c>
      <c r="DZ57" s="852" t="n">
        <v>0</v>
      </c>
      <c r="EA57" s="852" t="n">
        <v>0</v>
      </c>
      <c r="EB57" s="1113" t="n">
        <v>0</v>
      </c>
      <c r="EC57" s="1115" t="n">
        <f aca="false">DS57*BD57</f>
        <v>0</v>
      </c>
      <c r="ED57" s="1115" t="n">
        <f aca="false">DT57*BE57</f>
        <v>0</v>
      </c>
      <c r="EE57" s="1115" t="n">
        <f aca="false">DU57*BF57</f>
        <v>0</v>
      </c>
      <c r="EF57" s="1115" t="n">
        <f aca="false">DV57*BG57</f>
        <v>0</v>
      </c>
      <c r="EG57" s="1115" t="n">
        <f aca="false">DS57*BD57+DT57*BE57+DU57*BF57+DV57*BG57</f>
        <v>0</v>
      </c>
      <c r="EH57" s="1116" t="n">
        <v>0</v>
      </c>
      <c r="EI57" s="1117" t="n">
        <v>0</v>
      </c>
      <c r="EJ57" s="1117" t="n">
        <v>0</v>
      </c>
      <c r="EK57" s="1117" t="n">
        <v>0</v>
      </c>
      <c r="EL57" s="1118" t="n">
        <f aca="false">IF(C57&gt;=Summary!$E$26,MAX(0,SUM(EH57:EK57)),0)</f>
        <v>0</v>
      </c>
      <c r="EM57" s="1115" t="n">
        <f aca="false">IF(C57&gt;=Summary!$E$26,DX57*BL57,0)</f>
        <v>0</v>
      </c>
      <c r="EN57" s="1115" t="n">
        <f aca="false">IF(C57&gt;=Summary!$E$26,DY57*BM57,0)</f>
        <v>0</v>
      </c>
      <c r="EO57" s="1115" t="n">
        <f aca="false">IF(C57&gt;=Summary!$E$26,DZ57*BN57,0)</f>
        <v>0</v>
      </c>
      <c r="EP57" s="1115" t="n">
        <f aca="false">IF(C57&gt;=Summary!$E$26,EA57*BO57,0)</f>
        <v>0</v>
      </c>
      <c r="EQ57" s="1115" t="n">
        <f aca="false">IF(C57&gt;=Summary!$E$26,DX57*BL57+DY57*BM57+DZ57*BN57+EA57*BO57,0)</f>
        <v>0</v>
      </c>
      <c r="ER57" s="1119" t="n">
        <v>0</v>
      </c>
      <c r="ES57" s="1120" t="n">
        <v>0</v>
      </c>
      <c r="ET57" s="1120" t="n">
        <v>0</v>
      </c>
      <c r="EU57" s="1120" t="n">
        <v>0</v>
      </c>
      <c r="EV57" s="1143" t="n">
        <f aca="false">IF(C57&gt;=Summary!$E$26,MAX(0,SUM(ER57:EU57)),0)</f>
        <v>0</v>
      </c>
      <c r="EW57" s="1115"/>
      <c r="EX57" s="1165" t="n">
        <f aca="false">(EQ57-EV57)+IF(EZ57="Yes",(EG57-EL57),0)</f>
        <v>0</v>
      </c>
      <c r="EY57" s="1166" t="str">
        <f aca="false">IF(EX57,EX57/EQ57,"")</f>
        <v/>
      </c>
      <c r="EZ57" s="1122" t="s">
        <v>37</v>
      </c>
      <c r="FA57" s="1096" t="n">
        <f aca="false">FA56</f>
        <v>45</v>
      </c>
      <c r="FB57" s="1167" t="e">
        <f aca="false">IF(EZ57="No",IF((OR(MONTH(C57)=5,MONTH(C57)=6,MONTH(C57)=7,MONTH(C57)=8,MONTH(C57)=9)),$FA57*12*AX57*(1-$BC57),$FA57*10*AX57*(1-$BC57)),0)</f>
        <v>#VALUE!</v>
      </c>
      <c r="FC57" s="1129" t="n">
        <f aca="false">IF(EZ57="No",IF((OR(MONTH(C57)=5,MONTH(C57)=6,MONTH(C57)=7,MONTH(C57)=8,MONTH(C57)=9)),0,$FA57*3*AX57*(1-$BC57)),0)</f>
        <v>0</v>
      </c>
      <c r="FD57" s="1129" t="e">
        <f aca="false">IF(EZ57="No",IF((OR(MONTH(C57)=5,MONTH(C57)=6,MONTH(C57)=7,MONTH(C57)=8,MONTH(C57)=9)),$FA57*12*AY57*(1-$BC57),$FA57*10*AY57*(1-$BC57)),0)</f>
        <v>#VALUE!</v>
      </c>
      <c r="FE57" s="1129" t="n">
        <f aca="false">IF(EZ57="No",IF((OR(MONTH(C57)=5,MONTH(C57)=6,MONTH(C57)=7,MONTH(C57)=8,MONTH(C57)=9)),0,$FA57*3*AY57*(1-$BC57)),0)</f>
        <v>0</v>
      </c>
      <c r="FF57" s="1129" t="e">
        <f aca="false">IF(EZ57="No",IF((OR(MONTH(C57)=5,MONTH(C57)=6,MONTH(C57)=7,MONTH(C57)=8,MONTH(C57)=9)),$FA57*12*(AZ57+BA57)*(1-$BC57),$FA57*10*(AZ57+BA57)*(1-$BC57)),0)</f>
        <v>#VALUE!</v>
      </c>
      <c r="FG57" s="1129" t="n">
        <f aca="false">IF(EZ57="No",IF((OR(MONTH(C57)=5,MONTH(C57)=6,MONTH(C57)=7,MONTH(C57)=8,MONTH(C57)=9)),0,$FA57*3*(AZ57+BA57)*(1-$BC57)),0)</f>
        <v>0</v>
      </c>
      <c r="FH57" s="1170" t="e">
        <f aca="false">IF(EZ57="No",IF((OR(MONTH(C57)=5,MONTH(C57)=6,MONTH(C57)=7,MONTH(C57)=8,MONTH(C57)=9)),Summary!$O$15*12*(AX57+AY57+AZ57+BA57)*(1-$BC57),Summary!$O$15*13*(AX57+AY57+AZ57+BA57)*(1-$BC57)+IF(Summary!$O$16="Yes",(CALC!FA57+Summary!$O$15)*6*(AX57+AY57+AZ57+BA57)*(1-$BC57),0)),0)</f>
        <v>#VALUE!</v>
      </c>
      <c r="FI57" s="1126" t="n">
        <f aca="false">IF(MONTH(C57)=5,FI56*(IF(Summary!$E$70="no",(1+(Summary!$E$71*0.8)),1+HLOOKUP(YEAR(C57)-1,CCFMODEL!$I$127:$AF$128,2)*0.8)),+FI56)</f>
        <v>29.2498402152418</v>
      </c>
      <c r="FJ57" s="1127" t="n">
        <f aca="false">IF(MONTH(C57)=5,FJ56*(IF(Summary!$E$70="no",(1+(Summary!$E$71*0.8)),1+HLOOKUP(YEAR(CALC!C57)-1,CCFMODEL!$I$127:$AF$128,2)*0.8)),FJ56)</f>
        <v>25.5648209755263</v>
      </c>
      <c r="FK57" s="1128" t="e">
        <f aca="false">SUM(FB57:FG57)*FI57+FH57*FJ57</f>
        <v>#VALUE!</v>
      </c>
      <c r="FL57" s="1126" t="n">
        <f aca="false">IF(MONTH(C57)=5,FL56*(IF(Summary!$E$70="no",(1+(Summary!$E$71*0.8)),1+HLOOKUP(YEAR(CALC!C57)-1,CCFMODEL!$I$127:$AF$128,2)*0.8)),+FL56)</f>
        <v>61.5156932010841</v>
      </c>
      <c r="FM57" s="1127" t="n">
        <f aca="false">IF(MONTH(C57)=5,FM56*(IF(Summary!$E$70="no",(1+(Summary!$E$71*0.8)),1+HLOOKUP(YEAR(CALC!C57)-1,CCFMODEL!$I$127:$AF$128,2)*0.8)),+FM56)</f>
        <v>29.3595134069</v>
      </c>
      <c r="FN57" s="1128" t="e">
        <f aca="false">IF((OR(MONTH(C57)=5,MONTH(C57)=6,MONTH(C57)=7,MONTH(C57)=8,MONTH(C57)=9)),SUM(FB57:FG57)/(1-BC57)*FL57,SUM(FB57:FG57)/(1-BC57)*FM57)</f>
        <v>#VALUE!</v>
      </c>
      <c r="FO57" s="1129" t="e">
        <f aca="false">FK57+FN57</f>
        <v>#VALUE!</v>
      </c>
      <c r="FP57" s="1169" t="e">
        <f aca="false">FB57</f>
        <v>#VALUE!</v>
      </c>
      <c r="FQ57" s="1129" t="n">
        <f aca="false">FC57</f>
        <v>0</v>
      </c>
      <c r="FR57" s="1129" t="e">
        <f aca="false">FD57</f>
        <v>#VALUE!</v>
      </c>
      <c r="FS57" s="1129" t="n">
        <f aca="false">FE57</f>
        <v>0</v>
      </c>
      <c r="FT57" s="1129" t="e">
        <f aca="false">FF57</f>
        <v>#VALUE!</v>
      </c>
      <c r="FU57" s="1129" t="n">
        <f aca="false">FG57</f>
        <v>0</v>
      </c>
      <c r="FV57" s="1170" t="e">
        <f aca="false">FH57</f>
        <v>#VALUE!</v>
      </c>
      <c r="FW57" s="1115" t="n">
        <f aca="false">IF(ER57&gt;0,MIN(FB57-FP57,BL57),0)</f>
        <v>0</v>
      </c>
      <c r="FX57" s="1115" t="n">
        <f aca="false">IF(ES57&gt;0,MIN(FD57-FR57,BM57),0)</f>
        <v>0</v>
      </c>
      <c r="FY57" s="1115" t="n">
        <f aca="false">IF(ET57&gt;0,MIN(FF57-FT57,BN57),0)</f>
        <v>0</v>
      </c>
      <c r="FZ57" s="1143" t="n">
        <f aca="false">IF(EU57&gt;0,MIN(FH57-FV57,BO57),0)</f>
        <v>0</v>
      </c>
      <c r="GA57" s="1132" t="e">
        <f aca="false">(SUM(FP57:FV57)+SUM(GU57:HB57)/(1-Summary!$O$25))*CY57/1000</f>
        <v>#VALUE!</v>
      </c>
      <c r="GB57" s="1133" t="n">
        <f aca="false">IF($C57&lt;Summary!$M$81,+Summary!$O$81,VLOOKUP(C57,GasTable,19))</f>
        <v>2.4</v>
      </c>
      <c r="GC57" s="1134" t="e">
        <f aca="false">IF(H57&lt;=Summary!$N$84,MIN(GA57,Summary!$O$75*(H57-G57+1)),0)</f>
        <v>#VALUE!</v>
      </c>
      <c r="GD57" s="1135" t="e">
        <f aca="false">IF(Summary!$O$75*(H57-G57+1)*0.8&gt;GC57,1,0)</f>
        <v>#VALUE!</v>
      </c>
      <c r="GE57" s="1136" t="n">
        <v>0</v>
      </c>
      <c r="GF57" s="1134" t="e">
        <f aca="false">ABS(MIN(0,GC57-$GA57))</f>
        <v>#VALUE!</v>
      </c>
      <c r="GG57" s="1135" t="e">
        <f aca="false">GF57*(IF(Summary!$O$74=1,VLOOKUP($C57,GasTable,16)+Summary!$O$92+Summary!$O$93,VLOOKUP($C57,GasTable,19)+Summary!$O$92+Summary!$O$93))</f>
        <v>#VALUE!</v>
      </c>
      <c r="GH57" s="1137" t="n">
        <v>18209.4</v>
      </c>
      <c r="GI57" s="1138" t="n">
        <v>0</v>
      </c>
      <c r="GJ57" s="1139" t="e">
        <f aca="false">+GB57*GC57+GE57+GG57+GH57-GI57</f>
        <v>#VALUE!</v>
      </c>
      <c r="GK57" s="1115" t="e">
        <f aca="false">SUM(FP57:FV57,GU57:GX57,GY57:HB57)</f>
        <v>#VALUE!</v>
      </c>
      <c r="GL57" s="1140" t="n">
        <v>0.760857111632</v>
      </c>
      <c r="GM57" s="1141" t="e">
        <f aca="false">IF(GK57&gt;GC57/(CY57/1000),GC57/(CY57/1000),+GK57)*GL57</f>
        <v>#VALUE!</v>
      </c>
      <c r="GN57" s="1115" t="n">
        <f aca="false">IF(SUM(GU57:HB57)=0,0,IF(Summary!$O$16="Yes",SUM(GX57:HB57),IF(Summary!$O$17="Yes",SUM(GY57:HB57),SUM(GU57:HB57))))</f>
        <v>9547.0731</v>
      </c>
      <c r="GO57" s="1142" t="n">
        <v>2.60017181288321</v>
      </c>
      <c r="GP57" s="1143" t="n">
        <f aca="false">GN57*GO57</f>
        <v>24824.0303701556</v>
      </c>
      <c r="GQ57" s="1115"/>
      <c r="GR57" s="1115"/>
      <c r="GS57" s="1115"/>
      <c r="GT57" s="1115"/>
      <c r="GU57" s="1150" t="n">
        <v>3592.9845</v>
      </c>
      <c r="GV57" s="1115" t="n">
        <v>855.4725</v>
      </c>
      <c r="GW57" s="1115" t="n">
        <v>855.4725</v>
      </c>
      <c r="GX57" s="1115"/>
      <c r="GY57" s="1151" t="n">
        <v>2874.3876</v>
      </c>
      <c r="GZ57" s="1115" t="n">
        <v>684.378</v>
      </c>
      <c r="HA57" s="1115" t="n">
        <v>684.378</v>
      </c>
      <c r="HB57" s="1141"/>
      <c r="HC57" s="1115" t="n">
        <v>9547.0731</v>
      </c>
      <c r="HD57" s="1115"/>
      <c r="HE57" s="1115" t="n">
        <v>22276.5039</v>
      </c>
      <c r="HF57" s="1115" t="n">
        <v>263091.098387291</v>
      </c>
      <c r="HG57" s="1115"/>
      <c r="HH57" s="1142" t="n">
        <v>27.9208593917782</v>
      </c>
      <c r="HI57" s="1115" t="n">
        <v>621979.133132299</v>
      </c>
      <c r="HJ57" s="1150" t="e">
        <f aca="false">MAX(FB57-FP57-FW57,0)</f>
        <v>#VALUE!</v>
      </c>
      <c r="HK57" s="1115" t="e">
        <f aca="false">MAX(FD57-FR57-FX57,0)</f>
        <v>#VALUE!</v>
      </c>
      <c r="HL57" s="1115" t="e">
        <f aca="false">MAX(FF57-FT57-FY57,0)</f>
        <v>#VALUE!</v>
      </c>
      <c r="HM57" s="1141" t="e">
        <f aca="false">MAX(FH57-FV57-FZ57,0)</f>
        <v>#VALUE!</v>
      </c>
      <c r="HN57" s="1115" t="e">
        <f aca="false">SUM(HJ57:HM57)</f>
        <v>#VALUE!</v>
      </c>
      <c r="HO57" s="1142" t="n">
        <f aca="false">IF(ISERROR(+HP57/HN57),0,+HP57/HN57)</f>
        <v>0</v>
      </c>
      <c r="HP57" s="1143" t="e">
        <f aca="false">(HJ57*CE57+HK57*CF57+HL57*CG57+HM57*CH57)</f>
        <v>#VALUE!</v>
      </c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R57" s="844"/>
    </row>
    <row r="58" customFormat="false" ht="13.5" hidden="false" customHeight="false" outlineLevel="0" collapsed="false">
      <c r="A58" s="0" t="str">
        <f aca="false">+D58&amp;"Q"&amp;ROUNDUP(E58/3,0)</f>
        <v>2003Q2</v>
      </c>
      <c r="B58" s="0" t="n">
        <f aca="false">YEAR(C58)</f>
        <v>2003</v>
      </c>
      <c r="C58" s="1153" t="n">
        <f aca="false">EOMONTH(C57,0)+1</f>
        <v>37773</v>
      </c>
      <c r="D58" s="841" t="n">
        <f aca="false">+YEAR(C58)</f>
        <v>2003</v>
      </c>
      <c r="E58" s="807" t="n">
        <f aca="false">MONTH(C58)</f>
        <v>6</v>
      </c>
      <c r="F58" s="1154" t="e">
        <f aca="false">IF(G58="","",Holiday(D58,E58))</f>
        <v>#VALUE!</v>
      </c>
      <c r="G58" s="1155" t="n">
        <v>37773</v>
      </c>
      <c r="H58" s="1156" t="n">
        <v>37802</v>
      </c>
      <c r="I58" s="1157" t="n">
        <f aca="false">I57</f>
        <v>0.0715</v>
      </c>
      <c r="J58" s="1158" t="n">
        <f aca="false">(1+I58/2)^(-2*(DATE(D59,E59,20)-$H$7)/365.25)</f>
        <v>0.776824881892671</v>
      </c>
      <c r="K58" s="1159" t="e">
        <f aca="false">IF(#REF!=1,+#REF!,I58+#REF!/10000)</f>
        <v>#REF!</v>
      </c>
      <c r="L58" s="1158" t="e">
        <f aca="false">(1+K58/2)^(-2*(DATE(D59,E59,20)-$H$7)/365.25)</f>
        <v>#REF!</v>
      </c>
      <c r="M58" s="1082" t="n">
        <v>0</v>
      </c>
      <c r="N58" s="1110" t="n">
        <f aca="false">M58</f>
        <v>0</v>
      </c>
      <c r="O58" s="1174" t="n">
        <f aca="false">N58</f>
        <v>0</v>
      </c>
      <c r="P58" s="1175" t="n">
        <f aca="false">M58</f>
        <v>0</v>
      </c>
      <c r="Q58" s="1110" t="n">
        <f aca="false">P58</f>
        <v>0</v>
      </c>
      <c r="R58" s="1174" t="n">
        <f aca="false">Q58</f>
        <v>0</v>
      </c>
      <c r="S58" s="1110" t="n">
        <f aca="false">R58</f>
        <v>0</v>
      </c>
      <c r="T58" s="1110" t="n">
        <f aca="false">S58</f>
        <v>0</v>
      </c>
      <c r="U58" s="1110" t="n">
        <f aca="false">T58</f>
        <v>0</v>
      </c>
      <c r="V58" s="1175" t="n">
        <f aca="false">U58</f>
        <v>0</v>
      </c>
      <c r="W58" s="1110" t="n">
        <f aca="false">V58</f>
        <v>0</v>
      </c>
      <c r="X58" s="1176" t="n">
        <f aca="false">W58</f>
        <v>0</v>
      </c>
      <c r="Y58" s="1086" t="n">
        <v>0</v>
      </c>
      <c r="Z58" s="1086" t="n">
        <v>0</v>
      </c>
      <c r="AA58" s="1087" t="n">
        <v>0</v>
      </c>
      <c r="AB58" s="1086" t="n">
        <v>0</v>
      </c>
      <c r="AC58" s="1086" t="n">
        <v>0</v>
      </c>
      <c r="AD58" s="1087" t="n">
        <v>0</v>
      </c>
      <c r="AE58" s="1086" t="n">
        <v>0</v>
      </c>
      <c r="AF58" s="1086" t="n">
        <v>0</v>
      </c>
      <c r="AG58" s="1087" t="n">
        <v>0</v>
      </c>
      <c r="AH58" s="1086" t="n">
        <v>0</v>
      </c>
      <c r="AI58" s="1086" t="n">
        <v>0</v>
      </c>
      <c r="AJ58" s="1087" t="n">
        <v>0</v>
      </c>
      <c r="AK58" s="1086" t="n">
        <v>0</v>
      </c>
      <c r="AL58" s="1086" t="n">
        <v>0</v>
      </c>
      <c r="AM58" s="1087" t="n">
        <v>0</v>
      </c>
      <c r="AN58" s="1086" t="n">
        <v>0</v>
      </c>
      <c r="AO58" s="1086" t="n">
        <v>0</v>
      </c>
      <c r="AP58" s="1087" t="n">
        <v>0</v>
      </c>
      <c r="AQ58" s="1086" t="n">
        <v>0</v>
      </c>
      <c r="AR58" s="1086" t="n">
        <v>0</v>
      </c>
      <c r="AS58" s="1087" t="n">
        <v>0</v>
      </c>
      <c r="AT58" s="1086" t="n">
        <v>0</v>
      </c>
      <c r="AU58" s="1086" t="n">
        <v>0</v>
      </c>
      <c r="AV58" s="1086" t="n">
        <v>0</v>
      </c>
      <c r="AW58" s="1172" t="n">
        <v>0</v>
      </c>
      <c r="AX58" s="807" t="n">
        <f aca="false">BB58-SUM(AY58:BA58)</f>
        <v>21</v>
      </c>
      <c r="AY58" s="807" t="n">
        <f aca="false">IF(AND($E58=MONTH(Summary!$E$24),$D58=YEAR(Summary!$E$24)),Summary!$E$25,1)*IF(G58="",0,INT((H58-MOD(H58,7)-G58)/7)+1-IF(BA58,IF(WEEKDAY(F58)=7,1,0),0))</f>
        <v>4</v>
      </c>
      <c r="AZ58" s="807" t="n">
        <f aca="false">IF(AND($E58=MONTH(Summary!$E$24),$D58=YEAR(Summary!$E$24)),Summary!$E$25,1)*IF(G58="",0,INT((H58-MOD(H58-1,7)-G58)/7)+1-IF(BA58,IF(WEEKDAY(F58)=1,1,0),0))</f>
        <v>5</v>
      </c>
      <c r="BA58" s="807" t="n">
        <v>0</v>
      </c>
      <c r="BB58" s="807" t="n">
        <f aca="false">IF(AND($E58=MONTH(Summary!$E$24),$D58=YEAR(Summary!$E$24)),Summary!$E$25,1)*IF(G58="",0,H58-G58+1)</f>
        <v>30</v>
      </c>
      <c r="BC58" s="1089" t="n">
        <f aca="false">Summary!$E$19</f>
        <v>0.015</v>
      </c>
      <c r="BD58" s="1090" t="n">
        <v>14893.2</v>
      </c>
      <c r="BE58" s="1091" t="n">
        <v>2836.8</v>
      </c>
      <c r="BF58" s="1091" t="n">
        <v>3546</v>
      </c>
      <c r="BG58" s="842"/>
      <c r="BH58" s="1092" t="n">
        <v>1</v>
      </c>
      <c r="BI58" s="1092" t="n">
        <v>1</v>
      </c>
      <c r="BJ58" s="1092" t="n">
        <v>1</v>
      </c>
      <c r="BK58" s="1092" t="n">
        <v>1</v>
      </c>
      <c r="BL58" s="1093" t="n">
        <v>2978.64</v>
      </c>
      <c r="BM58" s="1091" t="n">
        <v>567.36</v>
      </c>
      <c r="BN58" s="1091" t="n">
        <v>709.2</v>
      </c>
      <c r="BO58" s="842"/>
      <c r="BP58" s="1092" t="n">
        <v>1</v>
      </c>
      <c r="BQ58" s="1094" t="n">
        <v>1</v>
      </c>
      <c r="BR58" s="1094" t="n">
        <v>1</v>
      </c>
      <c r="BS58" s="1095" t="n">
        <v>1</v>
      </c>
      <c r="BT58" s="1093" t="n">
        <f aca="false">SUM(BD58:BF58)</f>
        <v>21276</v>
      </c>
      <c r="BU58" s="1098" t="n">
        <f aca="false">SUM(BD58:BG58)</f>
        <v>21276</v>
      </c>
      <c r="BV58" s="1090" t="n">
        <f aca="false">SUM(BL58:BN58)</f>
        <v>4255.2</v>
      </c>
      <c r="BW58" s="1098" t="n">
        <f aca="false">SUM(BL58:BO58)</f>
        <v>4255.2</v>
      </c>
      <c r="BX58" s="852" t="n">
        <v>3.46064339493498</v>
      </c>
      <c r="BY58" s="1099" t="n">
        <v>0</v>
      </c>
      <c r="BZ58" s="852" t="n">
        <v>0</v>
      </c>
      <c r="CA58" s="852" t="n">
        <v>0</v>
      </c>
      <c r="CB58" s="852" t="n">
        <v>0</v>
      </c>
      <c r="CC58" s="852" t="n">
        <v>0</v>
      </c>
      <c r="CD58" s="852" t="n">
        <v>0</v>
      </c>
      <c r="CE58" s="1100" t="n">
        <v>0</v>
      </c>
      <c r="CF58" s="852" t="n">
        <v>0</v>
      </c>
      <c r="CG58" s="852" t="n">
        <v>0</v>
      </c>
      <c r="CH58" s="852" t="n">
        <v>0</v>
      </c>
      <c r="CI58" s="852" t="n">
        <v>0</v>
      </c>
      <c r="CJ58" s="1101" t="n">
        <v>0</v>
      </c>
      <c r="CK58" s="852" t="n">
        <v>0</v>
      </c>
      <c r="CL58" s="852" t="n">
        <v>0</v>
      </c>
      <c r="CM58" s="852" t="n">
        <v>0</v>
      </c>
      <c r="CN58" s="852" t="n">
        <v>0</v>
      </c>
      <c r="CO58" s="852" t="n">
        <v>0</v>
      </c>
      <c r="CP58" s="852" t="n">
        <v>0</v>
      </c>
      <c r="CQ58" s="1102" t="n">
        <v>0</v>
      </c>
      <c r="CR58" s="1103" t="n">
        <v>0</v>
      </c>
      <c r="CS58" s="1103" t="n">
        <v>0</v>
      </c>
      <c r="CT58" s="1103" t="n">
        <v>0</v>
      </c>
      <c r="CU58" s="1103" t="n">
        <v>0</v>
      </c>
      <c r="CV58" s="1103" t="n">
        <v>0</v>
      </c>
      <c r="CW58" s="1103" t="n">
        <v>0</v>
      </c>
      <c r="CX58" s="1104" t="n">
        <v>0</v>
      </c>
      <c r="CY58" s="1105" t="n">
        <v>7749.99008</v>
      </c>
      <c r="CZ58" s="1099" t="n">
        <v>0</v>
      </c>
      <c r="DA58" s="852" t="n">
        <v>0</v>
      </c>
      <c r="DB58" s="852" t="n">
        <v>0</v>
      </c>
      <c r="DC58" s="852" t="n">
        <v>0</v>
      </c>
      <c r="DD58" s="852" t="n">
        <v>0</v>
      </c>
      <c r="DE58" s="1113" t="n">
        <v>0</v>
      </c>
      <c r="DF58" s="1109" t="n">
        <v>0</v>
      </c>
      <c r="DG58" s="1110" t="n">
        <v>0</v>
      </c>
      <c r="DH58" s="1111" t="n">
        <v>0</v>
      </c>
      <c r="DI58" s="1112" t="n">
        <v>0</v>
      </c>
      <c r="DJ58" s="1112" t="n">
        <v>0</v>
      </c>
      <c r="DK58" s="1112" t="n">
        <v>0</v>
      </c>
      <c r="DL58" s="1113" t="n">
        <v>0</v>
      </c>
      <c r="DM58" s="1114" t="n">
        <v>0</v>
      </c>
      <c r="DN58" s="1114" t="n">
        <v>0</v>
      </c>
      <c r="DO58" s="1114" t="n">
        <v>0</v>
      </c>
      <c r="DP58" s="1114" t="n">
        <v>0</v>
      </c>
      <c r="DQ58" s="1114" t="n">
        <v>0</v>
      </c>
      <c r="DR58" s="1109" t="n">
        <v>0</v>
      </c>
      <c r="DS58" s="852" t="n">
        <v>0</v>
      </c>
      <c r="DT58" s="852" t="n">
        <v>0</v>
      </c>
      <c r="DU58" s="852" t="n">
        <v>0</v>
      </c>
      <c r="DV58" s="852" t="n">
        <v>0</v>
      </c>
      <c r="DW58" s="852" t="n">
        <v>0</v>
      </c>
      <c r="DX58" s="852" t="n">
        <v>0</v>
      </c>
      <c r="DY58" s="852" t="n">
        <v>0</v>
      </c>
      <c r="DZ58" s="852" t="n">
        <v>0</v>
      </c>
      <c r="EA58" s="852" t="n">
        <v>0</v>
      </c>
      <c r="EB58" s="1113" t="n">
        <v>0</v>
      </c>
      <c r="EC58" s="1115" t="n">
        <f aca="false">DS58*BD58</f>
        <v>0</v>
      </c>
      <c r="ED58" s="1115" t="n">
        <f aca="false">DT58*BE58</f>
        <v>0</v>
      </c>
      <c r="EE58" s="1115" t="n">
        <f aca="false">DU58*BF58</f>
        <v>0</v>
      </c>
      <c r="EF58" s="1115" t="n">
        <f aca="false">DV58*BG58</f>
        <v>0</v>
      </c>
      <c r="EG58" s="1115" t="n">
        <f aca="false">DS58*BD58+DT58*BE58+DU58*BF58+DV58*BG58</f>
        <v>0</v>
      </c>
      <c r="EH58" s="1116" t="n">
        <v>0</v>
      </c>
      <c r="EI58" s="1117" t="n">
        <v>0</v>
      </c>
      <c r="EJ58" s="1117" t="n">
        <v>0</v>
      </c>
      <c r="EK58" s="1117" t="n">
        <v>0</v>
      </c>
      <c r="EL58" s="1118" t="n">
        <f aca="false">IF(C58&gt;=Summary!$E$26,MAX(0,SUM(EH58:EK58)),0)</f>
        <v>0</v>
      </c>
      <c r="EM58" s="1115" t="n">
        <f aca="false">IF(C58&gt;=Summary!$E$26,DX58*BL58,0)</f>
        <v>0</v>
      </c>
      <c r="EN58" s="1115" t="n">
        <f aca="false">IF(C58&gt;=Summary!$E$26,DY58*BM58,0)</f>
        <v>0</v>
      </c>
      <c r="EO58" s="1115" t="n">
        <f aca="false">IF(C58&gt;=Summary!$E$26,DZ58*BN58,0)</f>
        <v>0</v>
      </c>
      <c r="EP58" s="1115" t="n">
        <f aca="false">IF(C58&gt;=Summary!$E$26,EA58*BO58,0)</f>
        <v>0</v>
      </c>
      <c r="EQ58" s="1115" t="n">
        <f aca="false">IF(C58&gt;=Summary!$E$26,DX58*BL58+DY58*BM58+DZ58*BN58+EA58*BO58,0)</f>
        <v>0</v>
      </c>
      <c r="ER58" s="1119" t="n">
        <v>0</v>
      </c>
      <c r="ES58" s="1120" t="n">
        <v>0</v>
      </c>
      <c r="ET58" s="1120" t="n">
        <v>0</v>
      </c>
      <c r="EU58" s="1120" t="n">
        <v>0</v>
      </c>
      <c r="EV58" s="1143" t="n">
        <f aca="false">IF(C58&gt;=Summary!$E$26,MAX(0,SUM(ER58:EU58)),0)</f>
        <v>0</v>
      </c>
      <c r="EW58" s="1115"/>
      <c r="EX58" s="1165" t="n">
        <f aca="false">(EQ58-EV58)+IF(EZ58="Yes",(EG58-EL58),0)</f>
        <v>0</v>
      </c>
      <c r="EY58" s="1166" t="str">
        <f aca="false">IF(EX58,EX58/EQ58,"")</f>
        <v/>
      </c>
      <c r="EZ58" s="1122" t="s">
        <v>37</v>
      </c>
      <c r="FA58" s="1096" t="n">
        <f aca="false">FA57</f>
        <v>45</v>
      </c>
      <c r="FB58" s="1167" t="n">
        <f aca="false">IF(EZ58="No",IF((OR(MONTH(C58)=5,MONTH(C58)=6,MONTH(C58)=7,MONTH(C58)=8,MONTH(C58)=9)),$FA58*12*AX58*(1-$BC58),$FA58*10*AX58*(1-$BC58)),0)</f>
        <v>11169.9</v>
      </c>
      <c r="FC58" s="1129" t="n">
        <f aca="false">IF(EZ58="No",IF((OR(MONTH(C58)=5,MONTH(C58)=6,MONTH(C58)=7,MONTH(C58)=8,MONTH(C58)=9)),0,$FA58*3*AX58*(1-$BC58)),0)</f>
        <v>0</v>
      </c>
      <c r="FD58" s="1129" t="n">
        <f aca="false">IF(EZ58="No",IF((OR(MONTH(C58)=5,MONTH(C58)=6,MONTH(C58)=7,MONTH(C58)=8,MONTH(C58)=9)),$FA58*12*AY58*(1-$BC58),$FA58*10*AY58*(1-$BC58)),0)</f>
        <v>2127.6</v>
      </c>
      <c r="FE58" s="1129" t="n">
        <f aca="false">IF(EZ58="No",IF((OR(MONTH(C58)=5,MONTH(C58)=6,MONTH(C58)=7,MONTH(C58)=8,MONTH(C58)=9)),0,$FA58*3*AY58*(1-$BC58)),0)</f>
        <v>0</v>
      </c>
      <c r="FF58" s="1129" t="n">
        <f aca="false">IF(EZ58="No",IF((OR(MONTH(C58)=5,MONTH(C58)=6,MONTH(C58)=7,MONTH(C58)=8,MONTH(C58)=9)),$FA58*12*(AZ58+BA58)*(1-$BC58),$FA58*10*(AZ58+BA58)*(1-$BC58)),0)</f>
        <v>2659.5</v>
      </c>
      <c r="FG58" s="1129" t="n">
        <f aca="false">IF(EZ58="No",IF((OR(MONTH(C58)=5,MONTH(C58)=6,MONTH(C58)=7,MONTH(C58)=8,MONTH(C58)=9)),0,$FA58*3*(AZ58+BA58)*(1-$BC58)),0)</f>
        <v>0</v>
      </c>
      <c r="FH58" s="1170" t="n">
        <f aca="false">IF(EZ58="No",IF((OR(MONTH(C58)=5,MONTH(C58)=6,MONTH(C58)=7,MONTH(C58)=8,MONTH(C58)=9)),Summary!$O$15*12*(AX58+AY58+AZ58+BA58)*(1-$BC58),Summary!$O$15*13*(AX58+AY58+AZ58+BA58)*(1-$BC58)+IF(Summary!$O$16="Yes",(CALC!FA58+Summary!$O$15)*6*(AX58+AY58+AZ58+BA58)*(1-$BC58),0)),0)</f>
        <v>0</v>
      </c>
      <c r="FI58" s="1126" t="n">
        <f aca="false">IF(MONTH(C58)=5,FI57*(IF(Summary!$E$70="no",(1+(Summary!$E$71*0.8)),1+HLOOKUP(YEAR(C58)-1,CCFMODEL!$I$127:$AF$128,2)*0.8)),+FI57)</f>
        <v>29.2498402152418</v>
      </c>
      <c r="FJ58" s="1127" t="n">
        <f aca="false">IF(MONTH(C58)=5,FJ57*(IF(Summary!$E$70="no",(1+(Summary!$E$71*0.8)),1+HLOOKUP(YEAR(CALC!C58)-1,CCFMODEL!$I$127:$AF$128,2)*0.8)),FJ57)</f>
        <v>25.5648209755263</v>
      </c>
      <c r="FK58" s="1128" t="n">
        <f aca="false">SUM(FB58:FG58)*FI58+FH58*FJ58</f>
        <v>466739.700314614</v>
      </c>
      <c r="FL58" s="1126" t="n">
        <f aca="false">IF(MONTH(C58)=5,FL57*(IF(Summary!$E$70="no",(1+(Summary!$E$71*0.8)),1+HLOOKUP(YEAR(CALC!C58)-1,CCFMODEL!$I$127:$AF$128,2)*0.8)),+FL57)</f>
        <v>61.5156932010841</v>
      </c>
      <c r="FM58" s="1127" t="n">
        <f aca="false">IF(MONTH(C58)=5,FM57*(IF(Summary!$E$70="no",(1+(Summary!$E$71*0.8)),1+HLOOKUP(YEAR(CALC!C58)-1,CCFMODEL!$I$127:$AF$128,2)*0.8)),+FM57)</f>
        <v>29.3595134069</v>
      </c>
      <c r="FN58" s="1128" t="n">
        <f aca="false">IF((OR(MONTH(C58)=5,MONTH(C58)=6,MONTH(C58)=7,MONTH(C58)=8,MONTH(C58)=9)),SUM(FB58:FG58)/(1-BC58)*FL58,SUM(FB58:FG58)/(1-BC58)*FM58)</f>
        <v>996554.229857563</v>
      </c>
      <c r="FO58" s="1129" t="n">
        <f aca="false">FK58+FN58</f>
        <v>1463293.93017218</v>
      </c>
      <c r="FP58" s="1169" t="n">
        <f aca="false">FB58</f>
        <v>11169.9</v>
      </c>
      <c r="FQ58" s="1129" t="n">
        <f aca="false">FC58</f>
        <v>0</v>
      </c>
      <c r="FR58" s="1129" t="n">
        <f aca="false">FD58</f>
        <v>2127.6</v>
      </c>
      <c r="FS58" s="1129" t="n">
        <f aca="false">FE58</f>
        <v>0</v>
      </c>
      <c r="FT58" s="1129" t="n">
        <f aca="false">FF58</f>
        <v>2659.5</v>
      </c>
      <c r="FU58" s="1129" t="n">
        <f aca="false">FG58</f>
        <v>0</v>
      </c>
      <c r="FV58" s="1170" t="n">
        <f aca="false">FH58</f>
        <v>0</v>
      </c>
      <c r="FW58" s="1115" t="n">
        <f aca="false">IF(ER58&gt;0,MIN(FB58-FP58,BL58),0)</f>
        <v>0</v>
      </c>
      <c r="FX58" s="1115" t="n">
        <f aca="false">IF(ES58&gt;0,MIN(FD58-FR58,BM58),0)</f>
        <v>0</v>
      </c>
      <c r="FY58" s="1115" t="n">
        <f aca="false">IF(ET58&gt;0,MIN(FF58-FT58,BN58),0)</f>
        <v>0</v>
      </c>
      <c r="FZ58" s="1143" t="n">
        <f aca="false">IF(EU58&gt;0,MIN(FH58-FV58,BO58),0)</f>
        <v>0</v>
      </c>
      <c r="GA58" s="1132" t="n">
        <f aca="false">(SUM(FP58:FV58)+SUM(GU58:HB58)/(1-Summary!$O$25))*CY58/1000</f>
        <v>156644.349494976</v>
      </c>
      <c r="GB58" s="1133" t="n">
        <f aca="false">IF($C58&lt;Summary!$M$81,+Summary!$O$81,VLOOKUP(C58,GasTable,19))</f>
        <v>2.4</v>
      </c>
      <c r="GC58" s="1134" t="n">
        <f aca="false">IF(H58&lt;=Summary!$N$84,MIN(GA58,Summary!$O$75*(H58-G58+1)),0)</f>
        <v>150000</v>
      </c>
      <c r="GD58" s="1135" t="n">
        <f aca="false">IF(Summary!$O$75*(H58-G58+1)*0.8&gt;GC58,1,0)</f>
        <v>0</v>
      </c>
      <c r="GE58" s="1136" t="n">
        <v>0</v>
      </c>
      <c r="GF58" s="1134" t="n">
        <f aca="false">ABS(MIN(0,GC58-$GA58))</f>
        <v>6644.34949497599</v>
      </c>
      <c r="GG58" s="1135" t="n">
        <f aca="false">GF58*(IF(Summary!$O$74=1,VLOOKUP($C58,GasTable,16)+Summary!$O$92+Summary!$O$93,VLOOKUP($C58,GasTable,19)+Summary!$O$92+Summary!$O$93))</f>
        <v>16565.2285565231</v>
      </c>
      <c r="GH58" s="1137" t="n">
        <v>17814</v>
      </c>
      <c r="GI58" s="1138" t="n">
        <v>0</v>
      </c>
      <c r="GJ58" s="1139" t="n">
        <f aca="false">+GB58*GC58+GE58+GG58+GH58-GI58</f>
        <v>394379.228556523</v>
      </c>
      <c r="GK58" s="1115" t="n">
        <f aca="false">SUM(FP58:FV58,GU58:GX58,GY58:HB58)</f>
        <v>20063.268</v>
      </c>
      <c r="GL58" s="1140" t="n">
        <v>0.761049025856</v>
      </c>
      <c r="GM58" s="1141" t="n">
        <f aca="false">IF(GK58&gt;GC58/(CY58/1000),GC58/(CY58/1000),+GK58)*GL58</f>
        <v>14730</v>
      </c>
      <c r="GN58" s="1115" t="n">
        <f aca="false">IF(SUM(GU58:HB58)=0,0,IF(Summary!$O$16="Yes",SUM(GX58:HB58),IF(Summary!$O$17="Yes",SUM(GY58:HB58),SUM(GU58:HB58))))</f>
        <v>4106.268</v>
      </c>
      <c r="GO58" s="1142" t="n">
        <v>2.60017181288321</v>
      </c>
      <c r="GP58" s="1143" t="n">
        <f aca="false">GN58*GO58</f>
        <v>10677.0023097443</v>
      </c>
      <c r="GQ58" s="1115"/>
      <c r="GR58" s="1115"/>
      <c r="GS58" s="1115"/>
      <c r="GT58" s="1115"/>
      <c r="GU58" s="1150" t="n">
        <v>0</v>
      </c>
      <c r="GV58" s="1115" t="n">
        <v>0</v>
      </c>
      <c r="GW58" s="1115" t="n">
        <v>0</v>
      </c>
      <c r="GX58" s="1115"/>
      <c r="GY58" s="1151" t="n">
        <v>2874.3876</v>
      </c>
      <c r="GZ58" s="1115" t="n">
        <v>547.5024</v>
      </c>
      <c r="HA58" s="1115" t="n">
        <v>684.378</v>
      </c>
      <c r="HB58" s="1141"/>
      <c r="HC58" s="1115" t="n">
        <v>4106.268</v>
      </c>
      <c r="HD58" s="1115"/>
      <c r="HE58" s="1115" t="n">
        <v>16425.072</v>
      </c>
      <c r="HF58" s="1115" t="n">
        <v>110323.422657223</v>
      </c>
      <c r="HG58" s="1115"/>
      <c r="HH58" s="1142" t="n">
        <v>26.8670780029999</v>
      </c>
      <c r="HI58" s="1115" t="n">
        <v>441293.69062889</v>
      </c>
      <c r="HJ58" s="1150" t="n">
        <f aca="false">MAX(FB58-FP58-FW58,0)</f>
        <v>0</v>
      </c>
      <c r="HK58" s="1115" t="n">
        <f aca="false">MAX(FD58-FR58-FX58,0)</f>
        <v>0</v>
      </c>
      <c r="HL58" s="1115" t="n">
        <f aca="false">MAX(FF58-FT58-FY58,0)</f>
        <v>0</v>
      </c>
      <c r="HM58" s="1141" t="n">
        <f aca="false">MAX(FH58-FV58-FZ58,0)</f>
        <v>0</v>
      </c>
      <c r="HN58" s="1115" t="n">
        <f aca="false">SUM(HJ58:HM58)</f>
        <v>0</v>
      </c>
      <c r="HO58" s="1142" t="n">
        <f aca="false">IF(ISERROR(+HP58/HN58),0,+HP58/HN58)</f>
        <v>0</v>
      </c>
      <c r="HP58" s="1143" t="n">
        <f aca="false">(HJ58*CE58+HK58*CF58+HL58*CG58+HM58*CH58)</f>
        <v>0</v>
      </c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R58" s="844"/>
    </row>
    <row r="59" customFormat="false" ht="13.5" hidden="false" customHeight="false" outlineLevel="0" collapsed="false">
      <c r="A59" s="0" t="str">
        <f aca="false">+D59&amp;"Q"&amp;ROUNDUP(E59/3,0)</f>
        <v>2003Q3</v>
      </c>
      <c r="B59" s="0" t="n">
        <f aca="false">YEAR(C59)</f>
        <v>2003</v>
      </c>
      <c r="C59" s="1153" t="n">
        <f aca="false">EOMONTH(C58,0)+1</f>
        <v>37803</v>
      </c>
      <c r="D59" s="841" t="n">
        <f aca="false">+YEAR(C59)</f>
        <v>2003</v>
      </c>
      <c r="E59" s="807" t="n">
        <f aca="false">MONTH(C59)</f>
        <v>7</v>
      </c>
      <c r="F59" s="1154" t="e">
        <f aca="false">IF(G59="","",Holiday(D59,E59))</f>
        <v>#VALUE!</v>
      </c>
      <c r="G59" s="1155" t="n">
        <v>37803</v>
      </c>
      <c r="H59" s="1156" t="n">
        <v>37833</v>
      </c>
      <c r="I59" s="1157" t="n">
        <f aca="false">I58</f>
        <v>0.0715</v>
      </c>
      <c r="J59" s="1158" t="n">
        <f aca="false">(1+I59/2)^(-2*(DATE(D60,E60,20)-$H$7)/365.25)</f>
        <v>0.772206851932697</v>
      </c>
      <c r="K59" s="1159" t="e">
        <f aca="false">IF(#REF!=1,+#REF!,I59+#REF!/10000)</f>
        <v>#REF!</v>
      </c>
      <c r="L59" s="1158" t="e">
        <f aca="false">(1+K59/2)^(-2*(DATE(D60,E60,20)-$H$7)/365.25)</f>
        <v>#REF!</v>
      </c>
      <c r="M59" s="1082" t="n">
        <v>0</v>
      </c>
      <c r="N59" s="1110" t="n">
        <f aca="false">M59</f>
        <v>0</v>
      </c>
      <c r="O59" s="1174" t="n">
        <f aca="false">N59</f>
        <v>0</v>
      </c>
      <c r="P59" s="1175" t="n">
        <f aca="false">M59</f>
        <v>0</v>
      </c>
      <c r="Q59" s="1110" t="n">
        <f aca="false">P59</f>
        <v>0</v>
      </c>
      <c r="R59" s="1174" t="n">
        <f aca="false">Q59</f>
        <v>0</v>
      </c>
      <c r="S59" s="1110" t="n">
        <f aca="false">R59</f>
        <v>0</v>
      </c>
      <c r="T59" s="1110" t="n">
        <f aca="false">S59</f>
        <v>0</v>
      </c>
      <c r="U59" s="1110" t="n">
        <f aca="false">T59</f>
        <v>0</v>
      </c>
      <c r="V59" s="1175" t="n">
        <f aca="false">U59</f>
        <v>0</v>
      </c>
      <c r="W59" s="1110" t="n">
        <f aca="false">V59</f>
        <v>0</v>
      </c>
      <c r="X59" s="1176" t="n">
        <f aca="false">W59</f>
        <v>0</v>
      </c>
      <c r="Y59" s="1086" t="n">
        <v>0</v>
      </c>
      <c r="Z59" s="1086" t="n">
        <v>0</v>
      </c>
      <c r="AA59" s="1087" t="n">
        <v>0</v>
      </c>
      <c r="AB59" s="1086" t="n">
        <v>0</v>
      </c>
      <c r="AC59" s="1086" t="n">
        <v>0</v>
      </c>
      <c r="AD59" s="1087" t="n">
        <v>0</v>
      </c>
      <c r="AE59" s="1086" t="n">
        <v>0</v>
      </c>
      <c r="AF59" s="1086" t="n">
        <v>0</v>
      </c>
      <c r="AG59" s="1087" t="n">
        <v>0</v>
      </c>
      <c r="AH59" s="1086" t="n">
        <v>0</v>
      </c>
      <c r="AI59" s="1086" t="n">
        <v>0</v>
      </c>
      <c r="AJ59" s="1087" t="n">
        <v>0</v>
      </c>
      <c r="AK59" s="1086" t="n">
        <v>0</v>
      </c>
      <c r="AL59" s="1086" t="n">
        <v>0</v>
      </c>
      <c r="AM59" s="1087" t="n">
        <v>0</v>
      </c>
      <c r="AN59" s="1086" t="n">
        <v>0</v>
      </c>
      <c r="AO59" s="1086" t="n">
        <v>0</v>
      </c>
      <c r="AP59" s="1087" t="n">
        <v>0</v>
      </c>
      <c r="AQ59" s="1086" t="n">
        <v>0</v>
      </c>
      <c r="AR59" s="1086" t="n">
        <v>0</v>
      </c>
      <c r="AS59" s="1087" t="n">
        <v>0</v>
      </c>
      <c r="AT59" s="1086" t="n">
        <v>0</v>
      </c>
      <c r="AU59" s="1086" t="n">
        <v>0</v>
      </c>
      <c r="AV59" s="1086" t="n">
        <v>0</v>
      </c>
      <c r="AW59" s="1172" t="n">
        <v>0</v>
      </c>
      <c r="AX59" s="807" t="e">
        <f aca="false">BB59-SUM(AY59:BA59)</f>
        <v>#VALUE!</v>
      </c>
      <c r="AY59" s="807" t="e">
        <f aca="false">IF(AND($E59=MONTH(Summary!$E$24),$D59=YEAR(Summary!$E$24)),Summary!$E$25,1)*IF(G59="",0,INT((H59-MOD(H59,7)-G59)/7)+1-IF(BA59,IF(WEEKDAY(F59)=7,1,0),0))</f>
        <v>#VALUE!</v>
      </c>
      <c r="AZ59" s="807" t="e">
        <f aca="false">IF(AND($E59=MONTH(Summary!$E$24),$D59=YEAR(Summary!$E$24)),Summary!$E$25,1)*IF(G59="",0,INT((H59-MOD(H59-1,7)-G59)/7)+1-IF(BA59,IF(WEEKDAY(F59)=1,1,0),0))</f>
        <v>#VALUE!</v>
      </c>
      <c r="BA59" s="807" t="n">
        <v>1</v>
      </c>
      <c r="BB59" s="807" t="n">
        <f aca="false">IF(AND($E59=MONTH(Summary!$E$24),$D59=YEAR(Summary!$E$24)),Summary!$E$25,1)*IF(G59="",0,H59-G59+1)</f>
        <v>31</v>
      </c>
      <c r="BC59" s="1089" t="n">
        <f aca="false">Summary!$E$19</f>
        <v>0.015</v>
      </c>
      <c r="BD59" s="1090" t="n">
        <v>15602.4</v>
      </c>
      <c r="BE59" s="1091" t="n">
        <v>2836.8</v>
      </c>
      <c r="BF59" s="1091" t="n">
        <v>3546</v>
      </c>
      <c r="BG59" s="842"/>
      <c r="BH59" s="1092" t="n">
        <v>1</v>
      </c>
      <c r="BI59" s="1092" t="n">
        <v>1</v>
      </c>
      <c r="BJ59" s="1092" t="n">
        <v>1</v>
      </c>
      <c r="BK59" s="1092" t="n">
        <v>1</v>
      </c>
      <c r="BL59" s="1093" t="n">
        <v>3120.48</v>
      </c>
      <c r="BM59" s="1091" t="n">
        <v>567.36</v>
      </c>
      <c r="BN59" s="1091" t="n">
        <v>709.2</v>
      </c>
      <c r="BO59" s="842"/>
      <c r="BP59" s="1092" t="n">
        <v>1</v>
      </c>
      <c r="BQ59" s="1094" t="n">
        <v>1</v>
      </c>
      <c r="BR59" s="1094" t="n">
        <v>1</v>
      </c>
      <c r="BS59" s="1095" t="n">
        <v>1</v>
      </c>
      <c r="BT59" s="1093" t="n">
        <f aca="false">SUM(BD59:BF59)</f>
        <v>21985.2</v>
      </c>
      <c r="BU59" s="1098" t="n">
        <f aca="false">SUM(BD59:BG59)</f>
        <v>21985.2</v>
      </c>
      <c r="BV59" s="1090" t="n">
        <f aca="false">SUM(BL59:BN59)</f>
        <v>4397.04</v>
      </c>
      <c r="BW59" s="1098" t="n">
        <f aca="false">SUM(BL59:BO59)</f>
        <v>4397.04</v>
      </c>
      <c r="BX59" s="852" t="n">
        <v>3.54277891854894</v>
      </c>
      <c r="BY59" s="1099" t="n">
        <v>0</v>
      </c>
      <c r="BZ59" s="852" t="n">
        <v>0</v>
      </c>
      <c r="CA59" s="852" t="n">
        <v>0</v>
      </c>
      <c r="CB59" s="852" t="n">
        <v>0</v>
      </c>
      <c r="CC59" s="852" t="n">
        <v>0</v>
      </c>
      <c r="CD59" s="852" t="n">
        <v>0</v>
      </c>
      <c r="CE59" s="1100" t="n">
        <v>0</v>
      </c>
      <c r="CF59" s="852" t="n">
        <v>0</v>
      </c>
      <c r="CG59" s="852" t="n">
        <v>0</v>
      </c>
      <c r="CH59" s="852" t="n">
        <v>0</v>
      </c>
      <c r="CI59" s="852" t="n">
        <v>0</v>
      </c>
      <c r="CJ59" s="1101" t="n">
        <v>0</v>
      </c>
      <c r="CK59" s="852" t="n">
        <v>0</v>
      </c>
      <c r="CL59" s="852" t="n">
        <v>0</v>
      </c>
      <c r="CM59" s="852" t="n">
        <v>0</v>
      </c>
      <c r="CN59" s="852" t="n">
        <v>0</v>
      </c>
      <c r="CO59" s="852" t="n">
        <v>0</v>
      </c>
      <c r="CP59" s="852" t="n">
        <v>0</v>
      </c>
      <c r="CQ59" s="1102" t="n">
        <v>0</v>
      </c>
      <c r="CR59" s="1103" t="n">
        <v>0</v>
      </c>
      <c r="CS59" s="1103" t="n">
        <v>0</v>
      </c>
      <c r="CT59" s="1103" t="n">
        <v>0</v>
      </c>
      <c r="CU59" s="1103" t="n">
        <v>0</v>
      </c>
      <c r="CV59" s="1103" t="n">
        <v>0</v>
      </c>
      <c r="CW59" s="1103" t="n">
        <v>0</v>
      </c>
      <c r="CX59" s="1104" t="n">
        <v>0</v>
      </c>
      <c r="CY59" s="1105" t="n">
        <v>7751.9444</v>
      </c>
      <c r="CZ59" s="1099" t="n">
        <v>0</v>
      </c>
      <c r="DA59" s="852" t="n">
        <v>0</v>
      </c>
      <c r="DB59" s="852" t="n">
        <v>0</v>
      </c>
      <c r="DC59" s="852" t="n">
        <v>0</v>
      </c>
      <c r="DD59" s="852" t="n">
        <v>0</v>
      </c>
      <c r="DE59" s="1113" t="n">
        <v>0</v>
      </c>
      <c r="DF59" s="1109" t="n">
        <v>0</v>
      </c>
      <c r="DG59" s="1110" t="n">
        <v>0</v>
      </c>
      <c r="DH59" s="1111" t="n">
        <v>0</v>
      </c>
      <c r="DI59" s="1112" t="n">
        <v>0</v>
      </c>
      <c r="DJ59" s="1112" t="n">
        <v>0</v>
      </c>
      <c r="DK59" s="1112" t="n">
        <v>0</v>
      </c>
      <c r="DL59" s="1113" t="n">
        <v>0</v>
      </c>
      <c r="DM59" s="1114" t="n">
        <v>0</v>
      </c>
      <c r="DN59" s="1114" t="n">
        <v>0</v>
      </c>
      <c r="DO59" s="1114" t="n">
        <v>0</v>
      </c>
      <c r="DP59" s="1114" t="n">
        <v>0</v>
      </c>
      <c r="DQ59" s="1114" t="n">
        <v>0</v>
      </c>
      <c r="DR59" s="1109" t="n">
        <v>0</v>
      </c>
      <c r="DS59" s="852" t="n">
        <v>0</v>
      </c>
      <c r="DT59" s="852" t="n">
        <v>0</v>
      </c>
      <c r="DU59" s="852" t="n">
        <v>0</v>
      </c>
      <c r="DV59" s="852" t="n">
        <v>0</v>
      </c>
      <c r="DW59" s="852" t="n">
        <v>0</v>
      </c>
      <c r="DX59" s="852" t="n">
        <v>0</v>
      </c>
      <c r="DY59" s="852" t="n">
        <v>0</v>
      </c>
      <c r="DZ59" s="852" t="n">
        <v>0</v>
      </c>
      <c r="EA59" s="852" t="n">
        <v>0</v>
      </c>
      <c r="EB59" s="1113" t="n">
        <v>0</v>
      </c>
      <c r="EC59" s="1115" t="n">
        <f aca="false">DS59*BD59</f>
        <v>0</v>
      </c>
      <c r="ED59" s="1115" t="n">
        <f aca="false">DT59*BE59</f>
        <v>0</v>
      </c>
      <c r="EE59" s="1115" t="n">
        <f aca="false">DU59*BF59</f>
        <v>0</v>
      </c>
      <c r="EF59" s="1115" t="n">
        <f aca="false">DV59*BG59</f>
        <v>0</v>
      </c>
      <c r="EG59" s="1115" t="n">
        <f aca="false">DS59*BD59+DT59*BE59+DU59*BF59+DV59*BG59</f>
        <v>0</v>
      </c>
      <c r="EH59" s="1116" t="n">
        <v>0</v>
      </c>
      <c r="EI59" s="1117" t="n">
        <v>0</v>
      </c>
      <c r="EJ59" s="1117" t="n">
        <v>0</v>
      </c>
      <c r="EK59" s="1117" t="n">
        <v>0</v>
      </c>
      <c r="EL59" s="1118" t="n">
        <f aca="false">IF(C59&gt;=Summary!$E$26,MAX(0,SUM(EH59:EK59)),0)</f>
        <v>0</v>
      </c>
      <c r="EM59" s="1115" t="n">
        <f aca="false">IF(C59&gt;=Summary!$E$26,DX59*BL59,0)</f>
        <v>0</v>
      </c>
      <c r="EN59" s="1115" t="n">
        <f aca="false">IF(C59&gt;=Summary!$E$26,DY59*BM59,0)</f>
        <v>0</v>
      </c>
      <c r="EO59" s="1115" t="n">
        <f aca="false">IF(C59&gt;=Summary!$E$26,DZ59*BN59,0)</f>
        <v>0</v>
      </c>
      <c r="EP59" s="1115" t="n">
        <f aca="false">IF(C59&gt;=Summary!$E$26,EA59*BO59,0)</f>
        <v>0</v>
      </c>
      <c r="EQ59" s="1115" t="n">
        <f aca="false">IF(C59&gt;=Summary!$E$26,DX59*BL59+DY59*BM59+DZ59*BN59+EA59*BO59,0)</f>
        <v>0</v>
      </c>
      <c r="ER59" s="1119" t="n">
        <v>0</v>
      </c>
      <c r="ES59" s="1120" t="n">
        <v>0</v>
      </c>
      <c r="ET59" s="1120" t="n">
        <v>0</v>
      </c>
      <c r="EU59" s="1120" t="n">
        <v>0</v>
      </c>
      <c r="EV59" s="1143" t="n">
        <f aca="false">IF(C59&gt;=Summary!$E$26,MAX(0,SUM(ER59:EU59)),0)</f>
        <v>0</v>
      </c>
      <c r="EW59" s="1115"/>
      <c r="EX59" s="1165" t="n">
        <f aca="false">(EQ59-EV59)+IF(EZ59="Yes",(EG59-EL59),0)</f>
        <v>0</v>
      </c>
      <c r="EY59" s="1166" t="str">
        <f aca="false">IF(EX59,EX59/EQ59,"")</f>
        <v/>
      </c>
      <c r="EZ59" s="1122" t="s">
        <v>37</v>
      </c>
      <c r="FA59" s="1096" t="n">
        <f aca="false">FA58</f>
        <v>45</v>
      </c>
      <c r="FB59" s="1167" t="e">
        <f aca="false">IF(EZ59="No",IF((OR(MONTH(C59)=5,MONTH(C59)=6,MONTH(C59)=7,MONTH(C59)=8,MONTH(C59)=9)),$FA59*12*AX59*(1-$BC59),$FA59*10*AX59*(1-$BC59)),0)</f>
        <v>#VALUE!</v>
      </c>
      <c r="FC59" s="1129" t="n">
        <f aca="false">IF(EZ59="No",IF((OR(MONTH(C59)=5,MONTH(C59)=6,MONTH(C59)=7,MONTH(C59)=8,MONTH(C59)=9)),0,$FA59*3*AX59*(1-$BC59)),0)</f>
        <v>0</v>
      </c>
      <c r="FD59" s="1129" t="e">
        <f aca="false">IF(EZ59="No",IF((OR(MONTH(C59)=5,MONTH(C59)=6,MONTH(C59)=7,MONTH(C59)=8,MONTH(C59)=9)),$FA59*12*AY59*(1-$BC59),$FA59*10*AY59*(1-$BC59)),0)</f>
        <v>#VALUE!</v>
      </c>
      <c r="FE59" s="1129" t="n">
        <f aca="false">IF(EZ59="No",IF((OR(MONTH(C59)=5,MONTH(C59)=6,MONTH(C59)=7,MONTH(C59)=8,MONTH(C59)=9)),0,$FA59*3*AY59*(1-$BC59)),0)</f>
        <v>0</v>
      </c>
      <c r="FF59" s="1129" t="e">
        <f aca="false">IF(EZ59="No",IF((OR(MONTH(C59)=5,MONTH(C59)=6,MONTH(C59)=7,MONTH(C59)=8,MONTH(C59)=9)),$FA59*12*(AZ59+BA59)*(1-$BC59),$FA59*10*(AZ59+BA59)*(1-$BC59)),0)</f>
        <v>#VALUE!</v>
      </c>
      <c r="FG59" s="1129" t="n">
        <f aca="false">IF(EZ59="No",IF((OR(MONTH(C59)=5,MONTH(C59)=6,MONTH(C59)=7,MONTH(C59)=8,MONTH(C59)=9)),0,$FA59*3*(AZ59+BA59)*(1-$BC59)),0)</f>
        <v>0</v>
      </c>
      <c r="FH59" s="1170" t="e">
        <f aca="false">IF(EZ59="No",IF((OR(MONTH(C59)=5,MONTH(C59)=6,MONTH(C59)=7,MONTH(C59)=8,MONTH(C59)=9)),Summary!$O$15*12*(AX59+AY59+AZ59+BA59)*(1-$BC59),Summary!$O$15*13*(AX59+AY59+AZ59+BA59)*(1-$BC59)+IF(Summary!$O$16="Yes",(CALC!FA59+Summary!$O$15)*6*(AX59+AY59+AZ59+BA59)*(1-$BC59),0)),0)</f>
        <v>#VALUE!</v>
      </c>
      <c r="FI59" s="1126" t="n">
        <f aca="false">IF(MONTH(C59)=5,FI58*(IF(Summary!$E$70="no",(1+(Summary!$E$71*0.8)),1+HLOOKUP(YEAR(C59)-1,CCFMODEL!$I$127:$AF$128,2)*0.8)),+FI58)</f>
        <v>29.2498402152418</v>
      </c>
      <c r="FJ59" s="1127" t="n">
        <f aca="false">IF(MONTH(C59)=5,FJ58*(IF(Summary!$E$70="no",(1+(Summary!$E$71*0.8)),1+HLOOKUP(YEAR(CALC!C59)-1,CCFMODEL!$I$127:$AF$128,2)*0.8)),FJ58)</f>
        <v>25.5648209755263</v>
      </c>
      <c r="FK59" s="1128" t="e">
        <f aca="false">SUM(FB59:FG59)*FI59+FH59*FJ59</f>
        <v>#VALUE!</v>
      </c>
      <c r="FL59" s="1126" t="n">
        <f aca="false">IF(MONTH(C59)=5,FL58*(IF(Summary!$E$70="no",(1+(Summary!$E$71*0.8)),1+HLOOKUP(YEAR(CALC!C59)-1,CCFMODEL!$I$127:$AF$128,2)*0.8)),+FL58)</f>
        <v>61.5156932010841</v>
      </c>
      <c r="FM59" s="1127" t="n">
        <f aca="false">IF(MONTH(C59)=5,FM58*(IF(Summary!$E$70="no",(1+(Summary!$E$71*0.8)),1+HLOOKUP(YEAR(CALC!C59)-1,CCFMODEL!$I$127:$AF$128,2)*0.8)),+FM58)</f>
        <v>29.3595134069</v>
      </c>
      <c r="FN59" s="1128" t="e">
        <f aca="false">IF((OR(MONTH(C59)=5,MONTH(C59)=6,MONTH(C59)=7,MONTH(C59)=8,MONTH(C59)=9)),SUM(FB59:FG59)/(1-BC59)*FL59,SUM(FB59:FG59)/(1-BC59)*FM59)</f>
        <v>#VALUE!</v>
      </c>
      <c r="FO59" s="1129" t="e">
        <f aca="false">FK59+FN59</f>
        <v>#VALUE!</v>
      </c>
      <c r="FP59" s="1169" t="e">
        <f aca="false">FB59</f>
        <v>#VALUE!</v>
      </c>
      <c r="FQ59" s="1129" t="n">
        <f aca="false">FC59</f>
        <v>0</v>
      </c>
      <c r="FR59" s="1129" t="e">
        <f aca="false">FD59</f>
        <v>#VALUE!</v>
      </c>
      <c r="FS59" s="1129" t="n">
        <f aca="false">FE59</f>
        <v>0</v>
      </c>
      <c r="FT59" s="1129" t="e">
        <f aca="false">FF59</f>
        <v>#VALUE!</v>
      </c>
      <c r="FU59" s="1129" t="n">
        <f aca="false">FG59</f>
        <v>0</v>
      </c>
      <c r="FV59" s="1170" t="e">
        <f aca="false">FH59</f>
        <v>#VALUE!</v>
      </c>
      <c r="FW59" s="1115" t="n">
        <f aca="false">IF(ER59&gt;0,MIN(FB59-FP59,BL59),0)</f>
        <v>0</v>
      </c>
      <c r="FX59" s="1115" t="n">
        <f aca="false">IF(ES59&gt;0,MIN(FD59-FR59,BM59),0)</f>
        <v>0</v>
      </c>
      <c r="FY59" s="1115" t="n">
        <f aca="false">IF(ET59&gt;0,MIN(FF59-FT59,BN59),0)</f>
        <v>0</v>
      </c>
      <c r="FZ59" s="1143" t="n">
        <f aca="false">IF(EU59&gt;0,MIN(FH59-FV59,BO59),0)</f>
        <v>0</v>
      </c>
      <c r="GA59" s="1132" t="e">
        <f aca="false">(SUM(FP59:FV59)+SUM(GU59:HB59)/(1-Summary!$O$25))*CY59/1000</f>
        <v>#VALUE!</v>
      </c>
      <c r="GB59" s="1133" t="n">
        <f aca="false">IF($C59&lt;Summary!$M$81,+Summary!$O$81,VLOOKUP(C59,GasTable,19))</f>
        <v>2.4</v>
      </c>
      <c r="GC59" s="1134" t="e">
        <f aca="false">IF(H59&lt;=Summary!$N$84,MIN(GA59,Summary!$O$75*(H59-G59+1)),0)</f>
        <v>#VALUE!</v>
      </c>
      <c r="GD59" s="1135" t="e">
        <f aca="false">IF(Summary!$O$75*(H59-G59+1)*0.8&gt;GC59,1,0)</f>
        <v>#VALUE!</v>
      </c>
      <c r="GE59" s="1136" t="n">
        <v>0</v>
      </c>
      <c r="GF59" s="1134" t="e">
        <f aca="false">ABS(MIN(0,GC59-$GA59))</f>
        <v>#VALUE!</v>
      </c>
      <c r="GG59" s="1135" t="e">
        <f aca="false">GF59*(IF(Summary!$O$74=1,VLOOKUP($C59,GasTable,16)+Summary!$O$92+Summary!$O$93,VLOOKUP($C59,GasTable,19)+Summary!$O$92+Summary!$O$93))</f>
        <v>#VALUE!</v>
      </c>
      <c r="GH59" s="1137" t="n">
        <v>18482.2</v>
      </c>
      <c r="GI59" s="1138" t="n">
        <v>0</v>
      </c>
      <c r="GJ59" s="1139" t="e">
        <f aca="false">+GB59*GC59+GE59+GG59+GH59-GI59</f>
        <v>#VALUE!</v>
      </c>
      <c r="GK59" s="1115" t="e">
        <f aca="false">SUM(FP59:FV59,GU59:GX59,GY59:HB59)</f>
        <v>#VALUE!</v>
      </c>
      <c r="GL59" s="1140" t="n">
        <v>0.76124094008</v>
      </c>
      <c r="GM59" s="1141" t="e">
        <f aca="false">IF(GK59&gt;GC59/(CY59/1000),GC59/(CY59/1000),+GK59)*GL59</f>
        <v>#VALUE!</v>
      </c>
      <c r="GN59" s="1115" t="n">
        <f aca="false">IF(SUM(GU59:HB59)=0,0,IF(Summary!$O$16="Yes",SUM(GX59:HB59),IF(Summary!$O$17="Yes",SUM(GY59:HB59),SUM(GU59:HB59))))</f>
        <v>9547.0731</v>
      </c>
      <c r="GO59" s="1142" t="n">
        <v>2.60017181288321</v>
      </c>
      <c r="GP59" s="1143" t="n">
        <f aca="false">GN59*GO59</f>
        <v>24824.0303701556</v>
      </c>
      <c r="GQ59" s="1115"/>
      <c r="GR59" s="1115"/>
      <c r="GS59" s="1115"/>
      <c r="GT59" s="1115"/>
      <c r="GU59" s="1150" t="n">
        <v>3764.079</v>
      </c>
      <c r="GV59" s="1115" t="n">
        <v>684.378</v>
      </c>
      <c r="GW59" s="1115" t="n">
        <v>855.4725</v>
      </c>
      <c r="GX59" s="1115"/>
      <c r="GY59" s="1151" t="n">
        <v>3011.2632</v>
      </c>
      <c r="GZ59" s="1115" t="n">
        <v>547.5024</v>
      </c>
      <c r="HA59" s="1115" t="n">
        <v>684.378</v>
      </c>
      <c r="HB59" s="1141"/>
      <c r="HC59" s="1115" t="n">
        <v>9547.0731</v>
      </c>
      <c r="HD59" s="1115"/>
      <c r="HE59" s="1115" t="n">
        <v>22276.5039</v>
      </c>
      <c r="HF59" s="1115" t="n">
        <v>338102.239356778</v>
      </c>
      <c r="HG59" s="1115"/>
      <c r="HH59" s="1142" t="n">
        <v>37.5027820242432</v>
      </c>
      <c r="HI59" s="1115" t="n">
        <v>835430.870023904</v>
      </c>
      <c r="HJ59" s="1150" t="e">
        <f aca="false">MAX(FB59-FP59-FW59,0)</f>
        <v>#VALUE!</v>
      </c>
      <c r="HK59" s="1115" t="e">
        <f aca="false">MAX(FD59-FR59-FX59,0)</f>
        <v>#VALUE!</v>
      </c>
      <c r="HL59" s="1115" t="e">
        <f aca="false">MAX(FF59-FT59-FY59,0)</f>
        <v>#VALUE!</v>
      </c>
      <c r="HM59" s="1141" t="e">
        <f aca="false">MAX(FH59-FV59-FZ59,0)</f>
        <v>#VALUE!</v>
      </c>
      <c r="HN59" s="1115" t="e">
        <f aca="false">SUM(HJ59:HM59)</f>
        <v>#VALUE!</v>
      </c>
      <c r="HO59" s="1142" t="n">
        <f aca="false">IF(ISERROR(+HP59/HN59),0,+HP59/HN59)</f>
        <v>0</v>
      </c>
      <c r="HP59" s="1143" t="e">
        <f aca="false">(HJ59*CE59+HK59*CF59+HL59*CG59+HM59*CH59)</f>
        <v>#VALUE!</v>
      </c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R59" s="844"/>
    </row>
    <row r="60" customFormat="false" ht="13.5" hidden="false" customHeight="false" outlineLevel="0" collapsed="false">
      <c r="A60" s="0" t="str">
        <f aca="false">+D60&amp;"Q"&amp;ROUNDUP(E60/3,0)</f>
        <v>2003Q3</v>
      </c>
      <c r="B60" s="0" t="n">
        <f aca="false">YEAR(C60)</f>
        <v>2003</v>
      </c>
      <c r="C60" s="1153" t="n">
        <f aca="false">EOMONTH(C59,0)+1</f>
        <v>37834</v>
      </c>
      <c r="D60" s="841" t="n">
        <f aca="false">+YEAR(C60)</f>
        <v>2003</v>
      </c>
      <c r="E60" s="807" t="n">
        <f aca="false">MONTH(C60)</f>
        <v>8</v>
      </c>
      <c r="F60" s="1154" t="e">
        <f aca="false">IF(G60="","",Holiday(D60,E60))</f>
        <v>#VALUE!</v>
      </c>
      <c r="G60" s="1155" t="n">
        <v>37834</v>
      </c>
      <c r="H60" s="1156" t="n">
        <v>37864</v>
      </c>
      <c r="I60" s="1157" t="n">
        <f aca="false">I59</f>
        <v>0.0715</v>
      </c>
      <c r="J60" s="1158" t="n">
        <f aca="false">(1+I60/2)^(-2*(DATE(D61,E61,20)-$H$7)/365.25)</f>
        <v>0.767616275007774</v>
      </c>
      <c r="K60" s="1159" t="e">
        <f aca="false">IF(#REF!=1,+#REF!,I60+#REF!/10000)</f>
        <v>#REF!</v>
      </c>
      <c r="L60" s="1158" t="e">
        <f aca="false">(1+K60/2)^(-2*(DATE(D61,E61,20)-$H$7)/365.25)</f>
        <v>#REF!</v>
      </c>
      <c r="M60" s="1082" t="n">
        <v>0</v>
      </c>
      <c r="N60" s="1110" t="n">
        <f aca="false">M60</f>
        <v>0</v>
      </c>
      <c r="O60" s="1174" t="n">
        <f aca="false">N60</f>
        <v>0</v>
      </c>
      <c r="P60" s="1175" t="n">
        <f aca="false">M60</f>
        <v>0</v>
      </c>
      <c r="Q60" s="1110" t="n">
        <f aca="false">P60</f>
        <v>0</v>
      </c>
      <c r="R60" s="1174" t="n">
        <f aca="false">Q60</f>
        <v>0</v>
      </c>
      <c r="S60" s="1110" t="n">
        <f aca="false">R60</f>
        <v>0</v>
      </c>
      <c r="T60" s="1110" t="n">
        <f aca="false">S60</f>
        <v>0</v>
      </c>
      <c r="U60" s="1110" t="n">
        <f aca="false">T60</f>
        <v>0</v>
      </c>
      <c r="V60" s="1175" t="n">
        <f aca="false">U60</f>
        <v>0</v>
      </c>
      <c r="W60" s="1110" t="n">
        <f aca="false">V60</f>
        <v>0</v>
      </c>
      <c r="X60" s="1176" t="n">
        <f aca="false">W60</f>
        <v>0</v>
      </c>
      <c r="Y60" s="1086" t="n">
        <v>0</v>
      </c>
      <c r="Z60" s="1086" t="n">
        <v>0</v>
      </c>
      <c r="AA60" s="1087" t="n">
        <v>0</v>
      </c>
      <c r="AB60" s="1086" t="n">
        <v>0</v>
      </c>
      <c r="AC60" s="1086" t="n">
        <v>0</v>
      </c>
      <c r="AD60" s="1087" t="n">
        <v>0</v>
      </c>
      <c r="AE60" s="1086" t="n">
        <v>0</v>
      </c>
      <c r="AF60" s="1086" t="n">
        <v>0</v>
      </c>
      <c r="AG60" s="1087" t="n">
        <v>0</v>
      </c>
      <c r="AH60" s="1086" t="n">
        <v>0</v>
      </c>
      <c r="AI60" s="1086" t="n">
        <v>0</v>
      </c>
      <c r="AJ60" s="1087" t="n">
        <v>0</v>
      </c>
      <c r="AK60" s="1086" t="n">
        <v>0</v>
      </c>
      <c r="AL60" s="1086" t="n">
        <v>0</v>
      </c>
      <c r="AM60" s="1087" t="n">
        <v>0</v>
      </c>
      <c r="AN60" s="1086" t="n">
        <v>0</v>
      </c>
      <c r="AO60" s="1086" t="n">
        <v>0</v>
      </c>
      <c r="AP60" s="1087" t="n">
        <v>0</v>
      </c>
      <c r="AQ60" s="1086" t="n">
        <v>0</v>
      </c>
      <c r="AR60" s="1086" t="n">
        <v>0</v>
      </c>
      <c r="AS60" s="1087" t="n">
        <v>0</v>
      </c>
      <c r="AT60" s="1086" t="n">
        <v>0</v>
      </c>
      <c r="AU60" s="1086" t="n">
        <v>0</v>
      </c>
      <c r="AV60" s="1086" t="n">
        <v>0</v>
      </c>
      <c r="AW60" s="1172" t="n">
        <v>0</v>
      </c>
      <c r="AX60" s="807" t="n">
        <f aca="false">BB60-SUM(AY60:BA60)</f>
        <v>21</v>
      </c>
      <c r="AY60" s="807" t="n">
        <f aca="false">IF(AND($E60=MONTH(Summary!$E$24),$D60=YEAR(Summary!$E$24)),Summary!$E$25,1)*IF(G60="",0,INT((H60-MOD(H60,7)-G60)/7)+1-IF(BA60,IF(WEEKDAY(F60)=7,1,0),0))</f>
        <v>5</v>
      </c>
      <c r="AZ60" s="807" t="n">
        <f aca="false">IF(AND($E60=MONTH(Summary!$E$24),$D60=YEAR(Summary!$E$24)),Summary!$E$25,1)*IF(G60="",0,INT((H60-MOD(H60-1,7)-G60)/7)+1-IF(BA60,IF(WEEKDAY(F60)=1,1,0),0))</f>
        <v>5</v>
      </c>
      <c r="BA60" s="807" t="n">
        <v>0</v>
      </c>
      <c r="BB60" s="807" t="n">
        <f aca="false">IF(AND($E60=MONTH(Summary!$E$24),$D60=YEAR(Summary!$E$24)),Summary!$E$25,1)*IF(G60="",0,H60-G60+1)</f>
        <v>31</v>
      </c>
      <c r="BC60" s="1089" t="n">
        <f aca="false">Summary!$E$19</f>
        <v>0.015</v>
      </c>
      <c r="BD60" s="1090" t="n">
        <v>14893.2</v>
      </c>
      <c r="BE60" s="1091" t="n">
        <v>3546</v>
      </c>
      <c r="BF60" s="1091" t="n">
        <v>3546</v>
      </c>
      <c r="BG60" s="842"/>
      <c r="BH60" s="1092" t="n">
        <v>1</v>
      </c>
      <c r="BI60" s="1092" t="n">
        <v>1</v>
      </c>
      <c r="BJ60" s="1092" t="n">
        <v>1</v>
      </c>
      <c r="BK60" s="1092" t="n">
        <v>1</v>
      </c>
      <c r="BL60" s="1093" t="n">
        <v>2978.64</v>
      </c>
      <c r="BM60" s="1091" t="n">
        <v>709.2</v>
      </c>
      <c r="BN60" s="1091" t="n">
        <v>709.2</v>
      </c>
      <c r="BO60" s="842"/>
      <c r="BP60" s="1092" t="n">
        <v>1</v>
      </c>
      <c r="BQ60" s="1094" t="n">
        <v>1</v>
      </c>
      <c r="BR60" s="1094" t="n">
        <v>1</v>
      </c>
      <c r="BS60" s="1095" t="n">
        <v>1</v>
      </c>
      <c r="BT60" s="1093" t="n">
        <f aca="false">SUM(BD60:BF60)</f>
        <v>21985.2</v>
      </c>
      <c r="BU60" s="1098" t="n">
        <f aca="false">SUM(BD60:BG60)</f>
        <v>21985.2</v>
      </c>
      <c r="BV60" s="1090" t="n">
        <f aca="false">SUM(BL60:BN60)</f>
        <v>4397.04</v>
      </c>
      <c r="BW60" s="1098" t="n">
        <f aca="false">SUM(BL60:BO60)</f>
        <v>4397.04</v>
      </c>
      <c r="BX60" s="852" t="n">
        <v>3.62765229295003</v>
      </c>
      <c r="BY60" s="1099" t="n">
        <v>0</v>
      </c>
      <c r="BZ60" s="852" t="n">
        <v>0</v>
      </c>
      <c r="CA60" s="852" t="n">
        <v>0</v>
      </c>
      <c r="CB60" s="852" t="n">
        <v>0</v>
      </c>
      <c r="CC60" s="852" t="n">
        <v>0</v>
      </c>
      <c r="CD60" s="852" t="n">
        <v>0</v>
      </c>
      <c r="CE60" s="1100" t="n">
        <v>0</v>
      </c>
      <c r="CF60" s="852" t="n">
        <v>0</v>
      </c>
      <c r="CG60" s="852" t="n">
        <v>0</v>
      </c>
      <c r="CH60" s="852" t="n">
        <v>0</v>
      </c>
      <c r="CI60" s="852" t="n">
        <v>0</v>
      </c>
      <c r="CJ60" s="1101" t="n">
        <v>0</v>
      </c>
      <c r="CK60" s="852" t="n">
        <v>0</v>
      </c>
      <c r="CL60" s="852" t="n">
        <v>0</v>
      </c>
      <c r="CM60" s="852" t="n">
        <v>0</v>
      </c>
      <c r="CN60" s="852" t="n">
        <v>0</v>
      </c>
      <c r="CO60" s="852" t="n">
        <v>0</v>
      </c>
      <c r="CP60" s="852" t="n">
        <v>0</v>
      </c>
      <c r="CQ60" s="1102" t="n">
        <v>0</v>
      </c>
      <c r="CR60" s="1103" t="n">
        <v>0</v>
      </c>
      <c r="CS60" s="1103" t="n">
        <v>0</v>
      </c>
      <c r="CT60" s="1103" t="n">
        <v>0</v>
      </c>
      <c r="CU60" s="1103" t="n">
        <v>0</v>
      </c>
      <c r="CV60" s="1103" t="n">
        <v>0</v>
      </c>
      <c r="CW60" s="1103" t="n">
        <v>0</v>
      </c>
      <c r="CX60" s="1104" t="n">
        <v>0</v>
      </c>
      <c r="CY60" s="1105" t="n">
        <v>7753.89872</v>
      </c>
      <c r="CZ60" s="1099" t="n">
        <v>0</v>
      </c>
      <c r="DA60" s="852" t="n">
        <v>0</v>
      </c>
      <c r="DB60" s="852" t="n">
        <v>0</v>
      </c>
      <c r="DC60" s="852" t="n">
        <v>0</v>
      </c>
      <c r="DD60" s="852" t="n">
        <v>0</v>
      </c>
      <c r="DE60" s="1113" t="n">
        <v>0</v>
      </c>
      <c r="DF60" s="1109" t="n">
        <v>0</v>
      </c>
      <c r="DG60" s="1110" t="n">
        <v>0</v>
      </c>
      <c r="DH60" s="1111" t="n">
        <v>0</v>
      </c>
      <c r="DI60" s="1112" t="n">
        <v>0</v>
      </c>
      <c r="DJ60" s="1112" t="n">
        <v>0</v>
      </c>
      <c r="DK60" s="1112" t="n">
        <v>0</v>
      </c>
      <c r="DL60" s="1113" t="n">
        <v>0</v>
      </c>
      <c r="DM60" s="1114" t="n">
        <v>0</v>
      </c>
      <c r="DN60" s="1114" t="n">
        <v>0</v>
      </c>
      <c r="DO60" s="1114" t="n">
        <v>0</v>
      </c>
      <c r="DP60" s="1114" t="n">
        <v>0</v>
      </c>
      <c r="DQ60" s="1114" t="n">
        <v>0</v>
      </c>
      <c r="DR60" s="1109" t="n">
        <v>0</v>
      </c>
      <c r="DS60" s="852" t="n">
        <v>0</v>
      </c>
      <c r="DT60" s="852" t="n">
        <v>0</v>
      </c>
      <c r="DU60" s="852" t="n">
        <v>0</v>
      </c>
      <c r="DV60" s="852" t="n">
        <v>0</v>
      </c>
      <c r="DW60" s="852" t="n">
        <v>0</v>
      </c>
      <c r="DX60" s="852" t="n">
        <v>0</v>
      </c>
      <c r="DY60" s="852" t="n">
        <v>0</v>
      </c>
      <c r="DZ60" s="852" t="n">
        <v>0</v>
      </c>
      <c r="EA60" s="852" t="n">
        <v>0</v>
      </c>
      <c r="EB60" s="1113" t="n">
        <v>0</v>
      </c>
      <c r="EC60" s="1115" t="n">
        <f aca="false">DS60*BD60</f>
        <v>0</v>
      </c>
      <c r="ED60" s="1115" t="n">
        <f aca="false">DT60*BE60</f>
        <v>0</v>
      </c>
      <c r="EE60" s="1115" t="n">
        <f aca="false">DU60*BF60</f>
        <v>0</v>
      </c>
      <c r="EF60" s="1115" t="n">
        <f aca="false">DV60*BG60</f>
        <v>0</v>
      </c>
      <c r="EG60" s="1115" t="n">
        <f aca="false">DS60*BD60+DT60*BE60+DU60*BF60+DV60*BG60</f>
        <v>0</v>
      </c>
      <c r="EH60" s="1116" t="n">
        <v>0</v>
      </c>
      <c r="EI60" s="1117" t="n">
        <v>0</v>
      </c>
      <c r="EJ60" s="1117" t="n">
        <v>0</v>
      </c>
      <c r="EK60" s="1117" t="n">
        <v>0</v>
      </c>
      <c r="EL60" s="1118" t="n">
        <f aca="false">IF(C60&gt;=Summary!$E$26,MAX(0,SUM(EH60:EK60)),0)</f>
        <v>0</v>
      </c>
      <c r="EM60" s="1115" t="n">
        <f aca="false">IF(C60&gt;=Summary!$E$26,DX60*BL60,0)</f>
        <v>0</v>
      </c>
      <c r="EN60" s="1115" t="n">
        <f aca="false">IF(C60&gt;=Summary!$E$26,DY60*BM60,0)</f>
        <v>0</v>
      </c>
      <c r="EO60" s="1115" t="n">
        <f aca="false">IF(C60&gt;=Summary!$E$26,DZ60*BN60,0)</f>
        <v>0</v>
      </c>
      <c r="EP60" s="1115" t="n">
        <f aca="false">IF(C60&gt;=Summary!$E$26,EA60*BO60,0)</f>
        <v>0</v>
      </c>
      <c r="EQ60" s="1115" t="n">
        <f aca="false">IF(C60&gt;=Summary!$E$26,DX60*BL60+DY60*BM60+DZ60*BN60+EA60*BO60,0)</f>
        <v>0</v>
      </c>
      <c r="ER60" s="1119" t="n">
        <v>0</v>
      </c>
      <c r="ES60" s="1120" t="n">
        <v>0</v>
      </c>
      <c r="ET60" s="1120" t="n">
        <v>0</v>
      </c>
      <c r="EU60" s="1120" t="n">
        <v>0</v>
      </c>
      <c r="EV60" s="1143" t="n">
        <f aca="false">IF(C60&gt;=Summary!$E$26,MAX(0,SUM(ER60:EU60)),0)</f>
        <v>0</v>
      </c>
      <c r="EW60" s="1115"/>
      <c r="EX60" s="1165" t="n">
        <f aca="false">(EQ60-EV60)+IF(EZ60="Yes",(EG60-EL60),0)</f>
        <v>0</v>
      </c>
      <c r="EY60" s="1166" t="str">
        <f aca="false">IF(EX60,EX60/EQ60,"")</f>
        <v/>
      </c>
      <c r="EZ60" s="1122" t="s">
        <v>37</v>
      </c>
      <c r="FA60" s="1096" t="n">
        <f aca="false">FA59</f>
        <v>45</v>
      </c>
      <c r="FB60" s="1167" t="n">
        <f aca="false">IF(EZ60="No",IF((OR(MONTH(C60)=5,MONTH(C60)=6,MONTH(C60)=7,MONTH(C60)=8,MONTH(C60)=9)),$FA60*12*AX60*(1-$BC60),$FA60*10*AX60*(1-$BC60)),0)</f>
        <v>11169.9</v>
      </c>
      <c r="FC60" s="1129" t="n">
        <f aca="false">IF(EZ60="No",IF((OR(MONTH(C60)=5,MONTH(C60)=6,MONTH(C60)=7,MONTH(C60)=8,MONTH(C60)=9)),0,$FA60*3*AX60*(1-$BC60)),0)</f>
        <v>0</v>
      </c>
      <c r="FD60" s="1129" t="n">
        <f aca="false">IF(EZ60="No",IF((OR(MONTH(C60)=5,MONTH(C60)=6,MONTH(C60)=7,MONTH(C60)=8,MONTH(C60)=9)),$FA60*12*AY60*(1-$BC60),$FA60*10*AY60*(1-$BC60)),0)</f>
        <v>2659.5</v>
      </c>
      <c r="FE60" s="1129" t="n">
        <f aca="false">IF(EZ60="No",IF((OR(MONTH(C60)=5,MONTH(C60)=6,MONTH(C60)=7,MONTH(C60)=8,MONTH(C60)=9)),0,$FA60*3*AY60*(1-$BC60)),0)</f>
        <v>0</v>
      </c>
      <c r="FF60" s="1129" t="n">
        <f aca="false">IF(EZ60="No",IF((OR(MONTH(C60)=5,MONTH(C60)=6,MONTH(C60)=7,MONTH(C60)=8,MONTH(C60)=9)),$FA60*12*(AZ60+BA60)*(1-$BC60),$FA60*10*(AZ60+BA60)*(1-$BC60)),0)</f>
        <v>2659.5</v>
      </c>
      <c r="FG60" s="1129" t="n">
        <f aca="false">IF(EZ60="No",IF((OR(MONTH(C60)=5,MONTH(C60)=6,MONTH(C60)=7,MONTH(C60)=8,MONTH(C60)=9)),0,$FA60*3*(AZ60+BA60)*(1-$BC60)),0)</f>
        <v>0</v>
      </c>
      <c r="FH60" s="1170" t="n">
        <f aca="false">IF(EZ60="No",IF((OR(MONTH(C60)=5,MONTH(C60)=6,MONTH(C60)=7,MONTH(C60)=8,MONTH(C60)=9)),Summary!$O$15*12*(AX60+AY60+AZ60+BA60)*(1-$BC60),Summary!$O$15*13*(AX60+AY60+AZ60+BA60)*(1-$BC60)+IF(Summary!$O$16="Yes",(CALC!FA60+Summary!$O$15)*6*(AX60+AY60+AZ60+BA60)*(1-$BC60),0)),0)</f>
        <v>0</v>
      </c>
      <c r="FI60" s="1126" t="n">
        <f aca="false">IF(MONTH(C60)=5,FI59*(IF(Summary!$E$70="no",(1+(Summary!$E$71*0.8)),1+HLOOKUP(YEAR(C60)-1,CCFMODEL!$I$127:$AF$128,2)*0.8)),+FI59)</f>
        <v>29.2498402152418</v>
      </c>
      <c r="FJ60" s="1127" t="n">
        <f aca="false">IF(MONTH(C60)=5,FJ59*(IF(Summary!$E$70="no",(1+(Summary!$E$71*0.8)),1+HLOOKUP(YEAR(CALC!C60)-1,CCFMODEL!$I$127:$AF$128,2)*0.8)),FJ59)</f>
        <v>25.5648209755263</v>
      </c>
      <c r="FK60" s="1128" t="n">
        <f aca="false">SUM(FB60:FG60)*FI60+FH60*FJ60</f>
        <v>482297.690325101</v>
      </c>
      <c r="FL60" s="1126" t="n">
        <f aca="false">IF(MONTH(C60)=5,FL59*(IF(Summary!$E$70="no",(1+(Summary!$E$71*0.8)),1+HLOOKUP(YEAR(CALC!C60)-1,CCFMODEL!$I$127:$AF$128,2)*0.8)),+FL59)</f>
        <v>61.5156932010841</v>
      </c>
      <c r="FM60" s="1127" t="n">
        <f aca="false">IF(MONTH(C60)=5,FM59*(IF(Summary!$E$70="no",(1+(Summary!$E$71*0.8)),1+HLOOKUP(YEAR(CALC!C60)-1,CCFMODEL!$I$127:$AF$128,2)*0.8)),+FM59)</f>
        <v>29.3595134069</v>
      </c>
      <c r="FN60" s="1128" t="n">
        <f aca="false">IF((OR(MONTH(C60)=5,MONTH(C60)=6,MONTH(C60)=7,MONTH(C60)=8,MONTH(C60)=9)),SUM(FB60:FG60)/(1-BC60)*FL60,SUM(FB60:FG60)/(1-BC60)*FM60)</f>
        <v>1029772.70418615</v>
      </c>
      <c r="FO60" s="1129" t="n">
        <f aca="false">FK60+FN60</f>
        <v>1512070.39451125</v>
      </c>
      <c r="FP60" s="1169" t="n">
        <f aca="false">FB60</f>
        <v>11169.9</v>
      </c>
      <c r="FQ60" s="1129" t="n">
        <f aca="false">FC60</f>
        <v>0</v>
      </c>
      <c r="FR60" s="1129" t="n">
        <f aca="false">FD60</f>
        <v>2659.5</v>
      </c>
      <c r="FS60" s="1129" t="n">
        <f aca="false">FE60</f>
        <v>0</v>
      </c>
      <c r="FT60" s="1129" t="n">
        <f aca="false">FF60</f>
        <v>2659.5</v>
      </c>
      <c r="FU60" s="1129" t="n">
        <f aca="false">FG60</f>
        <v>0</v>
      </c>
      <c r="FV60" s="1170" t="n">
        <f aca="false">FH60</f>
        <v>0</v>
      </c>
      <c r="FW60" s="1115" t="n">
        <f aca="false">IF(ER60&gt;0,MIN(FB60-FP60,BL60),0)</f>
        <v>0</v>
      </c>
      <c r="FX60" s="1115" t="n">
        <f aca="false">IF(ES60&gt;0,MIN(FD60-FR60,BM60),0)</f>
        <v>0</v>
      </c>
      <c r="FY60" s="1115" t="n">
        <f aca="false">IF(ET60&gt;0,MIN(FF60-FT60,BN60),0)</f>
        <v>0</v>
      </c>
      <c r="FZ60" s="1143" t="n">
        <f aca="false">IF(EU60&gt;0,MIN(FH60-FV60,BO60),0)</f>
        <v>0</v>
      </c>
      <c r="GA60" s="1132" t="n">
        <f aca="false">(SUM(FP60:FV60)+SUM(GU60:HB60)/(1-Summary!$O$25))*CY60/1000</f>
        <v>204565.216966733</v>
      </c>
      <c r="GB60" s="1133" t="n">
        <f aca="false">IF($C60&lt;Summary!$M$81,+Summary!$O$81,VLOOKUP(C60,GasTable,19))</f>
        <v>2.4</v>
      </c>
      <c r="GC60" s="1134" t="n">
        <f aca="false">IF(H60&lt;=Summary!$N$84,MIN(GA60,Summary!$O$75*(H60-G60+1)),0)</f>
        <v>155000</v>
      </c>
      <c r="GD60" s="1135" t="n">
        <f aca="false">IF(Summary!$O$75*(H60-G60+1)*0.8&gt;GC60,1,0)</f>
        <v>0</v>
      </c>
      <c r="GE60" s="1136" t="n">
        <v>0</v>
      </c>
      <c r="GF60" s="1134" t="n">
        <f aca="false">ABS(MIN(0,GC60-$GA60))</f>
        <v>49565.2169667328</v>
      </c>
      <c r="GG60" s="1135" t="n">
        <f aca="false">GF60*(IF(Summary!$O$74=1,VLOOKUP($C60,GasTable,16)+Summary!$O$92+Summary!$O$93,VLOOKUP($C60,GasTable,19)+Summary!$O$92+Summary!$O$93))</f>
        <v>131565.419822868</v>
      </c>
      <c r="GH60" s="1137" t="n">
        <v>18612.4</v>
      </c>
      <c r="GI60" s="1138" t="n">
        <v>0</v>
      </c>
      <c r="GJ60" s="1139" t="n">
        <f aca="false">+GB60*GC60+GE60+GG60+GH60-GI60</f>
        <v>522177.819822868</v>
      </c>
      <c r="GK60" s="1115" t="n">
        <f aca="false">SUM(FP60:FV60,GU60:GX60,GY60:HB60)</f>
        <v>26035.9731</v>
      </c>
      <c r="GL60" s="1140" t="n">
        <v>0.761432854304</v>
      </c>
      <c r="GM60" s="1141" t="n">
        <f aca="false">IF(GK60&gt;GC60/(CY60/1000),GC60/(CY60/1000),+GK60)*GL60</f>
        <v>15221</v>
      </c>
      <c r="GN60" s="1115" t="n">
        <f aca="false">IF(SUM(GU60:HB60)=0,0,IF(Summary!$O$16="Yes",SUM(GX60:HB60),IF(Summary!$O$17="Yes",SUM(GY60:HB60),SUM(GU60:HB60))))</f>
        <v>9547.0731</v>
      </c>
      <c r="GO60" s="1142" t="n">
        <v>2.60017181288321</v>
      </c>
      <c r="GP60" s="1143" t="n">
        <f aca="false">GN60*GO60</f>
        <v>24824.0303701556</v>
      </c>
      <c r="GQ60" s="1115"/>
      <c r="GR60" s="1115"/>
      <c r="GS60" s="1115"/>
      <c r="GT60" s="1115"/>
      <c r="GU60" s="1150" t="n">
        <v>3592.9845</v>
      </c>
      <c r="GV60" s="1115" t="n">
        <v>855.4725</v>
      </c>
      <c r="GW60" s="1115" t="n">
        <v>855.4725</v>
      </c>
      <c r="GX60" s="1115"/>
      <c r="GY60" s="1151" t="n">
        <v>2874.3876</v>
      </c>
      <c r="GZ60" s="1115" t="n">
        <v>684.378</v>
      </c>
      <c r="HA60" s="1115" t="n">
        <v>684.378</v>
      </c>
      <c r="HB60" s="1141"/>
      <c r="HC60" s="1115" t="n">
        <v>9547.0731</v>
      </c>
      <c r="HD60" s="1115"/>
      <c r="HE60" s="1115" t="n">
        <v>22276.5039</v>
      </c>
      <c r="HF60" s="1115" t="n">
        <v>473351.443662178</v>
      </c>
      <c r="HG60" s="1115"/>
      <c r="HH60" s="1142" t="n">
        <v>52.2037876890875</v>
      </c>
      <c r="HI60" s="1115" t="n">
        <v>1162917.88005073</v>
      </c>
      <c r="HJ60" s="1150" t="n">
        <f aca="false">MAX(FB60-FP60-FW60,0)</f>
        <v>0</v>
      </c>
      <c r="HK60" s="1115" t="n">
        <f aca="false">MAX(FD60-FR60-FX60,0)</f>
        <v>0</v>
      </c>
      <c r="HL60" s="1115" t="n">
        <f aca="false">MAX(FF60-FT60-FY60,0)</f>
        <v>0</v>
      </c>
      <c r="HM60" s="1141" t="n">
        <f aca="false">MAX(FH60-FV60-FZ60,0)</f>
        <v>0</v>
      </c>
      <c r="HN60" s="1115" t="n">
        <f aca="false">SUM(HJ60:HM60)</f>
        <v>0</v>
      </c>
      <c r="HO60" s="1142" t="n">
        <f aca="false">IF(ISERROR(+HP60/HN60),0,+HP60/HN60)</f>
        <v>0</v>
      </c>
      <c r="HP60" s="1143" t="n">
        <f aca="false">(HJ60*CE60+HK60*CF60+HL60*CG60+HM60*CH60)</f>
        <v>0</v>
      </c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R60" s="844"/>
    </row>
    <row r="61" customFormat="false" ht="13.5" hidden="false" customHeight="false" outlineLevel="0" collapsed="false">
      <c r="A61" s="0" t="str">
        <f aca="false">+D61&amp;"Q"&amp;ROUNDUP(E61/3,0)</f>
        <v>2003Q3</v>
      </c>
      <c r="B61" s="0" t="n">
        <f aca="false">YEAR(C61)</f>
        <v>2003</v>
      </c>
      <c r="C61" s="1153" t="n">
        <f aca="false">EOMONTH(C60,0)+1</f>
        <v>37865</v>
      </c>
      <c r="D61" s="841" t="n">
        <f aca="false">+YEAR(C61)</f>
        <v>2003</v>
      </c>
      <c r="E61" s="807" t="n">
        <f aca="false">MONTH(C61)</f>
        <v>9</v>
      </c>
      <c r="F61" s="1154" t="e">
        <f aca="false">IF(G61="","",Holiday(D61,E61))</f>
        <v>#VALUE!</v>
      </c>
      <c r="G61" s="1155" t="n">
        <v>37865</v>
      </c>
      <c r="H61" s="1156" t="n">
        <v>37894</v>
      </c>
      <c r="I61" s="1157" t="n">
        <f aca="false">I60</f>
        <v>0.0715</v>
      </c>
      <c r="J61" s="1158" t="n">
        <f aca="false">(1+I61/2)^(-2*(DATE(D62,E62,20)-$H$7)/365.25)</f>
        <v>0.763199766429394</v>
      </c>
      <c r="K61" s="1159" t="e">
        <f aca="false">IF(#REF!=1,+#REF!,I61+#REF!/10000)</f>
        <v>#REF!</v>
      </c>
      <c r="L61" s="1158" t="e">
        <f aca="false">(1+K61/2)^(-2*(DATE(D62,E62,20)-$H$7)/365.25)</f>
        <v>#REF!</v>
      </c>
      <c r="M61" s="1082" t="n">
        <v>0</v>
      </c>
      <c r="N61" s="1110" t="n">
        <f aca="false">M61</f>
        <v>0</v>
      </c>
      <c r="O61" s="1174" t="n">
        <f aca="false">N61</f>
        <v>0</v>
      </c>
      <c r="P61" s="1175" t="n">
        <f aca="false">M61</f>
        <v>0</v>
      </c>
      <c r="Q61" s="1110" t="n">
        <f aca="false">P61</f>
        <v>0</v>
      </c>
      <c r="R61" s="1174" t="n">
        <f aca="false">Q61</f>
        <v>0</v>
      </c>
      <c r="S61" s="1110" t="n">
        <f aca="false">R61</f>
        <v>0</v>
      </c>
      <c r="T61" s="1110" t="n">
        <f aca="false">S61</f>
        <v>0</v>
      </c>
      <c r="U61" s="1110" t="n">
        <f aca="false">T61</f>
        <v>0</v>
      </c>
      <c r="V61" s="1175" t="n">
        <f aca="false">U61</f>
        <v>0</v>
      </c>
      <c r="W61" s="1110" t="n">
        <f aca="false">V61</f>
        <v>0</v>
      </c>
      <c r="X61" s="1176" t="n">
        <f aca="false">W61</f>
        <v>0</v>
      </c>
      <c r="Y61" s="1086" t="n">
        <v>0</v>
      </c>
      <c r="Z61" s="1086" t="n">
        <v>0</v>
      </c>
      <c r="AA61" s="1087" t="n">
        <v>0</v>
      </c>
      <c r="AB61" s="1086" t="n">
        <v>0</v>
      </c>
      <c r="AC61" s="1086" t="n">
        <v>0</v>
      </c>
      <c r="AD61" s="1087" t="n">
        <v>0</v>
      </c>
      <c r="AE61" s="1086" t="n">
        <v>0</v>
      </c>
      <c r="AF61" s="1086" t="n">
        <v>0</v>
      </c>
      <c r="AG61" s="1087" t="n">
        <v>0</v>
      </c>
      <c r="AH61" s="1086" t="n">
        <v>0</v>
      </c>
      <c r="AI61" s="1086" t="n">
        <v>0</v>
      </c>
      <c r="AJ61" s="1087" t="n">
        <v>0</v>
      </c>
      <c r="AK61" s="1086" t="n">
        <v>0</v>
      </c>
      <c r="AL61" s="1086" t="n">
        <v>0</v>
      </c>
      <c r="AM61" s="1087" t="n">
        <v>0</v>
      </c>
      <c r="AN61" s="1086" t="n">
        <v>0</v>
      </c>
      <c r="AO61" s="1086" t="n">
        <v>0</v>
      </c>
      <c r="AP61" s="1087" t="n">
        <v>0</v>
      </c>
      <c r="AQ61" s="1086" t="n">
        <v>0</v>
      </c>
      <c r="AR61" s="1086" t="n">
        <v>0</v>
      </c>
      <c r="AS61" s="1087" t="n">
        <v>0</v>
      </c>
      <c r="AT61" s="1086" t="n">
        <v>0</v>
      </c>
      <c r="AU61" s="1086" t="n">
        <v>0</v>
      </c>
      <c r="AV61" s="1086" t="n">
        <v>0</v>
      </c>
      <c r="AW61" s="1172" t="n">
        <v>0</v>
      </c>
      <c r="AX61" s="807" t="e">
        <f aca="false">BB61-SUM(AY61:BA61)</f>
        <v>#VALUE!</v>
      </c>
      <c r="AY61" s="807" t="e">
        <f aca="false">IF(AND($E61=MONTH(Summary!$E$24),$D61=YEAR(Summary!$E$24)),Summary!$E$25,1)*IF(G61="",0,INT((H61-MOD(H61,7)-G61)/7)+1-IF(BA61,IF(WEEKDAY(F61)=7,1,0),0))</f>
        <v>#VALUE!</v>
      </c>
      <c r="AZ61" s="807" t="e">
        <f aca="false">IF(AND($E61=MONTH(Summary!$E$24),$D61=YEAR(Summary!$E$24)),Summary!$E$25,1)*IF(G61="",0,INT((H61-MOD(H61-1,7)-G61)/7)+1-IF(BA61,IF(WEEKDAY(F61)=1,1,0),0))</f>
        <v>#VALUE!</v>
      </c>
      <c r="BA61" s="807" t="n">
        <v>1</v>
      </c>
      <c r="BB61" s="807" t="n">
        <f aca="false">IF(AND($E61=MONTH(Summary!$E$24),$D61=YEAR(Summary!$E$24)),Summary!$E$25,1)*IF(G61="",0,H61-G61+1)</f>
        <v>30</v>
      </c>
      <c r="BC61" s="1089" t="n">
        <f aca="false">Summary!$E$19</f>
        <v>0.015</v>
      </c>
      <c r="BD61" s="1090" t="n">
        <v>14893.2</v>
      </c>
      <c r="BE61" s="1091" t="n">
        <v>2836.8</v>
      </c>
      <c r="BF61" s="1091" t="n">
        <v>3546</v>
      </c>
      <c r="BG61" s="842"/>
      <c r="BH61" s="1092" t="n">
        <v>1</v>
      </c>
      <c r="BI61" s="1092" t="n">
        <v>1</v>
      </c>
      <c r="BJ61" s="1092" t="n">
        <v>1</v>
      </c>
      <c r="BK61" s="1092" t="n">
        <v>1</v>
      </c>
      <c r="BL61" s="1093" t="n">
        <v>2978.64</v>
      </c>
      <c r="BM61" s="1091" t="n">
        <v>567.36</v>
      </c>
      <c r="BN61" s="1091" t="n">
        <v>709.2</v>
      </c>
      <c r="BO61" s="842"/>
      <c r="BP61" s="1092" t="n">
        <v>1</v>
      </c>
      <c r="BQ61" s="1094" t="n">
        <v>1</v>
      </c>
      <c r="BR61" s="1094" t="n">
        <v>1</v>
      </c>
      <c r="BS61" s="1095" t="n">
        <v>1</v>
      </c>
      <c r="BT61" s="1093" t="n">
        <f aca="false">SUM(BD61:BF61)</f>
        <v>21276</v>
      </c>
      <c r="BU61" s="1098" t="n">
        <f aca="false">SUM(BD61:BG61)</f>
        <v>21276</v>
      </c>
      <c r="BV61" s="1090" t="n">
        <f aca="false">SUM(BL61:BN61)</f>
        <v>4255.2</v>
      </c>
      <c r="BW61" s="1098" t="n">
        <f aca="false">SUM(BL61:BO61)</f>
        <v>4255.2</v>
      </c>
      <c r="BX61" s="852" t="n">
        <v>3.71252566735113</v>
      </c>
      <c r="BY61" s="1099" t="n">
        <v>0</v>
      </c>
      <c r="BZ61" s="852" t="n">
        <v>0</v>
      </c>
      <c r="CA61" s="852" t="n">
        <v>0</v>
      </c>
      <c r="CB61" s="852" t="n">
        <v>0</v>
      </c>
      <c r="CC61" s="852" t="n">
        <v>0</v>
      </c>
      <c r="CD61" s="852" t="n">
        <v>0</v>
      </c>
      <c r="CE61" s="1100" t="n">
        <v>0</v>
      </c>
      <c r="CF61" s="852" t="n">
        <v>0</v>
      </c>
      <c r="CG61" s="852" t="n">
        <v>0</v>
      </c>
      <c r="CH61" s="852" t="n">
        <v>0</v>
      </c>
      <c r="CI61" s="852" t="n">
        <v>0</v>
      </c>
      <c r="CJ61" s="1101" t="n">
        <v>0</v>
      </c>
      <c r="CK61" s="852" t="n">
        <v>0</v>
      </c>
      <c r="CL61" s="852" t="n">
        <v>0</v>
      </c>
      <c r="CM61" s="852" t="n">
        <v>0</v>
      </c>
      <c r="CN61" s="852" t="n">
        <v>0</v>
      </c>
      <c r="CO61" s="852" t="n">
        <v>0</v>
      </c>
      <c r="CP61" s="852" t="n">
        <v>0</v>
      </c>
      <c r="CQ61" s="1102" t="n">
        <v>0</v>
      </c>
      <c r="CR61" s="1103" t="n">
        <v>0</v>
      </c>
      <c r="CS61" s="1103" t="n">
        <v>0</v>
      </c>
      <c r="CT61" s="1103" t="n">
        <v>0</v>
      </c>
      <c r="CU61" s="1103" t="n">
        <v>0</v>
      </c>
      <c r="CV61" s="1103" t="n">
        <v>0</v>
      </c>
      <c r="CW61" s="1103" t="n">
        <v>0</v>
      </c>
      <c r="CX61" s="1104" t="n">
        <v>0</v>
      </c>
      <c r="CY61" s="1105" t="n">
        <v>7755.85304</v>
      </c>
      <c r="CZ61" s="1099" t="n">
        <v>0</v>
      </c>
      <c r="DA61" s="852" t="n">
        <v>0</v>
      </c>
      <c r="DB61" s="852" t="n">
        <v>0</v>
      </c>
      <c r="DC61" s="852" t="n">
        <v>0</v>
      </c>
      <c r="DD61" s="852" t="n">
        <v>0</v>
      </c>
      <c r="DE61" s="1113" t="n">
        <v>0</v>
      </c>
      <c r="DF61" s="1109" t="n">
        <v>0</v>
      </c>
      <c r="DG61" s="1110" t="n">
        <v>0</v>
      </c>
      <c r="DH61" s="1111" t="n">
        <v>0</v>
      </c>
      <c r="DI61" s="1112" t="n">
        <v>0</v>
      </c>
      <c r="DJ61" s="1112" t="n">
        <v>0</v>
      </c>
      <c r="DK61" s="1112" t="n">
        <v>0</v>
      </c>
      <c r="DL61" s="1113" t="n">
        <v>0</v>
      </c>
      <c r="DM61" s="1114" t="n">
        <v>0</v>
      </c>
      <c r="DN61" s="1114" t="n">
        <v>0</v>
      </c>
      <c r="DO61" s="1114" t="n">
        <v>0</v>
      </c>
      <c r="DP61" s="1114" t="n">
        <v>0</v>
      </c>
      <c r="DQ61" s="1114" t="n">
        <v>0</v>
      </c>
      <c r="DR61" s="1109" t="n">
        <v>0</v>
      </c>
      <c r="DS61" s="852" t="n">
        <v>0</v>
      </c>
      <c r="DT61" s="852" t="n">
        <v>0</v>
      </c>
      <c r="DU61" s="852" t="n">
        <v>0</v>
      </c>
      <c r="DV61" s="852" t="n">
        <v>0</v>
      </c>
      <c r="DW61" s="852" t="n">
        <v>0</v>
      </c>
      <c r="DX61" s="852" t="n">
        <v>0</v>
      </c>
      <c r="DY61" s="852" t="n">
        <v>0</v>
      </c>
      <c r="DZ61" s="852" t="n">
        <v>0</v>
      </c>
      <c r="EA61" s="852" t="n">
        <v>0</v>
      </c>
      <c r="EB61" s="1113" t="n">
        <v>0</v>
      </c>
      <c r="EC61" s="1115" t="n">
        <f aca="false">DS61*BD61</f>
        <v>0</v>
      </c>
      <c r="ED61" s="1115" t="n">
        <f aca="false">DT61*BE61</f>
        <v>0</v>
      </c>
      <c r="EE61" s="1115" t="n">
        <f aca="false">DU61*BF61</f>
        <v>0</v>
      </c>
      <c r="EF61" s="1115" t="n">
        <f aca="false">DV61*BG61</f>
        <v>0</v>
      </c>
      <c r="EG61" s="1115" t="n">
        <f aca="false">DS61*BD61+DT61*BE61+DU61*BF61+DV61*BG61</f>
        <v>0</v>
      </c>
      <c r="EH61" s="1116" t="n">
        <v>0</v>
      </c>
      <c r="EI61" s="1117" t="n">
        <v>0</v>
      </c>
      <c r="EJ61" s="1117" t="n">
        <v>0</v>
      </c>
      <c r="EK61" s="1117" t="n">
        <v>0</v>
      </c>
      <c r="EL61" s="1118" t="n">
        <f aca="false">IF(C61&gt;=Summary!$E$26,MAX(0,SUM(EH61:EK61)),0)</f>
        <v>0</v>
      </c>
      <c r="EM61" s="1115" t="n">
        <f aca="false">IF(C61&gt;=Summary!$E$26,DX61*BL61,0)</f>
        <v>0</v>
      </c>
      <c r="EN61" s="1115" t="n">
        <f aca="false">IF(C61&gt;=Summary!$E$26,DY61*BM61,0)</f>
        <v>0</v>
      </c>
      <c r="EO61" s="1115" t="n">
        <f aca="false">IF(C61&gt;=Summary!$E$26,DZ61*BN61,0)</f>
        <v>0</v>
      </c>
      <c r="EP61" s="1115" t="n">
        <f aca="false">IF(C61&gt;=Summary!$E$26,EA61*BO61,0)</f>
        <v>0</v>
      </c>
      <c r="EQ61" s="1115" t="n">
        <f aca="false">IF(C61&gt;=Summary!$E$26,DX61*BL61+DY61*BM61+DZ61*BN61+EA61*BO61,0)</f>
        <v>0</v>
      </c>
      <c r="ER61" s="1119" t="n">
        <v>0</v>
      </c>
      <c r="ES61" s="1120" t="n">
        <v>0</v>
      </c>
      <c r="ET61" s="1120" t="n">
        <v>0</v>
      </c>
      <c r="EU61" s="1120" t="n">
        <v>0</v>
      </c>
      <c r="EV61" s="1143" t="n">
        <f aca="false">IF(C61&gt;=Summary!$E$26,MAX(0,SUM(ER61:EU61)),0)</f>
        <v>0</v>
      </c>
      <c r="EW61" s="1115"/>
      <c r="EX61" s="1165" t="n">
        <f aca="false">(EQ61-EV61)+IF(EZ61="Yes",(EG61-EL61),0)</f>
        <v>0</v>
      </c>
      <c r="EY61" s="1166" t="str">
        <f aca="false">IF(EX61,EX61/EQ61,"")</f>
        <v/>
      </c>
      <c r="EZ61" s="1122" t="s">
        <v>37</v>
      </c>
      <c r="FA61" s="1096" t="n">
        <f aca="false">FA60</f>
        <v>45</v>
      </c>
      <c r="FB61" s="1167" t="e">
        <f aca="false">IF(EZ61="No",IF((OR(MONTH(C61)=5,MONTH(C61)=6,MONTH(C61)=7,MONTH(C61)=8,MONTH(C61)=9)),$FA61*12*AX61*(1-$BC61),$FA61*10*AX61*(1-$BC61)),0)</f>
        <v>#VALUE!</v>
      </c>
      <c r="FC61" s="1129" t="n">
        <f aca="false">IF(EZ61="No",IF((OR(MONTH(C61)=5,MONTH(C61)=6,MONTH(C61)=7,MONTH(C61)=8,MONTH(C61)=9)),0,$FA61*3*AX61*(1-$BC61)),0)</f>
        <v>0</v>
      </c>
      <c r="FD61" s="1129" t="e">
        <f aca="false">IF(EZ61="No",IF((OR(MONTH(C61)=5,MONTH(C61)=6,MONTH(C61)=7,MONTH(C61)=8,MONTH(C61)=9)),$FA61*12*AY61*(1-$BC61),$FA61*10*AY61*(1-$BC61)),0)</f>
        <v>#VALUE!</v>
      </c>
      <c r="FE61" s="1129" t="n">
        <f aca="false">IF(EZ61="No",IF((OR(MONTH(C61)=5,MONTH(C61)=6,MONTH(C61)=7,MONTH(C61)=8,MONTH(C61)=9)),0,$FA61*3*AY61*(1-$BC61)),0)</f>
        <v>0</v>
      </c>
      <c r="FF61" s="1129" t="e">
        <f aca="false">IF(EZ61="No",IF((OR(MONTH(C61)=5,MONTH(C61)=6,MONTH(C61)=7,MONTH(C61)=8,MONTH(C61)=9)),$FA61*12*(AZ61+BA61)*(1-$BC61),$FA61*10*(AZ61+BA61)*(1-$BC61)),0)</f>
        <v>#VALUE!</v>
      </c>
      <c r="FG61" s="1129" t="n">
        <f aca="false">IF(EZ61="No",IF((OR(MONTH(C61)=5,MONTH(C61)=6,MONTH(C61)=7,MONTH(C61)=8,MONTH(C61)=9)),0,$FA61*3*(AZ61+BA61)*(1-$BC61)),0)</f>
        <v>0</v>
      </c>
      <c r="FH61" s="1170" t="e">
        <f aca="false">IF(EZ61="No",IF((OR(MONTH(C61)=5,MONTH(C61)=6,MONTH(C61)=7,MONTH(C61)=8,MONTH(C61)=9)),Summary!$O$15*12*(AX61+AY61+AZ61+BA61)*(1-$BC61),Summary!$O$15*13*(AX61+AY61+AZ61+BA61)*(1-$BC61)+IF(Summary!$O$16="Yes",(CALC!FA61+Summary!$O$15)*6*(AX61+AY61+AZ61+BA61)*(1-$BC61),0)),0)</f>
        <v>#VALUE!</v>
      </c>
      <c r="FI61" s="1126" t="n">
        <f aca="false">IF(MONTH(C61)=5,FI60*(IF(Summary!$E$70="no",(1+(Summary!$E$71*0.8)),1+HLOOKUP(YEAR(C61)-1,CCFMODEL!$I$127:$AF$128,2)*0.8)),+FI60)</f>
        <v>29.2498402152418</v>
      </c>
      <c r="FJ61" s="1127" t="n">
        <f aca="false">IF(MONTH(C61)=5,FJ60*(IF(Summary!$E$70="no",(1+(Summary!$E$71*0.8)),1+HLOOKUP(YEAR(CALC!C61)-1,CCFMODEL!$I$127:$AF$128,2)*0.8)),FJ60)</f>
        <v>25.5648209755263</v>
      </c>
      <c r="FK61" s="1128" t="e">
        <f aca="false">SUM(FB61:FG61)*FI61+FH61*FJ61</f>
        <v>#VALUE!</v>
      </c>
      <c r="FL61" s="1126" t="n">
        <f aca="false">IF(MONTH(C61)=5,FL60*(IF(Summary!$E$70="no",(1+(Summary!$E$71*0.8)),1+HLOOKUP(YEAR(CALC!C61)-1,CCFMODEL!$I$127:$AF$128,2)*0.8)),+FL60)</f>
        <v>61.5156932010841</v>
      </c>
      <c r="FM61" s="1127" t="n">
        <f aca="false">IF(MONTH(C61)=5,FM60*(IF(Summary!$E$70="no",(1+(Summary!$E$71*0.8)),1+HLOOKUP(YEAR(CALC!C61)-1,CCFMODEL!$I$127:$AF$128,2)*0.8)),+FM60)</f>
        <v>29.3595134069</v>
      </c>
      <c r="FN61" s="1128" t="e">
        <f aca="false">IF((OR(MONTH(C61)=5,MONTH(C61)=6,MONTH(C61)=7,MONTH(C61)=8,MONTH(C61)=9)),SUM(FB61:FG61)/(1-BC61)*FL61,SUM(FB61:FG61)/(1-BC61)*FM61)</f>
        <v>#VALUE!</v>
      </c>
      <c r="FO61" s="1129" t="e">
        <f aca="false">FK61+FN61</f>
        <v>#VALUE!</v>
      </c>
      <c r="FP61" s="1169" t="e">
        <f aca="false">FB61</f>
        <v>#VALUE!</v>
      </c>
      <c r="FQ61" s="1129" t="n">
        <f aca="false">FC61</f>
        <v>0</v>
      </c>
      <c r="FR61" s="1129" t="e">
        <f aca="false">FD61</f>
        <v>#VALUE!</v>
      </c>
      <c r="FS61" s="1129" t="n">
        <f aca="false">FE61</f>
        <v>0</v>
      </c>
      <c r="FT61" s="1129" t="e">
        <f aca="false">FF61</f>
        <v>#VALUE!</v>
      </c>
      <c r="FU61" s="1129" t="n">
        <f aca="false">FG61</f>
        <v>0</v>
      </c>
      <c r="FV61" s="1170" t="e">
        <f aca="false">FH61</f>
        <v>#VALUE!</v>
      </c>
      <c r="FW61" s="1115" t="n">
        <f aca="false">IF(ER61&gt;0,MIN(FB61-FP61,BL61),0)</f>
        <v>0</v>
      </c>
      <c r="FX61" s="1115" t="n">
        <f aca="false">IF(ES61&gt;0,MIN(FD61-FR61,BM61),0)</f>
        <v>0</v>
      </c>
      <c r="FY61" s="1115" t="n">
        <f aca="false">IF(ET61&gt;0,MIN(FF61-FT61,BN61),0)</f>
        <v>0</v>
      </c>
      <c r="FZ61" s="1143" t="n">
        <f aca="false">IF(EU61&gt;0,MIN(FH61-FV61,BO61),0)</f>
        <v>0</v>
      </c>
      <c r="GA61" s="1132" t="e">
        <f aca="false">(SUM(FP61:FV61)+SUM(GU61:HB61)/(1-Summary!$O$25))*CY61/1000</f>
        <v>#VALUE!</v>
      </c>
      <c r="GB61" s="1133" t="n">
        <f aca="false">IF($C61&lt;Summary!$M$81,+Summary!$O$81,VLOOKUP(C61,GasTable,19))</f>
        <v>2.4</v>
      </c>
      <c r="GC61" s="1134" t="e">
        <f aca="false">IF(H61&lt;=Summary!$N$84,MIN(GA61,Summary!$O$75*(H61-G61+1)),0)</f>
        <v>#VALUE!</v>
      </c>
      <c r="GD61" s="1135" t="e">
        <f aca="false">IF(Summary!$O$75*(H61-G61+1)*0.8&gt;GC61,1,0)</f>
        <v>#VALUE!</v>
      </c>
      <c r="GE61" s="1136" t="n">
        <v>0</v>
      </c>
      <c r="GF61" s="1134" t="e">
        <f aca="false">ABS(MIN(0,GC61-$GA61))</f>
        <v>#VALUE!</v>
      </c>
      <c r="GG61" s="1135" t="e">
        <f aca="false">GF61*(IF(Summary!$O$74=1,VLOOKUP($C61,GasTable,16)+Summary!$O$92+Summary!$O$93,VLOOKUP($C61,GasTable,19)+Summary!$O$92+Summary!$O$93))</f>
        <v>#VALUE!</v>
      </c>
      <c r="GH61" s="1137" t="n">
        <v>18192</v>
      </c>
      <c r="GI61" s="1138" t="n">
        <v>0</v>
      </c>
      <c r="GJ61" s="1139" t="e">
        <f aca="false">+GB61*GC61+GE61+GG61+GH61-GI61</f>
        <v>#VALUE!</v>
      </c>
      <c r="GK61" s="1115" t="e">
        <f aca="false">SUM(FP61:FV61,GU61:GX61,GY61:HB61)</f>
        <v>#VALUE!</v>
      </c>
      <c r="GL61" s="1140" t="n">
        <v>0.761624768528</v>
      </c>
      <c r="GM61" s="1141" t="e">
        <f aca="false">IF(GK61&gt;GC61/(CY61/1000),GC61/(CY61/1000),+GK61)*GL61</f>
        <v>#VALUE!</v>
      </c>
      <c r="GN61" s="1115" t="n">
        <f aca="false">IF(SUM(GU61:HB61)=0,0,IF(Summary!$O$16="Yes",SUM(GX61:HB61),IF(Summary!$O$17="Yes",SUM(GY61:HB61),SUM(GU61:HB61))))</f>
        <v>9239.103</v>
      </c>
      <c r="GO61" s="1142" t="n">
        <v>2.60017181288321</v>
      </c>
      <c r="GP61" s="1143" t="n">
        <f aca="false">GN61*GO61</f>
        <v>24023.2551969247</v>
      </c>
      <c r="GQ61" s="1115"/>
      <c r="GR61" s="1115"/>
      <c r="GS61" s="1115"/>
      <c r="GT61" s="1115"/>
      <c r="GU61" s="1150" t="n">
        <v>3592.9845</v>
      </c>
      <c r="GV61" s="1115" t="n">
        <v>684.378</v>
      </c>
      <c r="GW61" s="1115" t="n">
        <v>855.4725</v>
      </c>
      <c r="GX61" s="1115"/>
      <c r="GY61" s="1151" t="n">
        <v>2874.3876</v>
      </c>
      <c r="GZ61" s="1115" t="n">
        <v>547.5024</v>
      </c>
      <c r="HA61" s="1115" t="n">
        <v>684.378</v>
      </c>
      <c r="HB61" s="1141"/>
      <c r="HC61" s="1115" t="n">
        <v>9239.103</v>
      </c>
      <c r="HD61" s="1115"/>
      <c r="HE61" s="1115" t="n">
        <v>21557.907</v>
      </c>
      <c r="HF61" s="1115" t="n">
        <v>398583.425593965</v>
      </c>
      <c r="HG61" s="1115"/>
      <c r="HH61" s="1142" t="n">
        <v>44.7777652307435</v>
      </c>
      <c r="HI61" s="1115" t="n">
        <v>965314.898512202</v>
      </c>
      <c r="HJ61" s="1150" t="e">
        <f aca="false">MAX(FB61-FP61-FW61,0)</f>
        <v>#VALUE!</v>
      </c>
      <c r="HK61" s="1115" t="e">
        <f aca="false">MAX(FD61-FR61-FX61,0)</f>
        <v>#VALUE!</v>
      </c>
      <c r="HL61" s="1115" t="e">
        <f aca="false">MAX(FF61-FT61-FY61,0)</f>
        <v>#VALUE!</v>
      </c>
      <c r="HM61" s="1141" t="e">
        <f aca="false">MAX(FH61-FV61-FZ61,0)</f>
        <v>#VALUE!</v>
      </c>
      <c r="HN61" s="1115" t="e">
        <f aca="false">SUM(HJ61:HM61)</f>
        <v>#VALUE!</v>
      </c>
      <c r="HO61" s="1142" t="n">
        <f aca="false">IF(ISERROR(+HP61/HN61),0,+HP61/HN61)</f>
        <v>0</v>
      </c>
      <c r="HP61" s="1143" t="e">
        <f aca="false">(HJ61*CE61+HK61*CF61+HL61*CG61+HM61*CH61)</f>
        <v>#VALUE!</v>
      </c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R61" s="844"/>
    </row>
    <row r="62" customFormat="false" ht="13.5" hidden="false" customHeight="false" outlineLevel="0" collapsed="false">
      <c r="A62" s="0" t="str">
        <f aca="false">+D62&amp;"Q"&amp;ROUNDUP(E62/3,0)</f>
        <v>2003Q4</v>
      </c>
      <c r="B62" s="0" t="n">
        <f aca="false">YEAR(C62)</f>
        <v>2003</v>
      </c>
      <c r="C62" s="1153" t="n">
        <f aca="false">EOMONTH(C61,0)+1</f>
        <v>37895</v>
      </c>
      <c r="D62" s="841" t="n">
        <f aca="false">+YEAR(C62)</f>
        <v>2003</v>
      </c>
      <c r="E62" s="807" t="n">
        <f aca="false">MONTH(C62)</f>
        <v>10</v>
      </c>
      <c r="F62" s="1154" t="e">
        <f aca="false">IF(G62="","",Holiday(D62,E62))</f>
        <v>#VALUE!</v>
      </c>
      <c r="G62" s="1155" t="n">
        <v>37895</v>
      </c>
      <c r="H62" s="1156" t="n">
        <v>37925</v>
      </c>
      <c r="I62" s="1157" t="n">
        <f aca="false">I61</f>
        <v>0.0715</v>
      </c>
      <c r="J62" s="1158" t="n">
        <f aca="false">(1+I62/2)^(-2*(DATE(D63,E63,20)-$H$7)/365.25)</f>
        <v>0.758662734378838</v>
      </c>
      <c r="K62" s="1159" t="e">
        <f aca="false">IF(#REF!=1,+#REF!,I62+#REF!/10000)</f>
        <v>#REF!</v>
      </c>
      <c r="L62" s="1158" t="e">
        <f aca="false">(1+K62/2)^(-2*(DATE(D63,E63,20)-$H$7)/365.25)</f>
        <v>#REF!</v>
      </c>
      <c r="M62" s="1082" t="n">
        <v>0</v>
      </c>
      <c r="N62" s="1110" t="n">
        <f aca="false">M62</f>
        <v>0</v>
      </c>
      <c r="O62" s="1174" t="n">
        <f aca="false">N62</f>
        <v>0</v>
      </c>
      <c r="P62" s="1175" t="n">
        <f aca="false">M62</f>
        <v>0</v>
      </c>
      <c r="Q62" s="1110" t="n">
        <f aca="false">P62</f>
        <v>0</v>
      </c>
      <c r="R62" s="1174" t="n">
        <f aca="false">Q62</f>
        <v>0</v>
      </c>
      <c r="S62" s="1110" t="n">
        <f aca="false">R62</f>
        <v>0</v>
      </c>
      <c r="T62" s="1110" t="n">
        <f aca="false">S62</f>
        <v>0</v>
      </c>
      <c r="U62" s="1110" t="n">
        <f aca="false">T62</f>
        <v>0</v>
      </c>
      <c r="V62" s="1175" t="n">
        <f aca="false">U62</f>
        <v>0</v>
      </c>
      <c r="W62" s="1110" t="n">
        <f aca="false">V62</f>
        <v>0</v>
      </c>
      <c r="X62" s="1176" t="n">
        <f aca="false">W62</f>
        <v>0</v>
      </c>
      <c r="Y62" s="1086" t="n">
        <v>0</v>
      </c>
      <c r="Z62" s="1086" t="n">
        <v>0</v>
      </c>
      <c r="AA62" s="1087" t="n">
        <v>0</v>
      </c>
      <c r="AB62" s="1086" t="n">
        <v>0</v>
      </c>
      <c r="AC62" s="1086" t="n">
        <v>0</v>
      </c>
      <c r="AD62" s="1087" t="n">
        <v>0</v>
      </c>
      <c r="AE62" s="1086" t="n">
        <v>0</v>
      </c>
      <c r="AF62" s="1086" t="n">
        <v>0</v>
      </c>
      <c r="AG62" s="1087" t="n">
        <v>0</v>
      </c>
      <c r="AH62" s="1086" t="n">
        <v>0</v>
      </c>
      <c r="AI62" s="1086" t="n">
        <v>0</v>
      </c>
      <c r="AJ62" s="1087" t="n">
        <v>0</v>
      </c>
      <c r="AK62" s="1086" t="n">
        <v>0</v>
      </c>
      <c r="AL62" s="1086" t="n">
        <v>0</v>
      </c>
      <c r="AM62" s="1087" t="n">
        <v>0</v>
      </c>
      <c r="AN62" s="1086" t="n">
        <v>0</v>
      </c>
      <c r="AO62" s="1086" t="n">
        <v>0</v>
      </c>
      <c r="AP62" s="1087" t="n">
        <v>0</v>
      </c>
      <c r="AQ62" s="1086" t="n">
        <v>0</v>
      </c>
      <c r="AR62" s="1086" t="n">
        <v>0</v>
      </c>
      <c r="AS62" s="1087" t="n">
        <v>0</v>
      </c>
      <c r="AT62" s="1086" t="n">
        <v>0</v>
      </c>
      <c r="AU62" s="1086" t="n">
        <v>0</v>
      </c>
      <c r="AV62" s="1086" t="n">
        <v>0</v>
      </c>
      <c r="AW62" s="1172" t="n">
        <v>0</v>
      </c>
      <c r="AX62" s="807" t="n">
        <f aca="false">BB62-SUM(AY62:BA62)</f>
        <v>23</v>
      </c>
      <c r="AY62" s="807" t="n">
        <f aca="false">IF(AND($E62=MONTH(Summary!$E$24),$D62=YEAR(Summary!$E$24)),Summary!$E$25,1)*IF(G62="",0,INT((H62-MOD(H62,7)-G62)/7)+1-IF(BA62,IF(WEEKDAY(F62)=7,1,0),0))</f>
        <v>4</v>
      </c>
      <c r="AZ62" s="807" t="n">
        <f aca="false">IF(AND($E62=MONTH(Summary!$E$24),$D62=YEAR(Summary!$E$24)),Summary!$E$25,1)*IF(G62="",0,INT((H62-MOD(H62-1,7)-G62)/7)+1-IF(BA62,IF(WEEKDAY(F62)=1,1,0),0))</f>
        <v>4</v>
      </c>
      <c r="BA62" s="807" t="n">
        <v>0</v>
      </c>
      <c r="BB62" s="807" t="n">
        <f aca="false">IF(AND($E62=MONTH(Summary!$E$24),$D62=YEAR(Summary!$E$24)),Summary!$E$25,1)*IF(G62="",0,H62-G62+1)</f>
        <v>31</v>
      </c>
      <c r="BC62" s="1089" t="n">
        <f aca="false">Summary!$E$19</f>
        <v>0.015</v>
      </c>
      <c r="BD62" s="1090" t="n">
        <v>16311.6</v>
      </c>
      <c r="BE62" s="1091" t="n">
        <v>2836.8</v>
      </c>
      <c r="BF62" s="1091" t="n">
        <v>2836.8</v>
      </c>
      <c r="BG62" s="842"/>
      <c r="BH62" s="1092" t="n">
        <v>1</v>
      </c>
      <c r="BI62" s="1092" t="n">
        <v>1</v>
      </c>
      <c r="BJ62" s="1092" t="n">
        <v>1</v>
      </c>
      <c r="BK62" s="1092" t="n">
        <v>1</v>
      </c>
      <c r="BL62" s="1093" t="n">
        <v>3262.32</v>
      </c>
      <c r="BM62" s="1091" t="n">
        <v>567.36</v>
      </c>
      <c r="BN62" s="1091" t="n">
        <v>567.36</v>
      </c>
      <c r="BO62" s="842"/>
      <c r="BP62" s="1092" t="n">
        <v>1</v>
      </c>
      <c r="BQ62" s="1094" t="n">
        <v>1</v>
      </c>
      <c r="BR62" s="1094" t="n">
        <v>1</v>
      </c>
      <c r="BS62" s="1095" t="n">
        <v>1</v>
      </c>
      <c r="BT62" s="1093" t="n">
        <f aca="false">SUM(BD62:BF62)</f>
        <v>21985.2</v>
      </c>
      <c r="BU62" s="1098" t="n">
        <f aca="false">SUM(BD62:BG62)</f>
        <v>21985.2</v>
      </c>
      <c r="BV62" s="1090" t="n">
        <f aca="false">SUM(BL62:BN62)</f>
        <v>4397.04</v>
      </c>
      <c r="BW62" s="1098" t="n">
        <f aca="false">SUM(BL62:BO62)</f>
        <v>4397.04</v>
      </c>
      <c r="BX62" s="852" t="n">
        <v>3.79466119096509</v>
      </c>
      <c r="BY62" s="1099" t="n">
        <v>0</v>
      </c>
      <c r="BZ62" s="852" t="n">
        <v>0</v>
      </c>
      <c r="CA62" s="852" t="n">
        <v>0</v>
      </c>
      <c r="CB62" s="852" t="n">
        <v>0</v>
      </c>
      <c r="CC62" s="852" t="n">
        <v>0</v>
      </c>
      <c r="CD62" s="852" t="n">
        <v>0</v>
      </c>
      <c r="CE62" s="1100" t="n">
        <v>0</v>
      </c>
      <c r="CF62" s="852" t="n">
        <v>0</v>
      </c>
      <c r="CG62" s="852" t="n">
        <v>0</v>
      </c>
      <c r="CH62" s="852" t="n">
        <v>0</v>
      </c>
      <c r="CI62" s="852" t="n">
        <v>0</v>
      </c>
      <c r="CJ62" s="1101" t="n">
        <v>0</v>
      </c>
      <c r="CK62" s="852" t="n">
        <v>0</v>
      </c>
      <c r="CL62" s="852" t="n">
        <v>0</v>
      </c>
      <c r="CM62" s="852" t="n">
        <v>0</v>
      </c>
      <c r="CN62" s="852" t="n">
        <v>0</v>
      </c>
      <c r="CO62" s="852" t="n">
        <v>0</v>
      </c>
      <c r="CP62" s="852" t="n">
        <v>0</v>
      </c>
      <c r="CQ62" s="1102" t="n">
        <v>0</v>
      </c>
      <c r="CR62" s="1103" t="n">
        <v>0</v>
      </c>
      <c r="CS62" s="1103" t="n">
        <v>0</v>
      </c>
      <c r="CT62" s="1103" t="n">
        <v>0</v>
      </c>
      <c r="CU62" s="1103" t="n">
        <v>0</v>
      </c>
      <c r="CV62" s="1103" t="n">
        <v>0</v>
      </c>
      <c r="CW62" s="1103" t="n">
        <v>0</v>
      </c>
      <c r="CX62" s="1104" t="n">
        <v>0</v>
      </c>
      <c r="CY62" s="1105" t="n">
        <v>7757.80736</v>
      </c>
      <c r="CZ62" s="1099" t="n">
        <v>0</v>
      </c>
      <c r="DA62" s="852" t="n">
        <v>0</v>
      </c>
      <c r="DB62" s="852" t="n">
        <v>0</v>
      </c>
      <c r="DC62" s="852" t="n">
        <v>0</v>
      </c>
      <c r="DD62" s="852" t="n">
        <v>0</v>
      </c>
      <c r="DE62" s="1113" t="n">
        <v>0</v>
      </c>
      <c r="DF62" s="1109" t="n">
        <v>0</v>
      </c>
      <c r="DG62" s="1110" t="n">
        <v>0</v>
      </c>
      <c r="DH62" s="1111" t="n">
        <v>0</v>
      </c>
      <c r="DI62" s="1112" t="n">
        <v>0</v>
      </c>
      <c r="DJ62" s="1112" t="n">
        <v>0</v>
      </c>
      <c r="DK62" s="1112" t="n">
        <v>0</v>
      </c>
      <c r="DL62" s="1113" t="n">
        <v>0</v>
      </c>
      <c r="DM62" s="1114" t="n">
        <v>0</v>
      </c>
      <c r="DN62" s="1114" t="n">
        <v>0</v>
      </c>
      <c r="DO62" s="1114" t="n">
        <v>0</v>
      </c>
      <c r="DP62" s="1114" t="n">
        <v>0</v>
      </c>
      <c r="DQ62" s="1114" t="n">
        <v>0</v>
      </c>
      <c r="DR62" s="1109" t="n">
        <v>0</v>
      </c>
      <c r="DS62" s="852" t="n">
        <v>0</v>
      </c>
      <c r="DT62" s="852" t="n">
        <v>0</v>
      </c>
      <c r="DU62" s="852" t="n">
        <v>0</v>
      </c>
      <c r="DV62" s="852" t="n">
        <v>0</v>
      </c>
      <c r="DW62" s="852" t="n">
        <v>0</v>
      </c>
      <c r="DX62" s="852" t="n">
        <v>0</v>
      </c>
      <c r="DY62" s="852" t="n">
        <v>0</v>
      </c>
      <c r="DZ62" s="852" t="n">
        <v>0</v>
      </c>
      <c r="EA62" s="852" t="n">
        <v>0</v>
      </c>
      <c r="EB62" s="1113" t="n">
        <v>0</v>
      </c>
      <c r="EC62" s="1115" t="n">
        <f aca="false">DS62*BD62</f>
        <v>0</v>
      </c>
      <c r="ED62" s="1115" t="n">
        <f aca="false">DT62*BE62</f>
        <v>0</v>
      </c>
      <c r="EE62" s="1115" t="n">
        <f aca="false">DU62*BF62</f>
        <v>0</v>
      </c>
      <c r="EF62" s="1115" t="n">
        <f aca="false">DV62*BG62</f>
        <v>0</v>
      </c>
      <c r="EG62" s="1115" t="n">
        <f aca="false">DS62*BD62+DT62*BE62+DU62*BF62+DV62*BG62</f>
        <v>0</v>
      </c>
      <c r="EH62" s="1116" t="n">
        <v>0</v>
      </c>
      <c r="EI62" s="1117" t="n">
        <v>0</v>
      </c>
      <c r="EJ62" s="1117" t="n">
        <v>0</v>
      </c>
      <c r="EK62" s="1117" t="n">
        <v>0</v>
      </c>
      <c r="EL62" s="1118" t="n">
        <f aca="false">IF(C62&gt;=Summary!$E$26,MAX(0,SUM(EH62:EK62)),0)</f>
        <v>0</v>
      </c>
      <c r="EM62" s="1115" t="n">
        <f aca="false">IF(C62&gt;=Summary!$E$26,DX62*BL62,0)</f>
        <v>0</v>
      </c>
      <c r="EN62" s="1115" t="n">
        <f aca="false">IF(C62&gt;=Summary!$E$26,DY62*BM62,0)</f>
        <v>0</v>
      </c>
      <c r="EO62" s="1115" t="n">
        <f aca="false">IF(C62&gt;=Summary!$E$26,DZ62*BN62,0)</f>
        <v>0</v>
      </c>
      <c r="EP62" s="1115" t="n">
        <f aca="false">IF(C62&gt;=Summary!$E$26,EA62*BO62,0)</f>
        <v>0</v>
      </c>
      <c r="EQ62" s="1115" t="n">
        <f aca="false">IF(C62&gt;=Summary!$E$26,DX62*BL62+DY62*BM62+DZ62*BN62+EA62*BO62,0)</f>
        <v>0</v>
      </c>
      <c r="ER62" s="1119" t="n">
        <v>0</v>
      </c>
      <c r="ES62" s="1120" t="n">
        <v>0</v>
      </c>
      <c r="ET62" s="1120" t="n">
        <v>0</v>
      </c>
      <c r="EU62" s="1120" t="n">
        <v>0</v>
      </c>
      <c r="EV62" s="1143" t="n">
        <f aca="false">IF(C62&gt;=Summary!$E$26,MAX(0,SUM(ER62:EU62)),0)</f>
        <v>0</v>
      </c>
      <c r="EW62" s="1115"/>
      <c r="EX62" s="1165" t="n">
        <f aca="false">(EQ62-EV62)+IF(EZ62="Yes",(EG62-EL62),0)</f>
        <v>0</v>
      </c>
      <c r="EY62" s="1166" t="str">
        <f aca="false">IF(EX62,EX62/EQ62,"")</f>
        <v/>
      </c>
      <c r="EZ62" s="1122" t="s">
        <v>37</v>
      </c>
      <c r="FA62" s="1096" t="n">
        <f aca="false">FA61</f>
        <v>45</v>
      </c>
      <c r="FB62" s="1167" t="n">
        <f aca="false">IF(EZ62="No",IF((OR(MONTH(C62)=5,MONTH(C62)=6,MONTH(C62)=7,MONTH(C62)=8,MONTH(C62)=9)),$FA62*12*AX62*(1-$BC62),$FA62*10*AX62*(1-$BC62)),0)</f>
        <v>10194.75</v>
      </c>
      <c r="FC62" s="1129" t="n">
        <f aca="false">IF(EZ62="No",IF((OR(MONTH(C62)=5,MONTH(C62)=6,MONTH(C62)=7,MONTH(C62)=8,MONTH(C62)=9)),0,$FA62*3*AX62*(1-$BC62)),0)</f>
        <v>3058.425</v>
      </c>
      <c r="FD62" s="1129" t="n">
        <f aca="false">IF(EZ62="No",IF((OR(MONTH(C62)=5,MONTH(C62)=6,MONTH(C62)=7,MONTH(C62)=8,MONTH(C62)=9)),$FA62*12*AY62*(1-$BC62),$FA62*10*AY62*(1-$BC62)),0)</f>
        <v>1773</v>
      </c>
      <c r="FE62" s="1129" t="n">
        <f aca="false">IF(EZ62="No",IF((OR(MONTH(C62)=5,MONTH(C62)=6,MONTH(C62)=7,MONTH(C62)=8,MONTH(C62)=9)),0,$FA62*3*AY62*(1-$BC62)),0)</f>
        <v>531.9</v>
      </c>
      <c r="FF62" s="1129" t="n">
        <f aca="false">IF(EZ62="No",IF((OR(MONTH(C62)=5,MONTH(C62)=6,MONTH(C62)=7,MONTH(C62)=8,MONTH(C62)=9)),$FA62*12*(AZ62+BA62)*(1-$BC62),$FA62*10*(AZ62+BA62)*(1-$BC62)),0)</f>
        <v>1773</v>
      </c>
      <c r="FG62" s="1129" t="n">
        <f aca="false">IF(EZ62="No",IF((OR(MONTH(C62)=5,MONTH(C62)=6,MONTH(C62)=7,MONTH(C62)=8,MONTH(C62)=9)),0,$FA62*3*(AZ62+BA62)*(1-$BC62)),0)</f>
        <v>531.9</v>
      </c>
      <c r="FH62" s="1170" t="n">
        <f aca="false">IF(EZ62="No",IF((OR(MONTH(C62)=5,MONTH(C62)=6,MONTH(C62)=7,MONTH(C62)=8,MONTH(C62)=9)),Summary!$O$15*12*(AX62+AY62+AZ62+BA62)*(1-$BC62),Summary!$O$15*13*(AX62+AY62+AZ62+BA62)*(1-$BC62)+IF(Summary!$O$16="Yes",(CALC!FA62+Summary!$O$15)*6*(AX62+AY62+AZ62+BA62)*(1-$BC62),0)),0)</f>
        <v>0</v>
      </c>
      <c r="FI62" s="1126" t="n">
        <f aca="false">IF(MONTH(C62)=5,FI61*(IF(Summary!$E$70="no",(1+(Summary!$E$71*0.8)),1+HLOOKUP(YEAR(C62)-1,CCFMODEL!$I$127:$AF$128,2)*0.8)),+FI61)</f>
        <v>29.2498402152418</v>
      </c>
      <c r="FJ62" s="1127" t="n">
        <f aca="false">IF(MONTH(C62)=5,FJ61*(IF(Summary!$E$70="no",(1+(Summary!$E$71*0.8)),1+HLOOKUP(YEAR(CALC!C62)-1,CCFMODEL!$I$127:$AF$128,2)*0.8)),FJ61)</f>
        <v>25.5648209755263</v>
      </c>
      <c r="FK62" s="1128" t="n">
        <f aca="false">SUM(FB62:FG62)*FI62+FH62*FJ62</f>
        <v>522489.164518859</v>
      </c>
      <c r="FL62" s="1126" t="n">
        <f aca="false">IF(MONTH(C62)=5,FL61*(IF(Summary!$E$70="no",(1+(Summary!$E$71*0.8)),1+HLOOKUP(YEAR(CALC!C62)-1,CCFMODEL!$I$127:$AF$128,2)*0.8)),+FL61)</f>
        <v>61.5156932010841</v>
      </c>
      <c r="FM62" s="1127" t="n">
        <f aca="false">IF(MONTH(C62)=5,FM61*(IF(Summary!$E$70="no",(1+(Summary!$E$71*0.8)),1+HLOOKUP(YEAR(CALC!C62)-1,CCFMODEL!$I$127:$AF$128,2)*0.8)),+FM61)</f>
        <v>29.3595134069</v>
      </c>
      <c r="FN62" s="1128" t="n">
        <f aca="false">IF((OR(MONTH(C62)=5,MONTH(C62)=6,MONTH(C62)=7,MONTH(C62)=8,MONTH(C62)=9)),SUM(FB62:FG62)/(1-BC62)*FL62,SUM(FB62:FG62)/(1-BC62)*FM62)</f>
        <v>532434.775634132</v>
      </c>
      <c r="FO62" s="1129" t="n">
        <f aca="false">FK62+FN62</f>
        <v>1054923.94015299</v>
      </c>
      <c r="FP62" s="1169" t="n">
        <f aca="false">FB62</f>
        <v>10194.75</v>
      </c>
      <c r="FQ62" s="1129" t="n">
        <f aca="false">FC62</f>
        <v>3058.425</v>
      </c>
      <c r="FR62" s="1129" t="n">
        <f aca="false">FD62</f>
        <v>1773</v>
      </c>
      <c r="FS62" s="1129" t="n">
        <f aca="false">FE62</f>
        <v>531.9</v>
      </c>
      <c r="FT62" s="1129" t="n">
        <f aca="false">FF62</f>
        <v>1773</v>
      </c>
      <c r="FU62" s="1129" t="n">
        <f aca="false">FG62</f>
        <v>531.9</v>
      </c>
      <c r="FV62" s="1170" t="n">
        <f aca="false">FH62</f>
        <v>0</v>
      </c>
      <c r="FW62" s="1115" t="n">
        <f aca="false">IF(ER62&gt;0,MIN(FB62-FP62,BL62),0)</f>
        <v>0</v>
      </c>
      <c r="FX62" s="1115" t="n">
        <f aca="false">IF(ES62&gt;0,MIN(FD62-FR62,BM62),0)</f>
        <v>0</v>
      </c>
      <c r="FY62" s="1115" t="n">
        <f aca="false">IF(ET62&gt;0,MIN(FF62-FT62,BN62),0)</f>
        <v>0</v>
      </c>
      <c r="FZ62" s="1143" t="n">
        <f aca="false">IF(EU62&gt;0,MIN(FH62-FV62,BO62),0)</f>
        <v>0</v>
      </c>
      <c r="GA62" s="1132" t="n">
        <f aca="false">(SUM(FP62:FV62)+SUM(GU62:HB62)/(1-Summary!$O$25))*CY62/1000</f>
        <v>236647.763089862</v>
      </c>
      <c r="GB62" s="1133" t="n">
        <f aca="false">IF($C62&lt;Summary!$M$81,+Summary!$O$81,VLOOKUP(C62,GasTable,19))</f>
        <v>2.4</v>
      </c>
      <c r="GC62" s="1134" t="n">
        <f aca="false">IF(H62&lt;=Summary!$N$84,MIN(GA62,Summary!$O$75*(H62-G62+1)),0)</f>
        <v>155000</v>
      </c>
      <c r="GD62" s="1135" t="n">
        <f aca="false">IF(Summary!$O$75*(H62-G62+1)*0.8&gt;GC62,1,0)</f>
        <v>0</v>
      </c>
      <c r="GE62" s="1136" t="n">
        <v>0</v>
      </c>
      <c r="GF62" s="1134" t="n">
        <f aca="false">ABS(MIN(0,GC62-$GA62))</f>
        <v>81647.7630898625</v>
      </c>
      <c r="GG62" s="1135" t="n">
        <f aca="false">GF62*(IF(Summary!$O$74=1,VLOOKUP($C62,GasTable,16)+Summary!$O$92+Summary!$O$93,VLOOKUP($C62,GasTable,19)+Summary!$O$92+Summary!$O$93))</f>
        <v>235774.778815459</v>
      </c>
      <c r="GH62" s="1137" t="n">
        <v>18891.4</v>
      </c>
      <c r="GI62" s="1138" t="n">
        <v>0</v>
      </c>
      <c r="GJ62" s="1139" t="n">
        <f aca="false">+GB62*GC62+GE62+GG62+GH62-GI62</f>
        <v>626666.178815459</v>
      </c>
      <c r="GK62" s="1115" t="n">
        <f aca="false">SUM(FP62:FV62,GU62:GX62,GY62:HB62)</f>
        <v>30062.01285</v>
      </c>
      <c r="GL62" s="1140" t="n">
        <v>0.761816682752</v>
      </c>
      <c r="GM62" s="1141" t="n">
        <f aca="false">IF(GK62&gt;GC62/(CY62/1000),GC62/(CY62/1000),+GK62)*GL62</f>
        <v>15221</v>
      </c>
      <c r="GN62" s="1115" t="n">
        <f aca="false">IF(SUM(GU62:HB62)=0,0,IF(Summary!$O$16="Yes",SUM(GX62:HB62),IF(Summary!$O$17="Yes",SUM(GY62:HB62),SUM(GU62:HB62))))</f>
        <v>12199.03785</v>
      </c>
      <c r="GO62" s="1142" t="n">
        <v>2.60017181288321</v>
      </c>
      <c r="GP62" s="1143" t="n">
        <f aca="false">GN62*GO62</f>
        <v>31719.5943618654</v>
      </c>
      <c r="GQ62" s="1115"/>
      <c r="GR62" s="1115"/>
      <c r="GS62" s="1115"/>
      <c r="GT62" s="1115"/>
      <c r="GU62" s="1150" t="n">
        <v>5902.76025</v>
      </c>
      <c r="GV62" s="1115" t="n">
        <v>1026.567</v>
      </c>
      <c r="GW62" s="1115" t="n">
        <v>1026.567</v>
      </c>
      <c r="GX62" s="1115"/>
      <c r="GY62" s="1151" t="n">
        <v>3148.1388</v>
      </c>
      <c r="GZ62" s="1115" t="n">
        <v>547.5024</v>
      </c>
      <c r="HA62" s="1115" t="n">
        <v>547.5024</v>
      </c>
      <c r="HB62" s="1141"/>
      <c r="HC62" s="1115" t="n">
        <v>12199.03785</v>
      </c>
      <c r="HD62" s="1115"/>
      <c r="HE62" s="1115" t="n">
        <v>20950.521525</v>
      </c>
      <c r="HF62" s="1115" t="n">
        <v>471299.793395332</v>
      </c>
      <c r="HG62" s="1115"/>
      <c r="HH62" s="1142" t="n">
        <v>38.0231217245929</v>
      </c>
      <c r="HI62" s="1115" t="n">
        <v>796604.230138778</v>
      </c>
      <c r="HJ62" s="1150" t="n">
        <f aca="false">MAX(FB62-FP62-FW62,0)</f>
        <v>0</v>
      </c>
      <c r="HK62" s="1115" t="n">
        <f aca="false">MAX(FD62-FR62-FX62,0)</f>
        <v>0</v>
      </c>
      <c r="HL62" s="1115" t="n">
        <f aca="false">MAX(FF62-FT62-FY62,0)</f>
        <v>0</v>
      </c>
      <c r="HM62" s="1141" t="n">
        <f aca="false">MAX(FH62-FV62-FZ62,0)</f>
        <v>0</v>
      </c>
      <c r="HN62" s="1115" t="n">
        <f aca="false">SUM(HJ62:HM62)</f>
        <v>0</v>
      </c>
      <c r="HO62" s="1142" t="n">
        <f aca="false">IF(ISERROR(+HP62/HN62),0,+HP62/HN62)</f>
        <v>0</v>
      </c>
      <c r="HP62" s="1143" t="n">
        <f aca="false">(HJ62*CE62+HK62*CF62+HL62*CG62+HM62*CH62)</f>
        <v>0</v>
      </c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R62" s="844"/>
    </row>
    <row r="63" customFormat="false" ht="13.5" hidden="false" customHeight="false" outlineLevel="0" collapsed="false">
      <c r="A63" s="0" t="str">
        <f aca="false">+D63&amp;"Q"&amp;ROUNDUP(E63/3,0)</f>
        <v>2003Q4</v>
      </c>
      <c r="B63" s="0" t="n">
        <f aca="false">YEAR(C63)</f>
        <v>2003</v>
      </c>
      <c r="C63" s="1153" t="n">
        <f aca="false">EOMONTH(C62,0)+1</f>
        <v>37926</v>
      </c>
      <c r="D63" s="841" t="n">
        <f aca="false">+YEAR(C63)</f>
        <v>2003</v>
      </c>
      <c r="E63" s="807" t="n">
        <f aca="false">MONTH(C63)</f>
        <v>11</v>
      </c>
      <c r="F63" s="1154" t="e">
        <f aca="false">IF(G63="","",Holiday(D63,E63))</f>
        <v>#VALUE!</v>
      </c>
      <c r="G63" s="1155" t="n">
        <v>37926</v>
      </c>
      <c r="H63" s="1156" t="n">
        <v>37955</v>
      </c>
      <c r="I63" s="1157" t="n">
        <f aca="false">I62</f>
        <v>0.0715</v>
      </c>
      <c r="J63" s="1158" t="n">
        <f aca="false">(1+I63/2)^(-2*(DATE(D64,E64,20)-$H$7)/365.25)</f>
        <v>0.754297740327029</v>
      </c>
      <c r="K63" s="1159" t="e">
        <f aca="false">IF(#REF!=1,+#REF!,I63+#REF!/10000)</f>
        <v>#REF!</v>
      </c>
      <c r="L63" s="1158" t="e">
        <f aca="false">(1+K63/2)^(-2*(DATE(D64,E64,20)-$H$7)/365.25)</f>
        <v>#REF!</v>
      </c>
      <c r="M63" s="1082" t="n">
        <v>0</v>
      </c>
      <c r="N63" s="1110" t="n">
        <f aca="false">M63</f>
        <v>0</v>
      </c>
      <c r="O63" s="1174" t="n">
        <f aca="false">N63</f>
        <v>0</v>
      </c>
      <c r="P63" s="1175" t="n">
        <f aca="false">M63</f>
        <v>0</v>
      </c>
      <c r="Q63" s="1110" t="n">
        <f aca="false">P63</f>
        <v>0</v>
      </c>
      <c r="R63" s="1174" t="n">
        <f aca="false">Q63</f>
        <v>0</v>
      </c>
      <c r="S63" s="1110" t="n">
        <f aca="false">R63</f>
        <v>0</v>
      </c>
      <c r="T63" s="1110" t="n">
        <f aca="false">S63</f>
        <v>0</v>
      </c>
      <c r="U63" s="1110" t="n">
        <f aca="false">T63</f>
        <v>0</v>
      </c>
      <c r="V63" s="1175" t="n">
        <f aca="false">U63</f>
        <v>0</v>
      </c>
      <c r="W63" s="1110" t="n">
        <f aca="false">V63</f>
        <v>0</v>
      </c>
      <c r="X63" s="1176" t="n">
        <f aca="false">W63</f>
        <v>0</v>
      </c>
      <c r="Y63" s="1086" t="n">
        <v>0</v>
      </c>
      <c r="Z63" s="1086" t="n">
        <v>0</v>
      </c>
      <c r="AA63" s="1087" t="n">
        <v>0</v>
      </c>
      <c r="AB63" s="1086" t="n">
        <v>0</v>
      </c>
      <c r="AC63" s="1086" t="n">
        <v>0</v>
      </c>
      <c r="AD63" s="1087" t="n">
        <v>0</v>
      </c>
      <c r="AE63" s="1086" t="n">
        <v>0</v>
      </c>
      <c r="AF63" s="1086" t="n">
        <v>0</v>
      </c>
      <c r="AG63" s="1087" t="n">
        <v>0</v>
      </c>
      <c r="AH63" s="1086" t="n">
        <v>0</v>
      </c>
      <c r="AI63" s="1086" t="n">
        <v>0</v>
      </c>
      <c r="AJ63" s="1087" t="n">
        <v>0</v>
      </c>
      <c r="AK63" s="1086" t="n">
        <v>0</v>
      </c>
      <c r="AL63" s="1086" t="n">
        <v>0</v>
      </c>
      <c r="AM63" s="1087" t="n">
        <v>0</v>
      </c>
      <c r="AN63" s="1086" t="n">
        <v>0</v>
      </c>
      <c r="AO63" s="1086" t="n">
        <v>0</v>
      </c>
      <c r="AP63" s="1087" t="n">
        <v>0</v>
      </c>
      <c r="AQ63" s="1086" t="n">
        <v>0</v>
      </c>
      <c r="AR63" s="1086" t="n">
        <v>0</v>
      </c>
      <c r="AS63" s="1087" t="n">
        <v>0</v>
      </c>
      <c r="AT63" s="1086" t="n">
        <v>0</v>
      </c>
      <c r="AU63" s="1086" t="n">
        <v>0</v>
      </c>
      <c r="AV63" s="1086" t="n">
        <v>0</v>
      </c>
      <c r="AW63" s="1172" t="n">
        <v>0</v>
      </c>
      <c r="AX63" s="807" t="e">
        <f aca="false">BB63-SUM(AY63:BA63)</f>
        <v>#VALUE!</v>
      </c>
      <c r="AY63" s="807" t="e">
        <f aca="false">IF(AND($E63=MONTH(Summary!$E$24),$D63=YEAR(Summary!$E$24)),Summary!$E$25,1)*IF(G63="",0,INT((H63-MOD(H63,7)-G63)/7)+1-IF(BA63,IF(WEEKDAY(F63)=7,1,0),0))</f>
        <v>#VALUE!</v>
      </c>
      <c r="AZ63" s="807" t="e">
        <f aca="false">IF(AND($E63=MONTH(Summary!$E$24),$D63=YEAR(Summary!$E$24)),Summary!$E$25,1)*IF(G63="",0,INT((H63-MOD(H63-1,7)-G63)/7)+1-IF(BA63,IF(WEEKDAY(F63)=1,1,0),0))</f>
        <v>#VALUE!</v>
      </c>
      <c r="BA63" s="807" t="n">
        <v>1</v>
      </c>
      <c r="BB63" s="807" t="n">
        <f aca="false">IF(AND($E63=MONTH(Summary!$E$24),$D63=YEAR(Summary!$E$24)),Summary!$E$25,1)*IF(G63="",0,H63-G63+1)</f>
        <v>30</v>
      </c>
      <c r="BC63" s="1089" t="n">
        <f aca="false">Summary!$E$19</f>
        <v>0.015</v>
      </c>
      <c r="BD63" s="1090" t="n">
        <v>13474.8</v>
      </c>
      <c r="BE63" s="1091" t="n">
        <v>3546</v>
      </c>
      <c r="BF63" s="1091" t="n">
        <v>4255.2</v>
      </c>
      <c r="BG63" s="842"/>
      <c r="BH63" s="1092" t="n">
        <v>1</v>
      </c>
      <c r="BI63" s="1092" t="n">
        <v>1</v>
      </c>
      <c r="BJ63" s="1092" t="n">
        <v>1</v>
      </c>
      <c r="BK63" s="1092" t="n">
        <v>1</v>
      </c>
      <c r="BL63" s="1093" t="n">
        <v>2694.96</v>
      </c>
      <c r="BM63" s="1091" t="n">
        <v>709.2</v>
      </c>
      <c r="BN63" s="1091" t="n">
        <v>851.04</v>
      </c>
      <c r="BO63" s="842"/>
      <c r="BP63" s="1092" t="n">
        <v>1</v>
      </c>
      <c r="BQ63" s="1094" t="n">
        <v>1</v>
      </c>
      <c r="BR63" s="1094" t="n">
        <v>1</v>
      </c>
      <c r="BS63" s="1095" t="n">
        <v>1</v>
      </c>
      <c r="BT63" s="1093" t="n">
        <f aca="false">SUM(BD63:BF63)</f>
        <v>21276</v>
      </c>
      <c r="BU63" s="1098" t="n">
        <f aca="false">SUM(BD63:BG63)</f>
        <v>21276</v>
      </c>
      <c r="BV63" s="1090" t="n">
        <f aca="false">SUM(BL63:BN63)</f>
        <v>4255.2</v>
      </c>
      <c r="BW63" s="1098" t="n">
        <f aca="false">SUM(BL63:BO63)</f>
        <v>4255.2</v>
      </c>
      <c r="BX63" s="852" t="n">
        <v>3.87953456536619</v>
      </c>
      <c r="BY63" s="1099" t="n">
        <v>0</v>
      </c>
      <c r="BZ63" s="852" t="n">
        <v>0</v>
      </c>
      <c r="CA63" s="852" t="n">
        <v>0</v>
      </c>
      <c r="CB63" s="852" t="n">
        <v>0</v>
      </c>
      <c r="CC63" s="852" t="n">
        <v>0</v>
      </c>
      <c r="CD63" s="852" t="n">
        <v>0</v>
      </c>
      <c r="CE63" s="1100" t="n">
        <v>0</v>
      </c>
      <c r="CF63" s="852" t="n">
        <v>0</v>
      </c>
      <c r="CG63" s="852" t="n">
        <v>0</v>
      </c>
      <c r="CH63" s="852" t="n">
        <v>0</v>
      </c>
      <c r="CI63" s="852" t="n">
        <v>0</v>
      </c>
      <c r="CJ63" s="1101" t="n">
        <v>0</v>
      </c>
      <c r="CK63" s="852" t="n">
        <v>0</v>
      </c>
      <c r="CL63" s="852" t="n">
        <v>0</v>
      </c>
      <c r="CM63" s="852" t="n">
        <v>0</v>
      </c>
      <c r="CN63" s="852" t="n">
        <v>0</v>
      </c>
      <c r="CO63" s="852" t="n">
        <v>0</v>
      </c>
      <c r="CP63" s="852" t="n">
        <v>0</v>
      </c>
      <c r="CQ63" s="1102" t="n">
        <v>0</v>
      </c>
      <c r="CR63" s="1103" t="n">
        <v>0</v>
      </c>
      <c r="CS63" s="1103" t="n">
        <v>0</v>
      </c>
      <c r="CT63" s="1103" t="n">
        <v>0</v>
      </c>
      <c r="CU63" s="1103" t="n">
        <v>0</v>
      </c>
      <c r="CV63" s="1103" t="n">
        <v>0</v>
      </c>
      <c r="CW63" s="1103" t="n">
        <v>0</v>
      </c>
      <c r="CX63" s="1104" t="n">
        <v>0</v>
      </c>
      <c r="CY63" s="1105" t="n">
        <v>7759.76168</v>
      </c>
      <c r="CZ63" s="1099" t="n">
        <v>0</v>
      </c>
      <c r="DA63" s="852" t="n">
        <v>0</v>
      </c>
      <c r="DB63" s="852" t="n">
        <v>0</v>
      </c>
      <c r="DC63" s="852" t="n">
        <v>0</v>
      </c>
      <c r="DD63" s="852" t="n">
        <v>0</v>
      </c>
      <c r="DE63" s="1113" t="n">
        <v>0</v>
      </c>
      <c r="DF63" s="1109" t="n">
        <v>0</v>
      </c>
      <c r="DG63" s="1110" t="n">
        <v>0</v>
      </c>
      <c r="DH63" s="1111" t="n">
        <v>0</v>
      </c>
      <c r="DI63" s="1112" t="n">
        <v>0</v>
      </c>
      <c r="DJ63" s="1112" t="n">
        <v>0</v>
      </c>
      <c r="DK63" s="1112" t="n">
        <v>0</v>
      </c>
      <c r="DL63" s="1113" t="n">
        <v>0</v>
      </c>
      <c r="DM63" s="1114" t="n">
        <v>0</v>
      </c>
      <c r="DN63" s="1114" t="n">
        <v>0</v>
      </c>
      <c r="DO63" s="1114" t="n">
        <v>0</v>
      </c>
      <c r="DP63" s="1114" t="n">
        <v>0</v>
      </c>
      <c r="DQ63" s="1114" t="n">
        <v>0</v>
      </c>
      <c r="DR63" s="1109" t="n">
        <v>0</v>
      </c>
      <c r="DS63" s="852" t="n">
        <v>0</v>
      </c>
      <c r="DT63" s="852" t="n">
        <v>0</v>
      </c>
      <c r="DU63" s="852" t="n">
        <v>0</v>
      </c>
      <c r="DV63" s="852" t="n">
        <v>0</v>
      </c>
      <c r="DW63" s="852" t="n">
        <v>0</v>
      </c>
      <c r="DX63" s="852" t="n">
        <v>0</v>
      </c>
      <c r="DY63" s="852" t="n">
        <v>0</v>
      </c>
      <c r="DZ63" s="852" t="n">
        <v>0</v>
      </c>
      <c r="EA63" s="852" t="n">
        <v>0</v>
      </c>
      <c r="EB63" s="1113" t="n">
        <v>0</v>
      </c>
      <c r="EC63" s="1115" t="n">
        <f aca="false">DS63*BD63</f>
        <v>0</v>
      </c>
      <c r="ED63" s="1115" t="n">
        <f aca="false">DT63*BE63</f>
        <v>0</v>
      </c>
      <c r="EE63" s="1115" t="n">
        <f aca="false">DU63*BF63</f>
        <v>0</v>
      </c>
      <c r="EF63" s="1115" t="n">
        <f aca="false">DV63*BG63</f>
        <v>0</v>
      </c>
      <c r="EG63" s="1115" t="n">
        <f aca="false">DS63*BD63+DT63*BE63+DU63*BF63+DV63*BG63</f>
        <v>0</v>
      </c>
      <c r="EH63" s="1116" t="n">
        <v>0</v>
      </c>
      <c r="EI63" s="1117" t="n">
        <v>0</v>
      </c>
      <c r="EJ63" s="1117" t="n">
        <v>0</v>
      </c>
      <c r="EK63" s="1117" t="n">
        <v>0</v>
      </c>
      <c r="EL63" s="1118" t="n">
        <f aca="false">IF(C63&gt;=Summary!$E$26,MAX(0,SUM(EH63:EK63)),0)</f>
        <v>0</v>
      </c>
      <c r="EM63" s="1115" t="n">
        <f aca="false">IF(C63&gt;=Summary!$E$26,DX63*BL63,0)</f>
        <v>0</v>
      </c>
      <c r="EN63" s="1115" t="n">
        <f aca="false">IF(C63&gt;=Summary!$E$26,DY63*BM63,0)</f>
        <v>0</v>
      </c>
      <c r="EO63" s="1115" t="n">
        <f aca="false">IF(C63&gt;=Summary!$E$26,DZ63*BN63,0)</f>
        <v>0</v>
      </c>
      <c r="EP63" s="1115" t="n">
        <f aca="false">IF(C63&gt;=Summary!$E$26,EA63*BO63,0)</f>
        <v>0</v>
      </c>
      <c r="EQ63" s="1115" t="n">
        <f aca="false">IF(C63&gt;=Summary!$E$26,DX63*BL63+DY63*BM63+DZ63*BN63+EA63*BO63,0)</f>
        <v>0</v>
      </c>
      <c r="ER63" s="1119" t="n">
        <v>0</v>
      </c>
      <c r="ES63" s="1120" t="n">
        <v>0</v>
      </c>
      <c r="ET63" s="1120" t="n">
        <v>0</v>
      </c>
      <c r="EU63" s="1120" t="n">
        <v>0</v>
      </c>
      <c r="EV63" s="1143" t="n">
        <f aca="false">IF(C63&gt;=Summary!$E$26,MAX(0,SUM(ER63:EU63)),0)</f>
        <v>0</v>
      </c>
      <c r="EW63" s="1115"/>
      <c r="EX63" s="1165" t="n">
        <f aca="false">(EQ63-EV63)+IF(EZ63="Yes",(EG63-EL63),0)</f>
        <v>0</v>
      </c>
      <c r="EY63" s="1166" t="str">
        <f aca="false">IF(EX63,EX63/EQ63,"")</f>
        <v/>
      </c>
      <c r="EZ63" s="1122" t="s">
        <v>37</v>
      </c>
      <c r="FA63" s="1096" t="n">
        <f aca="false">FA62</f>
        <v>45</v>
      </c>
      <c r="FB63" s="1167" t="e">
        <f aca="false">IF(EZ63="No",IF((OR(MONTH(C63)=5,MONTH(C63)=6,MONTH(C63)=7,MONTH(C63)=8,MONTH(C63)=9)),$FA63*12*AX63*(1-$BC63),$FA63*10*AX63*(1-$BC63)),0)</f>
        <v>#VALUE!</v>
      </c>
      <c r="FC63" s="1129" t="e">
        <f aca="false">IF(EZ63="No",IF((OR(MONTH(C63)=5,MONTH(C63)=6,MONTH(C63)=7,MONTH(C63)=8,MONTH(C63)=9)),0,$FA63*3*AX63*(1-$BC63)),0)</f>
        <v>#VALUE!</v>
      </c>
      <c r="FD63" s="1129" t="e">
        <f aca="false">IF(EZ63="No",IF((OR(MONTH(C63)=5,MONTH(C63)=6,MONTH(C63)=7,MONTH(C63)=8,MONTH(C63)=9)),$FA63*12*AY63*(1-$BC63),$FA63*10*AY63*(1-$BC63)),0)</f>
        <v>#VALUE!</v>
      </c>
      <c r="FE63" s="1129" t="e">
        <f aca="false">IF(EZ63="No",IF((OR(MONTH(C63)=5,MONTH(C63)=6,MONTH(C63)=7,MONTH(C63)=8,MONTH(C63)=9)),0,$FA63*3*AY63*(1-$BC63)),0)</f>
        <v>#VALUE!</v>
      </c>
      <c r="FF63" s="1129" t="e">
        <f aca="false">IF(EZ63="No",IF((OR(MONTH(C63)=5,MONTH(C63)=6,MONTH(C63)=7,MONTH(C63)=8,MONTH(C63)=9)),$FA63*12*(AZ63+BA63)*(1-$BC63),$FA63*10*(AZ63+BA63)*(1-$BC63)),0)</f>
        <v>#VALUE!</v>
      </c>
      <c r="FG63" s="1129" t="e">
        <f aca="false">IF(EZ63="No",IF((OR(MONTH(C63)=5,MONTH(C63)=6,MONTH(C63)=7,MONTH(C63)=8,MONTH(C63)=9)),0,$FA63*3*(AZ63+BA63)*(1-$BC63)),0)</f>
        <v>#VALUE!</v>
      </c>
      <c r="FH63" s="1170" t="e">
        <f aca="false">IF(EZ63="No",IF((OR(MONTH(C63)=5,MONTH(C63)=6,MONTH(C63)=7,MONTH(C63)=8,MONTH(C63)=9)),Summary!$O$15*12*(AX63+AY63+AZ63+BA63)*(1-$BC63),Summary!$O$15*13*(AX63+AY63+AZ63+BA63)*(1-$BC63)+IF(Summary!$O$16="Yes",(CALC!FA63+Summary!$O$15)*6*(AX63+AY63+AZ63+BA63)*(1-$BC63),0)),0)</f>
        <v>#VALUE!</v>
      </c>
      <c r="FI63" s="1126" t="n">
        <f aca="false">IF(MONTH(C63)=5,FI62*(IF(Summary!$E$70="no",(1+(Summary!$E$71*0.8)),1+HLOOKUP(YEAR(C63)-1,CCFMODEL!$I$127:$AF$128,2)*0.8)),+FI62)</f>
        <v>29.2498402152418</v>
      </c>
      <c r="FJ63" s="1127" t="n">
        <f aca="false">IF(MONTH(C63)=5,FJ62*(IF(Summary!$E$70="no",(1+(Summary!$E$71*0.8)),1+HLOOKUP(YEAR(CALC!C63)-1,CCFMODEL!$I$127:$AF$128,2)*0.8)),FJ62)</f>
        <v>25.5648209755263</v>
      </c>
      <c r="FK63" s="1128" t="e">
        <f aca="false">SUM(FB63:FG63)*FI63+FH63*FJ63</f>
        <v>#VALUE!</v>
      </c>
      <c r="FL63" s="1126" t="n">
        <f aca="false">IF(MONTH(C63)=5,FL62*(IF(Summary!$E$70="no",(1+(Summary!$E$71*0.8)),1+HLOOKUP(YEAR(CALC!C63)-1,CCFMODEL!$I$127:$AF$128,2)*0.8)),+FL62)</f>
        <v>61.5156932010841</v>
      </c>
      <c r="FM63" s="1127" t="n">
        <f aca="false">IF(MONTH(C63)=5,FM62*(IF(Summary!$E$70="no",(1+(Summary!$E$71*0.8)),1+HLOOKUP(YEAR(CALC!C63)-1,CCFMODEL!$I$127:$AF$128,2)*0.8)),+FM62)</f>
        <v>29.3595134069</v>
      </c>
      <c r="FN63" s="1128" t="e">
        <f aca="false">IF((OR(MONTH(C63)=5,MONTH(C63)=6,MONTH(C63)=7,MONTH(C63)=8,MONTH(C63)=9)),SUM(FB63:FG63)/(1-BC63)*FL63,SUM(FB63:FG63)/(1-BC63)*FM63)</f>
        <v>#VALUE!</v>
      </c>
      <c r="FO63" s="1129" t="e">
        <f aca="false">FK63+FN63</f>
        <v>#VALUE!</v>
      </c>
      <c r="FP63" s="1169" t="e">
        <f aca="false">FB63</f>
        <v>#VALUE!</v>
      </c>
      <c r="FQ63" s="1129" t="e">
        <f aca="false">FC63</f>
        <v>#VALUE!</v>
      </c>
      <c r="FR63" s="1129" t="e">
        <f aca="false">FD63</f>
        <v>#VALUE!</v>
      </c>
      <c r="FS63" s="1129" t="e">
        <f aca="false">FE63</f>
        <v>#VALUE!</v>
      </c>
      <c r="FT63" s="1129" t="e">
        <f aca="false">FF63</f>
        <v>#VALUE!</v>
      </c>
      <c r="FU63" s="1129" t="e">
        <f aca="false">FG63</f>
        <v>#VALUE!</v>
      </c>
      <c r="FV63" s="1170" t="e">
        <f aca="false">FH63</f>
        <v>#VALUE!</v>
      </c>
      <c r="FW63" s="1115" t="n">
        <f aca="false">IF(ER63&gt;0,MIN(FB63-FP63,BL63),0)</f>
        <v>0</v>
      </c>
      <c r="FX63" s="1115" t="n">
        <f aca="false">IF(ES63&gt;0,MIN(FD63-FR63,BM63),0)</f>
        <v>0</v>
      </c>
      <c r="FY63" s="1115" t="n">
        <f aca="false">IF(ET63&gt;0,MIN(FF63-FT63,BN63),0)</f>
        <v>0</v>
      </c>
      <c r="FZ63" s="1143" t="n">
        <f aca="false">IF(EU63&gt;0,MIN(FH63-FV63,BO63),0)</f>
        <v>0</v>
      </c>
      <c r="GA63" s="1132" t="e">
        <f aca="false">(SUM(FP63:FV63)+SUM(GU63:HB63)/(1-Summary!$O$25))*CY63/1000</f>
        <v>#VALUE!</v>
      </c>
      <c r="GB63" s="1133" t="n">
        <f aca="false">IF($C63&lt;Summary!$M$81,+Summary!$O$81,VLOOKUP(C63,GasTable,19))</f>
        <v>2.4</v>
      </c>
      <c r="GC63" s="1134" t="e">
        <f aca="false">IF(H63&lt;=Summary!$N$84,MIN(GA63,Summary!$O$75*(H63-G63+1)),0)</f>
        <v>#VALUE!</v>
      </c>
      <c r="GD63" s="1135" t="e">
        <f aca="false">IF(Summary!$O$75*(H63-G63+1)*0.8&gt;GC63,1,0)</f>
        <v>#VALUE!</v>
      </c>
      <c r="GE63" s="1136" t="n">
        <v>0</v>
      </c>
      <c r="GF63" s="1134" t="e">
        <f aca="false">ABS(MIN(0,GC63-$GA63))</f>
        <v>#VALUE!</v>
      </c>
      <c r="GG63" s="1135" t="e">
        <f aca="false">GF63*(IF(Summary!$O$74=1,VLOOKUP($C63,GasTable,16)+Summary!$O$92+Summary!$O$93,VLOOKUP($C63,GasTable,19)+Summary!$O$92+Summary!$O$93))</f>
        <v>#VALUE!</v>
      </c>
      <c r="GH63" s="1137" t="n">
        <v>18846</v>
      </c>
      <c r="GI63" s="1138" t="n">
        <v>0</v>
      </c>
      <c r="GJ63" s="1139" t="e">
        <f aca="false">+GB63*GC63+GE63+GG63+GH63-GI63</f>
        <v>#VALUE!</v>
      </c>
      <c r="GK63" s="1115" t="e">
        <f aca="false">SUM(FP63:FV63,GU63:GX63,GY63:HB63)</f>
        <v>#VALUE!</v>
      </c>
      <c r="GL63" s="1140" t="n">
        <v>0.762008596976</v>
      </c>
      <c r="GM63" s="1141" t="e">
        <f aca="false">IF(GK63&gt;GC63/(CY63/1000),GC63/(CY63/1000),+GK63)*GL63</f>
        <v>#VALUE!</v>
      </c>
      <c r="GN63" s="1115" t="n">
        <f aca="false">IF(SUM(GU63:HB63)=0,0,IF(Summary!$O$16="Yes",SUM(GX63:HB63),IF(Summary!$O$17="Yes",SUM(GY63:HB63),SUM(GU63:HB63))))</f>
        <v>11805.5205</v>
      </c>
      <c r="GO63" s="1142" t="n">
        <v>2.60017181288321</v>
      </c>
      <c r="GP63" s="1143" t="n">
        <f aca="false">GN63*GO63</f>
        <v>30696.3816405149</v>
      </c>
      <c r="GQ63" s="1115"/>
      <c r="GR63" s="1115"/>
      <c r="GS63" s="1115"/>
      <c r="GT63" s="1115"/>
      <c r="GU63" s="1150" t="n">
        <v>4876.19325</v>
      </c>
      <c r="GV63" s="1115" t="n">
        <v>1283.20875</v>
      </c>
      <c r="GW63" s="1115" t="n">
        <v>1539.8505</v>
      </c>
      <c r="GX63" s="1115"/>
      <c r="GY63" s="1151" t="n">
        <v>2600.6364</v>
      </c>
      <c r="GZ63" s="1115" t="n">
        <v>684.378</v>
      </c>
      <c r="HA63" s="1115" t="n">
        <v>821.2536</v>
      </c>
      <c r="HB63" s="1141"/>
      <c r="HC63" s="1115" t="n">
        <v>11805.5205</v>
      </c>
      <c r="HD63" s="1115"/>
      <c r="HE63" s="1115" t="n">
        <v>20274.69825</v>
      </c>
      <c r="HF63" s="1115" t="n">
        <v>471273.881966183</v>
      </c>
      <c r="HG63" s="1115"/>
      <c r="HH63" s="1142" t="n">
        <v>39.6847909651117</v>
      </c>
      <c r="HI63" s="1115" t="n">
        <v>804597.161931966</v>
      </c>
      <c r="HJ63" s="1150" t="e">
        <f aca="false">MAX(FB63-FP63-FW63,0)</f>
        <v>#VALUE!</v>
      </c>
      <c r="HK63" s="1115" t="e">
        <f aca="false">MAX(FD63-FR63-FX63,0)</f>
        <v>#VALUE!</v>
      </c>
      <c r="HL63" s="1115" t="e">
        <f aca="false">MAX(FF63-FT63-FY63,0)</f>
        <v>#VALUE!</v>
      </c>
      <c r="HM63" s="1141" t="e">
        <f aca="false">MAX(FH63-FV63-FZ63,0)</f>
        <v>#VALUE!</v>
      </c>
      <c r="HN63" s="1115" t="e">
        <f aca="false">SUM(HJ63:HM63)</f>
        <v>#VALUE!</v>
      </c>
      <c r="HO63" s="1142" t="n">
        <f aca="false">IF(ISERROR(+HP63/HN63),0,+HP63/HN63)</f>
        <v>0</v>
      </c>
      <c r="HP63" s="1143" t="e">
        <f aca="false">(HJ63*CE63+HK63*CF63+HL63*CG63+HM63*CH63)</f>
        <v>#VALUE!</v>
      </c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R63" s="844"/>
    </row>
    <row r="64" customFormat="false" ht="13.5" hidden="false" customHeight="false" outlineLevel="0" collapsed="false">
      <c r="A64" s="0" t="str">
        <f aca="false">+D64&amp;"Q"&amp;ROUNDUP(E64/3,0)</f>
        <v>2003Q4</v>
      </c>
      <c r="B64" s="0" t="n">
        <f aca="false">YEAR(C64)</f>
        <v>2003</v>
      </c>
      <c r="C64" s="1153" t="n">
        <f aca="false">EOMONTH(C63,0)+1</f>
        <v>37956</v>
      </c>
      <c r="D64" s="841" t="n">
        <f aca="false">+YEAR(C64)</f>
        <v>2003</v>
      </c>
      <c r="E64" s="807" t="n">
        <f aca="false">MONTH(C64)</f>
        <v>12</v>
      </c>
      <c r="F64" s="1154" t="e">
        <f aca="false">IF(G64="","",Holiday(D64,E64))</f>
        <v>#VALUE!</v>
      </c>
      <c r="G64" s="1155" t="n">
        <v>37956</v>
      </c>
      <c r="H64" s="1156" t="n">
        <v>37986</v>
      </c>
      <c r="I64" s="1157" t="n">
        <f aca="false">I63</f>
        <v>0.0715</v>
      </c>
      <c r="J64" s="1158" t="n">
        <f aca="false">(1+I64/2)^(-2*(DATE(D65,E65,20)-$H$7)/365.25)</f>
        <v>0.749813628598934</v>
      </c>
      <c r="K64" s="1159" t="e">
        <f aca="false">IF(#REF!=1,+#REF!,I64+#REF!/10000)</f>
        <v>#REF!</v>
      </c>
      <c r="L64" s="1158" t="e">
        <f aca="false">(1+K64/2)^(-2*(DATE(D65,E65,20)-$H$7)/365.25)</f>
        <v>#REF!</v>
      </c>
      <c r="M64" s="1082" t="n">
        <v>0</v>
      </c>
      <c r="N64" s="1110" t="n">
        <f aca="false">M64</f>
        <v>0</v>
      </c>
      <c r="O64" s="1174" t="n">
        <f aca="false">N64</f>
        <v>0</v>
      </c>
      <c r="P64" s="1175" t="n">
        <f aca="false">M64</f>
        <v>0</v>
      </c>
      <c r="Q64" s="1110" t="n">
        <f aca="false">P64</f>
        <v>0</v>
      </c>
      <c r="R64" s="1174" t="n">
        <f aca="false">Q64</f>
        <v>0</v>
      </c>
      <c r="S64" s="1110" t="n">
        <f aca="false">R64</f>
        <v>0</v>
      </c>
      <c r="T64" s="1110" t="n">
        <f aca="false">S64</f>
        <v>0</v>
      </c>
      <c r="U64" s="1110" t="n">
        <f aca="false">T64</f>
        <v>0</v>
      </c>
      <c r="V64" s="1175" t="n">
        <f aca="false">U64</f>
        <v>0</v>
      </c>
      <c r="W64" s="1110" t="n">
        <f aca="false">V64</f>
        <v>0</v>
      </c>
      <c r="X64" s="1176" t="n">
        <f aca="false">W64</f>
        <v>0</v>
      </c>
      <c r="Y64" s="1086" t="n">
        <v>0</v>
      </c>
      <c r="Z64" s="1086" t="n">
        <v>0</v>
      </c>
      <c r="AA64" s="1087" t="n">
        <v>0</v>
      </c>
      <c r="AB64" s="1086" t="n">
        <v>0</v>
      </c>
      <c r="AC64" s="1086" t="n">
        <v>0</v>
      </c>
      <c r="AD64" s="1087" t="n">
        <v>0</v>
      </c>
      <c r="AE64" s="1086" t="n">
        <v>0</v>
      </c>
      <c r="AF64" s="1086" t="n">
        <v>0</v>
      </c>
      <c r="AG64" s="1087" t="n">
        <v>0</v>
      </c>
      <c r="AH64" s="1086" t="n">
        <v>0</v>
      </c>
      <c r="AI64" s="1086" t="n">
        <v>0</v>
      </c>
      <c r="AJ64" s="1087" t="n">
        <v>0</v>
      </c>
      <c r="AK64" s="1086" t="n">
        <v>0</v>
      </c>
      <c r="AL64" s="1086" t="n">
        <v>0</v>
      </c>
      <c r="AM64" s="1087" t="n">
        <v>0</v>
      </c>
      <c r="AN64" s="1086" t="n">
        <v>0</v>
      </c>
      <c r="AO64" s="1086" t="n">
        <v>0</v>
      </c>
      <c r="AP64" s="1087" t="n">
        <v>0</v>
      </c>
      <c r="AQ64" s="1086" t="n">
        <v>0</v>
      </c>
      <c r="AR64" s="1086" t="n">
        <v>0</v>
      </c>
      <c r="AS64" s="1087" t="n">
        <v>0</v>
      </c>
      <c r="AT64" s="1086" t="n">
        <v>0</v>
      </c>
      <c r="AU64" s="1086" t="n">
        <v>0</v>
      </c>
      <c r="AV64" s="1086" t="n">
        <v>0</v>
      </c>
      <c r="AW64" s="1172" t="n">
        <v>0</v>
      </c>
      <c r="AX64" s="807" t="e">
        <f aca="false">BB64-SUM(AY64:BA64)</f>
        <v>#VALUE!</v>
      </c>
      <c r="AY64" s="807" t="e">
        <f aca="false">IF(AND($E64=MONTH(Summary!$E$24),$D64=YEAR(Summary!$E$24)),Summary!$E$25,1)*IF(G64="",0,INT((H64-MOD(H64,7)-G64)/7)+1-IF(BA64,IF(WEEKDAY(F64)=7,1,0),0))</f>
        <v>#VALUE!</v>
      </c>
      <c r="AZ64" s="807" t="e">
        <f aca="false">IF(AND($E64=MONTH(Summary!$E$24),$D64=YEAR(Summary!$E$24)),Summary!$E$25,1)*IF(G64="",0,INT((H64-MOD(H64-1,7)-G64)/7)+1-IF(BA64,IF(WEEKDAY(F64)=1,1,0),0))</f>
        <v>#VALUE!</v>
      </c>
      <c r="BA64" s="807" t="n">
        <v>1</v>
      </c>
      <c r="BB64" s="807" t="n">
        <f aca="false">IF(AND($E64=MONTH(Summary!$E$24),$D64=YEAR(Summary!$E$24)),Summary!$E$25,1)*IF(G64="",0,H64-G64+1)</f>
        <v>31</v>
      </c>
      <c r="BC64" s="1089" t="n">
        <f aca="false">Summary!$E$19</f>
        <v>0.015</v>
      </c>
      <c r="BD64" s="1090" t="n">
        <v>15602.4</v>
      </c>
      <c r="BE64" s="1091" t="n">
        <v>2836.8</v>
      </c>
      <c r="BF64" s="1091" t="n">
        <v>3546</v>
      </c>
      <c r="BG64" s="842"/>
      <c r="BH64" s="1092" t="n">
        <v>1</v>
      </c>
      <c r="BI64" s="1092" t="n">
        <v>1</v>
      </c>
      <c r="BJ64" s="1092" t="n">
        <v>1</v>
      </c>
      <c r="BK64" s="1092" t="n">
        <v>1</v>
      </c>
      <c r="BL64" s="1093" t="n">
        <v>3120.48</v>
      </c>
      <c r="BM64" s="1091" t="n">
        <v>567.36</v>
      </c>
      <c r="BN64" s="1091" t="n">
        <v>709.2</v>
      </c>
      <c r="BO64" s="842"/>
      <c r="BP64" s="1092" t="n">
        <v>1</v>
      </c>
      <c r="BQ64" s="1094" t="n">
        <v>1</v>
      </c>
      <c r="BR64" s="1094" t="n">
        <v>1</v>
      </c>
      <c r="BS64" s="1095" t="n">
        <v>1</v>
      </c>
      <c r="BT64" s="1093" t="n">
        <f aca="false">SUM(BD64:BF64)</f>
        <v>21985.2</v>
      </c>
      <c r="BU64" s="1098" t="n">
        <f aca="false">SUM(BD64:BG64)</f>
        <v>21985.2</v>
      </c>
      <c r="BV64" s="1090" t="n">
        <f aca="false">SUM(BL64:BN64)</f>
        <v>4397.04</v>
      </c>
      <c r="BW64" s="1098" t="n">
        <f aca="false">SUM(BL64:BO64)</f>
        <v>4397.04</v>
      </c>
      <c r="BX64" s="852" t="n">
        <v>3.96167008898015</v>
      </c>
      <c r="BY64" s="1099" t="n">
        <v>0</v>
      </c>
      <c r="BZ64" s="852" t="n">
        <v>0</v>
      </c>
      <c r="CA64" s="852" t="n">
        <v>0</v>
      </c>
      <c r="CB64" s="852" t="n">
        <v>0</v>
      </c>
      <c r="CC64" s="852" t="n">
        <v>0</v>
      </c>
      <c r="CD64" s="852" t="n">
        <v>0</v>
      </c>
      <c r="CE64" s="1100" t="n">
        <v>0</v>
      </c>
      <c r="CF64" s="852" t="n">
        <v>0</v>
      </c>
      <c r="CG64" s="852" t="n">
        <v>0</v>
      </c>
      <c r="CH64" s="852" t="n">
        <v>0</v>
      </c>
      <c r="CI64" s="852" t="n">
        <v>0</v>
      </c>
      <c r="CJ64" s="1101" t="n">
        <v>0</v>
      </c>
      <c r="CK64" s="852" t="n">
        <v>0</v>
      </c>
      <c r="CL64" s="852" t="n">
        <v>0</v>
      </c>
      <c r="CM64" s="852" t="n">
        <v>0</v>
      </c>
      <c r="CN64" s="852" t="n">
        <v>0</v>
      </c>
      <c r="CO64" s="852" t="n">
        <v>0</v>
      </c>
      <c r="CP64" s="852" t="n">
        <v>0</v>
      </c>
      <c r="CQ64" s="1102" t="n">
        <v>0</v>
      </c>
      <c r="CR64" s="1103" t="n">
        <v>0</v>
      </c>
      <c r="CS64" s="1103" t="n">
        <v>0</v>
      </c>
      <c r="CT64" s="1103" t="n">
        <v>0</v>
      </c>
      <c r="CU64" s="1103" t="n">
        <v>0</v>
      </c>
      <c r="CV64" s="1103" t="n">
        <v>0</v>
      </c>
      <c r="CW64" s="1103" t="n">
        <v>0</v>
      </c>
      <c r="CX64" s="1104" t="n">
        <v>0</v>
      </c>
      <c r="CY64" s="1105" t="n">
        <v>7717.648</v>
      </c>
      <c r="CZ64" s="1099" t="n">
        <v>0</v>
      </c>
      <c r="DA64" s="852" t="n">
        <v>0</v>
      </c>
      <c r="DB64" s="852" t="n">
        <v>0</v>
      </c>
      <c r="DC64" s="852" t="n">
        <v>0</v>
      </c>
      <c r="DD64" s="852" t="n">
        <v>0</v>
      </c>
      <c r="DE64" s="1113" t="n">
        <v>0</v>
      </c>
      <c r="DF64" s="1109" t="n">
        <v>0</v>
      </c>
      <c r="DG64" s="1110" t="n">
        <v>0</v>
      </c>
      <c r="DH64" s="1111" t="n">
        <v>0</v>
      </c>
      <c r="DI64" s="1112" t="n">
        <v>0</v>
      </c>
      <c r="DJ64" s="1112" t="n">
        <v>0</v>
      </c>
      <c r="DK64" s="1112" t="n">
        <v>0</v>
      </c>
      <c r="DL64" s="1113" t="n">
        <v>0</v>
      </c>
      <c r="DM64" s="1114" t="n">
        <v>0</v>
      </c>
      <c r="DN64" s="1114" t="n">
        <v>0</v>
      </c>
      <c r="DO64" s="1114" t="n">
        <v>0</v>
      </c>
      <c r="DP64" s="1114" t="n">
        <v>0</v>
      </c>
      <c r="DQ64" s="1114" t="n">
        <v>0</v>
      </c>
      <c r="DR64" s="1109" t="n">
        <v>0</v>
      </c>
      <c r="DS64" s="852" t="n">
        <v>0</v>
      </c>
      <c r="DT64" s="852" t="n">
        <v>0</v>
      </c>
      <c r="DU64" s="852" t="n">
        <v>0</v>
      </c>
      <c r="DV64" s="852" t="n">
        <v>0</v>
      </c>
      <c r="DW64" s="852" t="n">
        <v>0</v>
      </c>
      <c r="DX64" s="852" t="n">
        <v>0</v>
      </c>
      <c r="DY64" s="852" t="n">
        <v>0</v>
      </c>
      <c r="DZ64" s="852" t="n">
        <v>0</v>
      </c>
      <c r="EA64" s="852" t="n">
        <v>0</v>
      </c>
      <c r="EB64" s="1113" t="n">
        <v>0</v>
      </c>
      <c r="EC64" s="1115" t="n">
        <f aca="false">DS64*BD64</f>
        <v>0</v>
      </c>
      <c r="ED64" s="1115" t="n">
        <f aca="false">DT64*BE64</f>
        <v>0</v>
      </c>
      <c r="EE64" s="1115" t="n">
        <f aca="false">DU64*BF64</f>
        <v>0</v>
      </c>
      <c r="EF64" s="1115" t="n">
        <f aca="false">DV64*BG64</f>
        <v>0</v>
      </c>
      <c r="EG64" s="1115" t="n">
        <f aca="false">DS64*BD64+DT64*BE64+DU64*BF64+DV64*BG64</f>
        <v>0</v>
      </c>
      <c r="EH64" s="1116" t="n">
        <v>0</v>
      </c>
      <c r="EI64" s="1117" t="n">
        <v>0</v>
      </c>
      <c r="EJ64" s="1117" t="n">
        <v>0</v>
      </c>
      <c r="EK64" s="1117" t="n">
        <v>0</v>
      </c>
      <c r="EL64" s="1118" t="n">
        <f aca="false">IF(C64&gt;=Summary!$E$26,MAX(0,SUM(EH64:EK64)),0)</f>
        <v>0</v>
      </c>
      <c r="EM64" s="1115" t="n">
        <f aca="false">IF(C64&gt;=Summary!$E$26,DX64*BL64,0)</f>
        <v>0</v>
      </c>
      <c r="EN64" s="1115" t="n">
        <f aca="false">IF(C64&gt;=Summary!$E$26,DY64*BM64,0)</f>
        <v>0</v>
      </c>
      <c r="EO64" s="1115" t="n">
        <f aca="false">IF(C64&gt;=Summary!$E$26,DZ64*BN64,0)</f>
        <v>0</v>
      </c>
      <c r="EP64" s="1115" t="n">
        <f aca="false">IF(C64&gt;=Summary!$E$26,EA64*BO64,0)</f>
        <v>0</v>
      </c>
      <c r="EQ64" s="1115" t="n">
        <f aca="false">IF(C64&gt;=Summary!$E$26,DX64*BL64+DY64*BM64+DZ64*BN64+EA64*BO64,0)</f>
        <v>0</v>
      </c>
      <c r="ER64" s="1119" t="n">
        <v>0</v>
      </c>
      <c r="ES64" s="1120" t="n">
        <v>0</v>
      </c>
      <c r="ET64" s="1120" t="n">
        <v>0</v>
      </c>
      <c r="EU64" s="1120" t="n">
        <v>0</v>
      </c>
      <c r="EV64" s="1143" t="n">
        <f aca="false">IF(C64&gt;=Summary!$E$26,MAX(0,SUM(ER64:EU64)),0)</f>
        <v>0</v>
      </c>
      <c r="EW64" s="1115"/>
      <c r="EX64" s="1165" t="n">
        <f aca="false">(EQ64-EV64)+IF(EZ64="Yes",(EG64-EL64),0)</f>
        <v>0</v>
      </c>
      <c r="EY64" s="1166" t="str">
        <f aca="false">IF(EX64,EX64/EQ64,"")</f>
        <v/>
      </c>
      <c r="EZ64" s="1122" t="s">
        <v>37</v>
      </c>
      <c r="FA64" s="1096" t="n">
        <f aca="false">FA63</f>
        <v>45</v>
      </c>
      <c r="FB64" s="1167" t="e">
        <f aca="false">IF(EZ64="No",IF((OR(MONTH(C64)=5,MONTH(C64)=6,MONTH(C64)=7,MONTH(C64)=8,MONTH(C64)=9)),$FA64*12*AX64*(1-$BC64),$FA64*10*AX64*(1-$BC64)),0)</f>
        <v>#VALUE!</v>
      </c>
      <c r="FC64" s="1129" t="e">
        <f aca="false">IF(EZ64="No",IF((OR(MONTH(C64)=5,MONTH(C64)=6,MONTH(C64)=7,MONTH(C64)=8,MONTH(C64)=9)),0,$FA64*3*AX64*(1-$BC64)),0)</f>
        <v>#VALUE!</v>
      </c>
      <c r="FD64" s="1129" t="e">
        <f aca="false">IF(EZ64="No",IF((OR(MONTH(C64)=5,MONTH(C64)=6,MONTH(C64)=7,MONTH(C64)=8,MONTH(C64)=9)),$FA64*12*AY64*(1-$BC64),$FA64*10*AY64*(1-$BC64)),0)</f>
        <v>#VALUE!</v>
      </c>
      <c r="FE64" s="1129" t="e">
        <f aca="false">IF(EZ64="No",IF((OR(MONTH(C64)=5,MONTH(C64)=6,MONTH(C64)=7,MONTH(C64)=8,MONTH(C64)=9)),0,$FA64*3*AY64*(1-$BC64)),0)</f>
        <v>#VALUE!</v>
      </c>
      <c r="FF64" s="1129" t="e">
        <f aca="false">IF(EZ64="No",IF((OR(MONTH(C64)=5,MONTH(C64)=6,MONTH(C64)=7,MONTH(C64)=8,MONTH(C64)=9)),$FA64*12*(AZ64+BA64)*(1-$BC64),$FA64*10*(AZ64+BA64)*(1-$BC64)),0)</f>
        <v>#VALUE!</v>
      </c>
      <c r="FG64" s="1129" t="e">
        <f aca="false">IF(EZ64="No",IF((OR(MONTH(C64)=5,MONTH(C64)=6,MONTH(C64)=7,MONTH(C64)=8,MONTH(C64)=9)),0,$FA64*3*(AZ64+BA64)*(1-$BC64)),0)</f>
        <v>#VALUE!</v>
      </c>
      <c r="FH64" s="1170" t="e">
        <f aca="false">IF(EZ64="No",IF((OR(MONTH(C64)=5,MONTH(C64)=6,MONTH(C64)=7,MONTH(C64)=8,MONTH(C64)=9)),Summary!$O$15*12*(AX64+AY64+AZ64+BA64)*(1-$BC64),Summary!$O$15*13*(AX64+AY64+AZ64+BA64)*(1-$BC64)+IF(Summary!$O$16="Yes",(CALC!FA64+Summary!$O$15)*6*(AX64+AY64+AZ64+BA64)*(1-$BC64),0)),0)</f>
        <v>#VALUE!</v>
      </c>
      <c r="FI64" s="1126" t="n">
        <f aca="false">IF(MONTH(C64)=5,FI63*(IF(Summary!$E$70="no",(1+(Summary!$E$71*0.8)),1+HLOOKUP(YEAR(C64)-1,CCFMODEL!$I$127:$AF$128,2)*0.8)),+FI63)</f>
        <v>29.2498402152418</v>
      </c>
      <c r="FJ64" s="1127" t="n">
        <f aca="false">IF(MONTH(C64)=5,FJ63*(IF(Summary!$E$70="no",(1+(Summary!$E$71*0.8)),1+HLOOKUP(YEAR(CALC!C64)-1,CCFMODEL!$I$127:$AF$128,2)*0.8)),FJ63)</f>
        <v>25.5648209755263</v>
      </c>
      <c r="FK64" s="1128" t="e">
        <f aca="false">SUM(FB64:FG64)*FI64+FH64*FJ64</f>
        <v>#VALUE!</v>
      </c>
      <c r="FL64" s="1126" t="n">
        <f aca="false">IF(MONTH(C64)=5,FL63*(IF(Summary!$E$70="no",(1+(Summary!$E$71*0.8)),1+HLOOKUP(YEAR(CALC!C64)-1,CCFMODEL!$I$127:$AF$128,2)*0.8)),+FL63)</f>
        <v>61.5156932010841</v>
      </c>
      <c r="FM64" s="1127" t="n">
        <f aca="false">IF(MONTH(C64)=5,FM63*(IF(Summary!$E$70="no",(1+(Summary!$E$71*0.8)),1+HLOOKUP(YEAR(CALC!C64)-1,CCFMODEL!$I$127:$AF$128,2)*0.8)),+FM63)</f>
        <v>29.3595134069</v>
      </c>
      <c r="FN64" s="1128" t="e">
        <f aca="false">IF((OR(MONTH(C64)=5,MONTH(C64)=6,MONTH(C64)=7,MONTH(C64)=8,MONTH(C64)=9)),SUM(FB64:FG64)/(1-BC64)*FL64,SUM(FB64:FG64)/(1-BC64)*FM64)</f>
        <v>#VALUE!</v>
      </c>
      <c r="FO64" s="1129" t="e">
        <f aca="false">FK64+FN64</f>
        <v>#VALUE!</v>
      </c>
      <c r="FP64" s="1169" t="e">
        <f aca="false">FB64</f>
        <v>#VALUE!</v>
      </c>
      <c r="FQ64" s="1129" t="e">
        <f aca="false">FC64</f>
        <v>#VALUE!</v>
      </c>
      <c r="FR64" s="1129" t="e">
        <f aca="false">FD64</f>
        <v>#VALUE!</v>
      </c>
      <c r="FS64" s="1129" t="e">
        <f aca="false">FE64</f>
        <v>#VALUE!</v>
      </c>
      <c r="FT64" s="1129" t="e">
        <f aca="false">FF64</f>
        <v>#VALUE!</v>
      </c>
      <c r="FU64" s="1129" t="e">
        <f aca="false">FG64</f>
        <v>#VALUE!</v>
      </c>
      <c r="FV64" s="1170" t="e">
        <f aca="false">FH64</f>
        <v>#VALUE!</v>
      </c>
      <c r="FW64" s="1115" t="n">
        <f aca="false">IF(ER64&gt;0,MIN(FB64-FP64,BL64),0)</f>
        <v>0</v>
      </c>
      <c r="FX64" s="1115" t="n">
        <f aca="false">IF(ES64&gt;0,MIN(FD64-FR64,BM64),0)</f>
        <v>0</v>
      </c>
      <c r="FY64" s="1115" t="n">
        <f aca="false">IF(ET64&gt;0,MIN(FF64-FT64,BN64),0)</f>
        <v>0</v>
      </c>
      <c r="FZ64" s="1143" t="n">
        <f aca="false">IF(EU64&gt;0,MIN(FH64-FV64,BO64),0)</f>
        <v>0</v>
      </c>
      <c r="GA64" s="1132" t="e">
        <f aca="false">(SUM(FP64:FV64)+SUM(GU64:HB64)/(1-Summary!$O$25))*CY64/1000</f>
        <v>#VALUE!</v>
      </c>
      <c r="GB64" s="1133" t="n">
        <f aca="false">IF($C64&lt;Summary!$M$81,+Summary!$O$81,VLOOKUP(C64,GasTable,19))</f>
        <v>2.4</v>
      </c>
      <c r="GC64" s="1134" t="e">
        <f aca="false">IF(H64&lt;=Summary!$N$84,MIN(GA64,Summary!$O$75*(H64-G64+1)),0)</f>
        <v>#VALUE!</v>
      </c>
      <c r="GD64" s="1135" t="e">
        <f aca="false">IF(Summary!$O$75*(H64-G64+1)*0.8&gt;GC64,1,0)</f>
        <v>#VALUE!</v>
      </c>
      <c r="GE64" s="1136" t="n">
        <v>0</v>
      </c>
      <c r="GF64" s="1134" t="e">
        <f aca="false">ABS(MIN(0,GC64-$GA64))</f>
        <v>#VALUE!</v>
      </c>
      <c r="GG64" s="1135" t="e">
        <f aca="false">GF64*(IF(Summary!$O$74=1,VLOOKUP($C64,GasTable,16)+Summary!$O$92+Summary!$O$93,VLOOKUP($C64,GasTable,19)+Summary!$O$92+Summary!$O$93))</f>
        <v>#VALUE!</v>
      </c>
      <c r="GH64" s="1137" t="n">
        <v>20038.4</v>
      </c>
      <c r="GI64" s="1138" t="n">
        <v>0</v>
      </c>
      <c r="GJ64" s="1139" t="e">
        <f aca="false">+GB64*GC64+GE64+GG64+GH64-GI64</f>
        <v>#VALUE!</v>
      </c>
      <c r="GK64" s="1115" t="e">
        <f aca="false">SUM(FP64:FV64,GU64:GX64,GY64:HB64)</f>
        <v>#VALUE!</v>
      </c>
      <c r="GL64" s="1140" t="n">
        <v>0.7578730336</v>
      </c>
      <c r="GM64" s="1141" t="e">
        <f aca="false">IF(GK64&gt;GC64/(CY64/1000),GC64/(CY64/1000),+GK64)*GL64</f>
        <v>#VALUE!</v>
      </c>
      <c r="GN64" s="1115" t="n">
        <f aca="false">IF(SUM(GU64:HB64)=0,0,IF(Summary!$O$16="Yes",SUM(GX64:HB64),IF(Summary!$O$17="Yes",SUM(GY64:HB64),SUM(GU64:HB64))))</f>
        <v>12199.03785</v>
      </c>
      <c r="GO64" s="1142" t="n">
        <v>2.60017181288321</v>
      </c>
      <c r="GP64" s="1143" t="n">
        <f aca="false">GN64*GO64</f>
        <v>31719.5943618654</v>
      </c>
      <c r="GQ64" s="1115"/>
      <c r="GR64" s="1115"/>
      <c r="GS64" s="1115"/>
      <c r="GT64" s="1115"/>
      <c r="GU64" s="1150" t="n">
        <v>5646.1185</v>
      </c>
      <c r="GV64" s="1115" t="n">
        <v>1026.567</v>
      </c>
      <c r="GW64" s="1115" t="n">
        <v>1283.20875</v>
      </c>
      <c r="GX64" s="1115"/>
      <c r="GY64" s="1151" t="n">
        <v>3011.2632</v>
      </c>
      <c r="GZ64" s="1115" t="n">
        <v>547.5024</v>
      </c>
      <c r="HA64" s="1115" t="n">
        <v>684.378</v>
      </c>
      <c r="HB64" s="1141"/>
      <c r="HC64" s="1115" t="n">
        <v>12199.03785</v>
      </c>
      <c r="HD64" s="1115"/>
      <c r="HE64" s="1115" t="n">
        <v>20950.521525</v>
      </c>
      <c r="HF64" s="1115" t="n">
        <v>473060.230019815</v>
      </c>
      <c r="HG64" s="1115"/>
      <c r="HH64" s="1142" t="n">
        <v>38.5282587488293</v>
      </c>
      <c r="HI64" s="1115" t="n">
        <v>807187.114238118</v>
      </c>
      <c r="HJ64" s="1150" t="e">
        <f aca="false">MAX(FB64-FP64-FW64,0)</f>
        <v>#VALUE!</v>
      </c>
      <c r="HK64" s="1115" t="e">
        <f aca="false">MAX(FD64-FR64-FX64,0)</f>
        <v>#VALUE!</v>
      </c>
      <c r="HL64" s="1115" t="e">
        <f aca="false">MAX(FF64-FT64-FY64,0)</f>
        <v>#VALUE!</v>
      </c>
      <c r="HM64" s="1141" t="e">
        <f aca="false">MAX(FH64-FV64-FZ64,0)</f>
        <v>#VALUE!</v>
      </c>
      <c r="HN64" s="1115" t="e">
        <f aca="false">SUM(HJ64:HM64)</f>
        <v>#VALUE!</v>
      </c>
      <c r="HO64" s="1142" t="n">
        <f aca="false">IF(ISERROR(+HP64/HN64),0,+HP64/HN64)</f>
        <v>0</v>
      </c>
      <c r="HP64" s="1143" t="e">
        <f aca="false">(HJ64*CE64+HK64*CF64+HL64*CG64+HM64*CH64)</f>
        <v>#VALUE!</v>
      </c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R64" s="844"/>
    </row>
    <row r="65" customFormat="false" ht="13.5" hidden="false" customHeight="false" outlineLevel="0" collapsed="false">
      <c r="A65" s="0" t="str">
        <f aca="false">+D65&amp;"Q"&amp;ROUNDUP(E65/3,0)</f>
        <v>2004Q1</v>
      </c>
      <c r="B65" s="0" t="n">
        <f aca="false">YEAR(C65)</f>
        <v>2004</v>
      </c>
      <c r="C65" s="1153" t="n">
        <f aca="false">EOMONTH(C64,0)+1</f>
        <v>37987</v>
      </c>
      <c r="D65" s="841" t="n">
        <f aca="false">+YEAR(C65)</f>
        <v>2004</v>
      </c>
      <c r="E65" s="807" t="n">
        <f aca="false">MONTH(C65)</f>
        <v>1</v>
      </c>
      <c r="F65" s="1154" t="e">
        <f aca="false">IF(G65="","",Holiday(D65,E65))</f>
        <v>#VALUE!</v>
      </c>
      <c r="G65" s="1155" t="n">
        <v>37987</v>
      </c>
      <c r="H65" s="1156" t="n">
        <v>38017</v>
      </c>
      <c r="I65" s="1157" t="n">
        <f aca="false">I64</f>
        <v>0.0715</v>
      </c>
      <c r="J65" s="1158" t="n">
        <f aca="false">(1+I65/2)^(-2*(DATE(D66,E66,20)-$H$7)/365.25)</f>
        <v>0.745356173795438</v>
      </c>
      <c r="K65" s="1159" t="e">
        <f aca="false">IF(#REF!=1,+#REF!,I65+#REF!/10000)</f>
        <v>#REF!</v>
      </c>
      <c r="L65" s="1158" t="e">
        <f aca="false">(1+K65/2)^(-2*(DATE(D66,E66,20)-$H$7)/365.25)</f>
        <v>#REF!</v>
      </c>
      <c r="M65" s="1082" t="n">
        <v>0</v>
      </c>
      <c r="N65" s="1110" t="n">
        <f aca="false">M65</f>
        <v>0</v>
      </c>
      <c r="O65" s="1174" t="n">
        <f aca="false">N65</f>
        <v>0</v>
      </c>
      <c r="P65" s="1175" t="n">
        <f aca="false">M65</f>
        <v>0</v>
      </c>
      <c r="Q65" s="1110" t="n">
        <f aca="false">P65</f>
        <v>0</v>
      </c>
      <c r="R65" s="1174" t="n">
        <f aca="false">Q65</f>
        <v>0</v>
      </c>
      <c r="S65" s="1110" t="n">
        <f aca="false">R65</f>
        <v>0</v>
      </c>
      <c r="T65" s="1110" t="n">
        <f aca="false">S65</f>
        <v>0</v>
      </c>
      <c r="U65" s="1110" t="n">
        <f aca="false">T65</f>
        <v>0</v>
      </c>
      <c r="V65" s="1175" t="n">
        <f aca="false">U65</f>
        <v>0</v>
      </c>
      <c r="W65" s="1110" t="n">
        <f aca="false">V65</f>
        <v>0</v>
      </c>
      <c r="X65" s="1176" t="n">
        <f aca="false">W65</f>
        <v>0</v>
      </c>
      <c r="Y65" s="1086" t="n">
        <v>0</v>
      </c>
      <c r="Z65" s="1086" t="n">
        <v>0</v>
      </c>
      <c r="AA65" s="1087" t="n">
        <v>0</v>
      </c>
      <c r="AB65" s="1086" t="n">
        <v>0</v>
      </c>
      <c r="AC65" s="1086" t="n">
        <v>0</v>
      </c>
      <c r="AD65" s="1087" t="n">
        <v>0</v>
      </c>
      <c r="AE65" s="1086" t="n">
        <v>0</v>
      </c>
      <c r="AF65" s="1086" t="n">
        <v>0</v>
      </c>
      <c r="AG65" s="1087" t="n">
        <v>0</v>
      </c>
      <c r="AH65" s="1086" t="n">
        <v>0</v>
      </c>
      <c r="AI65" s="1086" t="n">
        <v>0</v>
      </c>
      <c r="AJ65" s="1087" t="n">
        <v>0</v>
      </c>
      <c r="AK65" s="1086" t="n">
        <v>0</v>
      </c>
      <c r="AL65" s="1086" t="n">
        <v>0</v>
      </c>
      <c r="AM65" s="1087" t="n">
        <v>0</v>
      </c>
      <c r="AN65" s="1086" t="n">
        <v>0</v>
      </c>
      <c r="AO65" s="1086" t="n">
        <v>0</v>
      </c>
      <c r="AP65" s="1087" t="n">
        <v>0</v>
      </c>
      <c r="AQ65" s="1086" t="n">
        <v>0</v>
      </c>
      <c r="AR65" s="1086" t="n">
        <v>0</v>
      </c>
      <c r="AS65" s="1087" t="n">
        <v>0</v>
      </c>
      <c r="AT65" s="1086" t="n">
        <v>0</v>
      </c>
      <c r="AU65" s="1086" t="n">
        <v>0</v>
      </c>
      <c r="AV65" s="1086" t="n">
        <v>0</v>
      </c>
      <c r="AW65" s="1172" t="n">
        <v>0</v>
      </c>
      <c r="AX65" s="807" t="e">
        <f aca="false">BB65-SUM(AY65:BA65)</f>
        <v>#VALUE!</v>
      </c>
      <c r="AY65" s="807" t="e">
        <f aca="false">IF(AND($E65=MONTH(Summary!$E$24),$D65=YEAR(Summary!$E$24)),Summary!$E$25,1)*IF(G65="",0,INT((H65-MOD(H65,7)-G65)/7)+1-IF(BA65,IF(WEEKDAY(F65)=7,1,0),0))</f>
        <v>#VALUE!</v>
      </c>
      <c r="AZ65" s="807" t="e">
        <f aca="false">IF(AND($E65=MONTH(Summary!$E$24),$D65=YEAR(Summary!$E$24)),Summary!$E$25,1)*IF(G65="",0,INT((H65-MOD(H65-1,7)-G65)/7)+1-IF(BA65,IF(WEEKDAY(F65)=1,1,0),0))</f>
        <v>#VALUE!</v>
      </c>
      <c r="BA65" s="807" t="n">
        <v>1</v>
      </c>
      <c r="BB65" s="807" t="n">
        <f aca="false">IF(AND($E65=MONTH(Summary!$E$24),$D65=YEAR(Summary!$E$24)),Summary!$E$25,1)*IF(G65="",0,H65-G65+1)</f>
        <v>31</v>
      </c>
      <c r="BC65" s="1089" t="n">
        <f aca="false">Summary!$E$19</f>
        <v>0.015</v>
      </c>
      <c r="BD65" s="1090" t="n">
        <v>14893.2</v>
      </c>
      <c r="BE65" s="1091" t="n">
        <v>3546</v>
      </c>
      <c r="BF65" s="1091" t="n">
        <v>3546</v>
      </c>
      <c r="BG65" s="842"/>
      <c r="BH65" s="1092" t="n">
        <v>1</v>
      </c>
      <c r="BI65" s="1092" t="n">
        <v>1</v>
      </c>
      <c r="BJ65" s="1092" t="n">
        <v>1</v>
      </c>
      <c r="BK65" s="1092" t="n">
        <v>1</v>
      </c>
      <c r="BL65" s="1093" t="n">
        <v>2978.64</v>
      </c>
      <c r="BM65" s="1091" t="n">
        <v>709.2</v>
      </c>
      <c r="BN65" s="1091" t="n">
        <v>709.2</v>
      </c>
      <c r="BO65" s="842"/>
      <c r="BP65" s="1092" t="n">
        <v>1</v>
      </c>
      <c r="BQ65" s="1094" t="n">
        <v>1</v>
      </c>
      <c r="BR65" s="1094" t="n">
        <v>1</v>
      </c>
      <c r="BS65" s="1095" t="n">
        <v>1</v>
      </c>
      <c r="BT65" s="1093" t="n">
        <f aca="false">SUM(BD65:BF65)</f>
        <v>21985.2</v>
      </c>
      <c r="BU65" s="1098" t="n">
        <f aca="false">SUM(BD65:BG65)</f>
        <v>21985.2</v>
      </c>
      <c r="BV65" s="1090" t="n">
        <f aca="false">SUM(BL65:BN65)</f>
        <v>4397.04</v>
      </c>
      <c r="BW65" s="1098" t="n">
        <f aca="false">SUM(BL65:BO65)</f>
        <v>4397.04</v>
      </c>
      <c r="BX65" s="852" t="n">
        <v>4.04654346338125</v>
      </c>
      <c r="BY65" s="1099" t="n">
        <v>0</v>
      </c>
      <c r="BZ65" s="852" t="n">
        <v>0</v>
      </c>
      <c r="CA65" s="852" t="n">
        <v>0</v>
      </c>
      <c r="CB65" s="852" t="n">
        <v>0</v>
      </c>
      <c r="CC65" s="852" t="n">
        <v>0</v>
      </c>
      <c r="CD65" s="852" t="n">
        <v>0</v>
      </c>
      <c r="CE65" s="1100" t="n">
        <v>0</v>
      </c>
      <c r="CF65" s="852" t="n">
        <v>0</v>
      </c>
      <c r="CG65" s="852" t="n">
        <v>0</v>
      </c>
      <c r="CH65" s="852" t="n">
        <v>0</v>
      </c>
      <c r="CI65" s="852" t="n">
        <v>0</v>
      </c>
      <c r="CJ65" s="1101" t="n">
        <v>0</v>
      </c>
      <c r="CK65" s="852" t="n">
        <v>0</v>
      </c>
      <c r="CL65" s="852" t="n">
        <v>0</v>
      </c>
      <c r="CM65" s="852" t="n">
        <v>0</v>
      </c>
      <c r="CN65" s="852" t="n">
        <v>0</v>
      </c>
      <c r="CO65" s="852" t="n">
        <v>0</v>
      </c>
      <c r="CP65" s="852" t="n">
        <v>0</v>
      </c>
      <c r="CQ65" s="1102" t="n">
        <v>0</v>
      </c>
      <c r="CR65" s="1103" t="n">
        <v>0</v>
      </c>
      <c r="CS65" s="1103" t="n">
        <v>0</v>
      </c>
      <c r="CT65" s="1103" t="n">
        <v>0</v>
      </c>
      <c r="CU65" s="1103" t="n">
        <v>0</v>
      </c>
      <c r="CV65" s="1103" t="n">
        <v>0</v>
      </c>
      <c r="CW65" s="1103" t="n">
        <v>0</v>
      </c>
      <c r="CX65" s="1104" t="n">
        <v>0</v>
      </c>
      <c r="CY65" s="1105" t="n">
        <v>7718.95088</v>
      </c>
      <c r="CZ65" s="1099" t="n">
        <v>0</v>
      </c>
      <c r="DA65" s="852" t="n">
        <v>0</v>
      </c>
      <c r="DB65" s="852" t="n">
        <v>0</v>
      </c>
      <c r="DC65" s="852" t="n">
        <v>0</v>
      </c>
      <c r="DD65" s="852" t="n">
        <v>0</v>
      </c>
      <c r="DE65" s="1113" t="n">
        <v>0</v>
      </c>
      <c r="DF65" s="1109" t="n">
        <v>0</v>
      </c>
      <c r="DG65" s="1110" t="n">
        <v>0</v>
      </c>
      <c r="DH65" s="1111" t="n">
        <v>0</v>
      </c>
      <c r="DI65" s="1112" t="n">
        <v>0</v>
      </c>
      <c r="DJ65" s="1112" t="n">
        <v>0</v>
      </c>
      <c r="DK65" s="1112" t="n">
        <v>0</v>
      </c>
      <c r="DL65" s="1113" t="n">
        <v>0</v>
      </c>
      <c r="DM65" s="1114" t="n">
        <v>0</v>
      </c>
      <c r="DN65" s="1114" t="n">
        <v>0</v>
      </c>
      <c r="DO65" s="1114" t="n">
        <v>0</v>
      </c>
      <c r="DP65" s="1114" t="n">
        <v>0</v>
      </c>
      <c r="DQ65" s="1114" t="n">
        <v>0</v>
      </c>
      <c r="DR65" s="1109" t="n">
        <v>0</v>
      </c>
      <c r="DS65" s="852" t="n">
        <v>0</v>
      </c>
      <c r="DT65" s="852" t="n">
        <v>0</v>
      </c>
      <c r="DU65" s="852" t="n">
        <v>0</v>
      </c>
      <c r="DV65" s="852" t="n">
        <v>0</v>
      </c>
      <c r="DW65" s="852" t="n">
        <v>0</v>
      </c>
      <c r="DX65" s="852" t="n">
        <v>0</v>
      </c>
      <c r="DY65" s="852" t="n">
        <v>0</v>
      </c>
      <c r="DZ65" s="852" t="n">
        <v>0</v>
      </c>
      <c r="EA65" s="852" t="n">
        <v>0</v>
      </c>
      <c r="EB65" s="1113" t="n">
        <v>0</v>
      </c>
      <c r="EC65" s="1115" t="n">
        <f aca="false">DS65*BD65</f>
        <v>0</v>
      </c>
      <c r="ED65" s="1115" t="n">
        <f aca="false">DT65*BE65</f>
        <v>0</v>
      </c>
      <c r="EE65" s="1115" t="n">
        <f aca="false">DU65*BF65</f>
        <v>0</v>
      </c>
      <c r="EF65" s="1115" t="n">
        <f aca="false">DV65*BG65</f>
        <v>0</v>
      </c>
      <c r="EG65" s="1115" t="n">
        <f aca="false">DS65*BD65+DT65*BE65+DU65*BF65+DV65*BG65</f>
        <v>0</v>
      </c>
      <c r="EH65" s="1116" t="n">
        <v>0</v>
      </c>
      <c r="EI65" s="1117" t="n">
        <v>0</v>
      </c>
      <c r="EJ65" s="1117" t="n">
        <v>0</v>
      </c>
      <c r="EK65" s="1117" t="n">
        <v>0</v>
      </c>
      <c r="EL65" s="1118" t="n">
        <f aca="false">IF(C65&gt;=Summary!$E$26,MAX(0,SUM(EH65:EK65)),0)</f>
        <v>0</v>
      </c>
      <c r="EM65" s="1115" t="n">
        <f aca="false">IF(C65&gt;=Summary!$E$26,DX65*BL65,0)</f>
        <v>0</v>
      </c>
      <c r="EN65" s="1115" t="n">
        <f aca="false">IF(C65&gt;=Summary!$E$26,DY65*BM65,0)</f>
        <v>0</v>
      </c>
      <c r="EO65" s="1115" t="n">
        <f aca="false">IF(C65&gt;=Summary!$E$26,DZ65*BN65,0)</f>
        <v>0</v>
      </c>
      <c r="EP65" s="1115" t="n">
        <f aca="false">IF(C65&gt;=Summary!$E$26,EA65*BO65,0)</f>
        <v>0</v>
      </c>
      <c r="EQ65" s="1115" t="n">
        <f aca="false">IF(C65&gt;=Summary!$E$26,DX65*BL65+DY65*BM65+DZ65*BN65+EA65*BO65,0)</f>
        <v>0</v>
      </c>
      <c r="ER65" s="1119" t="n">
        <v>0</v>
      </c>
      <c r="ES65" s="1120" t="n">
        <v>0</v>
      </c>
      <c r="ET65" s="1120" t="n">
        <v>0</v>
      </c>
      <c r="EU65" s="1120" t="n">
        <v>0</v>
      </c>
      <c r="EV65" s="1143" t="n">
        <f aca="false">IF(C65&gt;=Summary!$E$26,MAX(0,SUM(ER65:EU65)),0)</f>
        <v>0</v>
      </c>
      <c r="EW65" s="1115"/>
      <c r="EX65" s="1165" t="n">
        <f aca="false">(EQ65-EV65)+IF(EZ65="Yes",(EG65-EL65),0)</f>
        <v>0</v>
      </c>
      <c r="EY65" s="1166" t="str">
        <f aca="false">IF(EX65,EX65/EQ65,"")</f>
        <v/>
      </c>
      <c r="EZ65" s="1122" t="s">
        <v>37</v>
      </c>
      <c r="FA65" s="1096" t="n">
        <f aca="false">FA64</f>
        <v>45</v>
      </c>
      <c r="FB65" s="1167" t="e">
        <f aca="false">IF(EZ65="No",IF((OR(MONTH(C65)=5,MONTH(C65)=6,MONTH(C65)=7,MONTH(C65)=8,MONTH(C65)=9)),$FA65*12*AX65*(1-$BC65),$FA65*10*AX65*(1-$BC65)),0)</f>
        <v>#VALUE!</v>
      </c>
      <c r="FC65" s="1129" t="e">
        <f aca="false">IF(EZ65="No",IF((OR(MONTH(C65)=5,MONTH(C65)=6,MONTH(C65)=7,MONTH(C65)=8,MONTH(C65)=9)),0,$FA65*3*AX65*(1-$BC65)),0)</f>
        <v>#VALUE!</v>
      </c>
      <c r="FD65" s="1129" t="e">
        <f aca="false">IF(EZ65="No",IF((OR(MONTH(C65)=5,MONTH(C65)=6,MONTH(C65)=7,MONTH(C65)=8,MONTH(C65)=9)),$FA65*12*AY65*(1-$BC65),$FA65*10*AY65*(1-$BC65)),0)</f>
        <v>#VALUE!</v>
      </c>
      <c r="FE65" s="1129" t="e">
        <f aca="false">IF(EZ65="No",IF((OR(MONTH(C65)=5,MONTH(C65)=6,MONTH(C65)=7,MONTH(C65)=8,MONTH(C65)=9)),0,$FA65*3*AY65*(1-$BC65)),0)</f>
        <v>#VALUE!</v>
      </c>
      <c r="FF65" s="1129" t="e">
        <f aca="false">IF(EZ65="No",IF((OR(MONTH(C65)=5,MONTH(C65)=6,MONTH(C65)=7,MONTH(C65)=8,MONTH(C65)=9)),$FA65*12*(AZ65+BA65)*(1-$BC65),$FA65*10*(AZ65+BA65)*(1-$BC65)),0)</f>
        <v>#VALUE!</v>
      </c>
      <c r="FG65" s="1129" t="e">
        <f aca="false">IF(EZ65="No",IF((OR(MONTH(C65)=5,MONTH(C65)=6,MONTH(C65)=7,MONTH(C65)=8,MONTH(C65)=9)),0,$FA65*3*(AZ65+BA65)*(1-$BC65)),0)</f>
        <v>#VALUE!</v>
      </c>
      <c r="FH65" s="1170" t="e">
        <f aca="false">IF(EZ65="No",IF((OR(MONTH(C65)=5,MONTH(C65)=6,MONTH(C65)=7,MONTH(C65)=8,MONTH(C65)=9)),Summary!$O$15*12*(AX65+AY65+AZ65+BA65)*(1-$BC65),Summary!$O$15*13*(AX65+AY65+AZ65+BA65)*(1-$BC65)+IF(Summary!$O$16="Yes",(CALC!FA65+Summary!$O$15)*6*(AX65+AY65+AZ65+BA65)*(1-$BC65),0)),0)</f>
        <v>#VALUE!</v>
      </c>
      <c r="FI65" s="1126" t="n">
        <f aca="false">IF(MONTH(C65)=5,FI64*(IF(Summary!$E$70="no",(1+(Summary!$E$71*0.8)),1+HLOOKUP(YEAR(C65)-1,CCFMODEL!$I$127:$AF$128,2)*0.8)),+FI64)</f>
        <v>29.2498402152418</v>
      </c>
      <c r="FJ65" s="1127" t="n">
        <f aca="false">IF(MONTH(C65)=5,FJ64*(IF(Summary!$E$70="no",(1+(Summary!$E$71*0.8)),1+HLOOKUP(YEAR(CALC!C65)-1,CCFMODEL!$I$127:$AF$128,2)*0.8)),FJ64)</f>
        <v>25.5648209755263</v>
      </c>
      <c r="FK65" s="1128" t="e">
        <f aca="false">SUM(FB65:FG65)*FI65+FH65*FJ65</f>
        <v>#VALUE!</v>
      </c>
      <c r="FL65" s="1126" t="n">
        <f aca="false">IF(MONTH(C65)=5,FL64*(IF(Summary!$E$70="no",(1+(Summary!$E$71*0.8)),1+HLOOKUP(YEAR(CALC!C65)-1,CCFMODEL!$I$127:$AF$128,2)*0.8)),+FL64)</f>
        <v>61.5156932010841</v>
      </c>
      <c r="FM65" s="1127" t="n">
        <f aca="false">IF(MONTH(C65)=5,FM64*(IF(Summary!$E$70="no",(1+(Summary!$E$71*0.8)),1+HLOOKUP(YEAR(CALC!C65)-1,CCFMODEL!$I$127:$AF$128,2)*0.8)),+FM64)</f>
        <v>29.3595134069</v>
      </c>
      <c r="FN65" s="1128" t="e">
        <f aca="false">IF((OR(MONTH(C65)=5,MONTH(C65)=6,MONTH(C65)=7,MONTH(C65)=8,MONTH(C65)=9)),SUM(FB65:FG65)/(1-BC65)*FL65,SUM(FB65:FG65)/(1-BC65)*FM65)</f>
        <v>#VALUE!</v>
      </c>
      <c r="FO65" s="1129" t="e">
        <f aca="false">FK65+FN65</f>
        <v>#VALUE!</v>
      </c>
      <c r="FP65" s="1169" t="e">
        <f aca="false">FB65</f>
        <v>#VALUE!</v>
      </c>
      <c r="FQ65" s="1129" t="e">
        <f aca="false">FC65</f>
        <v>#VALUE!</v>
      </c>
      <c r="FR65" s="1129" t="e">
        <f aca="false">FD65</f>
        <v>#VALUE!</v>
      </c>
      <c r="FS65" s="1129" t="e">
        <f aca="false">FE65</f>
        <v>#VALUE!</v>
      </c>
      <c r="FT65" s="1129" t="e">
        <f aca="false">FF65</f>
        <v>#VALUE!</v>
      </c>
      <c r="FU65" s="1129" t="e">
        <f aca="false">FG65</f>
        <v>#VALUE!</v>
      </c>
      <c r="FV65" s="1170" t="e">
        <f aca="false">FH65</f>
        <v>#VALUE!</v>
      </c>
      <c r="FW65" s="1115" t="n">
        <f aca="false">IF(ER65&gt;0,MIN(FB65-FP65,BL65),0)</f>
        <v>0</v>
      </c>
      <c r="FX65" s="1115" t="n">
        <f aca="false">IF(ES65&gt;0,MIN(FD65-FR65,BM65),0)</f>
        <v>0</v>
      </c>
      <c r="FY65" s="1115" t="n">
        <f aca="false">IF(ET65&gt;0,MIN(FF65-FT65,BN65),0)</f>
        <v>0</v>
      </c>
      <c r="FZ65" s="1143" t="n">
        <f aca="false">IF(EU65&gt;0,MIN(FH65-FV65,BO65),0)</f>
        <v>0</v>
      </c>
      <c r="GA65" s="1132" t="e">
        <f aca="false">(SUM(FP65:FV65)+SUM(GU65:HB65)/(1-Summary!$O$25))*CY65/1000</f>
        <v>#VALUE!</v>
      </c>
      <c r="GB65" s="1133" t="n">
        <f aca="false">IF($C65&lt;Summary!$M$81,+Summary!$O$81,VLOOKUP(C65,GasTable,19))</f>
        <v>2.4</v>
      </c>
      <c r="GC65" s="1134" t="e">
        <f aca="false">IF(H65&lt;=Summary!$N$84,MIN(GA65,Summary!$O$75*(H65-G65+1)),0)</f>
        <v>#VALUE!</v>
      </c>
      <c r="GD65" s="1135" t="e">
        <f aca="false">IF(Summary!$O$75*(H65-G65+1)*0.8&gt;GC65,1,0)</f>
        <v>#VALUE!</v>
      </c>
      <c r="GE65" s="1136" t="n">
        <v>0</v>
      </c>
      <c r="GF65" s="1134" t="e">
        <f aca="false">ABS(MIN(0,GC65-$GA65))</f>
        <v>#VALUE!</v>
      </c>
      <c r="GG65" s="1135" t="e">
        <f aca="false">GF65*(IF(Summary!$O$74=1,VLOOKUP($C65,GasTable,16)+Summary!$O$92+Summary!$O$93,VLOOKUP($C65,GasTable,19)+Summary!$O$92+Summary!$O$93))</f>
        <v>#VALUE!</v>
      </c>
      <c r="GH65" s="1137" t="n">
        <v>20639.8</v>
      </c>
      <c r="GI65" s="1138" t="n">
        <v>0</v>
      </c>
      <c r="GJ65" s="1139" t="e">
        <f aca="false">+GB65*GC65+GE65+GG65+GH65-GI65</f>
        <v>#VALUE!</v>
      </c>
      <c r="GK65" s="1115" t="e">
        <f aca="false">SUM(FP65:FV65,GU65:GX65,GY65:HB65)</f>
        <v>#VALUE!</v>
      </c>
      <c r="GL65" s="1140" t="n">
        <v>0.758000976416</v>
      </c>
      <c r="GM65" s="1141" t="e">
        <f aca="false">IF(GK65&gt;GC65/(CY65/1000),GC65/(CY65/1000),+GK65)*GL65</f>
        <v>#VALUE!</v>
      </c>
      <c r="GN65" s="1115" t="n">
        <f aca="false">IF(SUM(GU65:HB65)=0,0,IF(Summary!$O$16="Yes",SUM(GX65:HB65),IF(Summary!$O$17="Yes",SUM(GY65:HB65),SUM(GU65:HB65))))</f>
        <v>12199.03785</v>
      </c>
      <c r="GO65" s="1142" t="n">
        <v>2.67817696726971</v>
      </c>
      <c r="GP65" s="1143" t="n">
        <f aca="false">GN65*GO65</f>
        <v>32671.1821927214</v>
      </c>
      <c r="GQ65" s="1115"/>
      <c r="GR65" s="1115"/>
      <c r="GS65" s="1115"/>
      <c r="GT65" s="1115"/>
      <c r="GU65" s="1150" t="n">
        <v>5389.47675</v>
      </c>
      <c r="GV65" s="1115" t="n">
        <v>1283.20875</v>
      </c>
      <c r="GW65" s="1115" t="n">
        <v>1283.20875</v>
      </c>
      <c r="GX65" s="1115"/>
      <c r="GY65" s="1151" t="n">
        <v>2874.3876</v>
      </c>
      <c r="GZ65" s="1115" t="n">
        <v>684.378</v>
      </c>
      <c r="HA65" s="1115" t="n">
        <v>684.378</v>
      </c>
      <c r="HB65" s="1141"/>
      <c r="HC65" s="1115" t="n">
        <v>12199.03785</v>
      </c>
      <c r="HD65" s="1115"/>
      <c r="HE65" s="1115" t="n">
        <v>20950.521525</v>
      </c>
      <c r="HF65" s="1115" t="n">
        <v>439326.811155068</v>
      </c>
      <c r="HG65" s="1115"/>
      <c r="HH65" s="1142" t="n">
        <v>35.7374585694625</v>
      </c>
      <c r="HI65" s="1115" t="n">
        <v>748718.39500832</v>
      </c>
      <c r="HJ65" s="1150" t="e">
        <f aca="false">MAX(FB65-FP65-FW65,0)</f>
        <v>#VALUE!</v>
      </c>
      <c r="HK65" s="1115" t="e">
        <f aca="false">MAX(FD65-FR65-FX65,0)</f>
        <v>#VALUE!</v>
      </c>
      <c r="HL65" s="1115" t="e">
        <f aca="false">MAX(FF65-FT65-FY65,0)</f>
        <v>#VALUE!</v>
      </c>
      <c r="HM65" s="1141" t="e">
        <f aca="false">MAX(FH65-FV65-FZ65,0)</f>
        <v>#VALUE!</v>
      </c>
      <c r="HN65" s="1115" t="e">
        <f aca="false">SUM(HJ65:HM65)</f>
        <v>#VALUE!</v>
      </c>
      <c r="HO65" s="1142" t="n">
        <f aca="false">IF(ISERROR(+HP65/HN65),0,+HP65/HN65)</f>
        <v>0</v>
      </c>
      <c r="HP65" s="1143" t="e">
        <f aca="false">(HJ65*CE65+HK65*CF65+HL65*CG65+HM65*CH65)</f>
        <v>#VALUE!</v>
      </c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R65" s="844"/>
    </row>
    <row r="66" customFormat="false" ht="13.5" hidden="false" customHeight="false" outlineLevel="0" collapsed="false">
      <c r="A66" s="0" t="str">
        <f aca="false">+D66&amp;"Q"&amp;ROUNDUP(E66/3,0)</f>
        <v>2004Q1</v>
      </c>
      <c r="B66" s="0" t="n">
        <f aca="false">YEAR(C66)</f>
        <v>2004</v>
      </c>
      <c r="C66" s="1153" t="n">
        <f aca="false">EOMONTH(C65,0)+1</f>
        <v>38018</v>
      </c>
      <c r="D66" s="841" t="n">
        <f aca="false">+YEAR(C66)</f>
        <v>2004</v>
      </c>
      <c r="E66" s="807" t="n">
        <f aca="false">MONTH(C66)</f>
        <v>2</v>
      </c>
      <c r="F66" s="1154" t="e">
        <f aca="false">IF(G66="","",Holiday(D66,E66))</f>
        <v>#VALUE!</v>
      </c>
      <c r="G66" s="1155" t="n">
        <v>38018</v>
      </c>
      <c r="H66" s="1156" t="n">
        <v>38046</v>
      </c>
      <c r="I66" s="1157" t="n">
        <f aca="false">I65</f>
        <v>0.0715</v>
      </c>
      <c r="J66" s="1158" t="n">
        <f aca="false">(1+I66/2)^(-2*(DATE(D67,E67,20)-$H$7)/365.25)</f>
        <v>0.741210289029763</v>
      </c>
      <c r="K66" s="1159" t="e">
        <f aca="false">IF(#REF!=1,+#REF!,I66+#REF!/10000)</f>
        <v>#REF!</v>
      </c>
      <c r="L66" s="1158" t="e">
        <f aca="false">(1+K66/2)^(-2*(DATE(D67,E67,20)-$H$7)/365.25)</f>
        <v>#REF!</v>
      </c>
      <c r="M66" s="1082" t="n">
        <v>0</v>
      </c>
      <c r="N66" s="1110" t="n">
        <f aca="false">M66</f>
        <v>0</v>
      </c>
      <c r="O66" s="1174" t="n">
        <f aca="false">N66</f>
        <v>0</v>
      </c>
      <c r="P66" s="1175" t="n">
        <f aca="false">M66</f>
        <v>0</v>
      </c>
      <c r="Q66" s="1110" t="n">
        <f aca="false">P66</f>
        <v>0</v>
      </c>
      <c r="R66" s="1174" t="n">
        <f aca="false">Q66</f>
        <v>0</v>
      </c>
      <c r="S66" s="1110" t="n">
        <f aca="false">R66</f>
        <v>0</v>
      </c>
      <c r="T66" s="1110" t="n">
        <f aca="false">S66</f>
        <v>0</v>
      </c>
      <c r="U66" s="1110" t="n">
        <f aca="false">T66</f>
        <v>0</v>
      </c>
      <c r="V66" s="1175" t="n">
        <f aca="false">U66</f>
        <v>0</v>
      </c>
      <c r="W66" s="1110" t="n">
        <f aca="false">V66</f>
        <v>0</v>
      </c>
      <c r="X66" s="1176" t="n">
        <f aca="false">W66</f>
        <v>0</v>
      </c>
      <c r="Y66" s="1086" t="n">
        <v>0</v>
      </c>
      <c r="Z66" s="1086" t="n">
        <v>0</v>
      </c>
      <c r="AA66" s="1087" t="n">
        <v>0</v>
      </c>
      <c r="AB66" s="1086" t="n">
        <v>0</v>
      </c>
      <c r="AC66" s="1086" t="n">
        <v>0</v>
      </c>
      <c r="AD66" s="1087" t="n">
        <v>0</v>
      </c>
      <c r="AE66" s="1086" t="n">
        <v>0</v>
      </c>
      <c r="AF66" s="1086" t="n">
        <v>0</v>
      </c>
      <c r="AG66" s="1087" t="n">
        <v>0</v>
      </c>
      <c r="AH66" s="1086" t="n">
        <v>0</v>
      </c>
      <c r="AI66" s="1086" t="n">
        <v>0</v>
      </c>
      <c r="AJ66" s="1087" t="n">
        <v>0</v>
      </c>
      <c r="AK66" s="1086" t="n">
        <v>0</v>
      </c>
      <c r="AL66" s="1086" t="n">
        <v>0</v>
      </c>
      <c r="AM66" s="1087" t="n">
        <v>0</v>
      </c>
      <c r="AN66" s="1086" t="n">
        <v>0</v>
      </c>
      <c r="AO66" s="1086" t="n">
        <v>0</v>
      </c>
      <c r="AP66" s="1087" t="n">
        <v>0</v>
      </c>
      <c r="AQ66" s="1086" t="n">
        <v>0</v>
      </c>
      <c r="AR66" s="1086" t="n">
        <v>0</v>
      </c>
      <c r="AS66" s="1087" t="n">
        <v>0</v>
      </c>
      <c r="AT66" s="1086" t="n">
        <v>0</v>
      </c>
      <c r="AU66" s="1086" t="n">
        <v>0</v>
      </c>
      <c r="AV66" s="1086" t="n">
        <v>0</v>
      </c>
      <c r="AW66" s="1172" t="n">
        <v>0</v>
      </c>
      <c r="AX66" s="807" t="n">
        <f aca="false">BB66-SUM(AY66:BA66)</f>
        <v>20</v>
      </c>
      <c r="AY66" s="807" t="n">
        <f aca="false">IF(AND($E66=MONTH(Summary!$E$24),$D66=YEAR(Summary!$E$24)),Summary!$E$25,1)*IF(G66="",0,INT((H66-MOD(H66,7)-G66)/7)+1-IF(BA66,IF(WEEKDAY(F66)=7,1,0),0))</f>
        <v>4</v>
      </c>
      <c r="AZ66" s="807" t="n">
        <f aca="false">IF(AND($E66=MONTH(Summary!$E$24),$D66=YEAR(Summary!$E$24)),Summary!$E$25,1)*IF(G66="",0,INT((H66-MOD(H66-1,7)-G66)/7)+1-IF(BA66,IF(WEEKDAY(F66)=1,1,0),0))</f>
        <v>5</v>
      </c>
      <c r="BA66" s="807" t="n">
        <v>0</v>
      </c>
      <c r="BB66" s="807" t="n">
        <f aca="false">IF(AND($E66=MONTH(Summary!$E$24),$D66=YEAR(Summary!$E$24)),Summary!$E$25,1)*IF(G66="",0,H66-G66+1)</f>
        <v>29</v>
      </c>
      <c r="BC66" s="1089" t="n">
        <f aca="false">Summary!$E$19</f>
        <v>0.015</v>
      </c>
      <c r="BD66" s="1090" t="n">
        <v>14184</v>
      </c>
      <c r="BE66" s="1091" t="n">
        <v>2836.8</v>
      </c>
      <c r="BF66" s="1091" t="n">
        <v>3546</v>
      </c>
      <c r="BG66" s="842"/>
      <c r="BH66" s="1092" t="n">
        <v>1</v>
      </c>
      <c r="BI66" s="1092" t="n">
        <v>1</v>
      </c>
      <c r="BJ66" s="1092" t="n">
        <v>1</v>
      </c>
      <c r="BK66" s="1092" t="n">
        <v>1</v>
      </c>
      <c r="BL66" s="1093" t="n">
        <v>2836.8</v>
      </c>
      <c r="BM66" s="1091" t="n">
        <v>567.36</v>
      </c>
      <c r="BN66" s="1091" t="n">
        <v>709.2</v>
      </c>
      <c r="BO66" s="842"/>
      <c r="BP66" s="1092" t="n">
        <v>1</v>
      </c>
      <c r="BQ66" s="1094" t="n">
        <v>1</v>
      </c>
      <c r="BR66" s="1094" t="n">
        <v>1</v>
      </c>
      <c r="BS66" s="1095" t="n">
        <v>1</v>
      </c>
      <c r="BT66" s="1093" t="n">
        <f aca="false">SUM(BD66:BF66)</f>
        <v>20566.8</v>
      </c>
      <c r="BU66" s="1098" t="n">
        <f aca="false">SUM(BD66:BG66)</f>
        <v>20566.8</v>
      </c>
      <c r="BV66" s="1090" t="n">
        <f aca="false">SUM(BL66:BN66)</f>
        <v>4113.36</v>
      </c>
      <c r="BW66" s="1098" t="n">
        <f aca="false">SUM(BL66:BO66)</f>
        <v>4113.36</v>
      </c>
      <c r="BX66" s="852" t="n">
        <v>4.13141683778234</v>
      </c>
      <c r="BY66" s="1099" t="n">
        <v>0</v>
      </c>
      <c r="BZ66" s="852" t="n">
        <v>0</v>
      </c>
      <c r="CA66" s="852" t="n">
        <v>0</v>
      </c>
      <c r="CB66" s="852" t="n">
        <v>0</v>
      </c>
      <c r="CC66" s="852" t="n">
        <v>0</v>
      </c>
      <c r="CD66" s="852" t="n">
        <v>0</v>
      </c>
      <c r="CE66" s="1100" t="n">
        <v>0</v>
      </c>
      <c r="CF66" s="852" t="n">
        <v>0</v>
      </c>
      <c r="CG66" s="852" t="n">
        <v>0</v>
      </c>
      <c r="CH66" s="852" t="n">
        <v>0</v>
      </c>
      <c r="CI66" s="852" t="n">
        <v>0</v>
      </c>
      <c r="CJ66" s="1101" t="n">
        <v>0</v>
      </c>
      <c r="CK66" s="852" t="n">
        <v>0</v>
      </c>
      <c r="CL66" s="852" t="n">
        <v>0</v>
      </c>
      <c r="CM66" s="852" t="n">
        <v>0</v>
      </c>
      <c r="CN66" s="852" t="n">
        <v>0</v>
      </c>
      <c r="CO66" s="852" t="n">
        <v>0</v>
      </c>
      <c r="CP66" s="852" t="n">
        <v>0</v>
      </c>
      <c r="CQ66" s="1102" t="n">
        <v>0</v>
      </c>
      <c r="CR66" s="1103" t="n">
        <v>0</v>
      </c>
      <c r="CS66" s="1103" t="n">
        <v>0</v>
      </c>
      <c r="CT66" s="1103" t="n">
        <v>0</v>
      </c>
      <c r="CU66" s="1103" t="n">
        <v>0</v>
      </c>
      <c r="CV66" s="1103" t="n">
        <v>0</v>
      </c>
      <c r="CW66" s="1103" t="n">
        <v>0</v>
      </c>
      <c r="CX66" s="1104" t="n">
        <v>0</v>
      </c>
      <c r="CY66" s="1105" t="n">
        <v>7720.25376</v>
      </c>
      <c r="CZ66" s="1099" t="n">
        <v>0</v>
      </c>
      <c r="DA66" s="852" t="n">
        <v>0</v>
      </c>
      <c r="DB66" s="852" t="n">
        <v>0</v>
      </c>
      <c r="DC66" s="852" t="n">
        <v>0</v>
      </c>
      <c r="DD66" s="852" t="n">
        <v>0</v>
      </c>
      <c r="DE66" s="1113" t="n">
        <v>0</v>
      </c>
      <c r="DF66" s="1109" t="n">
        <v>0</v>
      </c>
      <c r="DG66" s="1110" t="n">
        <v>0</v>
      </c>
      <c r="DH66" s="1111" t="n">
        <v>0</v>
      </c>
      <c r="DI66" s="1112" t="n">
        <v>0</v>
      </c>
      <c r="DJ66" s="1112" t="n">
        <v>0</v>
      </c>
      <c r="DK66" s="1112" t="n">
        <v>0</v>
      </c>
      <c r="DL66" s="1113" t="n">
        <v>0</v>
      </c>
      <c r="DM66" s="1114" t="n">
        <v>0</v>
      </c>
      <c r="DN66" s="1114" t="n">
        <v>0</v>
      </c>
      <c r="DO66" s="1114" t="n">
        <v>0</v>
      </c>
      <c r="DP66" s="1114" t="n">
        <v>0</v>
      </c>
      <c r="DQ66" s="1114" t="n">
        <v>0</v>
      </c>
      <c r="DR66" s="1109" t="n">
        <v>0</v>
      </c>
      <c r="DS66" s="852" t="n">
        <v>0</v>
      </c>
      <c r="DT66" s="852" t="n">
        <v>0</v>
      </c>
      <c r="DU66" s="852" t="n">
        <v>0</v>
      </c>
      <c r="DV66" s="852" t="n">
        <v>0</v>
      </c>
      <c r="DW66" s="852" t="n">
        <v>0</v>
      </c>
      <c r="DX66" s="852" t="n">
        <v>0</v>
      </c>
      <c r="DY66" s="852" t="n">
        <v>0</v>
      </c>
      <c r="DZ66" s="852" t="n">
        <v>0</v>
      </c>
      <c r="EA66" s="852" t="n">
        <v>0</v>
      </c>
      <c r="EB66" s="1113" t="n">
        <v>0</v>
      </c>
      <c r="EC66" s="1115" t="n">
        <f aca="false">DS66*BD66</f>
        <v>0</v>
      </c>
      <c r="ED66" s="1115" t="n">
        <f aca="false">DT66*BE66</f>
        <v>0</v>
      </c>
      <c r="EE66" s="1115" t="n">
        <f aca="false">DU66*BF66</f>
        <v>0</v>
      </c>
      <c r="EF66" s="1115" t="n">
        <f aca="false">DV66*BG66</f>
        <v>0</v>
      </c>
      <c r="EG66" s="1115" t="n">
        <f aca="false">DS66*BD66+DT66*BE66+DU66*BF66+DV66*BG66</f>
        <v>0</v>
      </c>
      <c r="EH66" s="1116" t="n">
        <v>0</v>
      </c>
      <c r="EI66" s="1117" t="n">
        <v>0</v>
      </c>
      <c r="EJ66" s="1117" t="n">
        <v>0</v>
      </c>
      <c r="EK66" s="1117" t="n">
        <v>0</v>
      </c>
      <c r="EL66" s="1118" t="n">
        <f aca="false">IF(C66&gt;=Summary!$E$26,MAX(0,SUM(EH66:EK66)),0)</f>
        <v>0</v>
      </c>
      <c r="EM66" s="1115" t="n">
        <f aca="false">IF(C66&gt;=Summary!$E$26,DX66*BL66,0)</f>
        <v>0</v>
      </c>
      <c r="EN66" s="1115" t="n">
        <f aca="false">IF(C66&gt;=Summary!$E$26,DY66*BM66,0)</f>
        <v>0</v>
      </c>
      <c r="EO66" s="1115" t="n">
        <f aca="false">IF(C66&gt;=Summary!$E$26,DZ66*BN66,0)</f>
        <v>0</v>
      </c>
      <c r="EP66" s="1115" t="n">
        <f aca="false">IF(C66&gt;=Summary!$E$26,EA66*BO66,0)</f>
        <v>0</v>
      </c>
      <c r="EQ66" s="1115" t="n">
        <f aca="false">IF(C66&gt;=Summary!$E$26,DX66*BL66+DY66*BM66+DZ66*BN66+EA66*BO66,0)</f>
        <v>0</v>
      </c>
      <c r="ER66" s="1119" t="n">
        <v>0</v>
      </c>
      <c r="ES66" s="1120" t="n">
        <v>0</v>
      </c>
      <c r="ET66" s="1120" t="n">
        <v>0</v>
      </c>
      <c r="EU66" s="1120" t="n">
        <v>0</v>
      </c>
      <c r="EV66" s="1143" t="n">
        <f aca="false">IF(C66&gt;=Summary!$E$26,MAX(0,SUM(ER66:EU66)),0)</f>
        <v>0</v>
      </c>
      <c r="EW66" s="1115"/>
      <c r="EX66" s="1165" t="n">
        <f aca="false">(EQ66-EV66)+IF(EZ66="Yes",(EG66-EL66),0)</f>
        <v>0</v>
      </c>
      <c r="EY66" s="1166" t="str">
        <f aca="false">IF(EX66,EX66/EQ66,"")</f>
        <v/>
      </c>
      <c r="EZ66" s="1122" t="s">
        <v>37</v>
      </c>
      <c r="FA66" s="1096" t="n">
        <f aca="false">FA65</f>
        <v>45</v>
      </c>
      <c r="FB66" s="1167" t="n">
        <f aca="false">IF(EZ66="No",IF((OR(MONTH(C66)=5,MONTH(C66)=6,MONTH(C66)=7,MONTH(C66)=8,MONTH(C66)=9)),$FA66*12*AX66*(1-$BC66),$FA66*10*AX66*(1-$BC66)),0)</f>
        <v>8865</v>
      </c>
      <c r="FC66" s="1129" t="n">
        <f aca="false">IF(EZ66="No",IF((OR(MONTH(C66)=5,MONTH(C66)=6,MONTH(C66)=7,MONTH(C66)=8,MONTH(C66)=9)),0,$FA66*3*AX66*(1-$BC66)),0)</f>
        <v>2659.5</v>
      </c>
      <c r="FD66" s="1129" t="n">
        <f aca="false">IF(EZ66="No",IF((OR(MONTH(C66)=5,MONTH(C66)=6,MONTH(C66)=7,MONTH(C66)=8,MONTH(C66)=9)),$FA66*12*AY66*(1-$BC66),$FA66*10*AY66*(1-$BC66)),0)</f>
        <v>1773</v>
      </c>
      <c r="FE66" s="1129" t="n">
        <f aca="false">IF(EZ66="No",IF((OR(MONTH(C66)=5,MONTH(C66)=6,MONTH(C66)=7,MONTH(C66)=8,MONTH(C66)=9)),0,$FA66*3*AY66*(1-$BC66)),0)</f>
        <v>531.9</v>
      </c>
      <c r="FF66" s="1129" t="n">
        <f aca="false">IF(EZ66="No",IF((OR(MONTH(C66)=5,MONTH(C66)=6,MONTH(C66)=7,MONTH(C66)=8,MONTH(C66)=9)),$FA66*12*(AZ66+BA66)*(1-$BC66),$FA66*10*(AZ66+BA66)*(1-$BC66)),0)</f>
        <v>2216.25</v>
      </c>
      <c r="FG66" s="1129" t="n">
        <f aca="false">IF(EZ66="No",IF((OR(MONTH(C66)=5,MONTH(C66)=6,MONTH(C66)=7,MONTH(C66)=8,MONTH(C66)=9)),0,$FA66*3*(AZ66+BA66)*(1-$BC66)),0)</f>
        <v>664.875</v>
      </c>
      <c r="FH66" s="1170" t="n">
        <f aca="false">IF(EZ66="No",IF((OR(MONTH(C66)=5,MONTH(C66)=6,MONTH(C66)=7,MONTH(C66)=8,MONTH(C66)=9)),Summary!$O$15*12*(AX66+AY66+AZ66+BA66)*(1-$BC66),Summary!$O$15*13*(AX66+AY66+AZ66+BA66)*(1-$BC66)+IF(Summary!$O$16="Yes",(CALC!FA66+Summary!$O$15)*6*(AX66+AY66+AZ66+BA66)*(1-$BC66),0)),0)</f>
        <v>0</v>
      </c>
      <c r="FI66" s="1126" t="n">
        <f aca="false">IF(MONTH(C66)=5,FI65*(IF(Summary!$E$70="no",(1+(Summary!$E$71*0.8)),1+HLOOKUP(YEAR(C66)-1,CCFMODEL!$I$127:$AF$128,2)*0.8)),+FI65)</f>
        <v>29.2498402152418</v>
      </c>
      <c r="FJ66" s="1127" t="n">
        <f aca="false">IF(MONTH(C66)=5,FJ65*(IF(Summary!$E$70="no",(1+(Summary!$E$71*0.8)),1+HLOOKUP(YEAR(CALC!C66)-1,CCFMODEL!$I$127:$AF$128,2)*0.8)),FJ65)</f>
        <v>25.5648209755263</v>
      </c>
      <c r="FK66" s="1128" t="n">
        <f aca="false">SUM(FB66:FG66)*FI66+FH66*FJ66</f>
        <v>488780.186162804</v>
      </c>
      <c r="FL66" s="1126" t="n">
        <f aca="false">IF(MONTH(C66)=5,FL65*(IF(Summary!$E$70="no",(1+(Summary!$E$71*0.8)),1+HLOOKUP(YEAR(CALC!C66)-1,CCFMODEL!$I$127:$AF$128,2)*0.8)),+FL65)</f>
        <v>61.5156932010841</v>
      </c>
      <c r="FM66" s="1127" t="n">
        <f aca="false">IF(MONTH(C66)=5,FM65*(IF(Summary!$E$70="no",(1+(Summary!$E$71*0.8)),1+HLOOKUP(YEAR(CALC!C66)-1,CCFMODEL!$I$127:$AF$128,2)*0.8)),+FM65)</f>
        <v>29.3595134069</v>
      </c>
      <c r="FN66" s="1128" t="n">
        <f aca="false">IF((OR(MONTH(C66)=5,MONTH(C66)=6,MONTH(C66)=7,MONTH(C66)=8,MONTH(C66)=9)),SUM(FB66:FG66)/(1-BC66)*FL66,SUM(FB66:FG66)/(1-BC66)*FM66)</f>
        <v>498084.144948059</v>
      </c>
      <c r="FO66" s="1129" t="n">
        <f aca="false">FK66+FN66</f>
        <v>986864.331110863</v>
      </c>
      <c r="FP66" s="1169" t="n">
        <f aca="false">FB66</f>
        <v>8865</v>
      </c>
      <c r="FQ66" s="1129" t="n">
        <f aca="false">FC66</f>
        <v>2659.5</v>
      </c>
      <c r="FR66" s="1129" t="n">
        <f aca="false">FD66</f>
        <v>1773</v>
      </c>
      <c r="FS66" s="1129" t="n">
        <f aca="false">FE66</f>
        <v>531.9</v>
      </c>
      <c r="FT66" s="1129" t="n">
        <f aca="false">FF66</f>
        <v>2216.25</v>
      </c>
      <c r="FU66" s="1129" t="n">
        <f aca="false">FG66</f>
        <v>664.875</v>
      </c>
      <c r="FV66" s="1170" t="n">
        <f aca="false">FH66</f>
        <v>0</v>
      </c>
      <c r="FW66" s="1115" t="n">
        <f aca="false">IF(ER66&gt;0,MIN(FB66-FP66,BL66),0)</f>
        <v>0</v>
      </c>
      <c r="FX66" s="1115" t="n">
        <f aca="false">IF(ES66&gt;0,MIN(FD66-FR66,BM66),0)</f>
        <v>0</v>
      </c>
      <c r="FY66" s="1115" t="n">
        <f aca="false">IF(ET66&gt;0,MIN(FF66-FT66,BN66),0)</f>
        <v>0</v>
      </c>
      <c r="FZ66" s="1143" t="n">
        <f aca="false">IF(EU66&gt;0,MIN(FH66-FV66,BO66),0)</f>
        <v>0</v>
      </c>
      <c r="GA66" s="1132" t="n">
        <f aca="false">(SUM(FP66:FV66)+SUM(GU66:HB66)/(1-Summary!$O$25))*CY66/1000</f>
        <v>160765.676469058</v>
      </c>
      <c r="GB66" s="1133" t="n">
        <f aca="false">IF($C66&lt;Summary!$M$81,+Summary!$O$81,VLOOKUP(C66,GasTable,19))</f>
        <v>2.4</v>
      </c>
      <c r="GC66" s="1134" t="n">
        <f aca="false">IF(H66&lt;=Summary!$N$84,MIN(GA66,Summary!$O$75*(H66-G66+1)),0)</f>
        <v>145000</v>
      </c>
      <c r="GD66" s="1135" t="n">
        <f aca="false">IF(Summary!$O$75*(H66-G66+1)*0.8&gt;GC66,1,0)</f>
        <v>0</v>
      </c>
      <c r="GE66" s="1136" t="n">
        <v>0</v>
      </c>
      <c r="GF66" s="1134" t="n">
        <f aca="false">ABS(MIN(0,GC66-$GA66))</f>
        <v>15765.6764690576</v>
      </c>
      <c r="GG66" s="1135" t="n">
        <f aca="false">GF66*(IF(Summary!$O$74=1,VLOOKUP($C66,GasTable,16)+Summary!$O$92+Summary!$O$93,VLOOKUP($C66,GasTable,19)+Summary!$O$92+Summary!$O$93))</f>
        <v>43902.850940981</v>
      </c>
      <c r="GH66" s="1137" t="n">
        <v>18577.4</v>
      </c>
      <c r="GI66" s="1138" t="n">
        <v>0</v>
      </c>
      <c r="GJ66" s="1139" t="n">
        <f aca="false">+GB66*GC66+GE66+GG66+GH66-GI66</f>
        <v>410480.250940981</v>
      </c>
      <c r="GK66" s="1115" t="n">
        <f aca="false">SUM(FP66:FV66,GU66:GX66,GY66:HB66)</f>
        <v>20679.9174</v>
      </c>
      <c r="GL66" s="1140" t="n">
        <v>0.758128919232</v>
      </c>
      <c r="GM66" s="1141" t="n">
        <f aca="false">IF(GK66&gt;GC66/(CY66/1000),GC66/(CY66/1000),+GK66)*GL66</f>
        <v>14239</v>
      </c>
      <c r="GN66" s="1115" t="n">
        <f aca="false">IF(SUM(GU66:HB66)=0,0,IF(Summary!$O$16="Yes",SUM(GX66:HB66),IF(Summary!$O$17="Yes",SUM(GY66:HB66),SUM(GU66:HB66))))</f>
        <v>3969.3924</v>
      </c>
      <c r="GO66" s="1142" t="n">
        <v>2.67817696726971</v>
      </c>
      <c r="GP66" s="1143" t="n">
        <f aca="false">GN66*GO66</f>
        <v>10630.7352997354</v>
      </c>
      <c r="GQ66" s="1115"/>
      <c r="GR66" s="1115"/>
      <c r="GS66" s="1115"/>
      <c r="GT66" s="1115"/>
      <c r="GU66" s="1150" t="n">
        <v>0</v>
      </c>
      <c r="GV66" s="1115" t="n">
        <v>0</v>
      </c>
      <c r="GW66" s="1115" t="n">
        <v>0</v>
      </c>
      <c r="GX66" s="1115"/>
      <c r="GY66" s="1151" t="n">
        <v>2737.512</v>
      </c>
      <c r="GZ66" s="1115" t="n">
        <v>547.5024</v>
      </c>
      <c r="HA66" s="1115" t="n">
        <v>684.378</v>
      </c>
      <c r="HB66" s="1141"/>
      <c r="HC66" s="1115" t="n">
        <v>3969.3924</v>
      </c>
      <c r="HD66" s="1115"/>
      <c r="HE66" s="1115" t="n">
        <v>5954.0886</v>
      </c>
      <c r="HF66" s="1115" t="n">
        <v>117340.515131428</v>
      </c>
      <c r="HG66" s="1115"/>
      <c r="HH66" s="1142" t="n">
        <v>29.5613291171284</v>
      </c>
      <c r="HI66" s="1115" t="n">
        <v>176010.772697143</v>
      </c>
      <c r="HJ66" s="1150" t="n">
        <f aca="false">MAX(FB66-FP66-FW66,0)</f>
        <v>0</v>
      </c>
      <c r="HK66" s="1115" t="n">
        <f aca="false">MAX(FD66-FR66-FX66,0)</f>
        <v>0</v>
      </c>
      <c r="HL66" s="1115" t="n">
        <f aca="false">MAX(FF66-FT66-FY66,0)</f>
        <v>0</v>
      </c>
      <c r="HM66" s="1141" t="n">
        <f aca="false">MAX(FH66-FV66-FZ66,0)</f>
        <v>0</v>
      </c>
      <c r="HN66" s="1115" t="n">
        <f aca="false">SUM(HJ66:HM66)</f>
        <v>0</v>
      </c>
      <c r="HO66" s="1142" t="n">
        <f aca="false">IF(ISERROR(+HP66/HN66),0,+HP66/HN66)</f>
        <v>0</v>
      </c>
      <c r="HP66" s="1143" t="n">
        <f aca="false">(HJ66*CE66+HK66*CF66+HL66*CG66+HM66*CH66)</f>
        <v>0</v>
      </c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R66" s="844"/>
    </row>
    <row r="67" customFormat="false" ht="13.5" hidden="false" customHeight="false" outlineLevel="0" collapsed="false">
      <c r="A67" s="0" t="str">
        <f aca="false">+D67&amp;"Q"&amp;ROUNDUP(E67/3,0)</f>
        <v>2004Q1</v>
      </c>
      <c r="B67" s="0" t="n">
        <f aca="false">YEAR(C67)</f>
        <v>2004</v>
      </c>
      <c r="C67" s="1153" t="n">
        <f aca="false">EOMONTH(C66,0)+1</f>
        <v>38047</v>
      </c>
      <c r="D67" s="841" t="n">
        <f aca="false">+YEAR(C67)</f>
        <v>2004</v>
      </c>
      <c r="E67" s="807" t="n">
        <f aca="false">MONTH(C67)</f>
        <v>3</v>
      </c>
      <c r="F67" s="1154" t="e">
        <f aca="false">IF(G67="","",Holiday(D67,E67))</f>
        <v>#VALUE!</v>
      </c>
      <c r="G67" s="1155" t="n">
        <v>38047</v>
      </c>
      <c r="H67" s="1156" t="n">
        <v>38077</v>
      </c>
      <c r="I67" s="1157" t="n">
        <f aca="false">I66</f>
        <v>0.0715</v>
      </c>
      <c r="J67" s="1158" t="n">
        <f aca="false">(1+I67/2)^(-2*(DATE(D68,E68,20)-$H$7)/365.25)</f>
        <v>0.736803978931867</v>
      </c>
      <c r="K67" s="1159" t="e">
        <f aca="false">IF(#REF!=1,+#REF!,I67+#REF!/10000)</f>
        <v>#REF!</v>
      </c>
      <c r="L67" s="1158" t="e">
        <f aca="false">(1+K67/2)^(-2*(DATE(D68,E68,20)-$H$7)/365.25)</f>
        <v>#REF!</v>
      </c>
      <c r="M67" s="1082" t="n">
        <v>0</v>
      </c>
      <c r="N67" s="1110" t="n">
        <f aca="false">M67</f>
        <v>0</v>
      </c>
      <c r="O67" s="1174" t="n">
        <f aca="false">N67</f>
        <v>0</v>
      </c>
      <c r="P67" s="1175" t="n">
        <f aca="false">M67</f>
        <v>0</v>
      </c>
      <c r="Q67" s="1110" t="n">
        <f aca="false">P67</f>
        <v>0</v>
      </c>
      <c r="R67" s="1174" t="n">
        <f aca="false">Q67</f>
        <v>0</v>
      </c>
      <c r="S67" s="1110" t="n">
        <f aca="false">R67</f>
        <v>0</v>
      </c>
      <c r="T67" s="1110" t="n">
        <f aca="false">S67</f>
        <v>0</v>
      </c>
      <c r="U67" s="1110" t="n">
        <f aca="false">T67</f>
        <v>0</v>
      </c>
      <c r="V67" s="1175" t="n">
        <f aca="false">U67</f>
        <v>0</v>
      </c>
      <c r="W67" s="1110" t="n">
        <f aca="false">V67</f>
        <v>0</v>
      </c>
      <c r="X67" s="1176" t="n">
        <f aca="false">W67</f>
        <v>0</v>
      </c>
      <c r="Y67" s="1086" t="n">
        <v>0</v>
      </c>
      <c r="Z67" s="1086" t="n">
        <v>0</v>
      </c>
      <c r="AA67" s="1087" t="n">
        <v>0</v>
      </c>
      <c r="AB67" s="1086" t="n">
        <v>0</v>
      </c>
      <c r="AC67" s="1086" t="n">
        <v>0</v>
      </c>
      <c r="AD67" s="1087" t="n">
        <v>0</v>
      </c>
      <c r="AE67" s="1086" t="n">
        <v>0</v>
      </c>
      <c r="AF67" s="1086" t="n">
        <v>0</v>
      </c>
      <c r="AG67" s="1087" t="n">
        <v>0</v>
      </c>
      <c r="AH67" s="1086" t="n">
        <v>0</v>
      </c>
      <c r="AI67" s="1086" t="n">
        <v>0</v>
      </c>
      <c r="AJ67" s="1087" t="n">
        <v>0</v>
      </c>
      <c r="AK67" s="1086" t="n">
        <v>0</v>
      </c>
      <c r="AL67" s="1086" t="n">
        <v>0</v>
      </c>
      <c r="AM67" s="1087" t="n">
        <v>0</v>
      </c>
      <c r="AN67" s="1086" t="n">
        <v>0</v>
      </c>
      <c r="AO67" s="1086" t="n">
        <v>0</v>
      </c>
      <c r="AP67" s="1087" t="n">
        <v>0</v>
      </c>
      <c r="AQ67" s="1086" t="n">
        <v>0</v>
      </c>
      <c r="AR67" s="1086" t="n">
        <v>0</v>
      </c>
      <c r="AS67" s="1087" t="n">
        <v>0</v>
      </c>
      <c r="AT67" s="1086" t="n">
        <v>0</v>
      </c>
      <c r="AU67" s="1086" t="n">
        <v>0</v>
      </c>
      <c r="AV67" s="1086" t="n">
        <v>0</v>
      </c>
      <c r="AW67" s="1172" t="n">
        <v>0</v>
      </c>
      <c r="AX67" s="807" t="n">
        <f aca="false">BB67-SUM(AY67:BA67)</f>
        <v>23</v>
      </c>
      <c r="AY67" s="807" t="n">
        <f aca="false">IF(AND($E67=MONTH(Summary!$E$24),$D67=YEAR(Summary!$E$24)),Summary!$E$25,1)*IF(G67="",0,INT((H67-MOD(H67,7)-G67)/7)+1-IF(BA67,IF(WEEKDAY(F67)=7,1,0),0))</f>
        <v>4</v>
      </c>
      <c r="AZ67" s="807" t="n">
        <f aca="false">IF(AND($E67=MONTH(Summary!$E$24),$D67=YEAR(Summary!$E$24)),Summary!$E$25,1)*IF(G67="",0,INT((H67-MOD(H67-1,7)-G67)/7)+1-IF(BA67,IF(WEEKDAY(F67)=1,1,0),0))</f>
        <v>4</v>
      </c>
      <c r="BA67" s="807" t="n">
        <v>0</v>
      </c>
      <c r="BB67" s="807" t="n">
        <f aca="false">IF(AND($E67=MONTH(Summary!$E$24),$D67=YEAR(Summary!$E$24)),Summary!$E$25,1)*IF(G67="",0,H67-G67+1)</f>
        <v>31</v>
      </c>
      <c r="BC67" s="1089" t="n">
        <f aca="false">Summary!$E$19</f>
        <v>0.015</v>
      </c>
      <c r="BD67" s="1090" t="n">
        <v>16311.6</v>
      </c>
      <c r="BE67" s="1091" t="n">
        <v>2836.8</v>
      </c>
      <c r="BF67" s="1091" t="n">
        <v>2836.8</v>
      </c>
      <c r="BG67" s="842"/>
      <c r="BH67" s="1092" t="n">
        <v>1</v>
      </c>
      <c r="BI67" s="1092" t="n">
        <v>1</v>
      </c>
      <c r="BJ67" s="1092" t="n">
        <v>1</v>
      </c>
      <c r="BK67" s="1092" t="n">
        <v>1</v>
      </c>
      <c r="BL67" s="1093" t="n">
        <v>3262.32</v>
      </c>
      <c r="BM67" s="1091" t="n">
        <v>567.36</v>
      </c>
      <c r="BN67" s="1091" t="n">
        <v>567.36</v>
      </c>
      <c r="BO67" s="842"/>
      <c r="BP67" s="1092" t="n">
        <v>1</v>
      </c>
      <c r="BQ67" s="1094" t="n">
        <v>1</v>
      </c>
      <c r="BR67" s="1094" t="n">
        <v>1</v>
      </c>
      <c r="BS67" s="1095" t="n">
        <v>1</v>
      </c>
      <c r="BT67" s="1093" t="n">
        <f aca="false">SUM(BD67:BF67)</f>
        <v>21985.2</v>
      </c>
      <c r="BU67" s="1098" t="n">
        <f aca="false">SUM(BD67:BG67)</f>
        <v>21985.2</v>
      </c>
      <c r="BV67" s="1090" t="n">
        <f aca="false">SUM(BL67:BN67)</f>
        <v>4397.04</v>
      </c>
      <c r="BW67" s="1098" t="n">
        <f aca="false">SUM(BL67:BO67)</f>
        <v>4397.04</v>
      </c>
      <c r="BX67" s="852" t="n">
        <v>4.21081451060917</v>
      </c>
      <c r="BY67" s="1099" t="n">
        <v>0</v>
      </c>
      <c r="BZ67" s="852" t="n">
        <v>0</v>
      </c>
      <c r="CA67" s="852" t="n">
        <v>0</v>
      </c>
      <c r="CB67" s="852" t="n">
        <v>0</v>
      </c>
      <c r="CC67" s="852" t="n">
        <v>0</v>
      </c>
      <c r="CD67" s="852" t="n">
        <v>0</v>
      </c>
      <c r="CE67" s="1100" t="n">
        <v>0</v>
      </c>
      <c r="CF67" s="852" t="n">
        <v>0</v>
      </c>
      <c r="CG67" s="852" t="n">
        <v>0</v>
      </c>
      <c r="CH67" s="852" t="n">
        <v>0</v>
      </c>
      <c r="CI67" s="852" t="n">
        <v>0</v>
      </c>
      <c r="CJ67" s="1101" t="n">
        <v>0</v>
      </c>
      <c r="CK67" s="852" t="n">
        <v>0</v>
      </c>
      <c r="CL67" s="852" t="n">
        <v>0</v>
      </c>
      <c r="CM67" s="852" t="n">
        <v>0</v>
      </c>
      <c r="CN67" s="852" t="n">
        <v>0</v>
      </c>
      <c r="CO67" s="852" t="n">
        <v>0</v>
      </c>
      <c r="CP67" s="852" t="n">
        <v>0</v>
      </c>
      <c r="CQ67" s="1102" t="n">
        <v>0</v>
      </c>
      <c r="CR67" s="1103" t="n">
        <v>0</v>
      </c>
      <c r="CS67" s="1103" t="n">
        <v>0</v>
      </c>
      <c r="CT67" s="1103" t="n">
        <v>0</v>
      </c>
      <c r="CU67" s="1103" t="n">
        <v>0</v>
      </c>
      <c r="CV67" s="1103" t="n">
        <v>0</v>
      </c>
      <c r="CW67" s="1103" t="n">
        <v>0</v>
      </c>
      <c r="CX67" s="1104" t="n">
        <v>0</v>
      </c>
      <c r="CY67" s="1105" t="n">
        <v>7721.55664</v>
      </c>
      <c r="CZ67" s="1099" t="n">
        <v>0</v>
      </c>
      <c r="DA67" s="852" t="n">
        <v>0</v>
      </c>
      <c r="DB67" s="852" t="n">
        <v>0</v>
      </c>
      <c r="DC67" s="852" t="n">
        <v>0</v>
      </c>
      <c r="DD67" s="852" t="n">
        <v>0</v>
      </c>
      <c r="DE67" s="1113" t="n">
        <v>0</v>
      </c>
      <c r="DF67" s="1109" t="n">
        <v>0</v>
      </c>
      <c r="DG67" s="1110" t="n">
        <v>0</v>
      </c>
      <c r="DH67" s="1111" t="n">
        <v>0</v>
      </c>
      <c r="DI67" s="1112" t="n">
        <v>0</v>
      </c>
      <c r="DJ67" s="1112" t="n">
        <v>0</v>
      </c>
      <c r="DK67" s="1112" t="n">
        <v>0</v>
      </c>
      <c r="DL67" s="1113" t="n">
        <v>0</v>
      </c>
      <c r="DM67" s="1114" t="n">
        <v>0</v>
      </c>
      <c r="DN67" s="1114" t="n">
        <v>0</v>
      </c>
      <c r="DO67" s="1114" t="n">
        <v>0</v>
      </c>
      <c r="DP67" s="1114" t="n">
        <v>0</v>
      </c>
      <c r="DQ67" s="1114" t="n">
        <v>0</v>
      </c>
      <c r="DR67" s="1109" t="n">
        <v>0</v>
      </c>
      <c r="DS67" s="852" t="n">
        <v>0</v>
      </c>
      <c r="DT67" s="852" t="n">
        <v>0</v>
      </c>
      <c r="DU67" s="852" t="n">
        <v>0</v>
      </c>
      <c r="DV67" s="852" t="n">
        <v>0</v>
      </c>
      <c r="DW67" s="852" t="n">
        <v>0</v>
      </c>
      <c r="DX67" s="852" t="n">
        <v>0</v>
      </c>
      <c r="DY67" s="852" t="n">
        <v>0</v>
      </c>
      <c r="DZ67" s="852" t="n">
        <v>0</v>
      </c>
      <c r="EA67" s="852" t="n">
        <v>0</v>
      </c>
      <c r="EB67" s="1113" t="n">
        <v>0</v>
      </c>
      <c r="EC67" s="1115" t="n">
        <f aca="false">DS67*BD67</f>
        <v>0</v>
      </c>
      <c r="ED67" s="1115" t="n">
        <f aca="false">DT67*BE67</f>
        <v>0</v>
      </c>
      <c r="EE67" s="1115" t="n">
        <f aca="false">DU67*BF67</f>
        <v>0</v>
      </c>
      <c r="EF67" s="1115" t="n">
        <f aca="false">DV67*BG67</f>
        <v>0</v>
      </c>
      <c r="EG67" s="1115" t="n">
        <f aca="false">DS67*BD67+DT67*BE67+DU67*BF67+DV67*BG67</f>
        <v>0</v>
      </c>
      <c r="EH67" s="1116" t="n">
        <v>0</v>
      </c>
      <c r="EI67" s="1117" t="n">
        <v>0</v>
      </c>
      <c r="EJ67" s="1117" t="n">
        <v>0</v>
      </c>
      <c r="EK67" s="1117" t="n">
        <v>0</v>
      </c>
      <c r="EL67" s="1118" t="n">
        <f aca="false">IF(C67&gt;=Summary!$E$26,MAX(0,SUM(EH67:EK67)),0)</f>
        <v>0</v>
      </c>
      <c r="EM67" s="1115" t="n">
        <f aca="false">IF(C67&gt;=Summary!$E$26,DX67*BL67,0)</f>
        <v>0</v>
      </c>
      <c r="EN67" s="1115" t="n">
        <f aca="false">IF(C67&gt;=Summary!$E$26,DY67*BM67,0)</f>
        <v>0</v>
      </c>
      <c r="EO67" s="1115" t="n">
        <f aca="false">IF(C67&gt;=Summary!$E$26,DZ67*BN67,0)</f>
        <v>0</v>
      </c>
      <c r="EP67" s="1115" t="n">
        <f aca="false">IF(C67&gt;=Summary!$E$26,EA67*BO67,0)</f>
        <v>0</v>
      </c>
      <c r="EQ67" s="1115" t="n">
        <f aca="false">IF(C67&gt;=Summary!$E$26,DX67*BL67+DY67*BM67+DZ67*BN67+EA67*BO67,0)</f>
        <v>0</v>
      </c>
      <c r="ER67" s="1119" t="n">
        <v>0</v>
      </c>
      <c r="ES67" s="1120" t="n">
        <v>0</v>
      </c>
      <c r="ET67" s="1120" t="n">
        <v>0</v>
      </c>
      <c r="EU67" s="1120" t="n">
        <v>0</v>
      </c>
      <c r="EV67" s="1143" t="n">
        <f aca="false">IF(C67&gt;=Summary!$E$26,MAX(0,SUM(ER67:EU67)),0)</f>
        <v>0</v>
      </c>
      <c r="EW67" s="1115"/>
      <c r="EX67" s="1165" t="n">
        <f aca="false">(EQ67-EV67)+IF(EZ67="Yes",(EG67-EL67),0)</f>
        <v>0</v>
      </c>
      <c r="EY67" s="1166" t="str">
        <f aca="false">IF(EX67,EX67/EQ67,"")</f>
        <v/>
      </c>
      <c r="EZ67" s="1122" t="s">
        <v>37</v>
      </c>
      <c r="FA67" s="1096" t="n">
        <f aca="false">FA66</f>
        <v>45</v>
      </c>
      <c r="FB67" s="1167" t="n">
        <f aca="false">IF(EZ67="No",IF((OR(MONTH(C67)=5,MONTH(C67)=6,MONTH(C67)=7,MONTH(C67)=8,MONTH(C67)=9)),$FA67*12*AX67*(1-$BC67),$FA67*10*AX67*(1-$BC67)),0)</f>
        <v>10194.75</v>
      </c>
      <c r="FC67" s="1129" t="n">
        <f aca="false">IF(EZ67="No",IF((OR(MONTH(C67)=5,MONTH(C67)=6,MONTH(C67)=7,MONTH(C67)=8,MONTH(C67)=9)),0,$FA67*3*AX67*(1-$BC67)),0)</f>
        <v>3058.425</v>
      </c>
      <c r="FD67" s="1129" t="n">
        <f aca="false">IF(EZ67="No",IF((OR(MONTH(C67)=5,MONTH(C67)=6,MONTH(C67)=7,MONTH(C67)=8,MONTH(C67)=9)),$FA67*12*AY67*(1-$BC67),$FA67*10*AY67*(1-$BC67)),0)</f>
        <v>1773</v>
      </c>
      <c r="FE67" s="1129" t="n">
        <f aca="false">IF(EZ67="No",IF((OR(MONTH(C67)=5,MONTH(C67)=6,MONTH(C67)=7,MONTH(C67)=8,MONTH(C67)=9)),0,$FA67*3*AY67*(1-$BC67)),0)</f>
        <v>531.9</v>
      </c>
      <c r="FF67" s="1129" t="n">
        <f aca="false">IF(EZ67="No",IF((OR(MONTH(C67)=5,MONTH(C67)=6,MONTH(C67)=7,MONTH(C67)=8,MONTH(C67)=9)),$FA67*12*(AZ67+BA67)*(1-$BC67),$FA67*10*(AZ67+BA67)*(1-$BC67)),0)</f>
        <v>1773</v>
      </c>
      <c r="FG67" s="1129" t="n">
        <f aca="false">IF(EZ67="No",IF((OR(MONTH(C67)=5,MONTH(C67)=6,MONTH(C67)=7,MONTH(C67)=8,MONTH(C67)=9)),0,$FA67*3*(AZ67+BA67)*(1-$BC67)),0)</f>
        <v>531.9</v>
      </c>
      <c r="FH67" s="1170" t="n">
        <f aca="false">IF(EZ67="No",IF((OR(MONTH(C67)=5,MONTH(C67)=6,MONTH(C67)=7,MONTH(C67)=8,MONTH(C67)=9)),Summary!$O$15*12*(AX67+AY67+AZ67+BA67)*(1-$BC67),Summary!$O$15*13*(AX67+AY67+AZ67+BA67)*(1-$BC67)+IF(Summary!$O$16="Yes",(CALC!FA67+Summary!$O$15)*6*(AX67+AY67+AZ67+BA67)*(1-$BC67),0)),0)</f>
        <v>0</v>
      </c>
      <c r="FI67" s="1126" t="n">
        <f aca="false">IF(MONTH(C67)=5,FI66*(IF(Summary!$E$70="no",(1+(Summary!$E$71*0.8)),1+HLOOKUP(YEAR(C67)-1,CCFMODEL!$I$127:$AF$128,2)*0.8)),+FI66)</f>
        <v>29.2498402152418</v>
      </c>
      <c r="FJ67" s="1127" t="n">
        <f aca="false">IF(MONTH(C67)=5,FJ66*(IF(Summary!$E$70="no",(1+(Summary!$E$71*0.8)),1+HLOOKUP(YEAR(CALC!C67)-1,CCFMODEL!$I$127:$AF$128,2)*0.8)),FJ66)</f>
        <v>25.5648209755263</v>
      </c>
      <c r="FK67" s="1128" t="n">
        <f aca="false">SUM(FB67:FG67)*FI67+FH67*FJ67</f>
        <v>522489.164518859</v>
      </c>
      <c r="FL67" s="1126" t="n">
        <f aca="false">IF(MONTH(C67)=5,FL66*(IF(Summary!$E$70="no",(1+(Summary!$E$71*0.8)),1+HLOOKUP(YEAR(CALC!C67)-1,CCFMODEL!$I$127:$AF$128,2)*0.8)),+FL66)</f>
        <v>61.5156932010841</v>
      </c>
      <c r="FM67" s="1127" t="n">
        <f aca="false">IF(MONTH(C67)=5,FM66*(IF(Summary!$E$70="no",(1+(Summary!$E$71*0.8)),1+HLOOKUP(YEAR(CALC!C67)-1,CCFMODEL!$I$127:$AF$128,2)*0.8)),+FM66)</f>
        <v>29.3595134069</v>
      </c>
      <c r="FN67" s="1128" t="n">
        <f aca="false">IF((OR(MONTH(C67)=5,MONTH(C67)=6,MONTH(C67)=7,MONTH(C67)=8,MONTH(C67)=9)),SUM(FB67:FG67)/(1-BC67)*FL67,SUM(FB67:FG67)/(1-BC67)*FM67)</f>
        <v>532434.775634132</v>
      </c>
      <c r="FO67" s="1129" t="n">
        <f aca="false">FK67+FN67</f>
        <v>1054923.94015299</v>
      </c>
      <c r="FP67" s="1169" t="n">
        <f aca="false">FB67</f>
        <v>10194.75</v>
      </c>
      <c r="FQ67" s="1129" t="n">
        <f aca="false">FC67</f>
        <v>3058.425</v>
      </c>
      <c r="FR67" s="1129" t="n">
        <f aca="false">FD67</f>
        <v>1773</v>
      </c>
      <c r="FS67" s="1129" t="n">
        <f aca="false">FE67</f>
        <v>531.9</v>
      </c>
      <c r="FT67" s="1129" t="n">
        <f aca="false">FF67</f>
        <v>1773</v>
      </c>
      <c r="FU67" s="1129" t="n">
        <f aca="false">FG67</f>
        <v>531.9</v>
      </c>
      <c r="FV67" s="1170" t="n">
        <f aca="false">FH67</f>
        <v>0</v>
      </c>
      <c r="FW67" s="1115" t="n">
        <f aca="false">IF(ER67&gt;0,MIN(FB67-FP67,BL67),0)</f>
        <v>0</v>
      </c>
      <c r="FX67" s="1115" t="n">
        <f aca="false">IF(ES67&gt;0,MIN(FD67-FR67,BM67),0)</f>
        <v>0</v>
      </c>
      <c r="FY67" s="1115" t="n">
        <f aca="false">IF(ET67&gt;0,MIN(FF67-FT67,BN67),0)</f>
        <v>0</v>
      </c>
      <c r="FZ67" s="1143" t="n">
        <f aca="false">IF(EU67&gt;0,MIN(FH67-FV67,BO67),0)</f>
        <v>0</v>
      </c>
      <c r="GA67" s="1132" t="n">
        <f aca="false">(SUM(FP67:FV67)+SUM(GU67:HB67)/(1-Summary!$O$25))*CY67/1000</f>
        <v>171881.96662975</v>
      </c>
      <c r="GB67" s="1133" t="n">
        <f aca="false">IF($C67&lt;Summary!$M$81,+Summary!$O$81,VLOOKUP(C67,GasTable,19))</f>
        <v>2.4</v>
      </c>
      <c r="GC67" s="1134" t="n">
        <f aca="false">IF(H67&lt;=Summary!$N$84,MIN(GA67,Summary!$O$75*(H67-G67+1)),0)</f>
        <v>155000</v>
      </c>
      <c r="GD67" s="1135" t="n">
        <f aca="false">IF(Summary!$O$75*(H67-G67+1)*0.8&gt;GC67,1,0)</f>
        <v>0</v>
      </c>
      <c r="GE67" s="1136" t="n">
        <v>0</v>
      </c>
      <c r="GF67" s="1134" t="n">
        <f aca="false">ABS(MIN(0,GC67-$GA67))</f>
        <v>16881.9666297496</v>
      </c>
      <c r="GG67" s="1135" t="n">
        <f aca="false">GF67*(IF(Summary!$O$74=1,VLOOKUP($C67,GasTable,16)+Summary!$O$92+Summary!$O$93,VLOOKUP($C67,GasTable,19)+Summary!$O$92+Summary!$O$93))</f>
        <v>44537.2468773431</v>
      </c>
      <c r="GH67" s="1137" t="n">
        <v>19009.2</v>
      </c>
      <c r="GI67" s="1138" t="n">
        <v>0</v>
      </c>
      <c r="GJ67" s="1139" t="n">
        <f aca="false">+GB67*GC67+GE67+GG67+GH67-GI67</f>
        <v>435546.446877343</v>
      </c>
      <c r="GK67" s="1115" t="n">
        <f aca="false">SUM(FP67:FV67,GU67:GX67,GY67:HB67)</f>
        <v>22106.1186</v>
      </c>
      <c r="GL67" s="1140" t="n">
        <v>0.758256862048</v>
      </c>
      <c r="GM67" s="1141" t="n">
        <f aca="false">IF(GK67&gt;GC67/(CY67/1000),GC67/(CY67/1000),+GK67)*GL67</f>
        <v>15221</v>
      </c>
      <c r="GN67" s="1115" t="n">
        <f aca="false">IF(SUM(GU67:HB67)=0,0,IF(Summary!$O$16="Yes",SUM(GX67:HB67),IF(Summary!$O$17="Yes",SUM(GY67:HB67),SUM(GU67:HB67))))</f>
        <v>4243.1436</v>
      </c>
      <c r="GO67" s="1142" t="n">
        <v>2.67817696726971</v>
      </c>
      <c r="GP67" s="1143" t="n">
        <f aca="false">GN67*GO67</f>
        <v>11363.8894583379</v>
      </c>
      <c r="GQ67" s="1115"/>
      <c r="GR67" s="1115"/>
      <c r="GS67" s="1115"/>
      <c r="GT67" s="1115"/>
      <c r="GU67" s="1150" t="n">
        <v>0</v>
      </c>
      <c r="GV67" s="1115" t="n">
        <v>0</v>
      </c>
      <c r="GW67" s="1115" t="n">
        <v>0</v>
      </c>
      <c r="GX67" s="1115"/>
      <c r="GY67" s="1151" t="n">
        <v>3148.1388</v>
      </c>
      <c r="GZ67" s="1115" t="n">
        <v>547.5024</v>
      </c>
      <c r="HA67" s="1115" t="n">
        <v>547.5024</v>
      </c>
      <c r="HB67" s="1141"/>
      <c r="HC67" s="1115" t="n">
        <v>4243.1436</v>
      </c>
      <c r="HD67" s="1115"/>
      <c r="HE67" s="1115" t="n">
        <v>6364.7154</v>
      </c>
      <c r="HF67" s="1115" t="n">
        <v>116652.13371008</v>
      </c>
      <c r="HG67" s="1115"/>
      <c r="HH67" s="1142" t="n">
        <v>27.4919127672417</v>
      </c>
      <c r="HI67" s="1115" t="n">
        <v>174978.20056512</v>
      </c>
      <c r="HJ67" s="1150" t="n">
        <f aca="false">MAX(FB67-FP67-FW67,0)</f>
        <v>0</v>
      </c>
      <c r="HK67" s="1115" t="n">
        <f aca="false">MAX(FD67-FR67-FX67,0)</f>
        <v>0</v>
      </c>
      <c r="HL67" s="1115" t="n">
        <f aca="false">MAX(FF67-FT67-FY67,0)</f>
        <v>0</v>
      </c>
      <c r="HM67" s="1141" t="n">
        <f aca="false">MAX(FH67-FV67-FZ67,0)</f>
        <v>0</v>
      </c>
      <c r="HN67" s="1115" t="n">
        <f aca="false">SUM(HJ67:HM67)</f>
        <v>0</v>
      </c>
      <c r="HO67" s="1142" t="n">
        <f aca="false">IF(ISERROR(+HP67/HN67),0,+HP67/HN67)</f>
        <v>0</v>
      </c>
      <c r="HP67" s="1143" t="n">
        <f aca="false">(HJ67*CE67+HK67*CF67+HL67*CG67+HM67*CH67)</f>
        <v>0</v>
      </c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R67" s="844"/>
    </row>
    <row r="68" customFormat="false" ht="13.5" hidden="false" customHeight="false" outlineLevel="0" collapsed="false">
      <c r="A68" s="0" t="str">
        <f aca="false">+D68&amp;"Q"&amp;ROUNDUP(E68/3,0)</f>
        <v>2004Q2</v>
      </c>
      <c r="B68" s="0" t="n">
        <f aca="false">YEAR(C68)</f>
        <v>2004</v>
      </c>
      <c r="C68" s="1153" t="n">
        <f aca="false">EOMONTH(C67,0)+1</f>
        <v>38078</v>
      </c>
      <c r="D68" s="841" t="n">
        <f aca="false">+YEAR(C68)</f>
        <v>2004</v>
      </c>
      <c r="E68" s="807" t="n">
        <f aca="false">MONTH(C68)</f>
        <v>4</v>
      </c>
      <c r="F68" s="1154" t="e">
        <f aca="false">IF(G68="","",Holiday(D68,E68))</f>
        <v>#VALUE!</v>
      </c>
      <c r="G68" s="1155" t="n">
        <v>38078</v>
      </c>
      <c r="H68" s="1156" t="n">
        <v>38107</v>
      </c>
      <c r="I68" s="1157" t="n">
        <f aca="false">I67</f>
        <v>0.0715</v>
      </c>
      <c r="J68" s="1158" t="n">
        <f aca="false">(1+I68/2)^(-2*(DATE(D69,E69,20)-$H$7)/365.25)</f>
        <v>0.732564750036539</v>
      </c>
      <c r="K68" s="1159" t="e">
        <f aca="false">IF(#REF!=1,+#REF!,I68+#REF!/10000)</f>
        <v>#REF!</v>
      </c>
      <c r="L68" s="1158" t="e">
        <f aca="false">(1+K68/2)^(-2*(DATE(D69,E69,20)-$H$7)/365.25)</f>
        <v>#REF!</v>
      </c>
      <c r="M68" s="1082" t="n">
        <v>0</v>
      </c>
      <c r="N68" s="1110" t="n">
        <f aca="false">M68</f>
        <v>0</v>
      </c>
      <c r="O68" s="1174" t="n">
        <f aca="false">N68</f>
        <v>0</v>
      </c>
      <c r="P68" s="1175" t="n">
        <f aca="false">M68</f>
        <v>0</v>
      </c>
      <c r="Q68" s="1110" t="n">
        <f aca="false">P68</f>
        <v>0</v>
      </c>
      <c r="R68" s="1174" t="n">
        <f aca="false">Q68</f>
        <v>0</v>
      </c>
      <c r="S68" s="1110" t="n">
        <f aca="false">R68</f>
        <v>0</v>
      </c>
      <c r="T68" s="1110" t="n">
        <f aca="false">S68</f>
        <v>0</v>
      </c>
      <c r="U68" s="1110" t="n">
        <f aca="false">T68</f>
        <v>0</v>
      </c>
      <c r="V68" s="1175" t="n">
        <f aca="false">U68</f>
        <v>0</v>
      </c>
      <c r="W68" s="1110" t="n">
        <f aca="false">V68</f>
        <v>0</v>
      </c>
      <c r="X68" s="1176" t="n">
        <f aca="false">W68</f>
        <v>0</v>
      </c>
      <c r="Y68" s="1086" t="n">
        <v>0</v>
      </c>
      <c r="Z68" s="1086" t="n">
        <v>0</v>
      </c>
      <c r="AA68" s="1087" t="n">
        <v>0</v>
      </c>
      <c r="AB68" s="1086" t="n">
        <v>0</v>
      </c>
      <c r="AC68" s="1086" t="n">
        <v>0</v>
      </c>
      <c r="AD68" s="1087" t="n">
        <v>0</v>
      </c>
      <c r="AE68" s="1086" t="n">
        <v>0</v>
      </c>
      <c r="AF68" s="1086" t="n">
        <v>0</v>
      </c>
      <c r="AG68" s="1087" t="n">
        <v>0</v>
      </c>
      <c r="AH68" s="1086" t="n">
        <v>0</v>
      </c>
      <c r="AI68" s="1086" t="n">
        <v>0</v>
      </c>
      <c r="AJ68" s="1087" t="n">
        <v>0</v>
      </c>
      <c r="AK68" s="1086" t="n">
        <v>0</v>
      </c>
      <c r="AL68" s="1086" t="n">
        <v>0</v>
      </c>
      <c r="AM68" s="1087" t="n">
        <v>0</v>
      </c>
      <c r="AN68" s="1086" t="n">
        <v>0</v>
      </c>
      <c r="AO68" s="1086" t="n">
        <v>0</v>
      </c>
      <c r="AP68" s="1087" t="n">
        <v>0</v>
      </c>
      <c r="AQ68" s="1086" t="n">
        <v>0</v>
      </c>
      <c r="AR68" s="1086" t="n">
        <v>0</v>
      </c>
      <c r="AS68" s="1087" t="n">
        <v>0</v>
      </c>
      <c r="AT68" s="1086" t="n">
        <v>0</v>
      </c>
      <c r="AU68" s="1086" t="n">
        <v>0</v>
      </c>
      <c r="AV68" s="1086" t="n">
        <v>0</v>
      </c>
      <c r="AW68" s="1172" t="n">
        <v>0</v>
      </c>
      <c r="AX68" s="807" t="n">
        <f aca="false">BB68-SUM(AY68:BA68)</f>
        <v>22</v>
      </c>
      <c r="AY68" s="807" t="n">
        <f aca="false">IF(AND($E68=MONTH(Summary!$E$24),$D68=YEAR(Summary!$E$24)),Summary!$E$25,1)*IF(G68="",0,INT((H68-MOD(H68,7)-G68)/7)+1-IF(BA68,IF(WEEKDAY(F68)=7,1,0),0))</f>
        <v>4</v>
      </c>
      <c r="AZ68" s="807" t="n">
        <f aca="false">IF(AND($E68=MONTH(Summary!$E$24),$D68=YEAR(Summary!$E$24)),Summary!$E$25,1)*IF(G68="",0,INT((H68-MOD(H68-1,7)-G68)/7)+1-IF(BA68,IF(WEEKDAY(F68)=1,1,0),0))</f>
        <v>4</v>
      </c>
      <c r="BA68" s="807" t="n">
        <v>0</v>
      </c>
      <c r="BB68" s="807" t="n">
        <f aca="false">IF(AND($E68=MONTH(Summary!$E$24),$D68=YEAR(Summary!$E$24)),Summary!$E$25,1)*IF(G68="",0,H68-G68+1)</f>
        <v>30</v>
      </c>
      <c r="BC68" s="1089" t="n">
        <f aca="false">Summary!$E$19</f>
        <v>0.015</v>
      </c>
      <c r="BD68" s="1090" t="n">
        <v>15602.4</v>
      </c>
      <c r="BE68" s="1091" t="n">
        <v>2836.8</v>
      </c>
      <c r="BF68" s="1091" t="n">
        <v>2836.8</v>
      </c>
      <c r="BG68" s="842"/>
      <c r="BH68" s="1092" t="n">
        <v>1</v>
      </c>
      <c r="BI68" s="1092" t="n">
        <v>1</v>
      </c>
      <c r="BJ68" s="1092" t="n">
        <v>1</v>
      </c>
      <c r="BK68" s="1092" t="n">
        <v>1</v>
      </c>
      <c r="BL68" s="1093" t="n">
        <v>3120.48</v>
      </c>
      <c r="BM68" s="1091" t="n">
        <v>567.36</v>
      </c>
      <c r="BN68" s="1091" t="n">
        <v>567.36</v>
      </c>
      <c r="BO68" s="842"/>
      <c r="BP68" s="1092" t="n">
        <v>1</v>
      </c>
      <c r="BQ68" s="1094" t="n">
        <v>1</v>
      </c>
      <c r="BR68" s="1094" t="n">
        <v>1</v>
      </c>
      <c r="BS68" s="1095" t="n">
        <v>1</v>
      </c>
      <c r="BT68" s="1093" t="n">
        <f aca="false">SUM(BD68:BF68)</f>
        <v>21276</v>
      </c>
      <c r="BU68" s="1098" t="n">
        <f aca="false">SUM(BD68:BG68)</f>
        <v>21276</v>
      </c>
      <c r="BV68" s="1090" t="n">
        <f aca="false">SUM(BL68:BN68)</f>
        <v>4255.2</v>
      </c>
      <c r="BW68" s="1098" t="n">
        <f aca="false">SUM(BL68:BO68)</f>
        <v>4255.2</v>
      </c>
      <c r="BX68" s="852" t="n">
        <v>4.29568788501027</v>
      </c>
      <c r="BY68" s="1099" t="n">
        <v>0</v>
      </c>
      <c r="BZ68" s="852" t="n">
        <v>0</v>
      </c>
      <c r="CA68" s="852" t="n">
        <v>0</v>
      </c>
      <c r="CB68" s="852" t="n">
        <v>0</v>
      </c>
      <c r="CC68" s="852" t="n">
        <v>0</v>
      </c>
      <c r="CD68" s="852" t="n">
        <v>0</v>
      </c>
      <c r="CE68" s="1100" t="n">
        <v>0</v>
      </c>
      <c r="CF68" s="852" t="n">
        <v>0</v>
      </c>
      <c r="CG68" s="852" t="n">
        <v>0</v>
      </c>
      <c r="CH68" s="852" t="n">
        <v>0</v>
      </c>
      <c r="CI68" s="852" t="n">
        <v>0</v>
      </c>
      <c r="CJ68" s="1101" t="n">
        <v>0</v>
      </c>
      <c r="CK68" s="852" t="n">
        <v>0</v>
      </c>
      <c r="CL68" s="852" t="n">
        <v>0</v>
      </c>
      <c r="CM68" s="852" t="n">
        <v>0</v>
      </c>
      <c r="CN68" s="852" t="n">
        <v>0</v>
      </c>
      <c r="CO68" s="852" t="n">
        <v>0</v>
      </c>
      <c r="CP68" s="852" t="n">
        <v>0</v>
      </c>
      <c r="CQ68" s="1102" t="n">
        <v>0</v>
      </c>
      <c r="CR68" s="1103" t="n">
        <v>0</v>
      </c>
      <c r="CS68" s="1103" t="n">
        <v>0</v>
      </c>
      <c r="CT68" s="1103" t="n">
        <v>0</v>
      </c>
      <c r="CU68" s="1103" t="n">
        <v>0</v>
      </c>
      <c r="CV68" s="1103" t="n">
        <v>0</v>
      </c>
      <c r="CW68" s="1103" t="n">
        <v>0</v>
      </c>
      <c r="CX68" s="1104" t="n">
        <v>0</v>
      </c>
      <c r="CY68" s="1105" t="n">
        <v>7722.85952</v>
      </c>
      <c r="CZ68" s="1099" t="n">
        <v>0</v>
      </c>
      <c r="DA68" s="852" t="n">
        <v>0</v>
      </c>
      <c r="DB68" s="852" t="n">
        <v>0</v>
      </c>
      <c r="DC68" s="852" t="n">
        <v>0</v>
      </c>
      <c r="DD68" s="852" t="n">
        <v>0</v>
      </c>
      <c r="DE68" s="1113" t="n">
        <v>0</v>
      </c>
      <c r="DF68" s="1109" t="n">
        <v>0</v>
      </c>
      <c r="DG68" s="1110" t="n">
        <v>0</v>
      </c>
      <c r="DH68" s="1111" t="n">
        <v>0</v>
      </c>
      <c r="DI68" s="1112" t="n">
        <v>0</v>
      </c>
      <c r="DJ68" s="1112" t="n">
        <v>0</v>
      </c>
      <c r="DK68" s="1112" t="n">
        <v>0</v>
      </c>
      <c r="DL68" s="1113" t="n">
        <v>0</v>
      </c>
      <c r="DM68" s="1114" t="n">
        <v>0</v>
      </c>
      <c r="DN68" s="1114" t="n">
        <v>0</v>
      </c>
      <c r="DO68" s="1114" t="n">
        <v>0</v>
      </c>
      <c r="DP68" s="1114" t="n">
        <v>0</v>
      </c>
      <c r="DQ68" s="1114" t="n">
        <v>0</v>
      </c>
      <c r="DR68" s="1109" t="n">
        <v>0</v>
      </c>
      <c r="DS68" s="852" t="n">
        <v>0</v>
      </c>
      <c r="DT68" s="852" t="n">
        <v>0</v>
      </c>
      <c r="DU68" s="852" t="n">
        <v>0</v>
      </c>
      <c r="DV68" s="852" t="n">
        <v>0</v>
      </c>
      <c r="DW68" s="852" t="n">
        <v>0</v>
      </c>
      <c r="DX68" s="852" t="n">
        <v>0</v>
      </c>
      <c r="DY68" s="852" t="n">
        <v>0</v>
      </c>
      <c r="DZ68" s="852" t="n">
        <v>0</v>
      </c>
      <c r="EA68" s="852" t="n">
        <v>0</v>
      </c>
      <c r="EB68" s="1113" t="n">
        <v>0</v>
      </c>
      <c r="EC68" s="1115" t="n">
        <f aca="false">DS68*BD68</f>
        <v>0</v>
      </c>
      <c r="ED68" s="1115" t="n">
        <f aca="false">DT68*BE68</f>
        <v>0</v>
      </c>
      <c r="EE68" s="1115" t="n">
        <f aca="false">DU68*BF68</f>
        <v>0</v>
      </c>
      <c r="EF68" s="1115" t="n">
        <f aca="false">DV68*BG68</f>
        <v>0</v>
      </c>
      <c r="EG68" s="1115" t="n">
        <f aca="false">DS68*BD68+DT68*BE68+DU68*BF68+DV68*BG68</f>
        <v>0</v>
      </c>
      <c r="EH68" s="1116" t="n">
        <v>0</v>
      </c>
      <c r="EI68" s="1117" t="n">
        <v>0</v>
      </c>
      <c r="EJ68" s="1117" t="n">
        <v>0</v>
      </c>
      <c r="EK68" s="1117" t="n">
        <v>0</v>
      </c>
      <c r="EL68" s="1118" t="n">
        <f aca="false">IF(C68&gt;=Summary!$E$26,MAX(0,SUM(EH68:EK68)),0)</f>
        <v>0</v>
      </c>
      <c r="EM68" s="1115" t="n">
        <f aca="false">IF(C68&gt;=Summary!$E$26,DX68*BL68,0)</f>
        <v>0</v>
      </c>
      <c r="EN68" s="1115" t="n">
        <f aca="false">IF(C68&gt;=Summary!$E$26,DY68*BM68,0)</f>
        <v>0</v>
      </c>
      <c r="EO68" s="1115" t="n">
        <f aca="false">IF(C68&gt;=Summary!$E$26,DZ68*BN68,0)</f>
        <v>0</v>
      </c>
      <c r="EP68" s="1115" t="n">
        <f aca="false">IF(C68&gt;=Summary!$E$26,EA68*BO68,0)</f>
        <v>0</v>
      </c>
      <c r="EQ68" s="1115" t="n">
        <f aca="false">IF(C68&gt;=Summary!$E$26,DX68*BL68+DY68*BM68+DZ68*BN68+EA68*BO68,0)</f>
        <v>0</v>
      </c>
      <c r="ER68" s="1119" t="n">
        <v>0</v>
      </c>
      <c r="ES68" s="1120" t="n">
        <v>0</v>
      </c>
      <c r="ET68" s="1120" t="n">
        <v>0</v>
      </c>
      <c r="EU68" s="1120" t="n">
        <v>0</v>
      </c>
      <c r="EV68" s="1143" t="n">
        <f aca="false">IF(C68&gt;=Summary!$E$26,MAX(0,SUM(ER68:EU68)),0)</f>
        <v>0</v>
      </c>
      <c r="EW68" s="1115"/>
      <c r="EX68" s="1165" t="n">
        <f aca="false">(EQ68-EV68)+IF(EZ68="Yes",(EG68-EL68),0)</f>
        <v>0</v>
      </c>
      <c r="EY68" s="1166" t="str">
        <f aca="false">IF(EX68,EX68/EQ68,"")</f>
        <v/>
      </c>
      <c r="EZ68" s="1122" t="s">
        <v>37</v>
      </c>
      <c r="FA68" s="1096" t="n">
        <f aca="false">FA67</f>
        <v>45</v>
      </c>
      <c r="FB68" s="1167" t="n">
        <f aca="false">IF(EZ68="No",IF((OR(MONTH(C68)=5,MONTH(C68)=6,MONTH(C68)=7,MONTH(C68)=8,MONTH(C68)=9)),$FA68*12*AX68*(1-$BC68),$FA68*10*AX68*(1-$BC68)),0)</f>
        <v>9751.5</v>
      </c>
      <c r="FC68" s="1129" t="n">
        <f aca="false">IF(EZ68="No",IF((OR(MONTH(C68)=5,MONTH(C68)=6,MONTH(C68)=7,MONTH(C68)=8,MONTH(C68)=9)),0,$FA68*3*AX68*(1-$BC68)),0)</f>
        <v>2925.45</v>
      </c>
      <c r="FD68" s="1129" t="n">
        <f aca="false">IF(EZ68="No",IF((OR(MONTH(C68)=5,MONTH(C68)=6,MONTH(C68)=7,MONTH(C68)=8,MONTH(C68)=9)),$FA68*12*AY68*(1-$BC68),$FA68*10*AY68*(1-$BC68)),0)</f>
        <v>1773</v>
      </c>
      <c r="FE68" s="1129" t="n">
        <f aca="false">IF(EZ68="No",IF((OR(MONTH(C68)=5,MONTH(C68)=6,MONTH(C68)=7,MONTH(C68)=8,MONTH(C68)=9)),0,$FA68*3*AY68*(1-$BC68)),0)</f>
        <v>531.9</v>
      </c>
      <c r="FF68" s="1129" t="n">
        <f aca="false">IF(EZ68="No",IF((OR(MONTH(C68)=5,MONTH(C68)=6,MONTH(C68)=7,MONTH(C68)=8,MONTH(C68)=9)),$FA68*12*(AZ68+BA68)*(1-$BC68),$FA68*10*(AZ68+BA68)*(1-$BC68)),0)</f>
        <v>1773</v>
      </c>
      <c r="FG68" s="1129" t="n">
        <f aca="false">IF(EZ68="No",IF((OR(MONTH(C68)=5,MONTH(C68)=6,MONTH(C68)=7,MONTH(C68)=8,MONTH(C68)=9)),0,$FA68*3*(AZ68+BA68)*(1-$BC68)),0)</f>
        <v>531.9</v>
      </c>
      <c r="FH68" s="1170" t="n">
        <f aca="false">IF(EZ68="No",IF((OR(MONTH(C68)=5,MONTH(C68)=6,MONTH(C68)=7,MONTH(C68)=8,MONTH(C68)=9)),Summary!$O$15*12*(AX68+AY68+AZ68+BA68)*(1-$BC68),Summary!$O$15*13*(AX68+AY68+AZ68+BA68)*(1-$BC68)+IF(Summary!$O$16="Yes",(CALC!FA68+Summary!$O$15)*6*(AX68+AY68+AZ68+BA68)*(1-$BC68),0)),0)</f>
        <v>0</v>
      </c>
      <c r="FI68" s="1126" t="n">
        <f aca="false">IF(MONTH(C68)=5,FI67*(IF(Summary!$E$70="no",(1+(Summary!$E$71*0.8)),1+HLOOKUP(YEAR(C68)-1,CCFMODEL!$I$127:$AF$128,2)*0.8)),+FI67)</f>
        <v>29.2498402152418</v>
      </c>
      <c r="FJ68" s="1127" t="n">
        <f aca="false">IF(MONTH(C68)=5,FJ67*(IF(Summary!$E$70="no",(1+(Summary!$E$71*0.8)),1+HLOOKUP(YEAR(CALC!C68)-1,CCFMODEL!$I$127:$AF$128,2)*0.8)),FJ67)</f>
        <v>25.5648209755263</v>
      </c>
      <c r="FK68" s="1128" t="n">
        <f aca="false">SUM(FB68:FG68)*FI68+FH68*FJ68</f>
        <v>505634.675340831</v>
      </c>
      <c r="FL68" s="1126" t="n">
        <f aca="false">IF(MONTH(C68)=5,FL67*(IF(Summary!$E$70="no",(1+(Summary!$E$71*0.8)),1+HLOOKUP(YEAR(CALC!C68)-1,CCFMODEL!$I$127:$AF$128,2)*0.8)),+FL67)</f>
        <v>61.5156932010841</v>
      </c>
      <c r="FM68" s="1127" t="n">
        <f aca="false">IF(MONTH(C68)=5,FM67*(IF(Summary!$E$70="no",(1+(Summary!$E$71*0.8)),1+HLOOKUP(YEAR(CALC!C68)-1,CCFMODEL!$I$127:$AF$128,2)*0.8)),+FM67)</f>
        <v>29.3595134069</v>
      </c>
      <c r="FN68" s="1128" t="n">
        <f aca="false">IF((OR(MONTH(C68)=5,MONTH(C68)=6,MONTH(C68)=7,MONTH(C68)=8,MONTH(C68)=9)),SUM(FB68:FG68)/(1-BC68)*FL68,SUM(FB68:FG68)/(1-BC68)*FM68)</f>
        <v>515259.460291095</v>
      </c>
      <c r="FO68" s="1129" t="n">
        <f aca="false">FK68+FN68</f>
        <v>1020894.13563193</v>
      </c>
      <c r="FP68" s="1169" t="n">
        <f aca="false">FB68</f>
        <v>9751.5</v>
      </c>
      <c r="FQ68" s="1129" t="n">
        <f aca="false">FC68</f>
        <v>2925.45</v>
      </c>
      <c r="FR68" s="1129" t="n">
        <f aca="false">FD68</f>
        <v>1773</v>
      </c>
      <c r="FS68" s="1129" t="n">
        <f aca="false">FE68</f>
        <v>531.9</v>
      </c>
      <c r="FT68" s="1129" t="n">
        <f aca="false">FF68</f>
        <v>1773</v>
      </c>
      <c r="FU68" s="1129" t="n">
        <f aca="false">FG68</f>
        <v>531.9</v>
      </c>
      <c r="FV68" s="1170" t="n">
        <f aca="false">FH68</f>
        <v>0</v>
      </c>
      <c r="FW68" s="1115" t="n">
        <f aca="false">IF(ER68&gt;0,MIN(FB68-FP68,BL68),0)</f>
        <v>0</v>
      </c>
      <c r="FX68" s="1115" t="n">
        <f aca="false">IF(ES68&gt;0,MIN(FD68-FR68,BM68),0)</f>
        <v>0</v>
      </c>
      <c r="FY68" s="1115" t="n">
        <f aca="false">IF(ET68&gt;0,MIN(FF68-FT68,BN68),0)</f>
        <v>0</v>
      </c>
      <c r="FZ68" s="1143" t="n">
        <f aca="false">IF(EU68&gt;0,MIN(FH68-FV68,BO68),0)</f>
        <v>0</v>
      </c>
      <c r="GA68" s="1132" t="n">
        <f aca="false">(SUM(FP68:FV68)+SUM(GU68:HB68)/(1-Summary!$O$25))*CY68/1000</f>
        <v>227982.288317184</v>
      </c>
      <c r="GB68" s="1133" t="n">
        <f aca="false">IF($C68&lt;Summary!$M$81,+Summary!$O$81,VLOOKUP(C68,GasTable,19))</f>
        <v>2.4</v>
      </c>
      <c r="GC68" s="1134" t="n">
        <f aca="false">IF(H68&lt;=Summary!$N$84,MIN(GA68,Summary!$O$75*(H68-G68+1)),0)</f>
        <v>150000</v>
      </c>
      <c r="GD68" s="1135" t="n">
        <f aca="false">IF(Summary!$O$75*(H68-G68+1)*0.8&gt;GC68,1,0)</f>
        <v>0</v>
      </c>
      <c r="GE68" s="1136" t="n">
        <v>0</v>
      </c>
      <c r="GF68" s="1134" t="n">
        <f aca="false">ABS(MIN(0,GC68-$GA68))</f>
        <v>77982.2883171839</v>
      </c>
      <c r="GG68" s="1135" t="n">
        <f aca="false">GF68*(IF(Summary!$O$74=1,VLOOKUP($C68,GasTable,16)+Summary!$O$92+Summary!$O$93,VLOOKUP($C68,GasTable,19)+Summary!$O$92+Summary!$O$93))</f>
        <v>199679.235144871</v>
      </c>
      <c r="GH68" s="1137" t="n">
        <v>17574</v>
      </c>
      <c r="GI68" s="1138" t="n">
        <v>0</v>
      </c>
      <c r="GJ68" s="1139" t="n">
        <f aca="false">+GB68*GC68+GE68+GG68+GH68-GI68</f>
        <v>577253.235144871</v>
      </c>
      <c r="GK68" s="1115" t="n">
        <f aca="false">SUM(FP68:FV68,GU68:GX68,GY68:HB68)</f>
        <v>29092.2705</v>
      </c>
      <c r="GL68" s="1140" t="n">
        <v>0.758384804864</v>
      </c>
      <c r="GM68" s="1141" t="n">
        <f aca="false">IF(GK68&gt;GC68/(CY68/1000),GC68/(CY68/1000),+GK68)*GL68</f>
        <v>14730</v>
      </c>
      <c r="GN68" s="1115" t="n">
        <f aca="false">IF(SUM(GU68:HB68)=0,0,IF(Summary!$O$16="Yes",SUM(GX68:HB68),IF(Summary!$O$17="Yes",SUM(GY68:HB68),SUM(GU68:HB68))))</f>
        <v>11805.5205</v>
      </c>
      <c r="GO68" s="1142" t="n">
        <v>2.67817696726971</v>
      </c>
      <c r="GP68" s="1143" t="n">
        <f aca="false">GN68*GO68</f>
        <v>31617.2730897304</v>
      </c>
      <c r="GQ68" s="1115"/>
      <c r="GR68" s="1115"/>
      <c r="GS68" s="1115"/>
      <c r="GT68" s="1115"/>
      <c r="GU68" s="1150" t="n">
        <v>5646.1185</v>
      </c>
      <c r="GV68" s="1115" t="n">
        <v>1026.567</v>
      </c>
      <c r="GW68" s="1115" t="n">
        <v>1026.567</v>
      </c>
      <c r="GX68" s="1115"/>
      <c r="GY68" s="1151" t="n">
        <v>3011.2632</v>
      </c>
      <c r="GZ68" s="1115" t="n">
        <v>547.5024</v>
      </c>
      <c r="HA68" s="1115" t="n">
        <v>547.5024</v>
      </c>
      <c r="HB68" s="1141"/>
      <c r="HC68" s="1115" t="n">
        <v>11805.5205</v>
      </c>
      <c r="HD68" s="1115"/>
      <c r="HE68" s="1115" t="n">
        <v>13858.6545</v>
      </c>
      <c r="HF68" s="1115" t="n">
        <v>319375.393674788</v>
      </c>
      <c r="HG68" s="1115"/>
      <c r="HH68" s="1142" t="n">
        <v>27.0530548547002</v>
      </c>
      <c r="HI68" s="1115" t="n">
        <v>374918.940400838</v>
      </c>
      <c r="HJ68" s="1150" t="n">
        <f aca="false">MAX(FB68-FP68-FW68,0)</f>
        <v>0</v>
      </c>
      <c r="HK68" s="1115" t="n">
        <f aca="false">MAX(FD68-FR68-FX68,0)</f>
        <v>0</v>
      </c>
      <c r="HL68" s="1115" t="n">
        <f aca="false">MAX(FF68-FT68-FY68,0)</f>
        <v>0</v>
      </c>
      <c r="HM68" s="1141" t="n">
        <f aca="false">MAX(FH68-FV68-FZ68,0)</f>
        <v>0</v>
      </c>
      <c r="HN68" s="1115" t="n">
        <f aca="false">SUM(HJ68:HM68)</f>
        <v>0</v>
      </c>
      <c r="HO68" s="1142" t="n">
        <f aca="false">IF(ISERROR(+HP68/HN68),0,+HP68/HN68)</f>
        <v>0</v>
      </c>
      <c r="HP68" s="1143" t="n">
        <f aca="false">(HJ68*CE68+HK68*CF68+HL68*CG68+HM68*CH68)</f>
        <v>0</v>
      </c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R68" s="844"/>
    </row>
    <row r="69" customFormat="false" ht="13.5" hidden="false" customHeight="false" outlineLevel="0" collapsed="false">
      <c r="A69" s="0" t="str">
        <f aca="false">+D69&amp;"Q"&amp;ROUNDUP(E69/3,0)</f>
        <v>2004Q2</v>
      </c>
      <c r="B69" s="0" t="n">
        <f aca="false">YEAR(C69)</f>
        <v>2004</v>
      </c>
      <c r="C69" s="1153" t="n">
        <f aca="false">EOMONTH(C68,0)+1</f>
        <v>38108</v>
      </c>
      <c r="D69" s="841" t="n">
        <f aca="false">+YEAR(C69)</f>
        <v>2004</v>
      </c>
      <c r="E69" s="807" t="n">
        <f aca="false">MONTH(C69)</f>
        <v>5</v>
      </c>
      <c r="F69" s="1154" t="e">
        <f aca="false">IF(G69="","",Holiday(D69,E69))</f>
        <v>#VALUE!</v>
      </c>
      <c r="G69" s="1155" t="n">
        <v>38108</v>
      </c>
      <c r="H69" s="1156" t="n">
        <v>38138</v>
      </c>
      <c r="I69" s="1157" t="n">
        <f aca="false">I68</f>
        <v>0.0715</v>
      </c>
      <c r="J69" s="1158" t="n">
        <f aca="false">(1+I69/2)^(-2*(DATE(D70,E70,20)-$H$7)/365.25)</f>
        <v>0.728209835509281</v>
      </c>
      <c r="K69" s="1159" t="e">
        <f aca="false">IF(#REF!=1,+#REF!,I69+#REF!/10000)</f>
        <v>#REF!</v>
      </c>
      <c r="L69" s="1158" t="e">
        <f aca="false">(1+K69/2)^(-2*(DATE(D70,E70,20)-$H$7)/365.25)</f>
        <v>#REF!</v>
      </c>
      <c r="M69" s="1082" t="n">
        <v>0</v>
      </c>
      <c r="N69" s="1110" t="n">
        <f aca="false">M69</f>
        <v>0</v>
      </c>
      <c r="O69" s="1174" t="n">
        <f aca="false">N69</f>
        <v>0</v>
      </c>
      <c r="P69" s="1175" t="n">
        <f aca="false">M69</f>
        <v>0</v>
      </c>
      <c r="Q69" s="1110" t="n">
        <f aca="false">P69</f>
        <v>0</v>
      </c>
      <c r="R69" s="1174" t="n">
        <f aca="false">Q69</f>
        <v>0</v>
      </c>
      <c r="S69" s="1110" t="n">
        <f aca="false">R69</f>
        <v>0</v>
      </c>
      <c r="T69" s="1110" t="n">
        <f aca="false">S69</f>
        <v>0</v>
      </c>
      <c r="U69" s="1110" t="n">
        <f aca="false">T69</f>
        <v>0</v>
      </c>
      <c r="V69" s="1175" t="n">
        <f aca="false">U69</f>
        <v>0</v>
      </c>
      <c r="W69" s="1110" t="n">
        <f aca="false">V69</f>
        <v>0</v>
      </c>
      <c r="X69" s="1176" t="n">
        <f aca="false">W69</f>
        <v>0</v>
      </c>
      <c r="Y69" s="1086" t="n">
        <v>0</v>
      </c>
      <c r="Z69" s="1086" t="n">
        <v>0</v>
      </c>
      <c r="AA69" s="1087" t="n">
        <v>0</v>
      </c>
      <c r="AB69" s="1086" t="n">
        <v>0</v>
      </c>
      <c r="AC69" s="1086" t="n">
        <v>0</v>
      </c>
      <c r="AD69" s="1087" t="n">
        <v>0</v>
      </c>
      <c r="AE69" s="1086" t="n">
        <v>0</v>
      </c>
      <c r="AF69" s="1086" t="n">
        <v>0</v>
      </c>
      <c r="AG69" s="1087" t="n">
        <v>0</v>
      </c>
      <c r="AH69" s="1086" t="n">
        <v>0</v>
      </c>
      <c r="AI69" s="1086" t="n">
        <v>0</v>
      </c>
      <c r="AJ69" s="1087" t="n">
        <v>0</v>
      </c>
      <c r="AK69" s="1086" t="n">
        <v>0</v>
      </c>
      <c r="AL69" s="1086" t="n">
        <v>0</v>
      </c>
      <c r="AM69" s="1087" t="n">
        <v>0</v>
      </c>
      <c r="AN69" s="1086" t="n">
        <v>0</v>
      </c>
      <c r="AO69" s="1086" t="n">
        <v>0</v>
      </c>
      <c r="AP69" s="1087" t="n">
        <v>0</v>
      </c>
      <c r="AQ69" s="1086" t="n">
        <v>0</v>
      </c>
      <c r="AR69" s="1086" t="n">
        <v>0</v>
      </c>
      <c r="AS69" s="1087" t="n">
        <v>0</v>
      </c>
      <c r="AT69" s="1086" t="n">
        <v>0</v>
      </c>
      <c r="AU69" s="1086" t="n">
        <v>0</v>
      </c>
      <c r="AV69" s="1086" t="n">
        <v>0</v>
      </c>
      <c r="AW69" s="1172" t="n">
        <v>0</v>
      </c>
      <c r="AX69" s="807" t="e">
        <f aca="false">BB69-SUM(AY69:BA69)</f>
        <v>#VALUE!</v>
      </c>
      <c r="AY69" s="807" t="e">
        <f aca="false">IF(AND($E69=MONTH(Summary!$E$24),$D69=YEAR(Summary!$E$24)),Summary!$E$25,1)*IF(G69="",0,INT((H69-MOD(H69,7)-G69)/7)+1-IF(BA69,IF(WEEKDAY(F69)=7,1,0),0))</f>
        <v>#VALUE!</v>
      </c>
      <c r="AZ69" s="807" t="e">
        <f aca="false">IF(AND($E69=MONTH(Summary!$E$24),$D69=YEAR(Summary!$E$24)),Summary!$E$25,1)*IF(G69="",0,INT((H69-MOD(H69-1,7)-G69)/7)+1-IF(BA69,IF(WEEKDAY(F69)=1,1,0),0))</f>
        <v>#VALUE!</v>
      </c>
      <c r="BA69" s="807" t="n">
        <v>1</v>
      </c>
      <c r="BB69" s="807" t="n">
        <f aca="false">IF(AND($E69=MONTH(Summary!$E$24),$D69=YEAR(Summary!$E$24)),Summary!$E$25,1)*IF(G69="",0,H69-G69+1)</f>
        <v>31</v>
      </c>
      <c r="BC69" s="1089" t="n">
        <f aca="false">Summary!$E$19</f>
        <v>0.015</v>
      </c>
      <c r="BD69" s="1090" t="n">
        <v>14184</v>
      </c>
      <c r="BE69" s="1091" t="n">
        <v>3546</v>
      </c>
      <c r="BF69" s="1091" t="n">
        <v>4255.2</v>
      </c>
      <c r="BG69" s="842"/>
      <c r="BH69" s="1092" t="n">
        <v>1</v>
      </c>
      <c r="BI69" s="1092" t="n">
        <v>1</v>
      </c>
      <c r="BJ69" s="1092" t="n">
        <v>1</v>
      </c>
      <c r="BK69" s="1092" t="n">
        <v>1</v>
      </c>
      <c r="BL69" s="1093" t="n">
        <v>2836.8</v>
      </c>
      <c r="BM69" s="1091" t="n">
        <v>709.2</v>
      </c>
      <c r="BN69" s="1091" t="n">
        <v>851.04</v>
      </c>
      <c r="BO69" s="842"/>
      <c r="BP69" s="1092" t="n">
        <v>1</v>
      </c>
      <c r="BQ69" s="1094" t="n">
        <v>1</v>
      </c>
      <c r="BR69" s="1094" t="n">
        <v>1</v>
      </c>
      <c r="BS69" s="1095" t="n">
        <v>1</v>
      </c>
      <c r="BT69" s="1093" t="n">
        <f aca="false">SUM(BD69:BF69)</f>
        <v>21985.2</v>
      </c>
      <c r="BU69" s="1098" t="n">
        <f aca="false">SUM(BD69:BG69)</f>
        <v>21985.2</v>
      </c>
      <c r="BV69" s="1090" t="n">
        <f aca="false">SUM(BL69:BN69)</f>
        <v>4397.04</v>
      </c>
      <c r="BW69" s="1098" t="n">
        <f aca="false">SUM(BL69:BO69)</f>
        <v>4397.04</v>
      </c>
      <c r="BX69" s="852" t="n">
        <v>4.37782340862423</v>
      </c>
      <c r="BY69" s="1099" t="n">
        <v>0</v>
      </c>
      <c r="BZ69" s="852" t="n">
        <v>0</v>
      </c>
      <c r="CA69" s="852" t="n">
        <v>0</v>
      </c>
      <c r="CB69" s="852" t="n">
        <v>0</v>
      </c>
      <c r="CC69" s="852" t="n">
        <v>0</v>
      </c>
      <c r="CD69" s="852" t="n">
        <v>0</v>
      </c>
      <c r="CE69" s="1100" t="n">
        <v>0</v>
      </c>
      <c r="CF69" s="852" t="n">
        <v>0</v>
      </c>
      <c r="CG69" s="852" t="n">
        <v>0</v>
      </c>
      <c r="CH69" s="852" t="n">
        <v>0</v>
      </c>
      <c r="CI69" s="852" t="n">
        <v>0</v>
      </c>
      <c r="CJ69" s="1101" t="n">
        <v>0</v>
      </c>
      <c r="CK69" s="852" t="n">
        <v>0</v>
      </c>
      <c r="CL69" s="852" t="n">
        <v>0</v>
      </c>
      <c r="CM69" s="852" t="n">
        <v>0</v>
      </c>
      <c r="CN69" s="852" t="n">
        <v>0</v>
      </c>
      <c r="CO69" s="852" t="n">
        <v>0</v>
      </c>
      <c r="CP69" s="852" t="n">
        <v>0</v>
      </c>
      <c r="CQ69" s="1102" t="n">
        <v>0</v>
      </c>
      <c r="CR69" s="1103" t="n">
        <v>0</v>
      </c>
      <c r="CS69" s="1103" t="n">
        <v>0</v>
      </c>
      <c r="CT69" s="1103" t="n">
        <v>0</v>
      </c>
      <c r="CU69" s="1103" t="n">
        <v>0</v>
      </c>
      <c r="CV69" s="1103" t="n">
        <v>0</v>
      </c>
      <c r="CW69" s="1103" t="n">
        <v>0</v>
      </c>
      <c r="CX69" s="1104" t="n">
        <v>0</v>
      </c>
      <c r="CY69" s="1105" t="n">
        <v>7724.1624</v>
      </c>
      <c r="CZ69" s="1099" t="n">
        <v>0</v>
      </c>
      <c r="DA69" s="852" t="n">
        <v>0</v>
      </c>
      <c r="DB69" s="852" t="n">
        <v>0</v>
      </c>
      <c r="DC69" s="852" t="n">
        <v>0</v>
      </c>
      <c r="DD69" s="852" t="n">
        <v>0</v>
      </c>
      <c r="DE69" s="1113" t="n">
        <v>0</v>
      </c>
      <c r="DF69" s="1109" t="n">
        <v>0</v>
      </c>
      <c r="DG69" s="1110" t="n">
        <v>0</v>
      </c>
      <c r="DH69" s="1111" t="n">
        <v>0</v>
      </c>
      <c r="DI69" s="1112" t="n">
        <v>0</v>
      </c>
      <c r="DJ69" s="1112" t="n">
        <v>0</v>
      </c>
      <c r="DK69" s="1112" t="n">
        <v>0</v>
      </c>
      <c r="DL69" s="1113" t="n">
        <v>0</v>
      </c>
      <c r="DM69" s="1114" t="n">
        <v>0</v>
      </c>
      <c r="DN69" s="1114" t="n">
        <v>0</v>
      </c>
      <c r="DO69" s="1114" t="n">
        <v>0</v>
      </c>
      <c r="DP69" s="1114" t="n">
        <v>0</v>
      </c>
      <c r="DQ69" s="1114" t="n">
        <v>0</v>
      </c>
      <c r="DR69" s="1109" t="n">
        <v>0</v>
      </c>
      <c r="DS69" s="852" t="n">
        <v>0</v>
      </c>
      <c r="DT69" s="852" t="n">
        <v>0</v>
      </c>
      <c r="DU69" s="852" t="n">
        <v>0</v>
      </c>
      <c r="DV69" s="852" t="n">
        <v>0</v>
      </c>
      <c r="DW69" s="852" t="n">
        <v>0</v>
      </c>
      <c r="DX69" s="852" t="n">
        <v>0</v>
      </c>
      <c r="DY69" s="852" t="n">
        <v>0</v>
      </c>
      <c r="DZ69" s="852" t="n">
        <v>0</v>
      </c>
      <c r="EA69" s="852" t="n">
        <v>0</v>
      </c>
      <c r="EB69" s="1113" t="n">
        <v>0</v>
      </c>
      <c r="EC69" s="1115" t="n">
        <f aca="false">DS69*BD69</f>
        <v>0</v>
      </c>
      <c r="ED69" s="1115" t="n">
        <f aca="false">DT69*BE69</f>
        <v>0</v>
      </c>
      <c r="EE69" s="1115" t="n">
        <f aca="false">DU69*BF69</f>
        <v>0</v>
      </c>
      <c r="EF69" s="1115" t="n">
        <f aca="false">DV69*BG69</f>
        <v>0</v>
      </c>
      <c r="EG69" s="1115" t="n">
        <f aca="false">DS69*BD69+DT69*BE69+DU69*BF69+DV69*BG69</f>
        <v>0</v>
      </c>
      <c r="EH69" s="1116" t="n">
        <v>0</v>
      </c>
      <c r="EI69" s="1117" t="n">
        <v>0</v>
      </c>
      <c r="EJ69" s="1117" t="n">
        <v>0</v>
      </c>
      <c r="EK69" s="1117" t="n">
        <v>0</v>
      </c>
      <c r="EL69" s="1118" t="n">
        <f aca="false">IF(C69&gt;=Summary!$E$26,MAX(0,SUM(EH69:EK69)),0)</f>
        <v>0</v>
      </c>
      <c r="EM69" s="1115" t="n">
        <f aca="false">IF(C69&gt;=Summary!$E$26,DX69*BL69,0)</f>
        <v>0</v>
      </c>
      <c r="EN69" s="1115" t="n">
        <f aca="false">IF(C69&gt;=Summary!$E$26,DY69*BM69,0)</f>
        <v>0</v>
      </c>
      <c r="EO69" s="1115" t="n">
        <f aca="false">IF(C69&gt;=Summary!$E$26,DZ69*BN69,0)</f>
        <v>0</v>
      </c>
      <c r="EP69" s="1115" t="n">
        <f aca="false">IF(C69&gt;=Summary!$E$26,EA69*BO69,0)</f>
        <v>0</v>
      </c>
      <c r="EQ69" s="1115" t="n">
        <f aca="false">IF(C69&gt;=Summary!$E$26,DX69*BL69+DY69*BM69+DZ69*BN69+EA69*BO69,0)</f>
        <v>0</v>
      </c>
      <c r="ER69" s="1119" t="n">
        <v>0</v>
      </c>
      <c r="ES69" s="1120" t="n">
        <v>0</v>
      </c>
      <c r="ET69" s="1120" t="n">
        <v>0</v>
      </c>
      <c r="EU69" s="1120" t="n">
        <v>0</v>
      </c>
      <c r="EV69" s="1143" t="n">
        <f aca="false">IF(C69&gt;=Summary!$E$26,MAX(0,SUM(ER69:EU69)),0)</f>
        <v>0</v>
      </c>
      <c r="EW69" s="1115"/>
      <c r="EX69" s="1165" t="n">
        <f aca="false">(EQ69-EV69)+IF(EZ69="Yes",(EG69-EL69),0)</f>
        <v>0</v>
      </c>
      <c r="EY69" s="1166" t="str">
        <f aca="false">IF(EX69,EX69/EQ69,"")</f>
        <v/>
      </c>
      <c r="EZ69" s="1122" t="s">
        <v>37</v>
      </c>
      <c r="FA69" s="1096" t="n">
        <f aca="false">FA68</f>
        <v>45</v>
      </c>
      <c r="FB69" s="1167" t="e">
        <f aca="false">IF(EZ69="No",IF((OR(MONTH(C69)=5,MONTH(C69)=6,MONTH(C69)=7,MONTH(C69)=8,MONTH(C69)=9)),$FA69*12*AX69*(1-$BC69),$FA69*10*AX69*(1-$BC69)),0)</f>
        <v>#VALUE!</v>
      </c>
      <c r="FC69" s="1129" t="n">
        <f aca="false">IF(EZ69="No",IF((OR(MONTH(C69)=5,MONTH(C69)=6,MONTH(C69)=7,MONTH(C69)=8,MONTH(C69)=9)),0,$FA69*3*AX69*(1-$BC69)),0)</f>
        <v>0</v>
      </c>
      <c r="FD69" s="1129" t="e">
        <f aca="false">IF(EZ69="No",IF((OR(MONTH(C69)=5,MONTH(C69)=6,MONTH(C69)=7,MONTH(C69)=8,MONTH(C69)=9)),$FA69*12*AY69*(1-$BC69),$FA69*10*AY69*(1-$BC69)),0)</f>
        <v>#VALUE!</v>
      </c>
      <c r="FE69" s="1129" t="n">
        <f aca="false">IF(EZ69="No",IF((OR(MONTH(C69)=5,MONTH(C69)=6,MONTH(C69)=7,MONTH(C69)=8,MONTH(C69)=9)),0,$FA69*3*AY69*(1-$BC69)),0)</f>
        <v>0</v>
      </c>
      <c r="FF69" s="1129" t="e">
        <f aca="false">IF(EZ69="No",IF((OR(MONTH(C69)=5,MONTH(C69)=6,MONTH(C69)=7,MONTH(C69)=8,MONTH(C69)=9)),$FA69*12*(AZ69+BA69)*(1-$BC69),$FA69*10*(AZ69+BA69)*(1-$BC69)),0)</f>
        <v>#VALUE!</v>
      </c>
      <c r="FG69" s="1129" t="n">
        <f aca="false">IF(EZ69="No",IF((OR(MONTH(C69)=5,MONTH(C69)=6,MONTH(C69)=7,MONTH(C69)=8,MONTH(C69)=9)),0,$FA69*3*(AZ69+BA69)*(1-$BC69)),0)</f>
        <v>0</v>
      </c>
      <c r="FH69" s="1170" t="e">
        <f aca="false">IF(EZ69="No",IF((OR(MONTH(C69)=5,MONTH(C69)=6,MONTH(C69)=7,MONTH(C69)=8,MONTH(C69)=9)),Summary!$O$15*12*(AX69+AY69+AZ69+BA69)*(1-$BC69),Summary!$O$15*13*(AX69+AY69+AZ69+BA69)*(1-$BC69)+IF(Summary!$O$16="Yes",(CALC!FA69+Summary!$O$15)*6*(AX69+AY69+AZ69+BA69)*(1-$BC69),0)),0)</f>
        <v>#VALUE!</v>
      </c>
      <c r="FI69" s="1126" t="n">
        <f aca="false">IF(MONTH(C69)=5,FI68*(IF(Summary!$E$70="no",(1+(Summary!$E$71*0.8)),1+HLOOKUP(YEAR(C69)-1,CCFMODEL!$I$127:$AF$128,2)*0.8)),+FI68)</f>
        <v>29.9518363804076</v>
      </c>
      <c r="FJ69" s="1127" t="n">
        <f aca="false">IF(MONTH(C69)=5,FJ68*(IF(Summary!$E$70="no",(1+(Summary!$E$71*0.8)),1+HLOOKUP(YEAR(CALC!C69)-1,CCFMODEL!$I$127:$AF$128,2)*0.8)),FJ68)</f>
        <v>26.1783766789389</v>
      </c>
      <c r="FK69" s="1128" t="e">
        <f aca="false">SUM(FB69:FG69)*FI69+FH69*FJ69</f>
        <v>#VALUE!</v>
      </c>
      <c r="FL69" s="1126" t="n">
        <f aca="false">IF(MONTH(C69)=5,FL68*(IF(Summary!$E$70="no",(1+(Summary!$E$71*0.8)),1+HLOOKUP(YEAR(CALC!C69)-1,CCFMODEL!$I$127:$AF$128,2)*0.8)),+FL68)</f>
        <v>62.9920698379101</v>
      </c>
      <c r="FM69" s="1127" t="n">
        <f aca="false">IF(MONTH(C69)=5,FM68*(IF(Summary!$E$70="no",(1+(Summary!$E$71*0.8)),1+HLOOKUP(YEAR(CALC!C69)-1,CCFMODEL!$I$127:$AF$128,2)*0.8)),+FM68)</f>
        <v>30.0641417286656</v>
      </c>
      <c r="FN69" s="1128" t="e">
        <f aca="false">IF((OR(MONTH(C69)=5,MONTH(C69)=6,MONTH(C69)=7,MONTH(C69)=8,MONTH(C69)=9)),SUM(FB69:FG69)/(1-BC69)*FL69,SUM(FB69:FG69)/(1-BC69)*FM69)</f>
        <v>#VALUE!</v>
      </c>
      <c r="FO69" s="1129" t="e">
        <f aca="false">FK69+FN69</f>
        <v>#VALUE!</v>
      </c>
      <c r="FP69" s="1169" t="e">
        <f aca="false">FB69</f>
        <v>#VALUE!</v>
      </c>
      <c r="FQ69" s="1129" t="n">
        <f aca="false">FC69</f>
        <v>0</v>
      </c>
      <c r="FR69" s="1129" t="e">
        <f aca="false">FD69</f>
        <v>#VALUE!</v>
      </c>
      <c r="FS69" s="1129" t="n">
        <f aca="false">FE69</f>
        <v>0</v>
      </c>
      <c r="FT69" s="1129" t="e">
        <f aca="false">FF69</f>
        <v>#VALUE!</v>
      </c>
      <c r="FU69" s="1129" t="n">
        <f aca="false">FG69</f>
        <v>0</v>
      </c>
      <c r="FV69" s="1170" t="e">
        <f aca="false">FH69</f>
        <v>#VALUE!</v>
      </c>
      <c r="FW69" s="1115" t="n">
        <f aca="false">IF(ER69&gt;0,MIN(FB69-FP69,BL69),0)</f>
        <v>0</v>
      </c>
      <c r="FX69" s="1115" t="n">
        <f aca="false">IF(ES69&gt;0,MIN(FD69-FR69,BM69),0)</f>
        <v>0</v>
      </c>
      <c r="FY69" s="1115" t="n">
        <f aca="false">IF(ET69&gt;0,MIN(FF69-FT69,BN69),0)</f>
        <v>0</v>
      </c>
      <c r="FZ69" s="1143" t="n">
        <f aca="false">IF(EU69&gt;0,MIN(FH69-FV69,BO69),0)</f>
        <v>0</v>
      </c>
      <c r="GA69" s="1132" t="e">
        <f aca="false">(SUM(FP69:FV69)+SUM(GU69:HB69)/(1-Summary!$O$25))*CY69/1000</f>
        <v>#VALUE!</v>
      </c>
      <c r="GB69" s="1133" t="n">
        <f aca="false">IF($C69&lt;Summary!$M$81,+Summary!$O$81,VLOOKUP(C69,GasTable,19))</f>
        <v>2.4</v>
      </c>
      <c r="GC69" s="1134" t="e">
        <f aca="false">IF(H69&lt;=Summary!$N$84,MIN(GA69,Summary!$O$75*(H69-G69+1)),0)</f>
        <v>#VALUE!</v>
      </c>
      <c r="GD69" s="1135" t="e">
        <f aca="false">IF(Summary!$O$75*(H69-G69+1)*0.8&gt;GC69,1,0)</f>
        <v>#VALUE!</v>
      </c>
      <c r="GE69" s="1136" t="n">
        <v>0</v>
      </c>
      <c r="GF69" s="1134" t="e">
        <f aca="false">ABS(MIN(0,GC69-$GA69))</f>
        <v>#VALUE!</v>
      </c>
      <c r="GG69" s="1135" t="e">
        <f aca="false">GF69*(IF(Summary!$O$74=1,VLOOKUP($C69,GasTable,16)+Summary!$O$92+Summary!$O$93,VLOOKUP($C69,GasTable,19)+Summary!$O$92+Summary!$O$93))</f>
        <v>#VALUE!</v>
      </c>
      <c r="GH69" s="1137" t="n">
        <v>18073</v>
      </c>
      <c r="GI69" s="1138" t="n">
        <v>0</v>
      </c>
      <c r="GJ69" s="1139" t="e">
        <f aca="false">+GB69*GC69+GE69+GG69+GH69-GI69</f>
        <v>#VALUE!</v>
      </c>
      <c r="GK69" s="1115" t="e">
        <f aca="false">SUM(FP69:FV69,GU69:GX69,GY69:HB69)</f>
        <v>#VALUE!</v>
      </c>
      <c r="GL69" s="1140" t="n">
        <v>0.75851274768</v>
      </c>
      <c r="GM69" s="1141" t="e">
        <f aca="false">IF(GK69&gt;GC69/(CY69/1000),GC69/(CY69/1000),+GK69)*GL69</f>
        <v>#VALUE!</v>
      </c>
      <c r="GN69" s="1115" t="n">
        <f aca="false">IF(SUM(GU69:HB69)=0,0,IF(Summary!$O$16="Yes",SUM(GX69:HB69),IF(Summary!$O$17="Yes",SUM(GY69:HB69),SUM(GU69:HB69))))</f>
        <v>9547.0731</v>
      </c>
      <c r="GO69" s="1142" t="n">
        <v>2.67817696726971</v>
      </c>
      <c r="GP69" s="1143" t="n">
        <f aca="false">GN69*GO69</f>
        <v>25568.7512812602</v>
      </c>
      <c r="GQ69" s="1115"/>
      <c r="GR69" s="1115"/>
      <c r="GS69" s="1115"/>
      <c r="GT69" s="1115"/>
      <c r="GU69" s="1150" t="n">
        <v>3421.89</v>
      </c>
      <c r="GV69" s="1115" t="n">
        <v>855.4725</v>
      </c>
      <c r="GW69" s="1115" t="n">
        <v>1026.567</v>
      </c>
      <c r="GX69" s="1115"/>
      <c r="GY69" s="1151" t="n">
        <v>2737.512</v>
      </c>
      <c r="GZ69" s="1115" t="n">
        <v>684.378</v>
      </c>
      <c r="HA69" s="1115" t="n">
        <v>821.2536</v>
      </c>
      <c r="HB69" s="1141"/>
      <c r="HC69" s="1115" t="n">
        <v>9547.0731</v>
      </c>
      <c r="HD69" s="1115"/>
      <c r="HE69" s="1115" t="n">
        <v>22276.5039</v>
      </c>
      <c r="HF69" s="1115" t="n">
        <v>260453.374954878</v>
      </c>
      <c r="HG69" s="1115"/>
      <c r="HH69" s="1142" t="n">
        <v>27.6409278185618</v>
      </c>
      <c r="HI69" s="1115" t="n">
        <v>615743.23634981</v>
      </c>
      <c r="HJ69" s="1150" t="e">
        <f aca="false">MAX(FB69-FP69-FW69,0)</f>
        <v>#VALUE!</v>
      </c>
      <c r="HK69" s="1115" t="e">
        <f aca="false">MAX(FD69-FR69-FX69,0)</f>
        <v>#VALUE!</v>
      </c>
      <c r="HL69" s="1115" t="e">
        <f aca="false">MAX(FF69-FT69-FY69,0)</f>
        <v>#VALUE!</v>
      </c>
      <c r="HM69" s="1141" t="e">
        <f aca="false">MAX(FH69-FV69-FZ69,0)</f>
        <v>#VALUE!</v>
      </c>
      <c r="HN69" s="1115" t="e">
        <f aca="false">SUM(HJ69:HM69)</f>
        <v>#VALUE!</v>
      </c>
      <c r="HO69" s="1142" t="n">
        <f aca="false">IF(ISERROR(+HP69/HN69),0,+HP69/HN69)</f>
        <v>0</v>
      </c>
      <c r="HP69" s="1143" t="e">
        <f aca="false">(HJ69*CE69+HK69*CF69+HL69*CG69+HM69*CH69)</f>
        <v>#VALUE!</v>
      </c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R69" s="844"/>
    </row>
    <row r="70" customFormat="false" ht="13.5" hidden="false" customHeight="false" outlineLevel="0" collapsed="false">
      <c r="A70" s="0" t="str">
        <f aca="false">+D70&amp;"Q"&amp;ROUNDUP(E70/3,0)</f>
        <v>2004Q2</v>
      </c>
      <c r="B70" s="0" t="n">
        <f aca="false">YEAR(C70)</f>
        <v>2004</v>
      </c>
      <c r="C70" s="1153" t="n">
        <f aca="false">EOMONTH(C69,0)+1</f>
        <v>38139</v>
      </c>
      <c r="D70" s="841" t="n">
        <f aca="false">+YEAR(C70)</f>
        <v>2004</v>
      </c>
      <c r="E70" s="807" t="n">
        <f aca="false">MONTH(C70)</f>
        <v>6</v>
      </c>
      <c r="F70" s="1154" t="e">
        <f aca="false">IF(G70="","",Holiday(D70,E70))</f>
        <v>#VALUE!</v>
      </c>
      <c r="G70" s="1155" t="n">
        <v>38139</v>
      </c>
      <c r="H70" s="1156" t="n">
        <v>38168</v>
      </c>
      <c r="I70" s="1157" t="n">
        <f aca="false">I69</f>
        <v>0.0715</v>
      </c>
      <c r="J70" s="1158" t="n">
        <f aca="false">(1+I70/2)^(-2*(DATE(D71,E71,20)-$H$7)/365.25)</f>
        <v>0.724020053335428</v>
      </c>
      <c r="K70" s="1159" t="e">
        <f aca="false">IF(#REF!=1,+#REF!,I70+#REF!/10000)</f>
        <v>#REF!</v>
      </c>
      <c r="L70" s="1158" t="e">
        <f aca="false">(1+K70/2)^(-2*(DATE(D71,E71,20)-$H$7)/365.25)</f>
        <v>#REF!</v>
      </c>
      <c r="M70" s="1082" t="n">
        <v>0</v>
      </c>
      <c r="N70" s="1110" t="n">
        <f aca="false">M70</f>
        <v>0</v>
      </c>
      <c r="O70" s="1174" t="n">
        <f aca="false">N70</f>
        <v>0</v>
      </c>
      <c r="P70" s="1175" t="n">
        <f aca="false">M70</f>
        <v>0</v>
      </c>
      <c r="Q70" s="1110" t="n">
        <f aca="false">P70</f>
        <v>0</v>
      </c>
      <c r="R70" s="1174" t="n">
        <f aca="false">Q70</f>
        <v>0</v>
      </c>
      <c r="S70" s="1110" t="n">
        <f aca="false">R70</f>
        <v>0</v>
      </c>
      <c r="T70" s="1110" t="n">
        <f aca="false">S70</f>
        <v>0</v>
      </c>
      <c r="U70" s="1110" t="n">
        <f aca="false">T70</f>
        <v>0</v>
      </c>
      <c r="V70" s="1175" t="n">
        <f aca="false">U70</f>
        <v>0</v>
      </c>
      <c r="W70" s="1110" t="n">
        <f aca="false">V70</f>
        <v>0</v>
      </c>
      <c r="X70" s="1176" t="n">
        <f aca="false">W70</f>
        <v>0</v>
      </c>
      <c r="Y70" s="1086" t="n">
        <v>0</v>
      </c>
      <c r="Z70" s="1086" t="n">
        <v>0</v>
      </c>
      <c r="AA70" s="1087" t="n">
        <v>0</v>
      </c>
      <c r="AB70" s="1086" t="n">
        <v>0</v>
      </c>
      <c r="AC70" s="1086" t="n">
        <v>0</v>
      </c>
      <c r="AD70" s="1087" t="n">
        <v>0</v>
      </c>
      <c r="AE70" s="1086" t="n">
        <v>0</v>
      </c>
      <c r="AF70" s="1086" t="n">
        <v>0</v>
      </c>
      <c r="AG70" s="1087" t="n">
        <v>0</v>
      </c>
      <c r="AH70" s="1086" t="n">
        <v>0</v>
      </c>
      <c r="AI70" s="1086" t="n">
        <v>0</v>
      </c>
      <c r="AJ70" s="1087" t="n">
        <v>0</v>
      </c>
      <c r="AK70" s="1086" t="n">
        <v>0</v>
      </c>
      <c r="AL70" s="1086" t="n">
        <v>0</v>
      </c>
      <c r="AM70" s="1087" t="n">
        <v>0</v>
      </c>
      <c r="AN70" s="1086" t="n">
        <v>0</v>
      </c>
      <c r="AO70" s="1086" t="n">
        <v>0</v>
      </c>
      <c r="AP70" s="1087" t="n">
        <v>0</v>
      </c>
      <c r="AQ70" s="1086" t="n">
        <v>0</v>
      </c>
      <c r="AR70" s="1086" t="n">
        <v>0</v>
      </c>
      <c r="AS70" s="1087" t="n">
        <v>0</v>
      </c>
      <c r="AT70" s="1086" t="n">
        <v>0</v>
      </c>
      <c r="AU70" s="1086" t="n">
        <v>0</v>
      </c>
      <c r="AV70" s="1086" t="n">
        <v>0</v>
      </c>
      <c r="AW70" s="1172" t="n">
        <v>0</v>
      </c>
      <c r="AX70" s="807" t="n">
        <f aca="false">BB70-SUM(AY70:BA70)</f>
        <v>22</v>
      </c>
      <c r="AY70" s="807" t="n">
        <f aca="false">IF(AND($E70=MONTH(Summary!$E$24),$D70=YEAR(Summary!$E$24)),Summary!$E$25,1)*IF(G70="",0,INT((H70-MOD(H70,7)-G70)/7)+1-IF(BA70,IF(WEEKDAY(F70)=7,1,0),0))</f>
        <v>4</v>
      </c>
      <c r="AZ70" s="807" t="n">
        <f aca="false">IF(AND($E70=MONTH(Summary!$E$24),$D70=YEAR(Summary!$E$24)),Summary!$E$25,1)*IF(G70="",0,INT((H70-MOD(H70-1,7)-G70)/7)+1-IF(BA70,IF(WEEKDAY(F70)=1,1,0),0))</f>
        <v>4</v>
      </c>
      <c r="BA70" s="807" t="n">
        <v>0</v>
      </c>
      <c r="BB70" s="807" t="n">
        <f aca="false">IF(AND($E70=MONTH(Summary!$E$24),$D70=YEAR(Summary!$E$24)),Summary!$E$25,1)*IF(G70="",0,H70-G70+1)</f>
        <v>30</v>
      </c>
      <c r="BC70" s="1089" t="n">
        <f aca="false">Summary!$E$19</f>
        <v>0.015</v>
      </c>
      <c r="BD70" s="1090" t="n">
        <v>15602.4</v>
      </c>
      <c r="BE70" s="1091" t="n">
        <v>2836.8</v>
      </c>
      <c r="BF70" s="1091" t="n">
        <v>2836.8</v>
      </c>
      <c r="BG70" s="842"/>
      <c r="BH70" s="1092" t="n">
        <v>1</v>
      </c>
      <c r="BI70" s="1092" t="n">
        <v>1</v>
      </c>
      <c r="BJ70" s="1092" t="n">
        <v>1</v>
      </c>
      <c r="BK70" s="1092" t="n">
        <v>1</v>
      </c>
      <c r="BL70" s="1093" t="n">
        <v>3120.48</v>
      </c>
      <c r="BM70" s="1091" t="n">
        <v>567.36</v>
      </c>
      <c r="BN70" s="1091" t="n">
        <v>567.36</v>
      </c>
      <c r="BO70" s="842"/>
      <c r="BP70" s="1092" t="n">
        <v>1</v>
      </c>
      <c r="BQ70" s="1094" t="n">
        <v>1</v>
      </c>
      <c r="BR70" s="1094" t="n">
        <v>1</v>
      </c>
      <c r="BS70" s="1095" t="n">
        <v>1</v>
      </c>
      <c r="BT70" s="1093" t="n">
        <f aca="false">SUM(BD70:BF70)</f>
        <v>21276</v>
      </c>
      <c r="BU70" s="1098" t="n">
        <f aca="false">SUM(BD70:BG70)</f>
        <v>21276</v>
      </c>
      <c r="BV70" s="1090" t="n">
        <f aca="false">SUM(BL70:BN70)</f>
        <v>4255.2</v>
      </c>
      <c r="BW70" s="1098" t="n">
        <f aca="false">SUM(BL70:BO70)</f>
        <v>4255.2</v>
      </c>
      <c r="BX70" s="852" t="n">
        <v>4.46269678302533</v>
      </c>
      <c r="BY70" s="1099" t="n">
        <v>0</v>
      </c>
      <c r="BZ70" s="852" t="n">
        <v>0</v>
      </c>
      <c r="CA70" s="852" t="n">
        <v>0</v>
      </c>
      <c r="CB70" s="852" t="n">
        <v>0</v>
      </c>
      <c r="CC70" s="852" t="n">
        <v>0</v>
      </c>
      <c r="CD70" s="852" t="n">
        <v>0</v>
      </c>
      <c r="CE70" s="1100" t="n">
        <v>0</v>
      </c>
      <c r="CF70" s="852" t="n">
        <v>0</v>
      </c>
      <c r="CG70" s="852" t="n">
        <v>0</v>
      </c>
      <c r="CH70" s="852" t="n">
        <v>0</v>
      </c>
      <c r="CI70" s="852" t="n">
        <v>0</v>
      </c>
      <c r="CJ70" s="1101" t="n">
        <v>0</v>
      </c>
      <c r="CK70" s="852" t="n">
        <v>0</v>
      </c>
      <c r="CL70" s="852" t="n">
        <v>0</v>
      </c>
      <c r="CM70" s="852" t="n">
        <v>0</v>
      </c>
      <c r="CN70" s="852" t="n">
        <v>0</v>
      </c>
      <c r="CO70" s="852" t="n">
        <v>0</v>
      </c>
      <c r="CP70" s="852" t="n">
        <v>0</v>
      </c>
      <c r="CQ70" s="1102" t="n">
        <v>0</v>
      </c>
      <c r="CR70" s="1103" t="n">
        <v>0</v>
      </c>
      <c r="CS70" s="1103" t="n">
        <v>0</v>
      </c>
      <c r="CT70" s="1103" t="n">
        <v>0</v>
      </c>
      <c r="CU70" s="1103" t="n">
        <v>0</v>
      </c>
      <c r="CV70" s="1103" t="n">
        <v>0</v>
      </c>
      <c r="CW70" s="1103" t="n">
        <v>0</v>
      </c>
      <c r="CX70" s="1104" t="n">
        <v>0</v>
      </c>
      <c r="CY70" s="1105" t="n">
        <v>7725.46528</v>
      </c>
      <c r="CZ70" s="1099" t="n">
        <v>0</v>
      </c>
      <c r="DA70" s="852" t="n">
        <v>0</v>
      </c>
      <c r="DB70" s="852" t="n">
        <v>0</v>
      </c>
      <c r="DC70" s="852" t="n">
        <v>0</v>
      </c>
      <c r="DD70" s="852" t="n">
        <v>0</v>
      </c>
      <c r="DE70" s="1113" t="n">
        <v>0</v>
      </c>
      <c r="DF70" s="1109" t="n">
        <v>0</v>
      </c>
      <c r="DG70" s="1110" t="n">
        <v>0</v>
      </c>
      <c r="DH70" s="1111" t="n">
        <v>0</v>
      </c>
      <c r="DI70" s="1112" t="n">
        <v>0</v>
      </c>
      <c r="DJ70" s="1112" t="n">
        <v>0</v>
      </c>
      <c r="DK70" s="1112" t="n">
        <v>0</v>
      </c>
      <c r="DL70" s="1113" t="n">
        <v>0</v>
      </c>
      <c r="DM70" s="1114" t="n">
        <v>0</v>
      </c>
      <c r="DN70" s="1114" t="n">
        <v>0</v>
      </c>
      <c r="DO70" s="1114" t="n">
        <v>0</v>
      </c>
      <c r="DP70" s="1114" t="n">
        <v>0</v>
      </c>
      <c r="DQ70" s="1114" t="n">
        <v>0</v>
      </c>
      <c r="DR70" s="1109" t="n">
        <v>0</v>
      </c>
      <c r="DS70" s="852" t="n">
        <v>0</v>
      </c>
      <c r="DT70" s="852" t="n">
        <v>0</v>
      </c>
      <c r="DU70" s="852" t="n">
        <v>0</v>
      </c>
      <c r="DV70" s="852" t="n">
        <v>0</v>
      </c>
      <c r="DW70" s="852" t="n">
        <v>0</v>
      </c>
      <c r="DX70" s="852" t="n">
        <v>0</v>
      </c>
      <c r="DY70" s="852" t="n">
        <v>0</v>
      </c>
      <c r="DZ70" s="852" t="n">
        <v>0</v>
      </c>
      <c r="EA70" s="852" t="n">
        <v>0</v>
      </c>
      <c r="EB70" s="1113" t="n">
        <v>0</v>
      </c>
      <c r="EC70" s="1115" t="n">
        <f aca="false">DS70*BD70</f>
        <v>0</v>
      </c>
      <c r="ED70" s="1115" t="n">
        <f aca="false">DT70*BE70</f>
        <v>0</v>
      </c>
      <c r="EE70" s="1115" t="n">
        <f aca="false">DU70*BF70</f>
        <v>0</v>
      </c>
      <c r="EF70" s="1115" t="n">
        <f aca="false">DV70*BG70</f>
        <v>0</v>
      </c>
      <c r="EG70" s="1115" t="n">
        <f aca="false">DS70*BD70+DT70*BE70+DU70*BF70+DV70*BG70</f>
        <v>0</v>
      </c>
      <c r="EH70" s="1116" t="n">
        <v>0</v>
      </c>
      <c r="EI70" s="1117" t="n">
        <v>0</v>
      </c>
      <c r="EJ70" s="1117" t="n">
        <v>0</v>
      </c>
      <c r="EK70" s="1117" t="n">
        <v>0</v>
      </c>
      <c r="EL70" s="1118" t="n">
        <f aca="false">IF(C70&gt;=Summary!$E$26,MAX(0,SUM(EH70:EK70)),0)</f>
        <v>0</v>
      </c>
      <c r="EM70" s="1115" t="n">
        <f aca="false">IF(C70&gt;=Summary!$E$26,DX70*BL70,0)</f>
        <v>0</v>
      </c>
      <c r="EN70" s="1115" t="n">
        <f aca="false">IF(C70&gt;=Summary!$E$26,DY70*BM70,0)</f>
        <v>0</v>
      </c>
      <c r="EO70" s="1115" t="n">
        <f aca="false">IF(C70&gt;=Summary!$E$26,DZ70*BN70,0)</f>
        <v>0</v>
      </c>
      <c r="EP70" s="1115" t="n">
        <f aca="false">IF(C70&gt;=Summary!$E$26,EA70*BO70,0)</f>
        <v>0</v>
      </c>
      <c r="EQ70" s="1115" t="n">
        <f aca="false">IF(C70&gt;=Summary!$E$26,DX70*BL70+DY70*BM70+DZ70*BN70+EA70*BO70,0)</f>
        <v>0</v>
      </c>
      <c r="ER70" s="1119" t="n">
        <v>0</v>
      </c>
      <c r="ES70" s="1120" t="n">
        <v>0</v>
      </c>
      <c r="ET70" s="1120" t="n">
        <v>0</v>
      </c>
      <c r="EU70" s="1120" t="n">
        <v>0</v>
      </c>
      <c r="EV70" s="1143" t="n">
        <f aca="false">IF(C70&gt;=Summary!$E$26,MAX(0,SUM(ER70:EU70)),0)</f>
        <v>0</v>
      </c>
      <c r="EW70" s="1115"/>
      <c r="EX70" s="1165" t="n">
        <f aca="false">(EQ70-EV70)+IF(EZ70="Yes",(EG70-EL70),0)</f>
        <v>0</v>
      </c>
      <c r="EY70" s="1166" t="str">
        <f aca="false">IF(EX70,EX70/EQ70,"")</f>
        <v/>
      </c>
      <c r="EZ70" s="1122" t="s">
        <v>37</v>
      </c>
      <c r="FA70" s="1096" t="n">
        <f aca="false">FA69</f>
        <v>45</v>
      </c>
      <c r="FB70" s="1167" t="n">
        <f aca="false">IF(EZ70="No",IF((OR(MONTH(C70)=5,MONTH(C70)=6,MONTH(C70)=7,MONTH(C70)=8,MONTH(C70)=9)),$FA70*12*AX70*(1-$BC70),$FA70*10*AX70*(1-$BC70)),0)</f>
        <v>11701.8</v>
      </c>
      <c r="FC70" s="1129" t="n">
        <f aca="false">IF(EZ70="No",IF((OR(MONTH(C70)=5,MONTH(C70)=6,MONTH(C70)=7,MONTH(C70)=8,MONTH(C70)=9)),0,$FA70*3*AX70*(1-$BC70)),0)</f>
        <v>0</v>
      </c>
      <c r="FD70" s="1129" t="n">
        <f aca="false">IF(EZ70="No",IF((OR(MONTH(C70)=5,MONTH(C70)=6,MONTH(C70)=7,MONTH(C70)=8,MONTH(C70)=9)),$FA70*12*AY70*(1-$BC70),$FA70*10*AY70*(1-$BC70)),0)</f>
        <v>2127.6</v>
      </c>
      <c r="FE70" s="1129" t="n">
        <f aca="false">IF(EZ70="No",IF((OR(MONTH(C70)=5,MONTH(C70)=6,MONTH(C70)=7,MONTH(C70)=8,MONTH(C70)=9)),0,$FA70*3*AY70*(1-$BC70)),0)</f>
        <v>0</v>
      </c>
      <c r="FF70" s="1129" t="n">
        <f aca="false">IF(EZ70="No",IF((OR(MONTH(C70)=5,MONTH(C70)=6,MONTH(C70)=7,MONTH(C70)=8,MONTH(C70)=9)),$FA70*12*(AZ70+BA70)*(1-$BC70),$FA70*10*(AZ70+BA70)*(1-$BC70)),0)</f>
        <v>2127.6</v>
      </c>
      <c r="FG70" s="1129" t="n">
        <f aca="false">IF(EZ70="No",IF((OR(MONTH(C70)=5,MONTH(C70)=6,MONTH(C70)=7,MONTH(C70)=8,MONTH(C70)=9)),0,$FA70*3*(AZ70+BA70)*(1-$BC70)),0)</f>
        <v>0</v>
      </c>
      <c r="FH70" s="1170" t="n">
        <f aca="false">IF(EZ70="No",IF((OR(MONTH(C70)=5,MONTH(C70)=6,MONTH(C70)=7,MONTH(C70)=8,MONTH(C70)=9)),Summary!$O$15*12*(AX70+AY70+AZ70+BA70)*(1-$BC70),Summary!$O$15*13*(AX70+AY70+AZ70+BA70)*(1-$BC70)+IF(Summary!$O$16="Yes",(CALC!FA70+Summary!$O$15)*6*(AX70+AY70+AZ70+BA70)*(1-$BC70),0)),0)</f>
        <v>0</v>
      </c>
      <c r="FI70" s="1126" t="n">
        <f aca="false">IF(MONTH(C70)=5,FI69*(IF(Summary!$E$70="no",(1+(Summary!$E$71*0.8)),1+HLOOKUP(YEAR(C70)-1,CCFMODEL!$I$127:$AF$128,2)*0.8)),+FI69)</f>
        <v>29.9518363804076</v>
      </c>
      <c r="FJ70" s="1127" t="n">
        <f aca="false">IF(MONTH(C70)=5,FJ69*(IF(Summary!$E$70="no",(1+(Summary!$E$71*0.8)),1+HLOOKUP(YEAR(CALC!C70)-1,CCFMODEL!$I$127:$AF$128,2)*0.8)),FJ69)</f>
        <v>26.1783766789389</v>
      </c>
      <c r="FK70" s="1128" t="n">
        <f aca="false">SUM(FB70:FG70)*FI70+FH70*FJ70</f>
        <v>477941.453122164</v>
      </c>
      <c r="FL70" s="1126" t="n">
        <f aca="false">IF(MONTH(C70)=5,FL69*(IF(Summary!$E$70="no",(1+(Summary!$E$71*0.8)),1+HLOOKUP(YEAR(CALC!C70)-1,CCFMODEL!$I$127:$AF$128,2)*0.8)),+FL69)</f>
        <v>62.9920698379101</v>
      </c>
      <c r="FM70" s="1127" t="n">
        <f aca="false">IF(MONTH(C70)=5,FM69*(IF(Summary!$E$70="no",(1+(Summary!$E$71*0.8)),1+HLOOKUP(YEAR(CALC!C70)-1,CCFMODEL!$I$127:$AF$128,2)*0.8)),+FM69)</f>
        <v>30.0641417286656</v>
      </c>
      <c r="FN70" s="1128" t="n">
        <f aca="false">IF((OR(MONTH(C70)=5,MONTH(C70)=6,MONTH(C70)=7,MONTH(C70)=8,MONTH(C70)=9)),SUM(FB70:FG70)/(1-BC70)*FL70,SUM(FB70:FG70)/(1-BC70)*FM70)</f>
        <v>1020471.53137414</v>
      </c>
      <c r="FO70" s="1129" t="n">
        <f aca="false">FK70+FN70</f>
        <v>1498412.98449631</v>
      </c>
      <c r="FP70" s="1169" t="n">
        <f aca="false">FB70</f>
        <v>11701.8</v>
      </c>
      <c r="FQ70" s="1129" t="n">
        <f aca="false">FC70</f>
        <v>0</v>
      </c>
      <c r="FR70" s="1129" t="n">
        <f aca="false">FD70</f>
        <v>2127.6</v>
      </c>
      <c r="FS70" s="1129" t="n">
        <f aca="false">FE70</f>
        <v>0</v>
      </c>
      <c r="FT70" s="1129" t="n">
        <f aca="false">FF70</f>
        <v>2127.6</v>
      </c>
      <c r="FU70" s="1129" t="n">
        <f aca="false">FG70</f>
        <v>0</v>
      </c>
      <c r="FV70" s="1170" t="n">
        <f aca="false">FH70</f>
        <v>0</v>
      </c>
      <c r="FW70" s="1115" t="n">
        <f aca="false">IF(ER70&gt;0,MIN(FB70-FP70,BL70),0)</f>
        <v>0</v>
      </c>
      <c r="FX70" s="1115" t="n">
        <f aca="false">IF(ES70&gt;0,MIN(FD70-FR70,BM70),0)</f>
        <v>0</v>
      </c>
      <c r="FY70" s="1115" t="n">
        <f aca="false">IF(ET70&gt;0,MIN(FF70-FT70,BN70),0)</f>
        <v>0</v>
      </c>
      <c r="FZ70" s="1143" t="n">
        <f aca="false">IF(EU70&gt;0,MIN(FH70-FV70,BO70),0)</f>
        <v>0</v>
      </c>
      <c r="GA70" s="1132" t="n">
        <f aca="false">(SUM(FP70:FV70)+SUM(GU70:HB70)/(1-Summary!$O$25))*CY70/1000</f>
        <v>123275.24947296</v>
      </c>
      <c r="GB70" s="1133" t="n">
        <f aca="false">IF($C70&lt;Summary!$M$81,+Summary!$O$81,VLOOKUP(C70,GasTable,19))</f>
        <v>2.4</v>
      </c>
      <c r="GC70" s="1134" t="n">
        <f aca="false">IF(H70&lt;=Summary!$N$84,MIN(GA70,Summary!$O$75*(H70-G70+1)),0)</f>
        <v>123275.24947296</v>
      </c>
      <c r="GD70" s="1135" t="n">
        <f aca="false">IF(Summary!$O$75*(H70-G70+1)*0.8&gt;GC70,1,0)</f>
        <v>0</v>
      </c>
      <c r="GE70" s="1136" t="n">
        <v>0</v>
      </c>
      <c r="GF70" s="1134" t="n">
        <f aca="false">ABS(MIN(0,GC70-$GA70))</f>
        <v>0</v>
      </c>
      <c r="GG70" s="1135" t="n">
        <f aca="false">GF70*(IF(Summary!$O$74=1,VLOOKUP($C70,GasTable,16)+Summary!$O$92+Summary!$O$93,VLOOKUP($C70,GasTable,19)+Summary!$O$92+Summary!$O$93))</f>
        <v>0</v>
      </c>
      <c r="GH70" s="1137" t="n">
        <v>17688</v>
      </c>
      <c r="GI70" s="1138" t="n">
        <v>0</v>
      </c>
      <c r="GJ70" s="1139" t="n">
        <f aca="false">+GB70*GC70+GE70+GG70+GH70-GI70</f>
        <v>313548.598735104</v>
      </c>
      <c r="GK70" s="1115" t="n">
        <f aca="false">SUM(FP70:FV70,GU70:GX70,GY70:HB70)</f>
        <v>15957</v>
      </c>
      <c r="GL70" s="1140" t="n">
        <v>0.758640690496</v>
      </c>
      <c r="GM70" s="1141" t="n">
        <f aca="false">IF(GK70&gt;GC70/(CY70/1000),GC70/(CY70/1000),+GK70)*GL70</f>
        <v>12105.6294982447</v>
      </c>
      <c r="GN70" s="1115" t="n">
        <f aca="false">IF(SUM(GU70:HB70)=0,0,IF(Summary!$O$16="Yes",SUM(GX70:HB70),IF(Summary!$O$17="Yes",SUM(GY70:HB70),SUM(GU70:HB70))))</f>
        <v>0</v>
      </c>
      <c r="GO70" s="1142" t="n">
        <v>2.67817696726971</v>
      </c>
      <c r="GP70" s="1143" t="n">
        <f aca="false">GN70*GO70</f>
        <v>0</v>
      </c>
      <c r="GQ70" s="1115"/>
      <c r="GR70" s="1115"/>
      <c r="GS70" s="1115"/>
      <c r="GT70" s="1115"/>
      <c r="GU70" s="1150" t="n">
        <v>0</v>
      </c>
      <c r="GV70" s="1115" t="n">
        <v>0</v>
      </c>
      <c r="GW70" s="1115" t="n">
        <v>0</v>
      </c>
      <c r="GX70" s="1115"/>
      <c r="GY70" s="1151" t="n">
        <v>0</v>
      </c>
      <c r="GZ70" s="1115" t="n">
        <v>0</v>
      </c>
      <c r="HA70" s="1115" t="n">
        <v>0</v>
      </c>
      <c r="HB70" s="1141"/>
      <c r="HC70" s="1115" t="n">
        <v>0</v>
      </c>
      <c r="HD70" s="1115"/>
      <c r="HE70" s="1115" t="n">
        <v>0</v>
      </c>
      <c r="HF70" s="1115" t="n">
        <v>0</v>
      </c>
      <c r="HG70" s="1115"/>
      <c r="HH70" s="1142" t="n">
        <v>0</v>
      </c>
      <c r="HI70" s="1115" t="n">
        <v>0</v>
      </c>
      <c r="HJ70" s="1150" t="n">
        <f aca="false">MAX(FB70-FP70-FW70,0)</f>
        <v>0</v>
      </c>
      <c r="HK70" s="1115" t="n">
        <f aca="false">MAX(FD70-FR70-FX70,0)</f>
        <v>0</v>
      </c>
      <c r="HL70" s="1115" t="n">
        <f aca="false">MAX(FF70-FT70-FY70,0)</f>
        <v>0</v>
      </c>
      <c r="HM70" s="1141" t="n">
        <f aca="false">MAX(FH70-FV70-FZ70,0)</f>
        <v>0</v>
      </c>
      <c r="HN70" s="1115" t="n">
        <f aca="false">SUM(HJ70:HM70)</f>
        <v>0</v>
      </c>
      <c r="HO70" s="1142" t="n">
        <f aca="false">IF(ISERROR(+HP70/HN70),0,+HP70/HN70)</f>
        <v>0</v>
      </c>
      <c r="HP70" s="1143" t="n">
        <f aca="false">(HJ70*CE70+HK70*CF70+HL70*CG70+HM70*CH70)</f>
        <v>0</v>
      </c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R70" s="844"/>
    </row>
    <row r="71" customFormat="false" ht="13.5" hidden="false" customHeight="false" outlineLevel="0" collapsed="false">
      <c r="A71" s="0" t="str">
        <f aca="false">+D71&amp;"Q"&amp;ROUNDUP(E71/3,0)</f>
        <v>2004Q3</v>
      </c>
      <c r="B71" s="0" t="n">
        <f aca="false">YEAR(C71)</f>
        <v>2004</v>
      </c>
      <c r="C71" s="1153" t="n">
        <f aca="false">EOMONTH(C70,0)+1</f>
        <v>38169</v>
      </c>
      <c r="D71" s="841" t="n">
        <f aca="false">+YEAR(C71)</f>
        <v>2004</v>
      </c>
      <c r="E71" s="807" t="n">
        <f aca="false">MONTH(C71)</f>
        <v>7</v>
      </c>
      <c r="F71" s="1154" t="e">
        <f aca="false">IF(G71="","",Holiday(D71,E71))</f>
        <v>#VALUE!</v>
      </c>
      <c r="G71" s="1155" t="n">
        <v>38169</v>
      </c>
      <c r="H71" s="1156" t="n">
        <v>38199</v>
      </c>
      <c r="I71" s="1157" t="n">
        <f aca="false">I70</f>
        <v>0.0715</v>
      </c>
      <c r="J71" s="1158" t="n">
        <f aca="false">(1+I71/2)^(-2*(DATE(D72,E72,20)-$H$7)/365.25)</f>
        <v>0.719715934896561</v>
      </c>
      <c r="K71" s="1159" t="e">
        <f aca="false">IF(#REF!=1,+#REF!,I71+#REF!/10000)</f>
        <v>#REF!</v>
      </c>
      <c r="L71" s="1158" t="e">
        <f aca="false">(1+K71/2)^(-2*(DATE(D72,E72,20)-$H$7)/365.25)</f>
        <v>#REF!</v>
      </c>
      <c r="M71" s="1082" t="n">
        <v>0</v>
      </c>
      <c r="N71" s="1110" t="n">
        <f aca="false">M71</f>
        <v>0</v>
      </c>
      <c r="O71" s="1174" t="n">
        <f aca="false">N71</f>
        <v>0</v>
      </c>
      <c r="P71" s="1175" t="n">
        <f aca="false">M71</f>
        <v>0</v>
      </c>
      <c r="Q71" s="1110" t="n">
        <f aca="false">P71</f>
        <v>0</v>
      </c>
      <c r="R71" s="1174" t="n">
        <f aca="false">Q71</f>
        <v>0</v>
      </c>
      <c r="S71" s="1110" t="n">
        <f aca="false">R71</f>
        <v>0</v>
      </c>
      <c r="T71" s="1110" t="n">
        <f aca="false">S71</f>
        <v>0</v>
      </c>
      <c r="U71" s="1110" t="n">
        <f aca="false">T71</f>
        <v>0</v>
      </c>
      <c r="V71" s="1175" t="n">
        <f aca="false">U71</f>
        <v>0</v>
      </c>
      <c r="W71" s="1110" t="n">
        <f aca="false">V71</f>
        <v>0</v>
      </c>
      <c r="X71" s="1176" t="n">
        <f aca="false">W71</f>
        <v>0</v>
      </c>
      <c r="Y71" s="1086" t="n">
        <v>0</v>
      </c>
      <c r="Z71" s="1086" t="n">
        <v>0</v>
      </c>
      <c r="AA71" s="1087" t="n">
        <v>0</v>
      </c>
      <c r="AB71" s="1086" t="n">
        <v>0</v>
      </c>
      <c r="AC71" s="1086" t="n">
        <v>0</v>
      </c>
      <c r="AD71" s="1087" t="n">
        <v>0</v>
      </c>
      <c r="AE71" s="1086" t="n">
        <v>0</v>
      </c>
      <c r="AF71" s="1086" t="n">
        <v>0</v>
      </c>
      <c r="AG71" s="1087" t="n">
        <v>0</v>
      </c>
      <c r="AH71" s="1086" t="n">
        <v>0</v>
      </c>
      <c r="AI71" s="1086" t="n">
        <v>0</v>
      </c>
      <c r="AJ71" s="1087" t="n">
        <v>0</v>
      </c>
      <c r="AK71" s="1086" t="n">
        <v>0</v>
      </c>
      <c r="AL71" s="1086" t="n">
        <v>0</v>
      </c>
      <c r="AM71" s="1087" t="n">
        <v>0</v>
      </c>
      <c r="AN71" s="1086" t="n">
        <v>0</v>
      </c>
      <c r="AO71" s="1086" t="n">
        <v>0</v>
      </c>
      <c r="AP71" s="1087" t="n">
        <v>0</v>
      </c>
      <c r="AQ71" s="1086" t="n">
        <v>0</v>
      </c>
      <c r="AR71" s="1086" t="n">
        <v>0</v>
      </c>
      <c r="AS71" s="1087" t="n">
        <v>0</v>
      </c>
      <c r="AT71" s="1086" t="n">
        <v>0</v>
      </c>
      <c r="AU71" s="1086" t="n">
        <v>0</v>
      </c>
      <c r="AV71" s="1086" t="n">
        <v>0</v>
      </c>
      <c r="AW71" s="1172" t="n">
        <v>0</v>
      </c>
      <c r="AX71" s="807" t="e">
        <f aca="false">BB71-SUM(AY71:BA71)</f>
        <v>#VALUE!</v>
      </c>
      <c r="AY71" s="807" t="e">
        <f aca="false">IF(AND($E71=MONTH(Summary!$E$24),$D71=YEAR(Summary!$E$24)),Summary!$E$25,1)*IF(G71="",0,INT((H71-MOD(H71,7)-G71)/7)+1-IF(BA71,IF(WEEKDAY(F71)=7,1,0),0))</f>
        <v>#VALUE!</v>
      </c>
      <c r="AZ71" s="807" t="e">
        <f aca="false">IF(AND($E71=MONTH(Summary!$E$24),$D71=YEAR(Summary!$E$24)),Summary!$E$25,1)*IF(G71="",0,INT((H71-MOD(H71-1,7)-G71)/7)+1-IF(BA71,IF(WEEKDAY(F71)=1,1,0),0))</f>
        <v>#VALUE!</v>
      </c>
      <c r="BA71" s="807" t="n">
        <v>1</v>
      </c>
      <c r="BB71" s="807" t="n">
        <f aca="false">IF(AND($E71=MONTH(Summary!$E$24),$D71=YEAR(Summary!$E$24)),Summary!$E$25,1)*IF(G71="",0,H71-G71+1)</f>
        <v>31</v>
      </c>
      <c r="BC71" s="1089" t="n">
        <f aca="false">Summary!$E$19</f>
        <v>0.015</v>
      </c>
      <c r="BD71" s="1090" t="n">
        <v>14893.2</v>
      </c>
      <c r="BE71" s="1091" t="n">
        <v>3546</v>
      </c>
      <c r="BF71" s="1091" t="n">
        <v>3546</v>
      </c>
      <c r="BG71" s="842"/>
      <c r="BH71" s="1092" t="n">
        <v>1</v>
      </c>
      <c r="BI71" s="1092" t="n">
        <v>1</v>
      </c>
      <c r="BJ71" s="1092" t="n">
        <v>1</v>
      </c>
      <c r="BK71" s="1092" t="n">
        <v>1</v>
      </c>
      <c r="BL71" s="1093" t="n">
        <v>2978.64</v>
      </c>
      <c r="BM71" s="1091" t="n">
        <v>709.2</v>
      </c>
      <c r="BN71" s="1091" t="n">
        <v>709.2</v>
      </c>
      <c r="BO71" s="842"/>
      <c r="BP71" s="1092" t="n">
        <v>1</v>
      </c>
      <c r="BQ71" s="1094" t="n">
        <v>1</v>
      </c>
      <c r="BR71" s="1094" t="n">
        <v>1</v>
      </c>
      <c r="BS71" s="1095" t="n">
        <v>1</v>
      </c>
      <c r="BT71" s="1093" t="n">
        <f aca="false">SUM(BD71:BF71)</f>
        <v>21985.2</v>
      </c>
      <c r="BU71" s="1098" t="n">
        <f aca="false">SUM(BD71:BG71)</f>
        <v>21985.2</v>
      </c>
      <c r="BV71" s="1090" t="n">
        <f aca="false">SUM(BL71:BN71)</f>
        <v>4397.04</v>
      </c>
      <c r="BW71" s="1098" t="n">
        <f aca="false">SUM(BL71:BO71)</f>
        <v>4397.04</v>
      </c>
      <c r="BX71" s="852" t="n">
        <v>4.54483230663929</v>
      </c>
      <c r="BY71" s="1099" t="n">
        <v>0</v>
      </c>
      <c r="BZ71" s="852" t="n">
        <v>0</v>
      </c>
      <c r="CA71" s="852" t="n">
        <v>0</v>
      </c>
      <c r="CB71" s="852" t="n">
        <v>0</v>
      </c>
      <c r="CC71" s="852" t="n">
        <v>0</v>
      </c>
      <c r="CD71" s="852" t="n">
        <v>0</v>
      </c>
      <c r="CE71" s="1100" t="n">
        <v>0</v>
      </c>
      <c r="CF71" s="852" t="n">
        <v>0</v>
      </c>
      <c r="CG71" s="852" t="n">
        <v>0</v>
      </c>
      <c r="CH71" s="852" t="n">
        <v>0</v>
      </c>
      <c r="CI71" s="852" t="n">
        <v>0</v>
      </c>
      <c r="CJ71" s="1101" t="n">
        <v>0</v>
      </c>
      <c r="CK71" s="852" t="n">
        <v>0</v>
      </c>
      <c r="CL71" s="852" t="n">
        <v>0</v>
      </c>
      <c r="CM71" s="852" t="n">
        <v>0</v>
      </c>
      <c r="CN71" s="852" t="n">
        <v>0</v>
      </c>
      <c r="CO71" s="852" t="n">
        <v>0</v>
      </c>
      <c r="CP71" s="852" t="n">
        <v>0</v>
      </c>
      <c r="CQ71" s="1102" t="n">
        <v>0</v>
      </c>
      <c r="CR71" s="1103" t="n">
        <v>0</v>
      </c>
      <c r="CS71" s="1103" t="n">
        <v>0</v>
      </c>
      <c r="CT71" s="1103" t="n">
        <v>0</v>
      </c>
      <c r="CU71" s="1103" t="n">
        <v>0</v>
      </c>
      <c r="CV71" s="1103" t="n">
        <v>0</v>
      </c>
      <c r="CW71" s="1103" t="n">
        <v>0</v>
      </c>
      <c r="CX71" s="1104" t="n">
        <v>0</v>
      </c>
      <c r="CY71" s="1105" t="n">
        <v>7726.76816</v>
      </c>
      <c r="CZ71" s="1099" t="n">
        <v>0</v>
      </c>
      <c r="DA71" s="852" t="n">
        <v>0</v>
      </c>
      <c r="DB71" s="852" t="n">
        <v>0</v>
      </c>
      <c r="DC71" s="852" t="n">
        <v>0</v>
      </c>
      <c r="DD71" s="852" t="n">
        <v>0</v>
      </c>
      <c r="DE71" s="1113" t="n">
        <v>0</v>
      </c>
      <c r="DF71" s="1109" t="n">
        <v>0</v>
      </c>
      <c r="DG71" s="1110" t="n">
        <v>0</v>
      </c>
      <c r="DH71" s="1111" t="n">
        <v>0</v>
      </c>
      <c r="DI71" s="1112" t="n">
        <v>0</v>
      </c>
      <c r="DJ71" s="1112" t="n">
        <v>0</v>
      </c>
      <c r="DK71" s="1112" t="n">
        <v>0</v>
      </c>
      <c r="DL71" s="1113" t="n">
        <v>0</v>
      </c>
      <c r="DM71" s="1114" t="n">
        <v>0</v>
      </c>
      <c r="DN71" s="1114" t="n">
        <v>0</v>
      </c>
      <c r="DO71" s="1114" t="n">
        <v>0</v>
      </c>
      <c r="DP71" s="1114" t="n">
        <v>0</v>
      </c>
      <c r="DQ71" s="1114" t="n">
        <v>0</v>
      </c>
      <c r="DR71" s="1109" t="n">
        <v>0</v>
      </c>
      <c r="DS71" s="852" t="n">
        <v>0</v>
      </c>
      <c r="DT71" s="852" t="n">
        <v>0</v>
      </c>
      <c r="DU71" s="852" t="n">
        <v>0</v>
      </c>
      <c r="DV71" s="852" t="n">
        <v>0</v>
      </c>
      <c r="DW71" s="852" t="n">
        <v>0</v>
      </c>
      <c r="DX71" s="852" t="n">
        <v>0</v>
      </c>
      <c r="DY71" s="852" t="n">
        <v>0</v>
      </c>
      <c r="DZ71" s="852" t="n">
        <v>0</v>
      </c>
      <c r="EA71" s="852" t="n">
        <v>0</v>
      </c>
      <c r="EB71" s="1113" t="n">
        <v>0</v>
      </c>
      <c r="EC71" s="1115" t="n">
        <f aca="false">DS71*BD71</f>
        <v>0</v>
      </c>
      <c r="ED71" s="1115" t="n">
        <f aca="false">DT71*BE71</f>
        <v>0</v>
      </c>
      <c r="EE71" s="1115" t="n">
        <f aca="false">DU71*BF71</f>
        <v>0</v>
      </c>
      <c r="EF71" s="1115" t="n">
        <f aca="false">DV71*BG71</f>
        <v>0</v>
      </c>
      <c r="EG71" s="1115" t="n">
        <f aca="false">DS71*BD71+DT71*BE71+DU71*BF71+DV71*BG71</f>
        <v>0</v>
      </c>
      <c r="EH71" s="1116" t="n">
        <v>0</v>
      </c>
      <c r="EI71" s="1117" t="n">
        <v>0</v>
      </c>
      <c r="EJ71" s="1117" t="n">
        <v>0</v>
      </c>
      <c r="EK71" s="1117" t="n">
        <v>0</v>
      </c>
      <c r="EL71" s="1118" t="n">
        <f aca="false">IF(C71&gt;=Summary!$E$26,MAX(0,SUM(EH71:EK71)),0)</f>
        <v>0</v>
      </c>
      <c r="EM71" s="1115" t="n">
        <f aca="false">IF(C71&gt;=Summary!$E$26,DX71*BL71,0)</f>
        <v>0</v>
      </c>
      <c r="EN71" s="1115" t="n">
        <f aca="false">IF(C71&gt;=Summary!$E$26,DY71*BM71,0)</f>
        <v>0</v>
      </c>
      <c r="EO71" s="1115" t="n">
        <f aca="false">IF(C71&gt;=Summary!$E$26,DZ71*BN71,0)</f>
        <v>0</v>
      </c>
      <c r="EP71" s="1115" t="n">
        <f aca="false">IF(C71&gt;=Summary!$E$26,EA71*BO71,0)</f>
        <v>0</v>
      </c>
      <c r="EQ71" s="1115" t="n">
        <f aca="false">IF(C71&gt;=Summary!$E$26,DX71*BL71+DY71*BM71+DZ71*BN71+EA71*BO71,0)</f>
        <v>0</v>
      </c>
      <c r="ER71" s="1119" t="n">
        <v>0</v>
      </c>
      <c r="ES71" s="1120" t="n">
        <v>0</v>
      </c>
      <c r="ET71" s="1120" t="n">
        <v>0</v>
      </c>
      <c r="EU71" s="1120" t="n">
        <v>0</v>
      </c>
      <c r="EV71" s="1143" t="n">
        <f aca="false">IF(C71&gt;=Summary!$E$26,MAX(0,SUM(ER71:EU71)),0)</f>
        <v>0</v>
      </c>
      <c r="EW71" s="1115"/>
      <c r="EX71" s="1165" t="n">
        <f aca="false">(EQ71-EV71)+IF(EZ71="Yes",(EG71-EL71),0)</f>
        <v>0</v>
      </c>
      <c r="EY71" s="1166" t="str">
        <f aca="false">IF(EX71,EX71/EQ71,"")</f>
        <v/>
      </c>
      <c r="EZ71" s="1122" t="s">
        <v>37</v>
      </c>
      <c r="FA71" s="1096" t="n">
        <f aca="false">FA70</f>
        <v>45</v>
      </c>
      <c r="FB71" s="1167" t="e">
        <f aca="false">IF(EZ71="No",IF((OR(MONTH(C71)=5,MONTH(C71)=6,MONTH(C71)=7,MONTH(C71)=8,MONTH(C71)=9)),$FA71*12*AX71*(1-$BC71),$FA71*10*AX71*(1-$BC71)),0)</f>
        <v>#VALUE!</v>
      </c>
      <c r="FC71" s="1129" t="n">
        <f aca="false">IF(EZ71="No",IF((OR(MONTH(C71)=5,MONTH(C71)=6,MONTH(C71)=7,MONTH(C71)=8,MONTH(C71)=9)),0,$FA71*3*AX71*(1-$BC71)),0)</f>
        <v>0</v>
      </c>
      <c r="FD71" s="1129" t="e">
        <f aca="false">IF(EZ71="No",IF((OR(MONTH(C71)=5,MONTH(C71)=6,MONTH(C71)=7,MONTH(C71)=8,MONTH(C71)=9)),$FA71*12*AY71*(1-$BC71),$FA71*10*AY71*(1-$BC71)),0)</f>
        <v>#VALUE!</v>
      </c>
      <c r="FE71" s="1129" t="n">
        <f aca="false">IF(EZ71="No",IF((OR(MONTH(C71)=5,MONTH(C71)=6,MONTH(C71)=7,MONTH(C71)=8,MONTH(C71)=9)),0,$FA71*3*AY71*(1-$BC71)),0)</f>
        <v>0</v>
      </c>
      <c r="FF71" s="1129" t="e">
        <f aca="false">IF(EZ71="No",IF((OR(MONTH(C71)=5,MONTH(C71)=6,MONTH(C71)=7,MONTH(C71)=8,MONTH(C71)=9)),$FA71*12*(AZ71+BA71)*(1-$BC71),$FA71*10*(AZ71+BA71)*(1-$BC71)),0)</f>
        <v>#VALUE!</v>
      </c>
      <c r="FG71" s="1129" t="n">
        <f aca="false">IF(EZ71="No",IF((OR(MONTH(C71)=5,MONTH(C71)=6,MONTH(C71)=7,MONTH(C71)=8,MONTH(C71)=9)),0,$FA71*3*(AZ71+BA71)*(1-$BC71)),0)</f>
        <v>0</v>
      </c>
      <c r="FH71" s="1170" t="e">
        <f aca="false">IF(EZ71="No",IF((OR(MONTH(C71)=5,MONTH(C71)=6,MONTH(C71)=7,MONTH(C71)=8,MONTH(C71)=9)),Summary!$O$15*12*(AX71+AY71+AZ71+BA71)*(1-$BC71),Summary!$O$15*13*(AX71+AY71+AZ71+BA71)*(1-$BC71)+IF(Summary!$O$16="Yes",(CALC!FA71+Summary!$O$15)*6*(AX71+AY71+AZ71+BA71)*(1-$BC71),0)),0)</f>
        <v>#VALUE!</v>
      </c>
      <c r="FI71" s="1126" t="n">
        <f aca="false">IF(MONTH(C71)=5,FI70*(IF(Summary!$E$70="no",(1+(Summary!$E$71*0.8)),1+HLOOKUP(YEAR(C71)-1,CCFMODEL!$I$127:$AF$128,2)*0.8)),+FI70)</f>
        <v>29.9518363804076</v>
      </c>
      <c r="FJ71" s="1127" t="n">
        <f aca="false">IF(MONTH(C71)=5,FJ70*(IF(Summary!$E$70="no",(1+(Summary!$E$71*0.8)),1+HLOOKUP(YEAR(CALC!C71)-1,CCFMODEL!$I$127:$AF$128,2)*0.8)),FJ70)</f>
        <v>26.1783766789389</v>
      </c>
      <c r="FK71" s="1128" t="e">
        <f aca="false">SUM(FB71:FG71)*FI71+FH71*FJ71</f>
        <v>#VALUE!</v>
      </c>
      <c r="FL71" s="1126" t="n">
        <f aca="false">IF(MONTH(C71)=5,FL70*(IF(Summary!$E$70="no",(1+(Summary!$E$71*0.8)),1+HLOOKUP(YEAR(CALC!C71)-1,CCFMODEL!$I$127:$AF$128,2)*0.8)),+FL70)</f>
        <v>62.9920698379101</v>
      </c>
      <c r="FM71" s="1127" t="n">
        <f aca="false">IF(MONTH(C71)=5,FM70*(IF(Summary!$E$70="no",(1+(Summary!$E$71*0.8)),1+HLOOKUP(YEAR(CALC!C71)-1,CCFMODEL!$I$127:$AF$128,2)*0.8)),+FM70)</f>
        <v>30.0641417286656</v>
      </c>
      <c r="FN71" s="1128" t="e">
        <f aca="false">IF((OR(MONTH(C71)=5,MONTH(C71)=6,MONTH(C71)=7,MONTH(C71)=8,MONTH(C71)=9)),SUM(FB71:FG71)/(1-BC71)*FL71,SUM(FB71:FG71)/(1-BC71)*FM71)</f>
        <v>#VALUE!</v>
      </c>
      <c r="FO71" s="1129" t="e">
        <f aca="false">FK71+FN71</f>
        <v>#VALUE!</v>
      </c>
      <c r="FP71" s="1169" t="e">
        <f aca="false">FB71</f>
        <v>#VALUE!</v>
      </c>
      <c r="FQ71" s="1129" t="n">
        <f aca="false">FC71</f>
        <v>0</v>
      </c>
      <c r="FR71" s="1129" t="e">
        <f aca="false">FD71</f>
        <v>#VALUE!</v>
      </c>
      <c r="FS71" s="1129" t="n">
        <f aca="false">FE71</f>
        <v>0</v>
      </c>
      <c r="FT71" s="1129" t="e">
        <f aca="false">FF71</f>
        <v>#VALUE!</v>
      </c>
      <c r="FU71" s="1129" t="n">
        <f aca="false">FG71</f>
        <v>0</v>
      </c>
      <c r="FV71" s="1170" t="e">
        <f aca="false">FH71</f>
        <v>#VALUE!</v>
      </c>
      <c r="FW71" s="1115" t="n">
        <f aca="false">IF(ER71&gt;0,MIN(FB71-FP71,BL71),0)</f>
        <v>0</v>
      </c>
      <c r="FX71" s="1115" t="n">
        <f aca="false">IF(ES71&gt;0,MIN(FD71-FR71,BM71),0)</f>
        <v>0</v>
      </c>
      <c r="FY71" s="1115" t="n">
        <f aca="false">IF(ET71&gt;0,MIN(FF71-FT71,BN71),0)</f>
        <v>0</v>
      </c>
      <c r="FZ71" s="1143" t="n">
        <f aca="false">IF(EU71&gt;0,MIN(FH71-FV71,BO71),0)</f>
        <v>0</v>
      </c>
      <c r="GA71" s="1132" t="e">
        <f aca="false">(SUM(FP71:FV71)+SUM(GU71:HB71)/(1-Summary!$O$25))*CY71/1000</f>
        <v>#VALUE!</v>
      </c>
      <c r="GB71" s="1133" t="n">
        <f aca="false">IF($C71&lt;Summary!$M$81,+Summary!$O$81,VLOOKUP(C71,GasTable,19))</f>
        <v>2.4</v>
      </c>
      <c r="GC71" s="1134" t="e">
        <f aca="false">IF(H71&lt;=Summary!$N$84,MIN(GA71,Summary!$O$75*(H71-G71+1)),0)</f>
        <v>#VALUE!</v>
      </c>
      <c r="GD71" s="1135" t="e">
        <f aca="false">IF(Summary!$O$75*(H71-G71+1)*0.8&gt;GC71,1,0)</f>
        <v>#VALUE!</v>
      </c>
      <c r="GE71" s="1136" t="n">
        <v>0</v>
      </c>
      <c r="GF71" s="1134" t="e">
        <f aca="false">ABS(MIN(0,GC71-$GA71))</f>
        <v>#VALUE!</v>
      </c>
      <c r="GG71" s="1135" t="e">
        <f aca="false">GF71*(IF(Summary!$O$74=1,VLOOKUP($C71,GasTable,16)+Summary!$O$92+Summary!$O$93,VLOOKUP($C71,GasTable,19)+Summary!$O$92+Summary!$O$93))</f>
        <v>#VALUE!</v>
      </c>
      <c r="GH71" s="1137" t="n">
        <v>18352</v>
      </c>
      <c r="GI71" s="1138" t="n">
        <v>0</v>
      </c>
      <c r="GJ71" s="1139" t="e">
        <f aca="false">+GB71*GC71+GE71+GG71+GH71-GI71</f>
        <v>#VALUE!</v>
      </c>
      <c r="GK71" s="1115" t="e">
        <f aca="false">SUM(FP71:FV71,GU71:GX71,GY71:HB71)</f>
        <v>#VALUE!</v>
      </c>
      <c r="GL71" s="1140" t="n">
        <v>0.758768633312</v>
      </c>
      <c r="GM71" s="1141" t="e">
        <f aca="false">IF(GK71&gt;GC71/(CY71/1000),GC71/(CY71/1000),+GK71)*GL71</f>
        <v>#VALUE!</v>
      </c>
      <c r="GN71" s="1115" t="n">
        <f aca="false">IF(SUM(GU71:HB71)=0,0,IF(Summary!$O$16="Yes",SUM(GX71:HB71),IF(Summary!$O$17="Yes",SUM(GY71:HB71),SUM(GU71:HB71))))</f>
        <v>9547.0731</v>
      </c>
      <c r="GO71" s="1142" t="n">
        <v>2.67817696726971</v>
      </c>
      <c r="GP71" s="1143" t="n">
        <f aca="false">GN71*GO71</f>
        <v>25568.7512812602</v>
      </c>
      <c r="GQ71" s="1115"/>
      <c r="GR71" s="1115"/>
      <c r="GS71" s="1115"/>
      <c r="GT71" s="1115"/>
      <c r="GU71" s="1150" t="n">
        <v>3592.9845</v>
      </c>
      <c r="GV71" s="1115" t="n">
        <v>855.4725</v>
      </c>
      <c r="GW71" s="1115" t="n">
        <v>855.4725</v>
      </c>
      <c r="GX71" s="1115"/>
      <c r="GY71" s="1151" t="n">
        <v>2874.3876</v>
      </c>
      <c r="GZ71" s="1115" t="n">
        <v>684.378</v>
      </c>
      <c r="HA71" s="1115" t="n">
        <v>684.378</v>
      </c>
      <c r="HB71" s="1141"/>
      <c r="HC71" s="1115" t="n">
        <v>9547.0731</v>
      </c>
      <c r="HD71" s="1115"/>
      <c r="HE71" s="1115" t="n">
        <v>22276.5039</v>
      </c>
      <c r="HF71" s="1115" t="n">
        <v>325070.930380257</v>
      </c>
      <c r="HG71" s="1115"/>
      <c r="HH71" s="1142" t="n">
        <v>36.0573306691538</v>
      </c>
      <c r="HI71" s="1115" t="n">
        <v>803231.267274994</v>
      </c>
      <c r="HJ71" s="1150" t="e">
        <f aca="false">MAX(FB71-FP71-FW71,0)</f>
        <v>#VALUE!</v>
      </c>
      <c r="HK71" s="1115" t="e">
        <f aca="false">MAX(FD71-FR71-FX71,0)</f>
        <v>#VALUE!</v>
      </c>
      <c r="HL71" s="1115" t="e">
        <f aca="false">MAX(FF71-FT71-FY71,0)</f>
        <v>#VALUE!</v>
      </c>
      <c r="HM71" s="1141" t="e">
        <f aca="false">MAX(FH71-FV71-FZ71,0)</f>
        <v>#VALUE!</v>
      </c>
      <c r="HN71" s="1115" t="e">
        <f aca="false">SUM(HJ71:HM71)</f>
        <v>#VALUE!</v>
      </c>
      <c r="HO71" s="1142" t="n">
        <f aca="false">IF(ISERROR(+HP71/HN71),0,+HP71/HN71)</f>
        <v>0</v>
      </c>
      <c r="HP71" s="1143" t="e">
        <f aca="false">(HJ71*CE71+HK71*CF71+HL71*CG71+HM71*CH71)</f>
        <v>#VALUE!</v>
      </c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P71" s="222"/>
      <c r="IQ71" s="222"/>
      <c r="IR71" s="844"/>
    </row>
    <row r="72" customFormat="false" ht="13.5" hidden="false" customHeight="false" outlineLevel="0" collapsed="false">
      <c r="A72" s="0" t="str">
        <f aca="false">+D72&amp;"Q"&amp;ROUNDUP(E72/3,0)</f>
        <v>2004Q3</v>
      </c>
      <c r="B72" s="0" t="n">
        <f aca="false">YEAR(C72)</f>
        <v>2004</v>
      </c>
      <c r="C72" s="1153" t="n">
        <f aca="false">EOMONTH(C71,0)+1</f>
        <v>38200</v>
      </c>
      <c r="D72" s="841" t="n">
        <f aca="false">+YEAR(C72)</f>
        <v>2004</v>
      </c>
      <c r="E72" s="807" t="n">
        <f aca="false">MONTH(C72)</f>
        <v>8</v>
      </c>
      <c r="F72" s="1154" t="e">
        <f aca="false">IF(G72="","",Holiday(D72,E72))</f>
        <v>#VALUE!</v>
      </c>
      <c r="G72" s="1155" t="n">
        <v>38200</v>
      </c>
      <c r="H72" s="1156" t="n">
        <v>38230</v>
      </c>
      <c r="I72" s="1157" t="n">
        <f aca="false">I71</f>
        <v>0.0715</v>
      </c>
      <c r="J72" s="1158" t="n">
        <f aca="false">(1+I72/2)^(-2*(DATE(D73,E73,20)-$H$7)/365.25)</f>
        <v>0.715437403367131</v>
      </c>
      <c r="K72" s="1159" t="e">
        <f aca="false">IF(#REF!=1,+#REF!,I72+#REF!/10000)</f>
        <v>#REF!</v>
      </c>
      <c r="L72" s="1158" t="e">
        <f aca="false">(1+K72/2)^(-2*(DATE(D73,E73,20)-$H$7)/365.25)</f>
        <v>#REF!</v>
      </c>
      <c r="M72" s="1082" t="n">
        <v>0</v>
      </c>
      <c r="N72" s="1110" t="n">
        <f aca="false">M72</f>
        <v>0</v>
      </c>
      <c r="O72" s="1174" t="n">
        <f aca="false">N72</f>
        <v>0</v>
      </c>
      <c r="P72" s="1175" t="n">
        <f aca="false">M72</f>
        <v>0</v>
      </c>
      <c r="Q72" s="1110" t="n">
        <f aca="false">P72</f>
        <v>0</v>
      </c>
      <c r="R72" s="1174" t="n">
        <f aca="false">Q72</f>
        <v>0</v>
      </c>
      <c r="S72" s="1110" t="n">
        <f aca="false">R72</f>
        <v>0</v>
      </c>
      <c r="T72" s="1110" t="n">
        <f aca="false">S72</f>
        <v>0</v>
      </c>
      <c r="U72" s="1110" t="n">
        <f aca="false">T72</f>
        <v>0</v>
      </c>
      <c r="V72" s="1175" t="n">
        <f aca="false">U72</f>
        <v>0</v>
      </c>
      <c r="W72" s="1110" t="n">
        <f aca="false">V72</f>
        <v>0</v>
      </c>
      <c r="X72" s="1176" t="n">
        <f aca="false">W72</f>
        <v>0</v>
      </c>
      <c r="Y72" s="1086" t="n">
        <v>0</v>
      </c>
      <c r="Z72" s="1086" t="n">
        <v>0</v>
      </c>
      <c r="AA72" s="1087" t="n">
        <v>0</v>
      </c>
      <c r="AB72" s="1086" t="n">
        <v>0</v>
      </c>
      <c r="AC72" s="1086" t="n">
        <v>0</v>
      </c>
      <c r="AD72" s="1087" t="n">
        <v>0</v>
      </c>
      <c r="AE72" s="1086" t="n">
        <v>0</v>
      </c>
      <c r="AF72" s="1086" t="n">
        <v>0</v>
      </c>
      <c r="AG72" s="1087" t="n">
        <v>0</v>
      </c>
      <c r="AH72" s="1086" t="n">
        <v>0</v>
      </c>
      <c r="AI72" s="1086" t="n">
        <v>0</v>
      </c>
      <c r="AJ72" s="1087" t="n">
        <v>0</v>
      </c>
      <c r="AK72" s="1086" t="n">
        <v>0</v>
      </c>
      <c r="AL72" s="1086" t="n">
        <v>0</v>
      </c>
      <c r="AM72" s="1087" t="n">
        <v>0</v>
      </c>
      <c r="AN72" s="1086" t="n">
        <v>0</v>
      </c>
      <c r="AO72" s="1086" t="n">
        <v>0</v>
      </c>
      <c r="AP72" s="1087" t="n">
        <v>0</v>
      </c>
      <c r="AQ72" s="1086" t="n">
        <v>0</v>
      </c>
      <c r="AR72" s="1086" t="n">
        <v>0</v>
      </c>
      <c r="AS72" s="1087" t="n">
        <v>0</v>
      </c>
      <c r="AT72" s="1086" t="n">
        <v>0</v>
      </c>
      <c r="AU72" s="1086" t="n">
        <v>0</v>
      </c>
      <c r="AV72" s="1086" t="n">
        <v>0</v>
      </c>
      <c r="AW72" s="1172" t="n">
        <v>0</v>
      </c>
      <c r="AX72" s="807" t="n">
        <f aca="false">BB72-SUM(AY72:BA72)</f>
        <v>22</v>
      </c>
      <c r="AY72" s="807" t="n">
        <f aca="false">IF(AND($E72=MONTH(Summary!$E$24),$D72=YEAR(Summary!$E$24)),Summary!$E$25,1)*IF(G72="",0,INT((H72-MOD(H72,7)-G72)/7)+1-IF(BA72,IF(WEEKDAY(F72)=7,1,0),0))</f>
        <v>4</v>
      </c>
      <c r="AZ72" s="807" t="n">
        <f aca="false">IF(AND($E72=MONTH(Summary!$E$24),$D72=YEAR(Summary!$E$24)),Summary!$E$25,1)*IF(G72="",0,INT((H72-MOD(H72-1,7)-G72)/7)+1-IF(BA72,IF(WEEKDAY(F72)=1,1,0),0))</f>
        <v>5</v>
      </c>
      <c r="BA72" s="807" t="n">
        <v>0</v>
      </c>
      <c r="BB72" s="807" t="n">
        <f aca="false">IF(AND($E72=MONTH(Summary!$E$24),$D72=YEAR(Summary!$E$24)),Summary!$E$25,1)*IF(G72="",0,H72-G72+1)</f>
        <v>31</v>
      </c>
      <c r="BC72" s="1089" t="n">
        <f aca="false">Summary!$E$19</f>
        <v>0.015</v>
      </c>
      <c r="BD72" s="1090" t="n">
        <v>15602.4</v>
      </c>
      <c r="BE72" s="1091" t="n">
        <v>2836.8</v>
      </c>
      <c r="BF72" s="1091" t="n">
        <v>3546</v>
      </c>
      <c r="BG72" s="842"/>
      <c r="BH72" s="1092" t="n">
        <v>1</v>
      </c>
      <c r="BI72" s="1092" t="n">
        <v>1</v>
      </c>
      <c r="BJ72" s="1092" t="n">
        <v>1</v>
      </c>
      <c r="BK72" s="1092" t="n">
        <v>1</v>
      </c>
      <c r="BL72" s="1093" t="n">
        <v>3120.48</v>
      </c>
      <c r="BM72" s="1091" t="n">
        <v>567.36</v>
      </c>
      <c r="BN72" s="1091" t="n">
        <v>709.2</v>
      </c>
      <c r="BO72" s="842"/>
      <c r="BP72" s="1092" t="n">
        <v>1</v>
      </c>
      <c r="BQ72" s="1094" t="n">
        <v>1</v>
      </c>
      <c r="BR72" s="1094" t="n">
        <v>1</v>
      </c>
      <c r="BS72" s="1095" t="n">
        <v>1</v>
      </c>
      <c r="BT72" s="1093" t="n">
        <f aca="false">SUM(BD72:BF72)</f>
        <v>21985.2</v>
      </c>
      <c r="BU72" s="1098" t="n">
        <f aca="false">SUM(BD72:BG72)</f>
        <v>21985.2</v>
      </c>
      <c r="BV72" s="1090" t="n">
        <f aca="false">SUM(BL72:BN72)</f>
        <v>4397.04</v>
      </c>
      <c r="BW72" s="1098" t="n">
        <f aca="false">SUM(BL72:BO72)</f>
        <v>4397.04</v>
      </c>
      <c r="BX72" s="852" t="n">
        <v>4.62970568104038</v>
      </c>
      <c r="BY72" s="1099" t="n">
        <v>0</v>
      </c>
      <c r="BZ72" s="852" t="n">
        <v>0</v>
      </c>
      <c r="CA72" s="852" t="n">
        <v>0</v>
      </c>
      <c r="CB72" s="852" t="n">
        <v>0</v>
      </c>
      <c r="CC72" s="852" t="n">
        <v>0</v>
      </c>
      <c r="CD72" s="852" t="n">
        <v>0</v>
      </c>
      <c r="CE72" s="1100" t="n">
        <v>0</v>
      </c>
      <c r="CF72" s="852" t="n">
        <v>0</v>
      </c>
      <c r="CG72" s="852" t="n">
        <v>0</v>
      </c>
      <c r="CH72" s="852" t="n">
        <v>0</v>
      </c>
      <c r="CI72" s="852" t="n">
        <v>0</v>
      </c>
      <c r="CJ72" s="1101" t="n">
        <v>0</v>
      </c>
      <c r="CK72" s="852" t="n">
        <v>0</v>
      </c>
      <c r="CL72" s="852" t="n">
        <v>0</v>
      </c>
      <c r="CM72" s="852" t="n">
        <v>0</v>
      </c>
      <c r="CN72" s="852" t="n">
        <v>0</v>
      </c>
      <c r="CO72" s="852" t="n">
        <v>0</v>
      </c>
      <c r="CP72" s="852" t="n">
        <v>0</v>
      </c>
      <c r="CQ72" s="1102" t="n">
        <v>0</v>
      </c>
      <c r="CR72" s="1103" t="n">
        <v>0</v>
      </c>
      <c r="CS72" s="1103" t="n">
        <v>0</v>
      </c>
      <c r="CT72" s="1103" t="n">
        <v>0</v>
      </c>
      <c r="CU72" s="1103" t="n">
        <v>0</v>
      </c>
      <c r="CV72" s="1103" t="n">
        <v>0</v>
      </c>
      <c r="CW72" s="1103" t="n">
        <v>0</v>
      </c>
      <c r="CX72" s="1104" t="n">
        <v>0</v>
      </c>
      <c r="CY72" s="1105" t="n">
        <v>7728.07104</v>
      </c>
      <c r="CZ72" s="1099" t="n">
        <v>0</v>
      </c>
      <c r="DA72" s="852" t="n">
        <v>0</v>
      </c>
      <c r="DB72" s="852" t="n">
        <v>0</v>
      </c>
      <c r="DC72" s="852" t="n">
        <v>0</v>
      </c>
      <c r="DD72" s="852" t="n">
        <v>0</v>
      </c>
      <c r="DE72" s="1113" t="n">
        <v>0</v>
      </c>
      <c r="DF72" s="1109" t="n">
        <v>0</v>
      </c>
      <c r="DG72" s="1110" t="n">
        <v>0</v>
      </c>
      <c r="DH72" s="1111" t="n">
        <v>0</v>
      </c>
      <c r="DI72" s="1112" t="n">
        <v>0</v>
      </c>
      <c r="DJ72" s="1112" t="n">
        <v>0</v>
      </c>
      <c r="DK72" s="1112" t="n">
        <v>0</v>
      </c>
      <c r="DL72" s="1113" t="n">
        <v>0</v>
      </c>
      <c r="DM72" s="1114" t="n">
        <v>0</v>
      </c>
      <c r="DN72" s="1114" t="n">
        <v>0</v>
      </c>
      <c r="DO72" s="1114" t="n">
        <v>0</v>
      </c>
      <c r="DP72" s="1114" t="n">
        <v>0</v>
      </c>
      <c r="DQ72" s="1114" t="n">
        <v>0</v>
      </c>
      <c r="DR72" s="1109" t="n">
        <v>0</v>
      </c>
      <c r="DS72" s="852" t="n">
        <v>0</v>
      </c>
      <c r="DT72" s="852" t="n">
        <v>0</v>
      </c>
      <c r="DU72" s="852" t="n">
        <v>0</v>
      </c>
      <c r="DV72" s="852" t="n">
        <v>0</v>
      </c>
      <c r="DW72" s="852" t="n">
        <v>0</v>
      </c>
      <c r="DX72" s="852" t="n">
        <v>0</v>
      </c>
      <c r="DY72" s="852" t="n">
        <v>0</v>
      </c>
      <c r="DZ72" s="852" t="n">
        <v>0</v>
      </c>
      <c r="EA72" s="852" t="n">
        <v>0</v>
      </c>
      <c r="EB72" s="1113" t="n">
        <v>0</v>
      </c>
      <c r="EC72" s="1115" t="n">
        <f aca="false">DS72*BD72</f>
        <v>0</v>
      </c>
      <c r="ED72" s="1115" t="n">
        <f aca="false">DT72*BE72</f>
        <v>0</v>
      </c>
      <c r="EE72" s="1115" t="n">
        <f aca="false">DU72*BF72</f>
        <v>0</v>
      </c>
      <c r="EF72" s="1115" t="n">
        <f aca="false">DV72*BG72</f>
        <v>0</v>
      </c>
      <c r="EG72" s="1115" t="n">
        <f aca="false">DS72*BD72+DT72*BE72+DU72*BF72+DV72*BG72</f>
        <v>0</v>
      </c>
      <c r="EH72" s="1116" t="n">
        <v>0</v>
      </c>
      <c r="EI72" s="1117" t="n">
        <v>0</v>
      </c>
      <c r="EJ72" s="1117" t="n">
        <v>0</v>
      </c>
      <c r="EK72" s="1117" t="n">
        <v>0</v>
      </c>
      <c r="EL72" s="1118" t="n">
        <f aca="false">IF(C72&gt;=Summary!$E$26,MAX(0,SUM(EH72:EK72)),0)</f>
        <v>0</v>
      </c>
      <c r="EM72" s="1115" t="n">
        <f aca="false">IF(C72&gt;=Summary!$E$26,DX72*BL72,0)</f>
        <v>0</v>
      </c>
      <c r="EN72" s="1115" t="n">
        <f aca="false">IF(C72&gt;=Summary!$E$26,DY72*BM72,0)</f>
        <v>0</v>
      </c>
      <c r="EO72" s="1115" t="n">
        <f aca="false">IF(C72&gt;=Summary!$E$26,DZ72*BN72,0)</f>
        <v>0</v>
      </c>
      <c r="EP72" s="1115" t="n">
        <f aca="false">IF(C72&gt;=Summary!$E$26,EA72*BO72,0)</f>
        <v>0</v>
      </c>
      <c r="EQ72" s="1115" t="n">
        <f aca="false">IF(C72&gt;=Summary!$E$26,DX72*BL72+DY72*BM72+DZ72*BN72+EA72*BO72,0)</f>
        <v>0</v>
      </c>
      <c r="ER72" s="1119" t="n">
        <v>0</v>
      </c>
      <c r="ES72" s="1120" t="n">
        <v>0</v>
      </c>
      <c r="ET72" s="1120" t="n">
        <v>0</v>
      </c>
      <c r="EU72" s="1120" t="n">
        <v>0</v>
      </c>
      <c r="EV72" s="1143" t="n">
        <f aca="false">IF(C72&gt;=Summary!$E$26,MAX(0,SUM(ER72:EU72)),0)</f>
        <v>0</v>
      </c>
      <c r="EW72" s="1115"/>
      <c r="EX72" s="1165" t="n">
        <f aca="false">(EQ72-EV72)+IF(EZ72="Yes",(EG72-EL72),0)</f>
        <v>0</v>
      </c>
      <c r="EY72" s="1166" t="str">
        <f aca="false">IF(EX72,EX72/EQ72,"")</f>
        <v/>
      </c>
      <c r="EZ72" s="1122" t="s">
        <v>37</v>
      </c>
      <c r="FA72" s="1096" t="n">
        <f aca="false">FA71</f>
        <v>45</v>
      </c>
      <c r="FB72" s="1167" t="n">
        <f aca="false">IF(EZ72="No",IF((OR(MONTH(C72)=5,MONTH(C72)=6,MONTH(C72)=7,MONTH(C72)=8,MONTH(C72)=9)),$FA72*12*AX72*(1-$BC72),$FA72*10*AX72*(1-$BC72)),0)</f>
        <v>11701.8</v>
      </c>
      <c r="FC72" s="1129" t="n">
        <f aca="false">IF(EZ72="No",IF((OR(MONTH(C72)=5,MONTH(C72)=6,MONTH(C72)=7,MONTH(C72)=8,MONTH(C72)=9)),0,$FA72*3*AX72*(1-$BC72)),0)</f>
        <v>0</v>
      </c>
      <c r="FD72" s="1129" t="n">
        <f aca="false">IF(EZ72="No",IF((OR(MONTH(C72)=5,MONTH(C72)=6,MONTH(C72)=7,MONTH(C72)=8,MONTH(C72)=9)),$FA72*12*AY72*(1-$BC72),$FA72*10*AY72*(1-$BC72)),0)</f>
        <v>2127.6</v>
      </c>
      <c r="FE72" s="1129" t="n">
        <f aca="false">IF(EZ72="No",IF((OR(MONTH(C72)=5,MONTH(C72)=6,MONTH(C72)=7,MONTH(C72)=8,MONTH(C72)=9)),0,$FA72*3*AY72*(1-$BC72)),0)</f>
        <v>0</v>
      </c>
      <c r="FF72" s="1129" t="n">
        <f aca="false">IF(EZ72="No",IF((OR(MONTH(C72)=5,MONTH(C72)=6,MONTH(C72)=7,MONTH(C72)=8,MONTH(C72)=9)),$FA72*12*(AZ72+BA72)*(1-$BC72),$FA72*10*(AZ72+BA72)*(1-$BC72)),0)</f>
        <v>2659.5</v>
      </c>
      <c r="FG72" s="1129" t="n">
        <f aca="false">IF(EZ72="No",IF((OR(MONTH(C72)=5,MONTH(C72)=6,MONTH(C72)=7,MONTH(C72)=8,MONTH(C72)=9)),0,$FA72*3*(AZ72+BA72)*(1-$BC72)),0)</f>
        <v>0</v>
      </c>
      <c r="FH72" s="1170" t="n">
        <f aca="false">IF(EZ72="No",IF((OR(MONTH(C72)=5,MONTH(C72)=6,MONTH(C72)=7,MONTH(C72)=8,MONTH(C72)=9)),Summary!$O$15*12*(AX72+AY72+AZ72+BA72)*(1-$BC72),Summary!$O$15*13*(AX72+AY72+AZ72+BA72)*(1-$BC72)+IF(Summary!$O$16="Yes",(CALC!FA72+Summary!$O$15)*6*(AX72+AY72+AZ72+BA72)*(1-$BC72),0)),0)</f>
        <v>0</v>
      </c>
      <c r="FI72" s="1126" t="n">
        <f aca="false">IF(MONTH(C72)=5,FI71*(IF(Summary!$E$70="no",(1+(Summary!$E$71*0.8)),1+HLOOKUP(YEAR(C72)-1,CCFMODEL!$I$127:$AF$128,2)*0.8)),+FI71)</f>
        <v>29.9518363804076</v>
      </c>
      <c r="FJ72" s="1127" t="n">
        <f aca="false">IF(MONTH(C72)=5,FJ71*(IF(Summary!$E$70="no",(1+(Summary!$E$71*0.8)),1+HLOOKUP(YEAR(CALC!C72)-1,CCFMODEL!$I$127:$AF$128,2)*0.8)),FJ71)</f>
        <v>26.1783766789389</v>
      </c>
      <c r="FK72" s="1128" t="n">
        <f aca="false">SUM(FB72:FG72)*FI72+FH72*FJ72</f>
        <v>493872.834892903</v>
      </c>
      <c r="FL72" s="1126" t="n">
        <f aca="false">IF(MONTH(C72)=5,FL71*(IF(Summary!$E$70="no",(1+(Summary!$E$71*0.8)),1+HLOOKUP(YEAR(CALC!C72)-1,CCFMODEL!$I$127:$AF$128,2)*0.8)),+FL71)</f>
        <v>62.9920698379101</v>
      </c>
      <c r="FM72" s="1127" t="n">
        <f aca="false">IF(MONTH(C72)=5,FM71*(IF(Summary!$E$70="no",(1+(Summary!$E$71*0.8)),1+HLOOKUP(YEAR(CALC!C72)-1,CCFMODEL!$I$127:$AF$128,2)*0.8)),+FM71)</f>
        <v>30.0641417286656</v>
      </c>
      <c r="FN72" s="1128" t="n">
        <f aca="false">IF((OR(MONTH(C72)=5,MONTH(C72)=6,MONTH(C72)=7,MONTH(C72)=8,MONTH(C72)=9)),SUM(FB72:FG72)/(1-BC72)*FL72,SUM(FB72:FG72)/(1-BC72)*FM72)</f>
        <v>1054487.24908662</v>
      </c>
      <c r="FO72" s="1129" t="n">
        <f aca="false">FK72+FN72</f>
        <v>1548360.08397952</v>
      </c>
      <c r="FP72" s="1169" t="n">
        <f aca="false">FB72</f>
        <v>11701.8</v>
      </c>
      <c r="FQ72" s="1129" t="n">
        <f aca="false">FC72</f>
        <v>0</v>
      </c>
      <c r="FR72" s="1129" t="n">
        <f aca="false">FD72</f>
        <v>2127.6</v>
      </c>
      <c r="FS72" s="1129" t="n">
        <f aca="false">FE72</f>
        <v>0</v>
      </c>
      <c r="FT72" s="1129" t="n">
        <f aca="false">FF72</f>
        <v>2659.5</v>
      </c>
      <c r="FU72" s="1129" t="n">
        <f aca="false">FG72</f>
        <v>0</v>
      </c>
      <c r="FV72" s="1170" t="n">
        <f aca="false">FH72</f>
        <v>0</v>
      </c>
      <c r="FW72" s="1115" t="n">
        <f aca="false">IF(ER72&gt;0,MIN(FB72-FP72,BL72),0)</f>
        <v>0</v>
      </c>
      <c r="FX72" s="1115" t="n">
        <f aca="false">IF(ES72&gt;0,MIN(FD72-FR72,BM72),0)</f>
        <v>0</v>
      </c>
      <c r="FY72" s="1115" t="n">
        <f aca="false">IF(ET72&gt;0,MIN(FF72-FT72,BN72),0)</f>
        <v>0</v>
      </c>
      <c r="FZ72" s="1143" t="n">
        <f aca="false">IF(EU72&gt;0,MIN(FH72-FV72,BO72),0)</f>
        <v>0</v>
      </c>
      <c r="GA72" s="1132" t="n">
        <f aca="false">(SUM(FP72:FV72)+SUM(GU72:HB72)/(1-Summary!$O$25))*CY72/1000</f>
        <v>203883.82491433</v>
      </c>
      <c r="GB72" s="1133" t="n">
        <f aca="false">IF($C72&lt;Summary!$M$81,+Summary!$O$81,VLOOKUP(C72,GasTable,19))</f>
        <v>2.4</v>
      </c>
      <c r="GC72" s="1134" t="n">
        <f aca="false">IF(H72&lt;=Summary!$N$84,MIN(GA72,Summary!$O$75*(H72-G72+1)),0)</f>
        <v>155000</v>
      </c>
      <c r="GD72" s="1135" t="n">
        <f aca="false">IF(Summary!$O$75*(H72-G72+1)*0.8&gt;GC72,1,0)</f>
        <v>0</v>
      </c>
      <c r="GE72" s="1136" t="n">
        <v>0</v>
      </c>
      <c r="GF72" s="1134" t="n">
        <f aca="false">ABS(MIN(0,GC72-$GA72))</f>
        <v>48883.8249143297</v>
      </c>
      <c r="GG72" s="1135" t="n">
        <f aca="false">GF72*(IF(Summary!$O$74=1,VLOOKUP($C72,GasTable,16)+Summary!$O$92+Summary!$O$93,VLOOKUP($C72,GasTable,19)+Summary!$O$92+Summary!$O$93))</f>
        <v>133852.610573376</v>
      </c>
      <c r="GH72" s="1137" t="n">
        <v>18482.2</v>
      </c>
      <c r="GI72" s="1138" t="n">
        <v>0</v>
      </c>
      <c r="GJ72" s="1139" t="n">
        <f aca="false">+GB72*GC72+GE72+GG72+GH72-GI72</f>
        <v>524334.810573376</v>
      </c>
      <c r="GK72" s="1115" t="n">
        <f aca="false">SUM(FP72:FV72,GU72:GX72,GY72:HB72)</f>
        <v>26035.9731</v>
      </c>
      <c r="GL72" s="1140" t="n">
        <v>0.758896576128</v>
      </c>
      <c r="GM72" s="1141" t="n">
        <f aca="false">IF(GK72&gt;GC72/(CY72/1000),GC72/(CY72/1000),+GK72)*GL72</f>
        <v>15221</v>
      </c>
      <c r="GN72" s="1115" t="n">
        <f aca="false">IF(SUM(GU72:HB72)=0,0,IF(Summary!$O$16="Yes",SUM(GX72:HB72),IF(Summary!$O$17="Yes",SUM(GY72:HB72),SUM(GU72:HB72))))</f>
        <v>9547.0731</v>
      </c>
      <c r="GO72" s="1142" t="n">
        <v>2.67817696726971</v>
      </c>
      <c r="GP72" s="1143" t="n">
        <f aca="false">GN72*GO72</f>
        <v>25568.7512812602</v>
      </c>
      <c r="GQ72" s="1115"/>
      <c r="GR72" s="1115"/>
      <c r="GS72" s="1115"/>
      <c r="GT72" s="1115"/>
      <c r="GU72" s="1150" t="n">
        <v>3764.079</v>
      </c>
      <c r="GV72" s="1115" t="n">
        <v>684.378</v>
      </c>
      <c r="GW72" s="1115" t="n">
        <v>855.4725</v>
      </c>
      <c r="GX72" s="1115"/>
      <c r="GY72" s="1151" t="n">
        <v>3011.2632</v>
      </c>
      <c r="GZ72" s="1115" t="n">
        <v>547.5024</v>
      </c>
      <c r="HA72" s="1115" t="n">
        <v>684.378</v>
      </c>
      <c r="HB72" s="1141"/>
      <c r="HC72" s="1115" t="n">
        <v>9547.0731</v>
      </c>
      <c r="HD72" s="1115"/>
      <c r="HE72" s="1115" t="n">
        <v>22276.5039</v>
      </c>
      <c r="HF72" s="1115" t="n">
        <v>399282.292588348</v>
      </c>
      <c r="HG72" s="1115"/>
      <c r="HH72" s="1142" t="n">
        <v>44.03503635487</v>
      </c>
      <c r="HI72" s="1115" t="n">
        <v>980946.659095903</v>
      </c>
      <c r="HJ72" s="1150" t="n">
        <f aca="false">MAX(FB72-FP72-FW72,0)</f>
        <v>0</v>
      </c>
      <c r="HK72" s="1115" t="n">
        <f aca="false">MAX(FD72-FR72-FX72,0)</f>
        <v>0</v>
      </c>
      <c r="HL72" s="1115" t="n">
        <f aca="false">MAX(FF72-FT72-FY72,0)</f>
        <v>0</v>
      </c>
      <c r="HM72" s="1141" t="n">
        <f aca="false">MAX(FH72-FV72-FZ72,0)</f>
        <v>0</v>
      </c>
      <c r="HN72" s="1115" t="n">
        <f aca="false">SUM(HJ72:HM72)</f>
        <v>0</v>
      </c>
      <c r="HO72" s="1142" t="n">
        <f aca="false">IF(ISERROR(+HP72/HN72),0,+HP72/HN72)</f>
        <v>0</v>
      </c>
      <c r="HP72" s="1143" t="n">
        <f aca="false">(HJ72*CE72+HK72*CF72+HL72*CG72+HM72*CH72)</f>
        <v>0</v>
      </c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R72" s="844"/>
    </row>
    <row r="73" customFormat="false" ht="13.5" hidden="false" customHeight="false" outlineLevel="0" collapsed="false">
      <c r="A73" s="0" t="str">
        <f aca="false">+D73&amp;"Q"&amp;ROUNDUP(E73/3,0)</f>
        <v>2004Q3</v>
      </c>
      <c r="B73" s="0" t="n">
        <f aca="false">YEAR(C73)</f>
        <v>2004</v>
      </c>
      <c r="C73" s="1153" t="n">
        <f aca="false">EOMONTH(C72,0)+1</f>
        <v>38231</v>
      </c>
      <c r="D73" s="841" t="n">
        <f aca="false">+YEAR(C73)</f>
        <v>2004</v>
      </c>
      <c r="E73" s="807" t="n">
        <f aca="false">MONTH(C73)</f>
        <v>9</v>
      </c>
      <c r="F73" s="1154" t="e">
        <f aca="false">IF(G73="","",Holiday(D73,E73))</f>
        <v>#VALUE!</v>
      </c>
      <c r="G73" s="1155" t="n">
        <v>38231</v>
      </c>
      <c r="H73" s="1156" t="n">
        <v>38260</v>
      </c>
      <c r="I73" s="1157" t="n">
        <f aca="false">I72</f>
        <v>0.0715</v>
      </c>
      <c r="J73" s="1158" t="n">
        <f aca="false">(1+I73/2)^(-2*(DATE(D74,E74,20)-$H$7)/365.25)</f>
        <v>0.711321107853162</v>
      </c>
      <c r="K73" s="1159" t="e">
        <f aca="false">IF(#REF!=1,+#REF!,I73+#REF!/10000)</f>
        <v>#REF!</v>
      </c>
      <c r="L73" s="1158" t="e">
        <f aca="false">(1+K73/2)^(-2*(DATE(D74,E74,20)-$H$7)/365.25)</f>
        <v>#REF!</v>
      </c>
      <c r="M73" s="1082" t="n">
        <v>0</v>
      </c>
      <c r="N73" s="1110" t="n">
        <f aca="false">M73</f>
        <v>0</v>
      </c>
      <c r="O73" s="1174" t="n">
        <f aca="false">N73</f>
        <v>0</v>
      </c>
      <c r="P73" s="1175" t="n">
        <f aca="false">M73</f>
        <v>0</v>
      </c>
      <c r="Q73" s="1110" t="n">
        <f aca="false">P73</f>
        <v>0</v>
      </c>
      <c r="R73" s="1174" t="n">
        <f aca="false">Q73</f>
        <v>0</v>
      </c>
      <c r="S73" s="1110" t="n">
        <f aca="false">R73</f>
        <v>0</v>
      </c>
      <c r="T73" s="1110" t="n">
        <f aca="false">S73</f>
        <v>0</v>
      </c>
      <c r="U73" s="1110" t="n">
        <f aca="false">T73</f>
        <v>0</v>
      </c>
      <c r="V73" s="1175" t="n">
        <f aca="false">U73</f>
        <v>0</v>
      </c>
      <c r="W73" s="1110" t="n">
        <f aca="false">V73</f>
        <v>0</v>
      </c>
      <c r="X73" s="1176" t="n">
        <f aca="false">W73</f>
        <v>0</v>
      </c>
      <c r="Y73" s="1086" t="n">
        <v>0</v>
      </c>
      <c r="Z73" s="1086" t="n">
        <v>0</v>
      </c>
      <c r="AA73" s="1087" t="n">
        <v>0</v>
      </c>
      <c r="AB73" s="1086" t="n">
        <v>0</v>
      </c>
      <c r="AC73" s="1086" t="n">
        <v>0</v>
      </c>
      <c r="AD73" s="1087" t="n">
        <v>0</v>
      </c>
      <c r="AE73" s="1086" t="n">
        <v>0</v>
      </c>
      <c r="AF73" s="1086" t="n">
        <v>0</v>
      </c>
      <c r="AG73" s="1087" t="n">
        <v>0</v>
      </c>
      <c r="AH73" s="1086" t="n">
        <v>0</v>
      </c>
      <c r="AI73" s="1086" t="n">
        <v>0</v>
      </c>
      <c r="AJ73" s="1087" t="n">
        <v>0</v>
      </c>
      <c r="AK73" s="1086" t="n">
        <v>0</v>
      </c>
      <c r="AL73" s="1086" t="n">
        <v>0</v>
      </c>
      <c r="AM73" s="1087" t="n">
        <v>0</v>
      </c>
      <c r="AN73" s="1086" t="n">
        <v>0</v>
      </c>
      <c r="AO73" s="1086" t="n">
        <v>0</v>
      </c>
      <c r="AP73" s="1087" t="n">
        <v>0</v>
      </c>
      <c r="AQ73" s="1086" t="n">
        <v>0</v>
      </c>
      <c r="AR73" s="1086" t="n">
        <v>0</v>
      </c>
      <c r="AS73" s="1087" t="n">
        <v>0</v>
      </c>
      <c r="AT73" s="1086" t="n">
        <v>0</v>
      </c>
      <c r="AU73" s="1086" t="n">
        <v>0</v>
      </c>
      <c r="AV73" s="1086" t="n">
        <v>0</v>
      </c>
      <c r="AW73" s="1172" t="n">
        <v>0</v>
      </c>
      <c r="AX73" s="807" t="e">
        <f aca="false">BB73-SUM(AY73:BA73)</f>
        <v>#VALUE!</v>
      </c>
      <c r="AY73" s="807" t="e">
        <f aca="false">IF(AND($E73=MONTH(Summary!$E$24),$D73=YEAR(Summary!$E$24)),Summary!$E$25,1)*IF(G73="",0,INT((H73-MOD(H73,7)-G73)/7)+1-IF(BA73,IF(WEEKDAY(F73)=7,1,0),0))</f>
        <v>#VALUE!</v>
      </c>
      <c r="AZ73" s="807" t="e">
        <f aca="false">IF(AND($E73=MONTH(Summary!$E$24),$D73=YEAR(Summary!$E$24)),Summary!$E$25,1)*IF(G73="",0,INT((H73-MOD(H73-1,7)-G73)/7)+1-IF(BA73,IF(WEEKDAY(F73)=1,1,0),0))</f>
        <v>#VALUE!</v>
      </c>
      <c r="BA73" s="807" t="n">
        <v>1</v>
      </c>
      <c r="BB73" s="807" t="n">
        <f aca="false">IF(AND($E73=MONTH(Summary!$E$24),$D73=YEAR(Summary!$E$24)),Summary!$E$25,1)*IF(G73="",0,H73-G73+1)</f>
        <v>30</v>
      </c>
      <c r="BC73" s="1089" t="n">
        <f aca="false">Summary!$E$19</f>
        <v>0.015</v>
      </c>
      <c r="BD73" s="1090" t="n">
        <v>14893.2</v>
      </c>
      <c r="BE73" s="1091" t="n">
        <v>2836.8</v>
      </c>
      <c r="BF73" s="1091" t="n">
        <v>3546</v>
      </c>
      <c r="BG73" s="842"/>
      <c r="BH73" s="1092" t="n">
        <v>1</v>
      </c>
      <c r="BI73" s="1092" t="n">
        <v>1</v>
      </c>
      <c r="BJ73" s="1092" t="n">
        <v>1</v>
      </c>
      <c r="BK73" s="1092" t="n">
        <v>1</v>
      </c>
      <c r="BL73" s="1093" t="n">
        <v>2978.64</v>
      </c>
      <c r="BM73" s="1091" t="n">
        <v>567.36</v>
      </c>
      <c r="BN73" s="1091" t="n">
        <v>709.2</v>
      </c>
      <c r="BO73" s="842"/>
      <c r="BP73" s="1092" t="n">
        <v>1</v>
      </c>
      <c r="BQ73" s="1094" t="n">
        <v>1</v>
      </c>
      <c r="BR73" s="1094" t="n">
        <v>1</v>
      </c>
      <c r="BS73" s="1095" t="n">
        <v>1</v>
      </c>
      <c r="BT73" s="1093" t="n">
        <f aca="false">SUM(BD73:BF73)</f>
        <v>21276</v>
      </c>
      <c r="BU73" s="1098" t="n">
        <f aca="false">SUM(BD73:BG73)</f>
        <v>21276</v>
      </c>
      <c r="BV73" s="1090" t="n">
        <f aca="false">SUM(BL73:BN73)</f>
        <v>4255.2</v>
      </c>
      <c r="BW73" s="1098" t="n">
        <f aca="false">SUM(BL73:BO73)</f>
        <v>4255.2</v>
      </c>
      <c r="BX73" s="852" t="n">
        <v>4.71457905544148</v>
      </c>
      <c r="BY73" s="1099" t="n">
        <v>0</v>
      </c>
      <c r="BZ73" s="852" t="n">
        <v>0</v>
      </c>
      <c r="CA73" s="852" t="n">
        <v>0</v>
      </c>
      <c r="CB73" s="852" t="n">
        <v>0</v>
      </c>
      <c r="CC73" s="852" t="n">
        <v>0</v>
      </c>
      <c r="CD73" s="852" t="n">
        <v>0</v>
      </c>
      <c r="CE73" s="1100" t="n">
        <v>0</v>
      </c>
      <c r="CF73" s="852" t="n">
        <v>0</v>
      </c>
      <c r="CG73" s="852" t="n">
        <v>0</v>
      </c>
      <c r="CH73" s="852" t="n">
        <v>0</v>
      </c>
      <c r="CI73" s="852" t="n">
        <v>0</v>
      </c>
      <c r="CJ73" s="1101" t="n">
        <v>0</v>
      </c>
      <c r="CK73" s="852" t="n">
        <v>0</v>
      </c>
      <c r="CL73" s="852" t="n">
        <v>0</v>
      </c>
      <c r="CM73" s="852" t="n">
        <v>0</v>
      </c>
      <c r="CN73" s="852" t="n">
        <v>0</v>
      </c>
      <c r="CO73" s="852" t="n">
        <v>0</v>
      </c>
      <c r="CP73" s="852" t="n">
        <v>0</v>
      </c>
      <c r="CQ73" s="1102" t="n">
        <v>0</v>
      </c>
      <c r="CR73" s="1103" t="n">
        <v>0</v>
      </c>
      <c r="CS73" s="1103" t="n">
        <v>0</v>
      </c>
      <c r="CT73" s="1103" t="n">
        <v>0</v>
      </c>
      <c r="CU73" s="1103" t="n">
        <v>0</v>
      </c>
      <c r="CV73" s="1103" t="n">
        <v>0</v>
      </c>
      <c r="CW73" s="1103" t="n">
        <v>0</v>
      </c>
      <c r="CX73" s="1104" t="n">
        <v>0</v>
      </c>
      <c r="CY73" s="1105" t="n">
        <v>7729.37392</v>
      </c>
      <c r="CZ73" s="1099" t="n">
        <v>0</v>
      </c>
      <c r="DA73" s="852" t="n">
        <v>0</v>
      </c>
      <c r="DB73" s="852" t="n">
        <v>0</v>
      </c>
      <c r="DC73" s="852" t="n">
        <v>0</v>
      </c>
      <c r="DD73" s="852" t="n">
        <v>0</v>
      </c>
      <c r="DE73" s="1113" t="n">
        <v>0</v>
      </c>
      <c r="DF73" s="1109" t="n">
        <v>0</v>
      </c>
      <c r="DG73" s="1110" t="n">
        <v>0</v>
      </c>
      <c r="DH73" s="1111" t="n">
        <v>0</v>
      </c>
      <c r="DI73" s="1112" t="n">
        <v>0</v>
      </c>
      <c r="DJ73" s="1112" t="n">
        <v>0</v>
      </c>
      <c r="DK73" s="1112" t="n">
        <v>0</v>
      </c>
      <c r="DL73" s="1113" t="n">
        <v>0</v>
      </c>
      <c r="DM73" s="1114" t="n">
        <v>0</v>
      </c>
      <c r="DN73" s="1114" t="n">
        <v>0</v>
      </c>
      <c r="DO73" s="1114" t="n">
        <v>0</v>
      </c>
      <c r="DP73" s="1114" t="n">
        <v>0</v>
      </c>
      <c r="DQ73" s="1114" t="n">
        <v>0</v>
      </c>
      <c r="DR73" s="1109" t="n">
        <v>0</v>
      </c>
      <c r="DS73" s="852" t="n">
        <v>0</v>
      </c>
      <c r="DT73" s="852" t="n">
        <v>0</v>
      </c>
      <c r="DU73" s="852" t="n">
        <v>0</v>
      </c>
      <c r="DV73" s="852" t="n">
        <v>0</v>
      </c>
      <c r="DW73" s="852" t="n">
        <v>0</v>
      </c>
      <c r="DX73" s="852" t="n">
        <v>0</v>
      </c>
      <c r="DY73" s="852" t="n">
        <v>0</v>
      </c>
      <c r="DZ73" s="852" t="n">
        <v>0</v>
      </c>
      <c r="EA73" s="852" t="n">
        <v>0</v>
      </c>
      <c r="EB73" s="1113" t="n">
        <v>0</v>
      </c>
      <c r="EC73" s="1115" t="n">
        <f aca="false">DS73*BD73</f>
        <v>0</v>
      </c>
      <c r="ED73" s="1115" t="n">
        <f aca="false">DT73*BE73</f>
        <v>0</v>
      </c>
      <c r="EE73" s="1115" t="n">
        <f aca="false">DU73*BF73</f>
        <v>0</v>
      </c>
      <c r="EF73" s="1115" t="n">
        <f aca="false">DV73*BG73</f>
        <v>0</v>
      </c>
      <c r="EG73" s="1115" t="n">
        <f aca="false">DS73*BD73+DT73*BE73+DU73*BF73+DV73*BG73</f>
        <v>0</v>
      </c>
      <c r="EH73" s="1116" t="n">
        <v>0</v>
      </c>
      <c r="EI73" s="1117" t="n">
        <v>0</v>
      </c>
      <c r="EJ73" s="1117" t="n">
        <v>0</v>
      </c>
      <c r="EK73" s="1117" t="n">
        <v>0</v>
      </c>
      <c r="EL73" s="1118" t="n">
        <f aca="false">IF(C73&gt;=Summary!$E$26,MAX(0,SUM(EH73:EK73)),0)</f>
        <v>0</v>
      </c>
      <c r="EM73" s="1115" t="n">
        <f aca="false">IF(C73&gt;=Summary!$E$26,DX73*BL73,0)</f>
        <v>0</v>
      </c>
      <c r="EN73" s="1115" t="n">
        <f aca="false">IF(C73&gt;=Summary!$E$26,DY73*BM73,0)</f>
        <v>0</v>
      </c>
      <c r="EO73" s="1115" t="n">
        <f aca="false">IF(C73&gt;=Summary!$E$26,DZ73*BN73,0)</f>
        <v>0</v>
      </c>
      <c r="EP73" s="1115" t="n">
        <f aca="false">IF(C73&gt;=Summary!$E$26,EA73*BO73,0)</f>
        <v>0</v>
      </c>
      <c r="EQ73" s="1115" t="n">
        <f aca="false">IF(C73&gt;=Summary!$E$26,DX73*BL73+DY73*BM73+DZ73*BN73+EA73*BO73,0)</f>
        <v>0</v>
      </c>
      <c r="ER73" s="1119" t="n">
        <v>0</v>
      </c>
      <c r="ES73" s="1120" t="n">
        <v>0</v>
      </c>
      <c r="ET73" s="1120" t="n">
        <v>0</v>
      </c>
      <c r="EU73" s="1120" t="n">
        <v>0</v>
      </c>
      <c r="EV73" s="1143" t="n">
        <f aca="false">IF(C73&gt;=Summary!$E$26,MAX(0,SUM(ER73:EU73)),0)</f>
        <v>0</v>
      </c>
      <c r="EW73" s="1115"/>
      <c r="EX73" s="1165" t="n">
        <f aca="false">(EQ73-EV73)+IF(EZ73="Yes",(EG73-EL73),0)</f>
        <v>0</v>
      </c>
      <c r="EY73" s="1166" t="str">
        <f aca="false">IF(EX73,EX73/EQ73,"")</f>
        <v/>
      </c>
      <c r="EZ73" s="1122" t="s">
        <v>37</v>
      </c>
      <c r="FA73" s="1096" t="n">
        <f aca="false">FA72</f>
        <v>45</v>
      </c>
      <c r="FB73" s="1167" t="e">
        <f aca="false">IF(EZ73="No",IF((OR(MONTH(C73)=5,MONTH(C73)=6,MONTH(C73)=7,MONTH(C73)=8,MONTH(C73)=9)),$FA73*12*AX73*(1-$BC73),$FA73*10*AX73*(1-$BC73)),0)</f>
        <v>#VALUE!</v>
      </c>
      <c r="FC73" s="1129" t="n">
        <f aca="false">IF(EZ73="No",IF((OR(MONTH(C73)=5,MONTH(C73)=6,MONTH(C73)=7,MONTH(C73)=8,MONTH(C73)=9)),0,$FA73*3*AX73*(1-$BC73)),0)</f>
        <v>0</v>
      </c>
      <c r="FD73" s="1129" t="e">
        <f aca="false">IF(EZ73="No",IF((OR(MONTH(C73)=5,MONTH(C73)=6,MONTH(C73)=7,MONTH(C73)=8,MONTH(C73)=9)),$FA73*12*AY73*(1-$BC73),$FA73*10*AY73*(1-$BC73)),0)</f>
        <v>#VALUE!</v>
      </c>
      <c r="FE73" s="1129" t="n">
        <f aca="false">IF(EZ73="No",IF((OR(MONTH(C73)=5,MONTH(C73)=6,MONTH(C73)=7,MONTH(C73)=8,MONTH(C73)=9)),0,$FA73*3*AY73*(1-$BC73)),0)</f>
        <v>0</v>
      </c>
      <c r="FF73" s="1129" t="e">
        <f aca="false">IF(EZ73="No",IF((OR(MONTH(C73)=5,MONTH(C73)=6,MONTH(C73)=7,MONTH(C73)=8,MONTH(C73)=9)),$FA73*12*(AZ73+BA73)*(1-$BC73),$FA73*10*(AZ73+BA73)*(1-$BC73)),0)</f>
        <v>#VALUE!</v>
      </c>
      <c r="FG73" s="1129" t="n">
        <f aca="false">IF(EZ73="No",IF((OR(MONTH(C73)=5,MONTH(C73)=6,MONTH(C73)=7,MONTH(C73)=8,MONTH(C73)=9)),0,$FA73*3*(AZ73+BA73)*(1-$BC73)),0)</f>
        <v>0</v>
      </c>
      <c r="FH73" s="1170" t="e">
        <f aca="false">IF(EZ73="No",IF((OR(MONTH(C73)=5,MONTH(C73)=6,MONTH(C73)=7,MONTH(C73)=8,MONTH(C73)=9)),Summary!$O$15*12*(AX73+AY73+AZ73+BA73)*(1-$BC73),Summary!$O$15*13*(AX73+AY73+AZ73+BA73)*(1-$BC73)+IF(Summary!$O$16="Yes",(CALC!FA73+Summary!$O$15)*6*(AX73+AY73+AZ73+BA73)*(1-$BC73),0)),0)</f>
        <v>#VALUE!</v>
      </c>
      <c r="FI73" s="1126" t="n">
        <f aca="false">IF(MONTH(C73)=5,FI72*(IF(Summary!$E$70="no",(1+(Summary!$E$71*0.8)),1+HLOOKUP(YEAR(C73)-1,CCFMODEL!$I$127:$AF$128,2)*0.8)),+FI72)</f>
        <v>29.9518363804076</v>
      </c>
      <c r="FJ73" s="1127" t="n">
        <f aca="false">IF(MONTH(C73)=5,FJ72*(IF(Summary!$E$70="no",(1+(Summary!$E$71*0.8)),1+HLOOKUP(YEAR(CALC!C73)-1,CCFMODEL!$I$127:$AF$128,2)*0.8)),FJ72)</f>
        <v>26.1783766789389</v>
      </c>
      <c r="FK73" s="1128" t="e">
        <f aca="false">SUM(FB73:FG73)*FI73+FH73*FJ73</f>
        <v>#VALUE!</v>
      </c>
      <c r="FL73" s="1126" t="n">
        <f aca="false">IF(MONTH(C73)=5,FL72*(IF(Summary!$E$70="no",(1+(Summary!$E$71*0.8)),1+HLOOKUP(YEAR(CALC!C73)-1,CCFMODEL!$I$127:$AF$128,2)*0.8)),+FL72)</f>
        <v>62.9920698379101</v>
      </c>
      <c r="FM73" s="1127" t="n">
        <f aca="false">IF(MONTH(C73)=5,FM72*(IF(Summary!$E$70="no",(1+(Summary!$E$71*0.8)),1+HLOOKUP(YEAR(CALC!C73)-1,CCFMODEL!$I$127:$AF$128,2)*0.8)),+FM72)</f>
        <v>30.0641417286656</v>
      </c>
      <c r="FN73" s="1128" t="e">
        <f aca="false">IF((OR(MONTH(C73)=5,MONTH(C73)=6,MONTH(C73)=7,MONTH(C73)=8,MONTH(C73)=9)),SUM(FB73:FG73)/(1-BC73)*FL73,SUM(FB73:FG73)/(1-BC73)*FM73)</f>
        <v>#VALUE!</v>
      </c>
      <c r="FO73" s="1129" t="e">
        <f aca="false">FK73+FN73</f>
        <v>#VALUE!</v>
      </c>
      <c r="FP73" s="1169" t="e">
        <f aca="false">FB73</f>
        <v>#VALUE!</v>
      </c>
      <c r="FQ73" s="1129" t="n">
        <f aca="false">FC73</f>
        <v>0</v>
      </c>
      <c r="FR73" s="1129" t="e">
        <f aca="false">FD73</f>
        <v>#VALUE!</v>
      </c>
      <c r="FS73" s="1129" t="n">
        <f aca="false">FE73</f>
        <v>0</v>
      </c>
      <c r="FT73" s="1129" t="e">
        <f aca="false">FF73</f>
        <v>#VALUE!</v>
      </c>
      <c r="FU73" s="1129" t="n">
        <f aca="false">FG73</f>
        <v>0</v>
      </c>
      <c r="FV73" s="1170" t="e">
        <f aca="false">FH73</f>
        <v>#VALUE!</v>
      </c>
      <c r="FW73" s="1115" t="n">
        <f aca="false">IF(ER73&gt;0,MIN(FB73-FP73,BL73),0)</f>
        <v>0</v>
      </c>
      <c r="FX73" s="1115" t="n">
        <f aca="false">IF(ES73&gt;0,MIN(FD73-FR73,BM73),0)</f>
        <v>0</v>
      </c>
      <c r="FY73" s="1115" t="n">
        <f aca="false">IF(ET73&gt;0,MIN(FF73-FT73,BN73),0)</f>
        <v>0</v>
      </c>
      <c r="FZ73" s="1143" t="n">
        <f aca="false">IF(EU73&gt;0,MIN(FH73-FV73,BO73),0)</f>
        <v>0</v>
      </c>
      <c r="GA73" s="1132" t="e">
        <f aca="false">(SUM(FP73:FV73)+SUM(GU73:HB73)/(1-Summary!$O$25))*CY73/1000</f>
        <v>#VALUE!</v>
      </c>
      <c r="GB73" s="1133" t="n">
        <f aca="false">IF($C73&lt;Summary!$M$81,+Summary!$O$81,VLOOKUP(C73,GasTable,19))</f>
        <v>2.4</v>
      </c>
      <c r="GC73" s="1134" t="e">
        <f aca="false">IF(H73&lt;=Summary!$N$84,MIN(GA73,Summary!$O$75*(H73-G73+1)),0)</f>
        <v>#VALUE!</v>
      </c>
      <c r="GD73" s="1135" t="e">
        <f aca="false">IF(Summary!$O$75*(H73-G73+1)*0.8&gt;GC73,1,0)</f>
        <v>#VALUE!</v>
      </c>
      <c r="GE73" s="1136" t="n">
        <v>0</v>
      </c>
      <c r="GF73" s="1134" t="e">
        <f aca="false">ABS(MIN(0,GC73-$GA73))</f>
        <v>#VALUE!</v>
      </c>
      <c r="GG73" s="1135" t="e">
        <f aca="false">GF73*(IF(Summary!$O$74=1,VLOOKUP($C73,GasTable,16)+Summary!$O$92+Summary!$O$93,VLOOKUP($C73,GasTable,19)+Summary!$O$92+Summary!$O$93))</f>
        <v>#VALUE!</v>
      </c>
      <c r="GH73" s="1137" t="n">
        <v>18060</v>
      </c>
      <c r="GI73" s="1138" t="n">
        <v>0</v>
      </c>
      <c r="GJ73" s="1139" t="e">
        <f aca="false">+GB73*GC73+GE73+GG73+GH73-GI73</f>
        <v>#VALUE!</v>
      </c>
      <c r="GK73" s="1115" t="e">
        <f aca="false">SUM(FP73:FV73,GU73:GX73,GY73:HB73)</f>
        <v>#VALUE!</v>
      </c>
      <c r="GL73" s="1140" t="n">
        <v>0.759024518944</v>
      </c>
      <c r="GM73" s="1141" t="e">
        <f aca="false">IF(GK73&gt;GC73/(CY73/1000),GC73/(CY73/1000),+GK73)*GL73</f>
        <v>#VALUE!</v>
      </c>
      <c r="GN73" s="1115" t="n">
        <f aca="false">IF(SUM(GU73:HB73)=0,0,IF(Summary!$O$16="Yes",SUM(GX73:HB73),IF(Summary!$O$17="Yes",SUM(GY73:HB73),SUM(GU73:HB73))))</f>
        <v>9239.103</v>
      </c>
      <c r="GO73" s="1142" t="n">
        <v>2.67817696726971</v>
      </c>
      <c r="GP73" s="1143" t="n">
        <f aca="false">GN73*GO73</f>
        <v>24743.9528528325</v>
      </c>
      <c r="GQ73" s="1115"/>
      <c r="GR73" s="1115"/>
      <c r="GS73" s="1115"/>
      <c r="GT73" s="1115"/>
      <c r="GU73" s="1150" t="n">
        <v>3592.9845</v>
      </c>
      <c r="GV73" s="1115" t="n">
        <v>684.378</v>
      </c>
      <c r="GW73" s="1115" t="n">
        <v>855.4725</v>
      </c>
      <c r="GX73" s="1115"/>
      <c r="GY73" s="1151" t="n">
        <v>2874.3876</v>
      </c>
      <c r="GZ73" s="1115" t="n">
        <v>547.5024</v>
      </c>
      <c r="HA73" s="1115" t="n">
        <v>684.378</v>
      </c>
      <c r="HB73" s="1141"/>
      <c r="HC73" s="1115" t="n">
        <v>9239.103</v>
      </c>
      <c r="HD73" s="1115"/>
      <c r="HE73" s="1115" t="n">
        <v>21557.907</v>
      </c>
      <c r="HF73" s="1115" t="n">
        <v>351111.034217833</v>
      </c>
      <c r="HG73" s="1115"/>
      <c r="HH73" s="1142" t="n">
        <v>39.4446092099815</v>
      </c>
      <c r="HI73" s="1115" t="n">
        <v>850343.217000124</v>
      </c>
      <c r="HJ73" s="1150" t="e">
        <f aca="false">MAX(FB73-FP73-FW73,0)</f>
        <v>#VALUE!</v>
      </c>
      <c r="HK73" s="1115" t="e">
        <f aca="false">MAX(FD73-FR73-FX73,0)</f>
        <v>#VALUE!</v>
      </c>
      <c r="HL73" s="1115" t="e">
        <f aca="false">MAX(FF73-FT73-FY73,0)</f>
        <v>#VALUE!</v>
      </c>
      <c r="HM73" s="1141" t="e">
        <f aca="false">MAX(FH73-FV73-FZ73,0)</f>
        <v>#VALUE!</v>
      </c>
      <c r="HN73" s="1115" t="e">
        <f aca="false">SUM(HJ73:HM73)</f>
        <v>#VALUE!</v>
      </c>
      <c r="HO73" s="1142" t="n">
        <f aca="false">IF(ISERROR(+HP73/HN73),0,+HP73/HN73)</f>
        <v>0</v>
      </c>
      <c r="HP73" s="1143" t="e">
        <f aca="false">(HJ73*CE73+HK73*CF73+HL73*CG73+HM73*CH73)</f>
        <v>#VALUE!</v>
      </c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O73" s="222" t="n">
        <f aca="false">+IO45-IO44</f>
        <v>0</v>
      </c>
      <c r="IR73" s="844"/>
    </row>
    <row r="74" customFormat="false" ht="13.5" hidden="false" customHeight="false" outlineLevel="0" collapsed="false">
      <c r="A74" s="0" t="str">
        <f aca="false">+D74&amp;"Q"&amp;ROUNDUP(E74/3,0)</f>
        <v>2004Q4</v>
      </c>
      <c r="B74" s="0" t="n">
        <f aca="false">YEAR(C74)</f>
        <v>2004</v>
      </c>
      <c r="C74" s="1153" t="n">
        <f aca="false">EOMONTH(C73,0)+1</f>
        <v>38261</v>
      </c>
      <c r="D74" s="841" t="n">
        <f aca="false">+YEAR(C74)</f>
        <v>2004</v>
      </c>
      <c r="E74" s="807" t="n">
        <f aca="false">MONTH(C74)</f>
        <v>10</v>
      </c>
      <c r="F74" s="1154" t="e">
        <f aca="false">IF(G74="","",Holiday(D74,E74))</f>
        <v>#VALUE!</v>
      </c>
      <c r="G74" s="1155" t="n">
        <v>38261</v>
      </c>
      <c r="H74" s="1156" t="n">
        <v>38291</v>
      </c>
      <c r="I74" s="1157" t="n">
        <f aca="false">I73</f>
        <v>0.0715</v>
      </c>
      <c r="J74" s="1158" t="n">
        <f aca="false">(1+I74/2)^(-2*(DATE(D75,E75,20)-$H$7)/365.25)</f>
        <v>0.707092481474428</v>
      </c>
      <c r="K74" s="1159" t="e">
        <f aca="false">IF(#REF!=1,+#REF!,I74+#REF!/10000)</f>
        <v>#REF!</v>
      </c>
      <c r="L74" s="1158" t="e">
        <f aca="false">(1+K74/2)^(-2*(DATE(D75,E75,20)-$H$7)/365.25)</f>
        <v>#REF!</v>
      </c>
      <c r="M74" s="1082" t="n">
        <v>0</v>
      </c>
      <c r="N74" s="1110" t="n">
        <f aca="false">M74</f>
        <v>0</v>
      </c>
      <c r="O74" s="1174" t="n">
        <f aca="false">N74</f>
        <v>0</v>
      </c>
      <c r="P74" s="1175" t="n">
        <f aca="false">M74</f>
        <v>0</v>
      </c>
      <c r="Q74" s="1110" t="n">
        <f aca="false">P74</f>
        <v>0</v>
      </c>
      <c r="R74" s="1174" t="n">
        <f aca="false">Q74</f>
        <v>0</v>
      </c>
      <c r="S74" s="1110" t="n">
        <f aca="false">R74</f>
        <v>0</v>
      </c>
      <c r="T74" s="1110" t="n">
        <f aca="false">S74</f>
        <v>0</v>
      </c>
      <c r="U74" s="1110" t="n">
        <f aca="false">T74</f>
        <v>0</v>
      </c>
      <c r="V74" s="1175" t="n">
        <f aca="false">U74</f>
        <v>0</v>
      </c>
      <c r="W74" s="1110" t="n">
        <f aca="false">V74</f>
        <v>0</v>
      </c>
      <c r="X74" s="1176" t="n">
        <f aca="false">W74</f>
        <v>0</v>
      </c>
      <c r="Y74" s="1086" t="n">
        <v>0</v>
      </c>
      <c r="Z74" s="1086" t="n">
        <v>0</v>
      </c>
      <c r="AA74" s="1087" t="n">
        <v>0</v>
      </c>
      <c r="AB74" s="1086" t="n">
        <v>0</v>
      </c>
      <c r="AC74" s="1086" t="n">
        <v>0</v>
      </c>
      <c r="AD74" s="1087" t="n">
        <v>0</v>
      </c>
      <c r="AE74" s="1086" t="n">
        <v>0</v>
      </c>
      <c r="AF74" s="1086" t="n">
        <v>0</v>
      </c>
      <c r="AG74" s="1087" t="n">
        <v>0</v>
      </c>
      <c r="AH74" s="1086" t="n">
        <v>0</v>
      </c>
      <c r="AI74" s="1086" t="n">
        <v>0</v>
      </c>
      <c r="AJ74" s="1087" t="n">
        <v>0</v>
      </c>
      <c r="AK74" s="1086" t="n">
        <v>0</v>
      </c>
      <c r="AL74" s="1086" t="n">
        <v>0</v>
      </c>
      <c r="AM74" s="1087" t="n">
        <v>0</v>
      </c>
      <c r="AN74" s="1086" t="n">
        <v>0</v>
      </c>
      <c r="AO74" s="1086" t="n">
        <v>0</v>
      </c>
      <c r="AP74" s="1087" t="n">
        <v>0</v>
      </c>
      <c r="AQ74" s="1086" t="n">
        <v>0</v>
      </c>
      <c r="AR74" s="1086" t="n">
        <v>0</v>
      </c>
      <c r="AS74" s="1087" t="n">
        <v>0</v>
      </c>
      <c r="AT74" s="1086" t="n">
        <v>0</v>
      </c>
      <c r="AU74" s="1086" t="n">
        <v>0</v>
      </c>
      <c r="AV74" s="1086" t="n">
        <v>0</v>
      </c>
      <c r="AW74" s="1172" t="n">
        <v>0</v>
      </c>
      <c r="AX74" s="807" t="n">
        <f aca="false">BB74-SUM(AY74:BA74)</f>
        <v>21</v>
      </c>
      <c r="AY74" s="807" t="n">
        <f aca="false">IF(AND($E74=MONTH(Summary!$E$24),$D74=YEAR(Summary!$E$24)),Summary!$E$25,1)*IF(G74="",0,INT((H74-MOD(H74,7)-G74)/7)+1-IF(BA74,IF(WEEKDAY(F74)=7,1,0),0))</f>
        <v>5</v>
      </c>
      <c r="AZ74" s="807" t="n">
        <f aca="false">IF(AND($E74=MONTH(Summary!$E$24),$D74=YEAR(Summary!$E$24)),Summary!$E$25,1)*IF(G74="",0,INT((H74-MOD(H74-1,7)-G74)/7)+1-IF(BA74,IF(WEEKDAY(F74)=1,1,0),0))</f>
        <v>5</v>
      </c>
      <c r="BA74" s="807" t="n">
        <v>0</v>
      </c>
      <c r="BB74" s="807" t="n">
        <f aca="false">IF(AND($E74=MONTH(Summary!$E$24),$D74=YEAR(Summary!$E$24)),Summary!$E$25,1)*IF(G74="",0,H74-G74+1)</f>
        <v>31</v>
      </c>
      <c r="BC74" s="1089" t="n">
        <f aca="false">Summary!$E$19</f>
        <v>0.015</v>
      </c>
      <c r="BD74" s="1090" t="n">
        <v>14893.2</v>
      </c>
      <c r="BE74" s="1091" t="n">
        <v>3546</v>
      </c>
      <c r="BF74" s="1091" t="n">
        <v>3546</v>
      </c>
      <c r="BG74" s="842"/>
      <c r="BH74" s="1092" t="n">
        <v>1</v>
      </c>
      <c r="BI74" s="1092" t="n">
        <v>1</v>
      </c>
      <c r="BJ74" s="1092" t="n">
        <v>1</v>
      </c>
      <c r="BK74" s="1092" t="n">
        <v>1</v>
      </c>
      <c r="BL74" s="1093" t="n">
        <v>2978.64</v>
      </c>
      <c r="BM74" s="1091" t="n">
        <v>709.2</v>
      </c>
      <c r="BN74" s="1091" t="n">
        <v>709.2</v>
      </c>
      <c r="BO74" s="842"/>
      <c r="BP74" s="1092" t="n">
        <v>1</v>
      </c>
      <c r="BQ74" s="1094" t="n">
        <v>1</v>
      </c>
      <c r="BR74" s="1094" t="n">
        <v>1</v>
      </c>
      <c r="BS74" s="1095" t="n">
        <v>1</v>
      </c>
      <c r="BT74" s="1093" t="n">
        <f aca="false">SUM(BD74:BF74)</f>
        <v>21985.2</v>
      </c>
      <c r="BU74" s="1098" t="n">
        <f aca="false">SUM(BD74:BG74)</f>
        <v>21985.2</v>
      </c>
      <c r="BV74" s="1090" t="n">
        <f aca="false">SUM(BL74:BN74)</f>
        <v>4397.04</v>
      </c>
      <c r="BW74" s="1098" t="n">
        <f aca="false">SUM(BL74:BO74)</f>
        <v>4397.04</v>
      </c>
      <c r="BX74" s="852" t="n">
        <v>4.79671457905544</v>
      </c>
      <c r="BY74" s="1099" t="n">
        <v>0</v>
      </c>
      <c r="BZ74" s="852" t="n">
        <v>0</v>
      </c>
      <c r="CA74" s="852" t="n">
        <v>0</v>
      </c>
      <c r="CB74" s="852" t="n">
        <v>0</v>
      </c>
      <c r="CC74" s="852" t="n">
        <v>0</v>
      </c>
      <c r="CD74" s="852" t="n">
        <v>0</v>
      </c>
      <c r="CE74" s="1100" t="n">
        <v>0</v>
      </c>
      <c r="CF74" s="852" t="n">
        <v>0</v>
      </c>
      <c r="CG74" s="852" t="n">
        <v>0</v>
      </c>
      <c r="CH74" s="852" t="n">
        <v>0</v>
      </c>
      <c r="CI74" s="852" t="n">
        <v>0</v>
      </c>
      <c r="CJ74" s="1101" t="n">
        <v>0</v>
      </c>
      <c r="CK74" s="852" t="n">
        <v>0</v>
      </c>
      <c r="CL74" s="852" t="n">
        <v>0</v>
      </c>
      <c r="CM74" s="852" t="n">
        <v>0</v>
      </c>
      <c r="CN74" s="852" t="n">
        <v>0</v>
      </c>
      <c r="CO74" s="852" t="n">
        <v>0</v>
      </c>
      <c r="CP74" s="852" t="n">
        <v>0</v>
      </c>
      <c r="CQ74" s="1102" t="n">
        <v>0</v>
      </c>
      <c r="CR74" s="1103" t="n">
        <v>0</v>
      </c>
      <c r="CS74" s="1103" t="n">
        <v>0</v>
      </c>
      <c r="CT74" s="1103" t="n">
        <v>0</v>
      </c>
      <c r="CU74" s="1103" t="n">
        <v>0</v>
      </c>
      <c r="CV74" s="1103" t="n">
        <v>0</v>
      </c>
      <c r="CW74" s="1103" t="n">
        <v>0</v>
      </c>
      <c r="CX74" s="1104" t="n">
        <v>0</v>
      </c>
      <c r="CY74" s="1105" t="n">
        <v>7730.6768</v>
      </c>
      <c r="CZ74" s="1099" t="n">
        <v>0</v>
      </c>
      <c r="DA74" s="852" t="n">
        <v>0</v>
      </c>
      <c r="DB74" s="852" t="n">
        <v>0</v>
      </c>
      <c r="DC74" s="852" t="n">
        <v>0</v>
      </c>
      <c r="DD74" s="852" t="n">
        <v>0</v>
      </c>
      <c r="DE74" s="1113" t="n">
        <v>0</v>
      </c>
      <c r="DF74" s="1109" t="n">
        <v>0</v>
      </c>
      <c r="DG74" s="1110" t="n">
        <v>0</v>
      </c>
      <c r="DH74" s="1111" t="n">
        <v>0</v>
      </c>
      <c r="DI74" s="1112" t="n">
        <v>0</v>
      </c>
      <c r="DJ74" s="1112" t="n">
        <v>0</v>
      </c>
      <c r="DK74" s="1112" t="n">
        <v>0</v>
      </c>
      <c r="DL74" s="1113" t="n">
        <v>0</v>
      </c>
      <c r="DM74" s="1114" t="n">
        <v>0</v>
      </c>
      <c r="DN74" s="1114" t="n">
        <v>0</v>
      </c>
      <c r="DO74" s="1114" t="n">
        <v>0</v>
      </c>
      <c r="DP74" s="1114" t="n">
        <v>0</v>
      </c>
      <c r="DQ74" s="1114" t="n">
        <v>0</v>
      </c>
      <c r="DR74" s="1109" t="n">
        <v>0</v>
      </c>
      <c r="DS74" s="852" t="n">
        <v>0</v>
      </c>
      <c r="DT74" s="852" t="n">
        <v>0</v>
      </c>
      <c r="DU74" s="852" t="n">
        <v>0</v>
      </c>
      <c r="DV74" s="852" t="n">
        <v>0</v>
      </c>
      <c r="DW74" s="852" t="n">
        <v>0</v>
      </c>
      <c r="DX74" s="852" t="n">
        <v>0</v>
      </c>
      <c r="DY74" s="852" t="n">
        <v>0</v>
      </c>
      <c r="DZ74" s="852" t="n">
        <v>0</v>
      </c>
      <c r="EA74" s="852" t="n">
        <v>0</v>
      </c>
      <c r="EB74" s="1113" t="n">
        <v>0</v>
      </c>
      <c r="EC74" s="1115" t="n">
        <f aca="false">DS74*BD74</f>
        <v>0</v>
      </c>
      <c r="ED74" s="1115" t="n">
        <f aca="false">DT74*BE74</f>
        <v>0</v>
      </c>
      <c r="EE74" s="1115" t="n">
        <f aca="false">DU74*BF74</f>
        <v>0</v>
      </c>
      <c r="EF74" s="1115" t="n">
        <f aca="false">DV74*BG74</f>
        <v>0</v>
      </c>
      <c r="EG74" s="1115" t="n">
        <f aca="false">DS74*BD74+DT74*BE74+DU74*BF74+DV74*BG74</f>
        <v>0</v>
      </c>
      <c r="EH74" s="1116" t="n">
        <v>0</v>
      </c>
      <c r="EI74" s="1117" t="n">
        <v>0</v>
      </c>
      <c r="EJ74" s="1117" t="n">
        <v>0</v>
      </c>
      <c r="EK74" s="1117" t="n">
        <v>0</v>
      </c>
      <c r="EL74" s="1118" t="n">
        <f aca="false">IF(C74&gt;=Summary!$E$26,MAX(0,SUM(EH74:EK74)),0)</f>
        <v>0</v>
      </c>
      <c r="EM74" s="1115" t="n">
        <f aca="false">IF(C74&gt;=Summary!$E$26,DX74*BL74,0)</f>
        <v>0</v>
      </c>
      <c r="EN74" s="1115" t="n">
        <f aca="false">IF(C74&gt;=Summary!$E$26,DY74*BM74,0)</f>
        <v>0</v>
      </c>
      <c r="EO74" s="1115" t="n">
        <f aca="false">IF(C74&gt;=Summary!$E$26,DZ74*BN74,0)</f>
        <v>0</v>
      </c>
      <c r="EP74" s="1115" t="n">
        <f aca="false">IF(C74&gt;=Summary!$E$26,EA74*BO74,0)</f>
        <v>0</v>
      </c>
      <c r="EQ74" s="1115" t="n">
        <f aca="false">IF(C74&gt;=Summary!$E$26,DX74*BL74+DY74*BM74+DZ74*BN74+EA74*BO74,0)</f>
        <v>0</v>
      </c>
      <c r="ER74" s="1119" t="n">
        <v>0</v>
      </c>
      <c r="ES74" s="1120" t="n">
        <v>0</v>
      </c>
      <c r="ET74" s="1120" t="n">
        <v>0</v>
      </c>
      <c r="EU74" s="1120" t="n">
        <v>0</v>
      </c>
      <c r="EV74" s="1143" t="n">
        <f aca="false">IF(C74&gt;=Summary!$E$26,MAX(0,SUM(ER74:EU74)),0)</f>
        <v>0</v>
      </c>
      <c r="EW74" s="1115"/>
      <c r="EX74" s="1165" t="n">
        <f aca="false">(EQ74-EV74)+IF(EZ74="Yes",(EG74-EL74),0)</f>
        <v>0</v>
      </c>
      <c r="EY74" s="1166" t="str">
        <f aca="false">IF(EX74,EX74/EQ74,"")</f>
        <v/>
      </c>
      <c r="EZ74" s="1122" t="s">
        <v>37</v>
      </c>
      <c r="FA74" s="1096" t="n">
        <f aca="false">FA73</f>
        <v>45</v>
      </c>
      <c r="FB74" s="1167" t="n">
        <f aca="false">IF(EZ74="No",IF((OR(MONTH(C74)=5,MONTH(C74)=6,MONTH(C74)=7,MONTH(C74)=8,MONTH(C74)=9)),$FA74*12*AX74*(1-$BC74),$FA74*10*AX74*(1-$BC74)),0)</f>
        <v>9308.25</v>
      </c>
      <c r="FC74" s="1129" t="n">
        <f aca="false">IF(EZ74="No",IF((OR(MONTH(C74)=5,MONTH(C74)=6,MONTH(C74)=7,MONTH(C74)=8,MONTH(C74)=9)),0,$FA74*3*AX74*(1-$BC74)),0)</f>
        <v>2792.475</v>
      </c>
      <c r="FD74" s="1129" t="n">
        <f aca="false">IF(EZ74="No",IF((OR(MONTH(C74)=5,MONTH(C74)=6,MONTH(C74)=7,MONTH(C74)=8,MONTH(C74)=9)),$FA74*12*AY74*(1-$BC74),$FA74*10*AY74*(1-$BC74)),0)</f>
        <v>2216.25</v>
      </c>
      <c r="FE74" s="1129" t="n">
        <f aca="false">IF(EZ74="No",IF((OR(MONTH(C74)=5,MONTH(C74)=6,MONTH(C74)=7,MONTH(C74)=8,MONTH(C74)=9)),0,$FA74*3*AY74*(1-$BC74)),0)</f>
        <v>664.875</v>
      </c>
      <c r="FF74" s="1129" t="n">
        <f aca="false">IF(EZ74="No",IF((OR(MONTH(C74)=5,MONTH(C74)=6,MONTH(C74)=7,MONTH(C74)=8,MONTH(C74)=9)),$FA74*12*(AZ74+BA74)*(1-$BC74),$FA74*10*(AZ74+BA74)*(1-$BC74)),0)</f>
        <v>2216.25</v>
      </c>
      <c r="FG74" s="1129" t="n">
        <f aca="false">IF(EZ74="No",IF((OR(MONTH(C74)=5,MONTH(C74)=6,MONTH(C74)=7,MONTH(C74)=8,MONTH(C74)=9)),0,$FA74*3*(AZ74+BA74)*(1-$BC74)),0)</f>
        <v>664.875</v>
      </c>
      <c r="FH74" s="1170" t="n">
        <f aca="false">IF(EZ74="No",IF((OR(MONTH(C74)=5,MONTH(C74)=6,MONTH(C74)=7,MONTH(C74)=8,MONTH(C74)=9)),Summary!$O$15*12*(AX74+AY74+AZ74+BA74)*(1-$BC74),Summary!$O$15*13*(AX74+AY74+AZ74+BA74)*(1-$BC74)+IF(Summary!$O$16="Yes",(CALC!FA74+Summary!$O$15)*6*(AX74+AY74+AZ74+BA74)*(1-$BC74),0)),0)</f>
        <v>0</v>
      </c>
      <c r="FI74" s="1126" t="n">
        <f aca="false">IF(MONTH(C74)=5,FI73*(IF(Summary!$E$70="no",(1+(Summary!$E$71*0.8)),1+HLOOKUP(YEAR(C74)-1,CCFMODEL!$I$127:$AF$128,2)*0.8)),+FI73)</f>
        <v>29.9518363804076</v>
      </c>
      <c r="FJ74" s="1127" t="n">
        <f aca="false">IF(MONTH(C74)=5,FJ73*(IF(Summary!$E$70="no",(1+(Summary!$E$71*0.8)),1+HLOOKUP(YEAR(CALC!C74)-1,CCFMODEL!$I$127:$AF$128,2)*0.8)),FJ73)</f>
        <v>26.1783766789389</v>
      </c>
      <c r="FK74" s="1128" t="n">
        <f aca="false">SUM(FB74:FG74)*FI74+FH74*FJ74</f>
        <v>535028.904467312</v>
      </c>
      <c r="FL74" s="1126" t="n">
        <f aca="false">IF(MONTH(C74)=5,FL73*(IF(Summary!$E$70="no",(1+(Summary!$E$71*0.8)),1+HLOOKUP(YEAR(CALC!C74)-1,CCFMODEL!$I$127:$AF$128,2)*0.8)),+FL73)</f>
        <v>62.9920698379101</v>
      </c>
      <c r="FM74" s="1127" t="n">
        <f aca="false">IF(MONTH(C74)=5,FM73*(IF(Summary!$E$70="no",(1+(Summary!$E$71*0.8)),1+HLOOKUP(YEAR(CALC!C74)-1,CCFMODEL!$I$127:$AF$128,2)*0.8)),+FM73)</f>
        <v>30.0641417286656</v>
      </c>
      <c r="FN74" s="1128" t="n">
        <f aca="false">IF((OR(MONTH(C74)=5,MONTH(C74)=6,MONTH(C74)=7,MONTH(C74)=8,MONTH(C74)=9)),SUM(FB74:FG74)/(1-BC74)*FL74,SUM(FB74:FG74)/(1-BC74)*FM74)</f>
        <v>545213.210249351</v>
      </c>
      <c r="FO74" s="1129" t="n">
        <f aca="false">FK74+FN74</f>
        <v>1080242.11471666</v>
      </c>
      <c r="FP74" s="1169" t="n">
        <f aca="false">FB74</f>
        <v>9308.25</v>
      </c>
      <c r="FQ74" s="1129" t="n">
        <f aca="false">FC74</f>
        <v>2792.475</v>
      </c>
      <c r="FR74" s="1129" t="n">
        <f aca="false">FD74</f>
        <v>2216.25</v>
      </c>
      <c r="FS74" s="1129" t="n">
        <f aca="false">FE74</f>
        <v>664.875</v>
      </c>
      <c r="FT74" s="1129" t="n">
        <f aca="false">FF74</f>
        <v>2216.25</v>
      </c>
      <c r="FU74" s="1129" t="n">
        <f aca="false">FG74</f>
        <v>664.875</v>
      </c>
      <c r="FV74" s="1170" t="n">
        <f aca="false">FH74</f>
        <v>0</v>
      </c>
      <c r="FW74" s="1115" t="n">
        <f aca="false">IF(ER74&gt;0,MIN(FB74-FP74,BL74),0)</f>
        <v>0</v>
      </c>
      <c r="FX74" s="1115" t="n">
        <f aca="false">IF(ES74&gt;0,MIN(FD74-FR74,BM74),0)</f>
        <v>0</v>
      </c>
      <c r="FY74" s="1115" t="n">
        <f aca="false">IF(ET74&gt;0,MIN(FF74-FT74,BN74),0)</f>
        <v>0</v>
      </c>
      <c r="FZ74" s="1143" t="n">
        <f aca="false">IF(EU74&gt;0,MIN(FH74-FV74,BO74),0)</f>
        <v>0</v>
      </c>
      <c r="GA74" s="1132" t="n">
        <f aca="false">(SUM(FP74:FV74)+SUM(GU74:HB74)/(1-Summary!$O$25))*CY74/1000</f>
        <v>235820.159871912</v>
      </c>
      <c r="GB74" s="1133" t="n">
        <f aca="false">IF($C74&lt;Summary!$M$81,+Summary!$O$81,VLOOKUP(C74,GasTable,19))</f>
        <v>2.4</v>
      </c>
      <c r="GC74" s="1134" t="n">
        <f aca="false">IF(H74&lt;=Summary!$N$84,MIN(GA74,Summary!$O$75*(H74-G74+1)),0)</f>
        <v>155000</v>
      </c>
      <c r="GD74" s="1135" t="n">
        <f aca="false">IF(Summary!$O$75*(H74-G74+1)*0.8&gt;GC74,1,0)</f>
        <v>0</v>
      </c>
      <c r="GE74" s="1136" t="n">
        <v>0</v>
      </c>
      <c r="GF74" s="1134" t="n">
        <f aca="false">ABS(MIN(0,GC74-$GA74))</f>
        <v>80820.159871912</v>
      </c>
      <c r="GG74" s="1135" t="n">
        <f aca="false">GF74*(IF(Summary!$O$74=1,VLOOKUP($C74,GasTable,16)+Summary!$O$92+Summary!$O$93,VLOOKUP($C74,GasTable,19)+Summary!$O$92+Summary!$O$93))</f>
        <v>240763.794066703</v>
      </c>
      <c r="GH74" s="1137" t="n">
        <v>18748.8</v>
      </c>
      <c r="GI74" s="1138" t="n">
        <v>0</v>
      </c>
      <c r="GJ74" s="1139" t="n">
        <f aca="false">+GB74*GC74+GE74+GG74+GH74-GI74</f>
        <v>631512.594066704</v>
      </c>
      <c r="GK74" s="1115" t="n">
        <f aca="false">SUM(FP74:FV74,GU74:GX74,GY74:HB74)</f>
        <v>30062.01285</v>
      </c>
      <c r="GL74" s="1140" t="n">
        <v>0.75915246176</v>
      </c>
      <c r="GM74" s="1141" t="n">
        <f aca="false">IF(GK74&gt;GC74/(CY74/1000),GC74/(CY74/1000),+GK74)*GL74</f>
        <v>15221</v>
      </c>
      <c r="GN74" s="1115" t="n">
        <f aca="false">IF(SUM(GU74:HB74)=0,0,IF(Summary!$O$16="Yes",SUM(GX74:HB74),IF(Summary!$O$17="Yes",SUM(GY74:HB74),SUM(GU74:HB74))))</f>
        <v>12199.03785</v>
      </c>
      <c r="GO74" s="1142" t="n">
        <v>2.67817696726971</v>
      </c>
      <c r="GP74" s="1143" t="n">
        <f aca="false">GN74*GO74</f>
        <v>32671.1821927214</v>
      </c>
      <c r="GQ74" s="1115"/>
      <c r="GR74" s="1115"/>
      <c r="GS74" s="1115"/>
      <c r="GT74" s="1115"/>
      <c r="GU74" s="1150" t="n">
        <v>5389.47675</v>
      </c>
      <c r="GV74" s="1115" t="n">
        <v>1283.20875</v>
      </c>
      <c r="GW74" s="1115" t="n">
        <v>1283.20875</v>
      </c>
      <c r="GX74" s="1115"/>
      <c r="GY74" s="1151" t="n">
        <v>2874.3876</v>
      </c>
      <c r="GZ74" s="1115" t="n">
        <v>684.378</v>
      </c>
      <c r="HA74" s="1115" t="n">
        <v>684.378</v>
      </c>
      <c r="HB74" s="1141"/>
      <c r="HC74" s="1115" t="n">
        <v>12199.03785</v>
      </c>
      <c r="HD74" s="1115"/>
      <c r="HE74" s="1115" t="n">
        <v>20950.521525</v>
      </c>
      <c r="HF74" s="1115" t="n">
        <v>440780.837263825</v>
      </c>
      <c r="HG74" s="1115"/>
      <c r="HH74" s="1142" t="n">
        <v>35.5609394784775</v>
      </c>
      <c r="HI74" s="1115" t="n">
        <v>745020.227993066</v>
      </c>
      <c r="HJ74" s="1150" t="n">
        <f aca="false">MAX(FB74-FP74-FW74,0)</f>
        <v>0</v>
      </c>
      <c r="HK74" s="1115" t="n">
        <f aca="false">MAX(FD74-FR74-FX74,0)</f>
        <v>0</v>
      </c>
      <c r="HL74" s="1115" t="n">
        <f aca="false">MAX(FF74-FT74-FY74,0)</f>
        <v>0</v>
      </c>
      <c r="HM74" s="1141" t="n">
        <f aca="false">MAX(FH74-FV74-FZ74,0)</f>
        <v>0</v>
      </c>
      <c r="HN74" s="1115" t="n">
        <f aca="false">SUM(HJ74:HM74)</f>
        <v>0</v>
      </c>
      <c r="HO74" s="1142" t="n">
        <f aca="false">IF(ISERROR(+HP74/HN74),0,+HP74/HN74)</f>
        <v>0</v>
      </c>
      <c r="HP74" s="1143" t="n">
        <f aca="false">(HJ74*CE74+HK74*CF74+HL74*CG74+HM74*CH74)</f>
        <v>0</v>
      </c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R74" s="844"/>
    </row>
    <row r="75" customFormat="false" ht="13.5" hidden="false" customHeight="false" outlineLevel="0" collapsed="false">
      <c r="A75" s="0" t="str">
        <f aca="false">+D75&amp;"Q"&amp;ROUNDUP(E75/3,0)</f>
        <v>2004Q4</v>
      </c>
      <c r="B75" s="0" t="n">
        <f aca="false">YEAR(C75)</f>
        <v>2004</v>
      </c>
      <c r="C75" s="1153" t="n">
        <f aca="false">EOMONTH(C74,0)+1</f>
        <v>38292</v>
      </c>
      <c r="D75" s="841" t="n">
        <f aca="false">+YEAR(C75)</f>
        <v>2004</v>
      </c>
      <c r="E75" s="807" t="n">
        <f aca="false">MONTH(C75)</f>
        <v>11</v>
      </c>
      <c r="F75" s="1154" t="e">
        <f aca="false">IF(G75="","",Holiday(D75,E75))</f>
        <v>#VALUE!</v>
      </c>
      <c r="G75" s="1155" t="n">
        <v>38292</v>
      </c>
      <c r="H75" s="1156" t="n">
        <v>38321</v>
      </c>
      <c r="I75" s="1157" t="n">
        <f aca="false">I74</f>
        <v>0.0715</v>
      </c>
      <c r="J75" s="1158" t="n">
        <f aca="false">(1+I75/2)^(-2*(DATE(D76,E76,20)-$H$7)/365.25)</f>
        <v>0.70302419877666</v>
      </c>
      <c r="K75" s="1159" t="e">
        <f aca="false">IF(#REF!=1,+#REF!,I75+#REF!/10000)</f>
        <v>#REF!</v>
      </c>
      <c r="L75" s="1158" t="e">
        <f aca="false">(1+K75/2)^(-2*(DATE(D76,E76,20)-$H$7)/365.25)</f>
        <v>#REF!</v>
      </c>
      <c r="M75" s="1082" t="n">
        <v>0</v>
      </c>
      <c r="N75" s="1110" t="n">
        <f aca="false">M75</f>
        <v>0</v>
      </c>
      <c r="O75" s="1174" t="n">
        <f aca="false">N75</f>
        <v>0</v>
      </c>
      <c r="P75" s="1175" t="n">
        <f aca="false">M75</f>
        <v>0</v>
      </c>
      <c r="Q75" s="1110" t="n">
        <f aca="false">P75</f>
        <v>0</v>
      </c>
      <c r="R75" s="1174" t="n">
        <f aca="false">Q75</f>
        <v>0</v>
      </c>
      <c r="S75" s="1110" t="n">
        <f aca="false">R75</f>
        <v>0</v>
      </c>
      <c r="T75" s="1110" t="n">
        <f aca="false">S75</f>
        <v>0</v>
      </c>
      <c r="U75" s="1110" t="n">
        <f aca="false">T75</f>
        <v>0</v>
      </c>
      <c r="V75" s="1175" t="n">
        <f aca="false">U75</f>
        <v>0</v>
      </c>
      <c r="W75" s="1110" t="n">
        <f aca="false">V75</f>
        <v>0</v>
      </c>
      <c r="X75" s="1176" t="n">
        <f aca="false">W75</f>
        <v>0</v>
      </c>
      <c r="Y75" s="1086" t="n">
        <v>0</v>
      </c>
      <c r="Z75" s="1086" t="n">
        <v>0</v>
      </c>
      <c r="AA75" s="1087" t="n">
        <v>0</v>
      </c>
      <c r="AB75" s="1086" t="n">
        <v>0</v>
      </c>
      <c r="AC75" s="1086" t="n">
        <v>0</v>
      </c>
      <c r="AD75" s="1087" t="n">
        <v>0</v>
      </c>
      <c r="AE75" s="1086" t="n">
        <v>0</v>
      </c>
      <c r="AF75" s="1086" t="n">
        <v>0</v>
      </c>
      <c r="AG75" s="1087" t="n">
        <v>0</v>
      </c>
      <c r="AH75" s="1086" t="n">
        <v>0</v>
      </c>
      <c r="AI75" s="1086" t="n">
        <v>0</v>
      </c>
      <c r="AJ75" s="1087" t="n">
        <v>0</v>
      </c>
      <c r="AK75" s="1086" t="n">
        <v>0</v>
      </c>
      <c r="AL75" s="1086" t="n">
        <v>0</v>
      </c>
      <c r="AM75" s="1087" t="n">
        <v>0</v>
      </c>
      <c r="AN75" s="1086" t="n">
        <v>0</v>
      </c>
      <c r="AO75" s="1086" t="n">
        <v>0</v>
      </c>
      <c r="AP75" s="1087" t="n">
        <v>0</v>
      </c>
      <c r="AQ75" s="1086" t="n">
        <v>0</v>
      </c>
      <c r="AR75" s="1086" t="n">
        <v>0</v>
      </c>
      <c r="AS75" s="1087" t="n">
        <v>0</v>
      </c>
      <c r="AT75" s="1086" t="n">
        <v>0</v>
      </c>
      <c r="AU75" s="1086" t="n">
        <v>0</v>
      </c>
      <c r="AV75" s="1086" t="n">
        <v>0</v>
      </c>
      <c r="AW75" s="1172" t="n">
        <v>0</v>
      </c>
      <c r="AX75" s="807" t="e">
        <f aca="false">BB75-SUM(AY75:BA75)</f>
        <v>#VALUE!</v>
      </c>
      <c r="AY75" s="807" t="e">
        <f aca="false">IF(AND($E75=MONTH(Summary!$E$24),$D75=YEAR(Summary!$E$24)),Summary!$E$25,1)*IF(G75="",0,INT((H75-MOD(H75,7)-G75)/7)+1-IF(BA75,IF(WEEKDAY(F75)=7,1,0),0))</f>
        <v>#VALUE!</v>
      </c>
      <c r="AZ75" s="807" t="e">
        <f aca="false">IF(AND($E75=MONTH(Summary!$E$24),$D75=YEAR(Summary!$E$24)),Summary!$E$25,1)*IF(G75="",0,INT((H75-MOD(H75-1,7)-G75)/7)+1-IF(BA75,IF(WEEKDAY(F75)=1,1,0),0))</f>
        <v>#VALUE!</v>
      </c>
      <c r="BA75" s="807" t="n">
        <v>1</v>
      </c>
      <c r="BB75" s="807" t="n">
        <f aca="false">IF(AND($E75=MONTH(Summary!$E$24),$D75=YEAR(Summary!$E$24)),Summary!$E$25,1)*IF(G75="",0,H75-G75+1)</f>
        <v>30</v>
      </c>
      <c r="BC75" s="1089" t="n">
        <f aca="false">Summary!$E$19</f>
        <v>0.015</v>
      </c>
      <c r="BD75" s="1090" t="n">
        <v>14893.2</v>
      </c>
      <c r="BE75" s="1091" t="n">
        <v>2836.8</v>
      </c>
      <c r="BF75" s="1091" t="n">
        <v>3546</v>
      </c>
      <c r="BG75" s="842"/>
      <c r="BH75" s="1092" t="n">
        <v>1</v>
      </c>
      <c r="BI75" s="1092" t="n">
        <v>1</v>
      </c>
      <c r="BJ75" s="1092" t="n">
        <v>1</v>
      </c>
      <c r="BK75" s="1092" t="n">
        <v>1</v>
      </c>
      <c r="BL75" s="1093" t="n">
        <v>2978.64</v>
      </c>
      <c r="BM75" s="1091" t="n">
        <v>567.36</v>
      </c>
      <c r="BN75" s="1091" t="n">
        <v>709.2</v>
      </c>
      <c r="BO75" s="842"/>
      <c r="BP75" s="1092" t="n">
        <v>1</v>
      </c>
      <c r="BQ75" s="1094" t="n">
        <v>1</v>
      </c>
      <c r="BR75" s="1094" t="n">
        <v>1</v>
      </c>
      <c r="BS75" s="1095" t="n">
        <v>1</v>
      </c>
      <c r="BT75" s="1093" t="n">
        <f aca="false">SUM(BD75:BF75)</f>
        <v>21276</v>
      </c>
      <c r="BU75" s="1098" t="n">
        <f aca="false">SUM(BD75:BG75)</f>
        <v>21276</v>
      </c>
      <c r="BV75" s="1090" t="n">
        <f aca="false">SUM(BL75:BN75)</f>
        <v>4255.2</v>
      </c>
      <c r="BW75" s="1098" t="n">
        <f aca="false">SUM(BL75:BO75)</f>
        <v>4255.2</v>
      </c>
      <c r="BX75" s="852" t="n">
        <v>4.88158795345654</v>
      </c>
      <c r="BY75" s="1099" t="n">
        <v>0</v>
      </c>
      <c r="BZ75" s="852" t="n">
        <v>0</v>
      </c>
      <c r="CA75" s="852" t="n">
        <v>0</v>
      </c>
      <c r="CB75" s="852" t="n">
        <v>0</v>
      </c>
      <c r="CC75" s="852" t="n">
        <v>0</v>
      </c>
      <c r="CD75" s="852" t="n">
        <v>0</v>
      </c>
      <c r="CE75" s="1100" t="n">
        <v>0</v>
      </c>
      <c r="CF75" s="852" t="n">
        <v>0</v>
      </c>
      <c r="CG75" s="852" t="n">
        <v>0</v>
      </c>
      <c r="CH75" s="852" t="n">
        <v>0</v>
      </c>
      <c r="CI75" s="852" t="n">
        <v>0</v>
      </c>
      <c r="CJ75" s="1101" t="n">
        <v>0</v>
      </c>
      <c r="CK75" s="852" t="n">
        <v>0</v>
      </c>
      <c r="CL75" s="852" t="n">
        <v>0</v>
      </c>
      <c r="CM75" s="852" t="n">
        <v>0</v>
      </c>
      <c r="CN75" s="852" t="n">
        <v>0</v>
      </c>
      <c r="CO75" s="852" t="n">
        <v>0</v>
      </c>
      <c r="CP75" s="852" t="n">
        <v>0</v>
      </c>
      <c r="CQ75" s="1102" t="n">
        <v>0</v>
      </c>
      <c r="CR75" s="1103" t="n">
        <v>0</v>
      </c>
      <c r="CS75" s="1103" t="n">
        <v>0</v>
      </c>
      <c r="CT75" s="1103" t="n">
        <v>0</v>
      </c>
      <c r="CU75" s="1103" t="n">
        <v>0</v>
      </c>
      <c r="CV75" s="1103" t="n">
        <v>0</v>
      </c>
      <c r="CW75" s="1103" t="n">
        <v>0</v>
      </c>
      <c r="CX75" s="1104" t="n">
        <v>0</v>
      </c>
      <c r="CY75" s="1105" t="n">
        <v>7731.97968</v>
      </c>
      <c r="CZ75" s="1099" t="n">
        <v>0</v>
      </c>
      <c r="DA75" s="852" t="n">
        <v>0</v>
      </c>
      <c r="DB75" s="852" t="n">
        <v>0</v>
      </c>
      <c r="DC75" s="852" t="n">
        <v>0</v>
      </c>
      <c r="DD75" s="852" t="n">
        <v>0</v>
      </c>
      <c r="DE75" s="1113" t="n">
        <v>0</v>
      </c>
      <c r="DF75" s="1109" t="n">
        <v>0</v>
      </c>
      <c r="DG75" s="1110" t="n">
        <v>0</v>
      </c>
      <c r="DH75" s="1111" t="n">
        <v>0</v>
      </c>
      <c r="DI75" s="1112" t="n">
        <v>0</v>
      </c>
      <c r="DJ75" s="1112" t="n">
        <v>0</v>
      </c>
      <c r="DK75" s="1112" t="n">
        <v>0</v>
      </c>
      <c r="DL75" s="1113" t="n">
        <v>0</v>
      </c>
      <c r="DM75" s="1114" t="n">
        <v>0</v>
      </c>
      <c r="DN75" s="1114" t="n">
        <v>0</v>
      </c>
      <c r="DO75" s="1114" t="n">
        <v>0</v>
      </c>
      <c r="DP75" s="1114" t="n">
        <v>0</v>
      </c>
      <c r="DQ75" s="1114" t="n">
        <v>0</v>
      </c>
      <c r="DR75" s="1109" t="n">
        <v>0</v>
      </c>
      <c r="DS75" s="852" t="n">
        <v>0</v>
      </c>
      <c r="DT75" s="852" t="n">
        <v>0</v>
      </c>
      <c r="DU75" s="852" t="n">
        <v>0</v>
      </c>
      <c r="DV75" s="852" t="n">
        <v>0</v>
      </c>
      <c r="DW75" s="852" t="n">
        <v>0</v>
      </c>
      <c r="DX75" s="852" t="n">
        <v>0</v>
      </c>
      <c r="DY75" s="852" t="n">
        <v>0</v>
      </c>
      <c r="DZ75" s="852" t="n">
        <v>0</v>
      </c>
      <c r="EA75" s="852" t="n">
        <v>0</v>
      </c>
      <c r="EB75" s="1113" t="n">
        <v>0</v>
      </c>
      <c r="EC75" s="1115" t="n">
        <f aca="false">DS75*BD75</f>
        <v>0</v>
      </c>
      <c r="ED75" s="1115" t="n">
        <f aca="false">DT75*BE75</f>
        <v>0</v>
      </c>
      <c r="EE75" s="1115" t="n">
        <f aca="false">DU75*BF75</f>
        <v>0</v>
      </c>
      <c r="EF75" s="1115" t="n">
        <f aca="false">DV75*BG75</f>
        <v>0</v>
      </c>
      <c r="EG75" s="1115" t="n">
        <f aca="false">DS75*BD75+DT75*BE75+DU75*BF75+DV75*BG75</f>
        <v>0</v>
      </c>
      <c r="EH75" s="1116" t="n">
        <v>0</v>
      </c>
      <c r="EI75" s="1117" t="n">
        <v>0</v>
      </c>
      <c r="EJ75" s="1117" t="n">
        <v>0</v>
      </c>
      <c r="EK75" s="1117" t="n">
        <v>0</v>
      </c>
      <c r="EL75" s="1118" t="n">
        <f aca="false">IF(C75&gt;=Summary!$E$26,MAX(0,SUM(EH75:EK75)),0)</f>
        <v>0</v>
      </c>
      <c r="EM75" s="1115" t="n">
        <f aca="false">IF(C75&gt;=Summary!$E$26,DX75*BL75,0)</f>
        <v>0</v>
      </c>
      <c r="EN75" s="1115" t="n">
        <f aca="false">IF(C75&gt;=Summary!$E$26,DY75*BM75,0)</f>
        <v>0</v>
      </c>
      <c r="EO75" s="1115" t="n">
        <f aca="false">IF(C75&gt;=Summary!$E$26,DZ75*BN75,0)</f>
        <v>0</v>
      </c>
      <c r="EP75" s="1115" t="n">
        <f aca="false">IF(C75&gt;=Summary!$E$26,EA75*BO75,0)</f>
        <v>0</v>
      </c>
      <c r="EQ75" s="1115" t="n">
        <f aca="false">IF(C75&gt;=Summary!$E$26,DX75*BL75+DY75*BM75+DZ75*BN75+EA75*BO75,0)</f>
        <v>0</v>
      </c>
      <c r="ER75" s="1119" t="n">
        <v>0</v>
      </c>
      <c r="ES75" s="1120" t="n">
        <v>0</v>
      </c>
      <c r="ET75" s="1120" t="n">
        <v>0</v>
      </c>
      <c r="EU75" s="1120" t="n">
        <v>0</v>
      </c>
      <c r="EV75" s="1143" t="n">
        <f aca="false">IF(C75&gt;=Summary!$E$26,MAX(0,SUM(ER75:EU75)),0)</f>
        <v>0</v>
      </c>
      <c r="EW75" s="1115"/>
      <c r="EX75" s="1165" t="n">
        <f aca="false">(EQ75-EV75)+IF(EZ75="Yes",(EG75-EL75),0)</f>
        <v>0</v>
      </c>
      <c r="EY75" s="1166" t="str">
        <f aca="false">IF(EX75,EX75/EQ75,"")</f>
        <v/>
      </c>
      <c r="EZ75" s="1122" t="s">
        <v>37</v>
      </c>
      <c r="FA75" s="1096" t="n">
        <f aca="false">FA74</f>
        <v>45</v>
      </c>
      <c r="FB75" s="1167" t="e">
        <f aca="false">IF(EZ75="No",IF((OR(MONTH(C75)=5,MONTH(C75)=6,MONTH(C75)=7,MONTH(C75)=8,MONTH(C75)=9)),$FA75*12*AX75*(1-$BC75),$FA75*10*AX75*(1-$BC75)),0)</f>
        <v>#VALUE!</v>
      </c>
      <c r="FC75" s="1129" t="e">
        <f aca="false">IF(EZ75="No",IF((OR(MONTH(C75)=5,MONTH(C75)=6,MONTH(C75)=7,MONTH(C75)=8,MONTH(C75)=9)),0,$FA75*3*AX75*(1-$BC75)),0)</f>
        <v>#VALUE!</v>
      </c>
      <c r="FD75" s="1129" t="e">
        <f aca="false">IF(EZ75="No",IF((OR(MONTH(C75)=5,MONTH(C75)=6,MONTH(C75)=7,MONTH(C75)=8,MONTH(C75)=9)),$FA75*12*AY75*(1-$BC75),$FA75*10*AY75*(1-$BC75)),0)</f>
        <v>#VALUE!</v>
      </c>
      <c r="FE75" s="1129" t="e">
        <f aca="false">IF(EZ75="No",IF((OR(MONTH(C75)=5,MONTH(C75)=6,MONTH(C75)=7,MONTH(C75)=8,MONTH(C75)=9)),0,$FA75*3*AY75*(1-$BC75)),0)</f>
        <v>#VALUE!</v>
      </c>
      <c r="FF75" s="1129" t="e">
        <f aca="false">IF(EZ75="No",IF((OR(MONTH(C75)=5,MONTH(C75)=6,MONTH(C75)=7,MONTH(C75)=8,MONTH(C75)=9)),$FA75*12*(AZ75+BA75)*(1-$BC75),$FA75*10*(AZ75+BA75)*(1-$BC75)),0)</f>
        <v>#VALUE!</v>
      </c>
      <c r="FG75" s="1129" t="e">
        <f aca="false">IF(EZ75="No",IF((OR(MONTH(C75)=5,MONTH(C75)=6,MONTH(C75)=7,MONTH(C75)=8,MONTH(C75)=9)),0,$FA75*3*(AZ75+BA75)*(1-$BC75)),0)</f>
        <v>#VALUE!</v>
      </c>
      <c r="FH75" s="1170" t="e">
        <f aca="false">IF(EZ75="No",IF((OR(MONTH(C75)=5,MONTH(C75)=6,MONTH(C75)=7,MONTH(C75)=8,MONTH(C75)=9)),Summary!$O$15*12*(AX75+AY75+AZ75+BA75)*(1-$BC75),Summary!$O$15*13*(AX75+AY75+AZ75+BA75)*(1-$BC75)+IF(Summary!$O$16="Yes",(CALC!FA75+Summary!$O$15)*6*(AX75+AY75+AZ75+BA75)*(1-$BC75),0)),0)</f>
        <v>#VALUE!</v>
      </c>
      <c r="FI75" s="1126" t="n">
        <f aca="false">IF(MONTH(C75)=5,FI74*(IF(Summary!$E$70="no",(1+(Summary!$E$71*0.8)),1+HLOOKUP(YEAR(C75)-1,CCFMODEL!$I$127:$AF$128,2)*0.8)),+FI74)</f>
        <v>29.9518363804076</v>
      </c>
      <c r="FJ75" s="1127" t="n">
        <f aca="false">IF(MONTH(C75)=5,FJ74*(IF(Summary!$E$70="no",(1+(Summary!$E$71*0.8)),1+HLOOKUP(YEAR(CALC!C75)-1,CCFMODEL!$I$127:$AF$128,2)*0.8)),FJ74)</f>
        <v>26.1783766789389</v>
      </c>
      <c r="FK75" s="1128" t="e">
        <f aca="false">SUM(FB75:FG75)*FI75+FH75*FJ75</f>
        <v>#VALUE!</v>
      </c>
      <c r="FL75" s="1126" t="n">
        <f aca="false">IF(MONTH(C75)=5,FL74*(IF(Summary!$E$70="no",(1+(Summary!$E$71*0.8)),1+HLOOKUP(YEAR(CALC!C75)-1,CCFMODEL!$I$127:$AF$128,2)*0.8)),+FL74)</f>
        <v>62.9920698379101</v>
      </c>
      <c r="FM75" s="1127" t="n">
        <f aca="false">IF(MONTH(C75)=5,FM74*(IF(Summary!$E$70="no",(1+(Summary!$E$71*0.8)),1+HLOOKUP(YEAR(CALC!C75)-1,CCFMODEL!$I$127:$AF$128,2)*0.8)),+FM74)</f>
        <v>30.0641417286656</v>
      </c>
      <c r="FN75" s="1128" t="e">
        <f aca="false">IF((OR(MONTH(C75)=5,MONTH(C75)=6,MONTH(C75)=7,MONTH(C75)=8,MONTH(C75)=9)),SUM(FB75:FG75)/(1-BC75)*FL75,SUM(FB75:FG75)/(1-BC75)*FM75)</f>
        <v>#VALUE!</v>
      </c>
      <c r="FO75" s="1129" t="e">
        <f aca="false">FK75+FN75</f>
        <v>#VALUE!</v>
      </c>
      <c r="FP75" s="1169" t="e">
        <f aca="false">FB75</f>
        <v>#VALUE!</v>
      </c>
      <c r="FQ75" s="1129" t="e">
        <f aca="false">FC75</f>
        <v>#VALUE!</v>
      </c>
      <c r="FR75" s="1129" t="e">
        <f aca="false">FD75</f>
        <v>#VALUE!</v>
      </c>
      <c r="FS75" s="1129" t="e">
        <f aca="false">FE75</f>
        <v>#VALUE!</v>
      </c>
      <c r="FT75" s="1129" t="e">
        <f aca="false">FF75</f>
        <v>#VALUE!</v>
      </c>
      <c r="FU75" s="1129" t="e">
        <f aca="false">FG75</f>
        <v>#VALUE!</v>
      </c>
      <c r="FV75" s="1170" t="e">
        <f aca="false">FH75</f>
        <v>#VALUE!</v>
      </c>
      <c r="FW75" s="1115" t="n">
        <f aca="false">IF(ER75&gt;0,MIN(FB75-FP75,BL75),0)</f>
        <v>0</v>
      </c>
      <c r="FX75" s="1115" t="n">
        <f aca="false">IF(ES75&gt;0,MIN(FD75-FR75,BM75),0)</f>
        <v>0</v>
      </c>
      <c r="FY75" s="1115" t="n">
        <f aca="false">IF(ET75&gt;0,MIN(FF75-FT75,BN75),0)</f>
        <v>0</v>
      </c>
      <c r="FZ75" s="1143" t="n">
        <f aca="false">IF(EU75&gt;0,MIN(FH75-FV75,BO75),0)</f>
        <v>0</v>
      </c>
      <c r="GA75" s="1132" t="e">
        <f aca="false">(SUM(FP75:FV75)+SUM(GU75:HB75)/(1-Summary!$O$25))*CY75/1000</f>
        <v>#VALUE!</v>
      </c>
      <c r="GB75" s="1133" t="n">
        <f aca="false">IF($C75&lt;Summary!$M$81,+Summary!$O$81,VLOOKUP(C75,GasTable,19))</f>
        <v>2.4</v>
      </c>
      <c r="GC75" s="1134" t="e">
        <f aca="false">IF(H75&lt;=Summary!$N$84,MIN(GA75,Summary!$O$75*(H75-G75+1)),0)</f>
        <v>#VALUE!</v>
      </c>
      <c r="GD75" s="1135" t="e">
        <f aca="false">IF(Summary!$O$75*(H75-G75+1)*0.8&gt;GC75,1,0)</f>
        <v>#VALUE!</v>
      </c>
      <c r="GE75" s="1136" t="n">
        <v>0</v>
      </c>
      <c r="GF75" s="1134" t="e">
        <f aca="false">ABS(MIN(0,GC75-$GA75))</f>
        <v>#VALUE!</v>
      </c>
      <c r="GG75" s="1135" t="e">
        <f aca="false">GF75*(IF(Summary!$O$74=1,VLOOKUP($C75,GasTable,16)+Summary!$O$92+Summary!$O$93,VLOOKUP($C75,GasTable,19)+Summary!$O$92+Summary!$O$93))</f>
        <v>#VALUE!</v>
      </c>
      <c r="GH75" s="1137" t="n">
        <v>18678</v>
      </c>
      <c r="GI75" s="1138" t="n">
        <v>0</v>
      </c>
      <c r="GJ75" s="1139" t="e">
        <f aca="false">+GB75*GC75+GE75+GG75+GH75-GI75</f>
        <v>#VALUE!</v>
      </c>
      <c r="GK75" s="1115" t="e">
        <f aca="false">SUM(FP75:FV75,GU75:GX75,GY75:HB75)</f>
        <v>#VALUE!</v>
      </c>
      <c r="GL75" s="1140" t="n">
        <v>0.759280404576</v>
      </c>
      <c r="GM75" s="1141" t="e">
        <f aca="false">IF(GK75&gt;GC75/(CY75/1000),GC75/(CY75/1000),+GK75)*GL75</f>
        <v>#VALUE!</v>
      </c>
      <c r="GN75" s="1115" t="n">
        <f aca="false">IF(SUM(GU75:HB75)=0,0,IF(Summary!$O$16="Yes",SUM(GX75:HB75),IF(Summary!$O$17="Yes",SUM(GY75:HB75),SUM(GU75:HB75))))</f>
        <v>11805.5205</v>
      </c>
      <c r="GO75" s="1142" t="n">
        <v>2.67817696726971</v>
      </c>
      <c r="GP75" s="1143" t="n">
        <f aca="false">GN75*GO75</f>
        <v>31617.2730897304</v>
      </c>
      <c r="GQ75" s="1115"/>
      <c r="GR75" s="1115"/>
      <c r="GS75" s="1115"/>
      <c r="GT75" s="1115"/>
      <c r="GU75" s="1150" t="n">
        <v>5389.47675</v>
      </c>
      <c r="GV75" s="1115" t="n">
        <v>1026.567</v>
      </c>
      <c r="GW75" s="1115" t="n">
        <v>1283.20875</v>
      </c>
      <c r="GX75" s="1115"/>
      <c r="GY75" s="1151" t="n">
        <v>2874.3876</v>
      </c>
      <c r="GZ75" s="1115" t="n">
        <v>547.5024</v>
      </c>
      <c r="HA75" s="1115" t="n">
        <v>684.378</v>
      </c>
      <c r="HB75" s="1141"/>
      <c r="HC75" s="1115" t="n">
        <v>11805.5205</v>
      </c>
      <c r="HD75" s="1115"/>
      <c r="HE75" s="1115" t="n">
        <v>20274.69825</v>
      </c>
      <c r="HF75" s="1115" t="n">
        <v>427140.842075331</v>
      </c>
      <c r="HG75" s="1115"/>
      <c r="HH75" s="1142" t="n">
        <v>35.9684584252807</v>
      </c>
      <c r="HI75" s="1115" t="n">
        <v>729249.641090237</v>
      </c>
      <c r="HJ75" s="1150" t="e">
        <f aca="false">MAX(FB75-FP75-FW75,0)</f>
        <v>#VALUE!</v>
      </c>
      <c r="HK75" s="1115" t="e">
        <f aca="false">MAX(FD75-FR75-FX75,0)</f>
        <v>#VALUE!</v>
      </c>
      <c r="HL75" s="1115" t="e">
        <f aca="false">MAX(FF75-FT75-FY75,0)</f>
        <v>#VALUE!</v>
      </c>
      <c r="HM75" s="1141" t="e">
        <f aca="false">MAX(FH75-FV75-FZ75,0)</f>
        <v>#VALUE!</v>
      </c>
      <c r="HN75" s="1115" t="e">
        <f aca="false">SUM(HJ75:HM75)</f>
        <v>#VALUE!</v>
      </c>
      <c r="HO75" s="1142" t="n">
        <f aca="false">IF(ISERROR(+HP75/HN75),0,+HP75/HN75)</f>
        <v>0</v>
      </c>
      <c r="HP75" s="1143" t="e">
        <f aca="false">(HJ75*CE75+HK75*CF75+HL75*CG75+HM75*CH75)</f>
        <v>#VALUE!</v>
      </c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R75" s="844"/>
    </row>
    <row r="76" customFormat="false" ht="13.5" hidden="false" customHeight="false" outlineLevel="0" collapsed="false">
      <c r="A76" s="0" t="str">
        <f aca="false">+D76&amp;"Q"&amp;ROUNDUP(E76/3,0)</f>
        <v>2004Q4</v>
      </c>
      <c r="B76" s="0" t="n">
        <f aca="false">YEAR(C76)</f>
        <v>2004</v>
      </c>
      <c r="C76" s="1153" t="n">
        <f aca="false">EOMONTH(C75,0)+1</f>
        <v>38322</v>
      </c>
      <c r="D76" s="841" t="n">
        <f aca="false">+YEAR(C76)</f>
        <v>2004</v>
      </c>
      <c r="E76" s="807" t="n">
        <f aca="false">MONTH(C76)</f>
        <v>12</v>
      </c>
      <c r="F76" s="1154" t="e">
        <f aca="false">IF(G76="","",Holiday(D76,E76))</f>
        <v>#VALUE!</v>
      </c>
      <c r="G76" s="1155" t="n">
        <v>38322</v>
      </c>
      <c r="H76" s="1156" t="n">
        <v>38352</v>
      </c>
      <c r="I76" s="1157" t="n">
        <f aca="false">I75</f>
        <v>0.0715</v>
      </c>
      <c r="J76" s="1158" t="n">
        <f aca="false">(1+I76/2)^(-2*(DATE(D77,E77,20)-$H$7)/365.25)</f>
        <v>0.698844895450757</v>
      </c>
      <c r="K76" s="1159" t="e">
        <f aca="false">IF(#REF!=1,+#REF!,I76+#REF!/10000)</f>
        <v>#REF!</v>
      </c>
      <c r="L76" s="1158" t="e">
        <f aca="false">(1+K76/2)^(-2*(DATE(D77,E77,20)-$H$7)/365.25)</f>
        <v>#REF!</v>
      </c>
      <c r="M76" s="1082" t="n">
        <v>0</v>
      </c>
      <c r="N76" s="1110" t="n">
        <f aca="false">M76</f>
        <v>0</v>
      </c>
      <c r="O76" s="1174" t="n">
        <f aca="false">N76</f>
        <v>0</v>
      </c>
      <c r="P76" s="1175" t="n">
        <f aca="false">M76</f>
        <v>0</v>
      </c>
      <c r="Q76" s="1110" t="n">
        <f aca="false">P76</f>
        <v>0</v>
      </c>
      <c r="R76" s="1174" t="n">
        <f aca="false">Q76</f>
        <v>0</v>
      </c>
      <c r="S76" s="1110" t="n">
        <f aca="false">R76</f>
        <v>0</v>
      </c>
      <c r="T76" s="1110" t="n">
        <f aca="false">S76</f>
        <v>0</v>
      </c>
      <c r="U76" s="1110" t="n">
        <f aca="false">T76</f>
        <v>0</v>
      </c>
      <c r="V76" s="1175" t="n">
        <f aca="false">U76</f>
        <v>0</v>
      </c>
      <c r="W76" s="1110" t="n">
        <f aca="false">V76</f>
        <v>0</v>
      </c>
      <c r="X76" s="1176" t="n">
        <f aca="false">W76</f>
        <v>0</v>
      </c>
      <c r="Y76" s="1086" t="n">
        <v>0</v>
      </c>
      <c r="Z76" s="1086" t="n">
        <v>0</v>
      </c>
      <c r="AA76" s="1087" t="n">
        <v>0</v>
      </c>
      <c r="AB76" s="1086" t="n">
        <v>0</v>
      </c>
      <c r="AC76" s="1086" t="n">
        <v>0</v>
      </c>
      <c r="AD76" s="1087" t="n">
        <v>0</v>
      </c>
      <c r="AE76" s="1086" t="n">
        <v>0</v>
      </c>
      <c r="AF76" s="1086" t="n">
        <v>0</v>
      </c>
      <c r="AG76" s="1087" t="n">
        <v>0</v>
      </c>
      <c r="AH76" s="1086" t="n">
        <v>0</v>
      </c>
      <c r="AI76" s="1086" t="n">
        <v>0</v>
      </c>
      <c r="AJ76" s="1087" t="n">
        <v>0</v>
      </c>
      <c r="AK76" s="1086" t="n">
        <v>0</v>
      </c>
      <c r="AL76" s="1086" t="n">
        <v>0</v>
      </c>
      <c r="AM76" s="1087" t="n">
        <v>0</v>
      </c>
      <c r="AN76" s="1086" t="n">
        <v>0</v>
      </c>
      <c r="AO76" s="1086" t="n">
        <v>0</v>
      </c>
      <c r="AP76" s="1087" t="n">
        <v>0</v>
      </c>
      <c r="AQ76" s="1086" t="n">
        <v>0</v>
      </c>
      <c r="AR76" s="1086" t="n">
        <v>0</v>
      </c>
      <c r="AS76" s="1087" t="n">
        <v>0</v>
      </c>
      <c r="AT76" s="1086" t="n">
        <v>0</v>
      </c>
      <c r="AU76" s="1086" t="n">
        <v>0</v>
      </c>
      <c r="AV76" s="1086" t="n">
        <v>0</v>
      </c>
      <c r="AW76" s="1172" t="n">
        <v>0</v>
      </c>
      <c r="AX76" s="807" t="e">
        <f aca="false">BB76-SUM(AY76:BA76)</f>
        <v>#VALUE!</v>
      </c>
      <c r="AY76" s="807" t="e">
        <f aca="false">IF(AND($E76=MONTH(Summary!$E$24),$D76=YEAR(Summary!$E$24)),Summary!$E$25,1)*IF(G76="",0,INT((H76-MOD(H76,7)-G76)/7)+1-IF(BA76,IF(WEEKDAY(F76)=7,1,0),0))</f>
        <v>#VALUE!</v>
      </c>
      <c r="AZ76" s="807" t="e">
        <f aca="false">IF(AND($E76=MONTH(Summary!$E$24),$D76=YEAR(Summary!$E$24)),Summary!$E$25,1)*IF(G76="",0,INT((H76-MOD(H76-1,7)-G76)/7)+1-IF(BA76,IF(WEEKDAY(F76)=1,1,0),0))</f>
        <v>#VALUE!</v>
      </c>
      <c r="BA76" s="807" t="n">
        <v>1</v>
      </c>
      <c r="BB76" s="807" t="n">
        <f aca="false">IF(AND($E76=MONTH(Summary!$E$24),$D76=YEAR(Summary!$E$24)),Summary!$E$25,1)*IF(G76="",0,H76-G76+1)</f>
        <v>31</v>
      </c>
      <c r="BC76" s="1089" t="n">
        <f aca="false">Summary!$E$19</f>
        <v>0.015</v>
      </c>
      <c r="BD76" s="1090" t="n">
        <v>16311.6</v>
      </c>
      <c r="BE76" s="1091" t="n">
        <v>2127.6</v>
      </c>
      <c r="BF76" s="1091" t="n">
        <v>3546</v>
      </c>
      <c r="BG76" s="842"/>
      <c r="BH76" s="1092" t="n">
        <v>1</v>
      </c>
      <c r="BI76" s="1092" t="n">
        <v>1</v>
      </c>
      <c r="BJ76" s="1092" t="n">
        <v>1</v>
      </c>
      <c r="BK76" s="1092" t="n">
        <v>1</v>
      </c>
      <c r="BL76" s="1093" t="n">
        <v>3262.32</v>
      </c>
      <c r="BM76" s="1091" t="n">
        <v>425.52</v>
      </c>
      <c r="BN76" s="1091" t="n">
        <v>709.2</v>
      </c>
      <c r="BO76" s="842"/>
      <c r="BP76" s="1092" t="n">
        <v>1</v>
      </c>
      <c r="BQ76" s="1094" t="n">
        <v>1</v>
      </c>
      <c r="BR76" s="1094" t="n">
        <v>1</v>
      </c>
      <c r="BS76" s="1095" t="n">
        <v>1</v>
      </c>
      <c r="BT76" s="1093" t="n">
        <f aca="false">SUM(BD76:BF76)</f>
        <v>21985.2</v>
      </c>
      <c r="BU76" s="1098" t="n">
        <f aca="false">SUM(BD76:BG76)</f>
        <v>21985.2</v>
      </c>
      <c r="BV76" s="1090" t="n">
        <f aca="false">SUM(BL76:BN76)</f>
        <v>4397.04</v>
      </c>
      <c r="BW76" s="1098" t="n">
        <f aca="false">SUM(BL76:BO76)</f>
        <v>4397.04</v>
      </c>
      <c r="BX76" s="852" t="n">
        <v>4.9637234770705</v>
      </c>
      <c r="BY76" s="1099" t="n">
        <v>0</v>
      </c>
      <c r="BZ76" s="852" t="n">
        <v>0</v>
      </c>
      <c r="CA76" s="852" t="n">
        <v>0</v>
      </c>
      <c r="CB76" s="852" t="n">
        <v>0</v>
      </c>
      <c r="CC76" s="852" t="n">
        <v>0</v>
      </c>
      <c r="CD76" s="852" t="n">
        <v>0</v>
      </c>
      <c r="CE76" s="1100" t="n">
        <v>0</v>
      </c>
      <c r="CF76" s="852" t="n">
        <v>0</v>
      </c>
      <c r="CG76" s="852" t="n">
        <v>0</v>
      </c>
      <c r="CH76" s="852" t="n">
        <v>0</v>
      </c>
      <c r="CI76" s="852" t="n">
        <v>0</v>
      </c>
      <c r="CJ76" s="1101" t="n">
        <v>0</v>
      </c>
      <c r="CK76" s="852" t="n">
        <v>0</v>
      </c>
      <c r="CL76" s="852" t="n">
        <v>0</v>
      </c>
      <c r="CM76" s="852" t="n">
        <v>0</v>
      </c>
      <c r="CN76" s="852" t="n">
        <v>0</v>
      </c>
      <c r="CO76" s="852" t="n">
        <v>0</v>
      </c>
      <c r="CP76" s="852" t="n">
        <v>0</v>
      </c>
      <c r="CQ76" s="1102" t="n">
        <v>0</v>
      </c>
      <c r="CR76" s="1103" t="n">
        <v>0</v>
      </c>
      <c r="CS76" s="1103" t="n">
        <v>0</v>
      </c>
      <c r="CT76" s="1103" t="n">
        <v>0</v>
      </c>
      <c r="CU76" s="1103" t="n">
        <v>0</v>
      </c>
      <c r="CV76" s="1103" t="n">
        <v>0</v>
      </c>
      <c r="CW76" s="1103" t="n">
        <v>0</v>
      </c>
      <c r="CX76" s="1104" t="n">
        <v>0</v>
      </c>
      <c r="CY76" s="1105" t="n">
        <v>7733.28256</v>
      </c>
      <c r="CZ76" s="1099" t="n">
        <v>0</v>
      </c>
      <c r="DA76" s="852" t="n">
        <v>0</v>
      </c>
      <c r="DB76" s="852" t="n">
        <v>0</v>
      </c>
      <c r="DC76" s="852" t="n">
        <v>0</v>
      </c>
      <c r="DD76" s="852" t="n">
        <v>0</v>
      </c>
      <c r="DE76" s="1113" t="n">
        <v>0</v>
      </c>
      <c r="DF76" s="1109" t="n">
        <v>0</v>
      </c>
      <c r="DG76" s="1110" t="n">
        <v>0</v>
      </c>
      <c r="DH76" s="1111" t="n">
        <v>0</v>
      </c>
      <c r="DI76" s="1112" t="n">
        <v>0</v>
      </c>
      <c r="DJ76" s="1112" t="n">
        <v>0</v>
      </c>
      <c r="DK76" s="1112" t="n">
        <v>0</v>
      </c>
      <c r="DL76" s="1113" t="n">
        <v>0</v>
      </c>
      <c r="DM76" s="1114" t="n">
        <v>0</v>
      </c>
      <c r="DN76" s="1114" t="n">
        <v>0</v>
      </c>
      <c r="DO76" s="1114" t="n">
        <v>0</v>
      </c>
      <c r="DP76" s="1114" t="n">
        <v>0</v>
      </c>
      <c r="DQ76" s="1114" t="n">
        <v>0</v>
      </c>
      <c r="DR76" s="1109" t="n">
        <v>0</v>
      </c>
      <c r="DS76" s="852" t="n">
        <v>0</v>
      </c>
      <c r="DT76" s="852" t="n">
        <v>0</v>
      </c>
      <c r="DU76" s="852" t="n">
        <v>0</v>
      </c>
      <c r="DV76" s="852" t="n">
        <v>0</v>
      </c>
      <c r="DW76" s="852" t="n">
        <v>0</v>
      </c>
      <c r="DX76" s="852" t="n">
        <v>0</v>
      </c>
      <c r="DY76" s="852" t="n">
        <v>0</v>
      </c>
      <c r="DZ76" s="852" t="n">
        <v>0</v>
      </c>
      <c r="EA76" s="852" t="n">
        <v>0</v>
      </c>
      <c r="EB76" s="1113" t="n">
        <v>0</v>
      </c>
      <c r="EC76" s="1115" t="n">
        <f aca="false">DS76*BD76</f>
        <v>0</v>
      </c>
      <c r="ED76" s="1115" t="n">
        <f aca="false">DT76*BE76</f>
        <v>0</v>
      </c>
      <c r="EE76" s="1115" t="n">
        <f aca="false">DU76*BF76</f>
        <v>0</v>
      </c>
      <c r="EF76" s="1115" t="n">
        <f aca="false">DV76*BG76</f>
        <v>0</v>
      </c>
      <c r="EG76" s="1115" t="n">
        <f aca="false">DS76*BD76+DT76*BE76+DU76*BF76+DV76*BG76</f>
        <v>0</v>
      </c>
      <c r="EH76" s="1116" t="n">
        <v>0</v>
      </c>
      <c r="EI76" s="1117" t="n">
        <v>0</v>
      </c>
      <c r="EJ76" s="1117" t="n">
        <v>0</v>
      </c>
      <c r="EK76" s="1117" t="n">
        <v>0</v>
      </c>
      <c r="EL76" s="1118" t="n">
        <f aca="false">IF(C76&gt;=Summary!$E$26,MAX(0,SUM(EH76:EK76)),0)</f>
        <v>0</v>
      </c>
      <c r="EM76" s="1115" t="n">
        <f aca="false">IF(C76&gt;=Summary!$E$26,DX76*BL76,0)</f>
        <v>0</v>
      </c>
      <c r="EN76" s="1115" t="n">
        <f aca="false">IF(C76&gt;=Summary!$E$26,DY76*BM76,0)</f>
        <v>0</v>
      </c>
      <c r="EO76" s="1115" t="n">
        <f aca="false">IF(C76&gt;=Summary!$E$26,DZ76*BN76,0)</f>
        <v>0</v>
      </c>
      <c r="EP76" s="1115" t="n">
        <f aca="false">IF(C76&gt;=Summary!$E$26,EA76*BO76,0)</f>
        <v>0</v>
      </c>
      <c r="EQ76" s="1115" t="n">
        <f aca="false">IF(C76&gt;=Summary!$E$26,DX76*BL76+DY76*BM76+DZ76*BN76+EA76*BO76,0)</f>
        <v>0</v>
      </c>
      <c r="ER76" s="1119" t="n">
        <v>0</v>
      </c>
      <c r="ES76" s="1120" t="n">
        <v>0</v>
      </c>
      <c r="ET76" s="1120" t="n">
        <v>0</v>
      </c>
      <c r="EU76" s="1120" t="n">
        <v>0</v>
      </c>
      <c r="EV76" s="1143" t="n">
        <f aca="false">IF(C76&gt;=Summary!$E$26,MAX(0,SUM(ER76:EU76)),0)</f>
        <v>0</v>
      </c>
      <c r="EW76" s="1115"/>
      <c r="EX76" s="1165" t="n">
        <f aca="false">(EQ76-EV76)+IF(EZ76="Yes",(EG76-EL76),0)</f>
        <v>0</v>
      </c>
      <c r="EY76" s="1166" t="str">
        <f aca="false">IF(EX76,EX76/EQ76,"")</f>
        <v/>
      </c>
      <c r="EZ76" s="1122" t="s">
        <v>37</v>
      </c>
      <c r="FA76" s="1096" t="n">
        <f aca="false">FA75</f>
        <v>45</v>
      </c>
      <c r="FB76" s="1167" t="e">
        <f aca="false">IF(EZ76="No",IF((OR(MONTH(C76)=5,MONTH(C76)=6,MONTH(C76)=7,MONTH(C76)=8,MONTH(C76)=9)),$FA76*12*AX76*(1-$BC76),$FA76*10*AX76*(1-$BC76)),0)</f>
        <v>#VALUE!</v>
      </c>
      <c r="FC76" s="1129" t="e">
        <f aca="false">IF(EZ76="No",IF((OR(MONTH(C76)=5,MONTH(C76)=6,MONTH(C76)=7,MONTH(C76)=8,MONTH(C76)=9)),0,$FA76*3*AX76*(1-$BC76)),0)</f>
        <v>#VALUE!</v>
      </c>
      <c r="FD76" s="1129" t="e">
        <f aca="false">IF(EZ76="No",IF((OR(MONTH(C76)=5,MONTH(C76)=6,MONTH(C76)=7,MONTH(C76)=8,MONTH(C76)=9)),$FA76*12*AY76*(1-$BC76),$FA76*10*AY76*(1-$BC76)),0)</f>
        <v>#VALUE!</v>
      </c>
      <c r="FE76" s="1129" t="e">
        <f aca="false">IF(EZ76="No",IF((OR(MONTH(C76)=5,MONTH(C76)=6,MONTH(C76)=7,MONTH(C76)=8,MONTH(C76)=9)),0,$FA76*3*AY76*(1-$BC76)),0)</f>
        <v>#VALUE!</v>
      </c>
      <c r="FF76" s="1129" t="e">
        <f aca="false">IF(EZ76="No",IF((OR(MONTH(C76)=5,MONTH(C76)=6,MONTH(C76)=7,MONTH(C76)=8,MONTH(C76)=9)),$FA76*12*(AZ76+BA76)*(1-$BC76),$FA76*10*(AZ76+BA76)*(1-$BC76)),0)</f>
        <v>#VALUE!</v>
      </c>
      <c r="FG76" s="1129" t="e">
        <f aca="false">IF(EZ76="No",IF((OR(MONTH(C76)=5,MONTH(C76)=6,MONTH(C76)=7,MONTH(C76)=8,MONTH(C76)=9)),0,$FA76*3*(AZ76+BA76)*(1-$BC76)),0)</f>
        <v>#VALUE!</v>
      </c>
      <c r="FH76" s="1170" t="e">
        <f aca="false">IF(EZ76="No",IF((OR(MONTH(C76)=5,MONTH(C76)=6,MONTH(C76)=7,MONTH(C76)=8,MONTH(C76)=9)),Summary!$O$15*12*(AX76+AY76+AZ76+BA76)*(1-$BC76),Summary!$O$15*13*(AX76+AY76+AZ76+BA76)*(1-$BC76)+IF(Summary!$O$16="Yes",(CALC!FA76+Summary!$O$15)*6*(AX76+AY76+AZ76+BA76)*(1-$BC76),0)),0)</f>
        <v>#VALUE!</v>
      </c>
      <c r="FI76" s="1126" t="n">
        <f aca="false">IF(MONTH(C76)=5,FI75*(IF(Summary!$E$70="no",(1+(Summary!$E$71*0.8)),1+HLOOKUP(YEAR(C76)-1,CCFMODEL!$I$127:$AF$128,2)*0.8)),+FI75)</f>
        <v>29.9518363804076</v>
      </c>
      <c r="FJ76" s="1127" t="n">
        <f aca="false">IF(MONTH(C76)=5,FJ75*(IF(Summary!$E$70="no",(1+(Summary!$E$71*0.8)),1+HLOOKUP(YEAR(CALC!C76)-1,CCFMODEL!$I$127:$AF$128,2)*0.8)),FJ75)</f>
        <v>26.1783766789389</v>
      </c>
      <c r="FK76" s="1128" t="e">
        <f aca="false">SUM(FB76:FG76)*FI76+FH76*FJ76</f>
        <v>#VALUE!</v>
      </c>
      <c r="FL76" s="1126" t="n">
        <f aca="false">IF(MONTH(C76)=5,FL75*(IF(Summary!$E$70="no",(1+(Summary!$E$71*0.8)),1+HLOOKUP(YEAR(CALC!C76)-1,CCFMODEL!$I$127:$AF$128,2)*0.8)),+FL75)</f>
        <v>62.9920698379101</v>
      </c>
      <c r="FM76" s="1127" t="n">
        <f aca="false">IF(MONTH(C76)=5,FM75*(IF(Summary!$E$70="no",(1+(Summary!$E$71*0.8)),1+HLOOKUP(YEAR(CALC!C76)-1,CCFMODEL!$I$127:$AF$128,2)*0.8)),+FM75)</f>
        <v>30.0641417286656</v>
      </c>
      <c r="FN76" s="1128" t="e">
        <f aca="false">IF((OR(MONTH(C76)=5,MONTH(C76)=6,MONTH(C76)=7,MONTH(C76)=8,MONTH(C76)=9)),SUM(FB76:FG76)/(1-BC76)*FL76,SUM(FB76:FG76)/(1-BC76)*FM76)</f>
        <v>#VALUE!</v>
      </c>
      <c r="FO76" s="1129" t="e">
        <f aca="false">FK76+FN76</f>
        <v>#VALUE!</v>
      </c>
      <c r="FP76" s="1169" t="e">
        <f aca="false">FB76</f>
        <v>#VALUE!</v>
      </c>
      <c r="FQ76" s="1129" t="e">
        <f aca="false">FC76</f>
        <v>#VALUE!</v>
      </c>
      <c r="FR76" s="1129" t="e">
        <f aca="false">FD76</f>
        <v>#VALUE!</v>
      </c>
      <c r="FS76" s="1129" t="e">
        <f aca="false">FE76</f>
        <v>#VALUE!</v>
      </c>
      <c r="FT76" s="1129" t="e">
        <f aca="false">FF76</f>
        <v>#VALUE!</v>
      </c>
      <c r="FU76" s="1129" t="e">
        <f aca="false">FG76</f>
        <v>#VALUE!</v>
      </c>
      <c r="FV76" s="1170" t="e">
        <f aca="false">FH76</f>
        <v>#VALUE!</v>
      </c>
      <c r="FW76" s="1115" t="n">
        <f aca="false">IF(ER76&gt;0,MIN(FB76-FP76,BL76),0)</f>
        <v>0</v>
      </c>
      <c r="FX76" s="1115" t="n">
        <f aca="false">IF(ES76&gt;0,MIN(FD76-FR76,BM76),0)</f>
        <v>0</v>
      </c>
      <c r="FY76" s="1115" t="n">
        <f aca="false">IF(ET76&gt;0,MIN(FF76-FT76,BN76),0)</f>
        <v>0</v>
      </c>
      <c r="FZ76" s="1143" t="n">
        <f aca="false">IF(EU76&gt;0,MIN(FH76-FV76,BO76),0)</f>
        <v>0</v>
      </c>
      <c r="GA76" s="1132" t="e">
        <f aca="false">(SUM(FP76:FV76)+SUM(GU76:HB76)/(1-Summary!$O$25))*CY76/1000</f>
        <v>#VALUE!</v>
      </c>
      <c r="GB76" s="1133" t="n">
        <f aca="false">IF($C76&lt;Summary!$M$81,+Summary!$O$81,VLOOKUP(C76,GasTable,19))</f>
        <v>2.4</v>
      </c>
      <c r="GC76" s="1134" t="e">
        <f aca="false">IF(H76&lt;=Summary!$N$84,MIN(GA76,Summary!$O$75*(H76-G76+1)),0)</f>
        <v>#VALUE!</v>
      </c>
      <c r="GD76" s="1135" t="e">
        <f aca="false">IF(Summary!$O$75*(H76-G76+1)*0.8&gt;GC76,1,0)</f>
        <v>#VALUE!</v>
      </c>
      <c r="GE76" s="1136" t="n">
        <v>0</v>
      </c>
      <c r="GF76" s="1134" t="e">
        <f aca="false">ABS(MIN(0,GC76-$GA76))</f>
        <v>#VALUE!</v>
      </c>
      <c r="GG76" s="1135" t="e">
        <f aca="false">GF76*(IF(Summary!$O$74=1,VLOOKUP($C76,GasTable,16)+Summary!$O$92+Summary!$O$93,VLOOKUP($C76,GasTable,19)+Summary!$O$92+Summary!$O$93))</f>
        <v>#VALUE!</v>
      </c>
      <c r="GH76" s="1137" t="n">
        <v>19846.2</v>
      </c>
      <c r="GI76" s="1138" t="n">
        <v>0</v>
      </c>
      <c r="GJ76" s="1139" t="e">
        <f aca="false">+GB76*GC76+GE76+GG76+GH76-GI76</f>
        <v>#VALUE!</v>
      </c>
      <c r="GK76" s="1115" t="e">
        <f aca="false">SUM(FP76:FV76,GU76:GX76,GY76:HB76)</f>
        <v>#VALUE!</v>
      </c>
      <c r="GL76" s="1140" t="n">
        <v>0.759408347392</v>
      </c>
      <c r="GM76" s="1141" t="e">
        <f aca="false">IF(GK76&gt;GC76/(CY76/1000),GC76/(CY76/1000),+GK76)*GL76</f>
        <v>#VALUE!</v>
      </c>
      <c r="GN76" s="1115" t="n">
        <f aca="false">IF(SUM(GU76:HB76)=0,0,IF(Summary!$O$16="Yes",SUM(GX76:HB76),IF(Summary!$O$17="Yes",SUM(GY76:HB76),SUM(GU76:HB76))))</f>
        <v>12199.03785</v>
      </c>
      <c r="GO76" s="1142" t="n">
        <v>2.67817696726971</v>
      </c>
      <c r="GP76" s="1143" t="n">
        <f aca="false">GN76*GO76</f>
        <v>32671.1821927214</v>
      </c>
      <c r="GQ76" s="1115"/>
      <c r="GR76" s="1115"/>
      <c r="GS76" s="1115"/>
      <c r="GT76" s="1115"/>
      <c r="GU76" s="1150" t="n">
        <v>5902.76025</v>
      </c>
      <c r="GV76" s="1115" t="n">
        <v>769.92525</v>
      </c>
      <c r="GW76" s="1115" t="n">
        <v>1283.20875</v>
      </c>
      <c r="GX76" s="1115"/>
      <c r="GY76" s="1151" t="n">
        <v>3148.1388</v>
      </c>
      <c r="GZ76" s="1115" t="n">
        <v>410.6268</v>
      </c>
      <c r="HA76" s="1115" t="n">
        <v>684.378</v>
      </c>
      <c r="HB76" s="1141"/>
      <c r="HC76" s="1115" t="n">
        <v>12199.03785</v>
      </c>
      <c r="HD76" s="1115"/>
      <c r="HE76" s="1115" t="n">
        <v>20950.521525</v>
      </c>
      <c r="HF76" s="1115" t="n">
        <v>462222.163192347</v>
      </c>
      <c r="HG76" s="1115"/>
      <c r="HH76" s="1142" t="n">
        <v>37.6455554130442</v>
      </c>
      <c r="HI76" s="1115" t="n">
        <v>788694.019001563</v>
      </c>
      <c r="HJ76" s="1150" t="e">
        <f aca="false">MAX(FB76-FP76-FW76,0)</f>
        <v>#VALUE!</v>
      </c>
      <c r="HK76" s="1115" t="e">
        <f aca="false">MAX(FD76-FR76-FX76,0)</f>
        <v>#VALUE!</v>
      </c>
      <c r="HL76" s="1115" t="e">
        <f aca="false">MAX(FF76-FT76-FY76,0)</f>
        <v>#VALUE!</v>
      </c>
      <c r="HM76" s="1141" t="e">
        <f aca="false">MAX(FH76-FV76-FZ76,0)</f>
        <v>#VALUE!</v>
      </c>
      <c r="HN76" s="1115" t="e">
        <f aca="false">SUM(HJ76:HM76)</f>
        <v>#VALUE!</v>
      </c>
      <c r="HO76" s="1142" t="n">
        <f aca="false">IF(ISERROR(+HP76/HN76),0,+HP76/HN76)</f>
        <v>0</v>
      </c>
      <c r="HP76" s="1143" t="e">
        <f aca="false">(HJ76*CE76+HK76*CF76+HL76*CG76+HM76*CH76)</f>
        <v>#VALUE!</v>
      </c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R76" s="844"/>
    </row>
    <row r="77" customFormat="false" ht="13.5" hidden="false" customHeight="false" outlineLevel="0" collapsed="false">
      <c r="A77" s="0" t="str">
        <f aca="false">+D77&amp;"Q"&amp;ROUNDUP(E77/3,0)</f>
        <v>2005Q1</v>
      </c>
      <c r="B77" s="0" t="n">
        <f aca="false">YEAR(C77)</f>
        <v>2005</v>
      </c>
      <c r="C77" s="1153" t="n">
        <f aca="false">EOMONTH(C76,0)+1</f>
        <v>38353</v>
      </c>
      <c r="D77" s="841" t="n">
        <f aca="false">+YEAR(C77)</f>
        <v>2005</v>
      </c>
      <c r="E77" s="807" t="n">
        <f aca="false">MONTH(C77)</f>
        <v>1</v>
      </c>
      <c r="F77" s="1154" t="e">
        <f aca="false">IF(G77="","",Holiday(D77,E77))</f>
        <v>#VALUE!</v>
      </c>
      <c r="G77" s="1155" t="n">
        <v>38353</v>
      </c>
      <c r="H77" s="1156" t="n">
        <v>38383</v>
      </c>
      <c r="I77" s="1157" t="n">
        <f aca="false">I76</f>
        <v>0.0715</v>
      </c>
      <c r="J77" s="1158" t="n">
        <f aca="false">(1+I77/2)^(-2*(DATE(D78,E78,20)-$H$7)/365.25)</f>
        <v>0.694690437039611</v>
      </c>
      <c r="K77" s="1159" t="e">
        <f aca="false">IF(#REF!=1,+#REF!,I77+#REF!/10000)</f>
        <v>#REF!</v>
      </c>
      <c r="L77" s="1158" t="e">
        <f aca="false">(1+K77/2)^(-2*(DATE(D78,E78,20)-$H$7)/365.25)</f>
        <v>#REF!</v>
      </c>
      <c r="M77" s="1082" t="n">
        <v>0</v>
      </c>
      <c r="N77" s="1110" t="n">
        <f aca="false">M77</f>
        <v>0</v>
      </c>
      <c r="O77" s="1174" t="n">
        <f aca="false">N77</f>
        <v>0</v>
      </c>
      <c r="P77" s="1175" t="n">
        <f aca="false">M77</f>
        <v>0</v>
      </c>
      <c r="Q77" s="1110" t="n">
        <f aca="false">P77</f>
        <v>0</v>
      </c>
      <c r="R77" s="1174" t="n">
        <f aca="false">Q77</f>
        <v>0</v>
      </c>
      <c r="S77" s="1110" t="n">
        <f aca="false">R77</f>
        <v>0</v>
      </c>
      <c r="T77" s="1110" t="n">
        <f aca="false">S77</f>
        <v>0</v>
      </c>
      <c r="U77" s="1110" t="n">
        <f aca="false">T77</f>
        <v>0</v>
      </c>
      <c r="V77" s="1175" t="n">
        <f aca="false">U77</f>
        <v>0</v>
      </c>
      <c r="W77" s="1110" t="n">
        <f aca="false">V77</f>
        <v>0</v>
      </c>
      <c r="X77" s="1176" t="n">
        <f aca="false">W77</f>
        <v>0</v>
      </c>
      <c r="Y77" s="1086" t="n">
        <v>0</v>
      </c>
      <c r="Z77" s="1086" t="n">
        <v>0</v>
      </c>
      <c r="AA77" s="1087" t="n">
        <v>0</v>
      </c>
      <c r="AB77" s="1086" t="n">
        <v>0</v>
      </c>
      <c r="AC77" s="1086" t="n">
        <v>0</v>
      </c>
      <c r="AD77" s="1087" t="n">
        <v>0</v>
      </c>
      <c r="AE77" s="1086" t="n">
        <v>0</v>
      </c>
      <c r="AF77" s="1086" t="n">
        <v>0</v>
      </c>
      <c r="AG77" s="1087" t="n">
        <v>0</v>
      </c>
      <c r="AH77" s="1086" t="n">
        <v>0</v>
      </c>
      <c r="AI77" s="1086" t="n">
        <v>0</v>
      </c>
      <c r="AJ77" s="1087" t="n">
        <v>0</v>
      </c>
      <c r="AK77" s="1086" t="n">
        <v>0</v>
      </c>
      <c r="AL77" s="1086" t="n">
        <v>0</v>
      </c>
      <c r="AM77" s="1087" t="n">
        <v>0</v>
      </c>
      <c r="AN77" s="1086" t="n">
        <v>0</v>
      </c>
      <c r="AO77" s="1086" t="n">
        <v>0</v>
      </c>
      <c r="AP77" s="1087" t="n">
        <v>0</v>
      </c>
      <c r="AQ77" s="1086" t="n">
        <v>0</v>
      </c>
      <c r="AR77" s="1086" t="n">
        <v>0</v>
      </c>
      <c r="AS77" s="1087" t="n">
        <v>0</v>
      </c>
      <c r="AT77" s="1086" t="n">
        <v>0</v>
      </c>
      <c r="AU77" s="1086" t="n">
        <v>0</v>
      </c>
      <c r="AV77" s="1086" t="n">
        <v>0</v>
      </c>
      <c r="AW77" s="1172" t="n">
        <v>0</v>
      </c>
      <c r="AX77" s="807" t="e">
        <f aca="false">BB77-SUM(AY77:BA77)</f>
        <v>#VALUE!</v>
      </c>
      <c r="AY77" s="807" t="e">
        <f aca="false">IF(AND($E77=MONTH(Summary!$E$24),$D77=YEAR(Summary!$E$24)),Summary!$E$25,1)*IF(G77="",0,INT((H77-MOD(H77,7)-G77)/7)+1-IF(BA77,IF(WEEKDAY(F77)=7,1,0),0))</f>
        <v>#VALUE!</v>
      </c>
      <c r="AZ77" s="807" t="e">
        <f aca="false">IF(AND($E77=MONTH(Summary!$E$24),$D77=YEAR(Summary!$E$24)),Summary!$E$25,1)*IF(G77="",0,INT((H77-MOD(H77-1,7)-G77)/7)+1-IF(BA77,IF(WEEKDAY(F77)=1,1,0),0))</f>
        <v>#VALUE!</v>
      </c>
      <c r="BA77" s="807" t="n">
        <v>1</v>
      </c>
      <c r="BB77" s="807" t="n">
        <f aca="false">IF(AND($E77=MONTH(Summary!$E$24),$D77=YEAR(Summary!$E$24)),Summary!$E$25,1)*IF(G77="",0,H77-G77+1)</f>
        <v>31</v>
      </c>
      <c r="BC77" s="1089" t="n">
        <f aca="false">Summary!$E$19</f>
        <v>0.015</v>
      </c>
      <c r="BD77" s="1090" t="n">
        <v>14893.2</v>
      </c>
      <c r="BE77" s="1091" t="n">
        <v>2836.8</v>
      </c>
      <c r="BF77" s="1091" t="n">
        <v>4255.2</v>
      </c>
      <c r="BG77" s="842"/>
      <c r="BH77" s="1092" t="n">
        <v>1</v>
      </c>
      <c r="BI77" s="1092" t="n">
        <v>1</v>
      </c>
      <c r="BJ77" s="1092" t="n">
        <v>1</v>
      </c>
      <c r="BK77" s="1092" t="n">
        <v>1</v>
      </c>
      <c r="BL77" s="1093" t="n">
        <v>2978.64</v>
      </c>
      <c r="BM77" s="1091" t="n">
        <v>567.36</v>
      </c>
      <c r="BN77" s="1091" t="n">
        <v>851.04</v>
      </c>
      <c r="BO77" s="842"/>
      <c r="BP77" s="1092" t="n">
        <v>1</v>
      </c>
      <c r="BQ77" s="1094" t="n">
        <v>1</v>
      </c>
      <c r="BR77" s="1094" t="n">
        <v>1</v>
      </c>
      <c r="BS77" s="1095" t="n">
        <v>1</v>
      </c>
      <c r="BT77" s="1093" t="n">
        <f aca="false">SUM(BD77:BF77)</f>
        <v>21985.2</v>
      </c>
      <c r="BU77" s="1098" t="n">
        <f aca="false">SUM(BD77:BG77)</f>
        <v>21985.2</v>
      </c>
      <c r="BV77" s="1090" t="n">
        <f aca="false">SUM(BL77:BN77)</f>
        <v>4397.04</v>
      </c>
      <c r="BW77" s="1098" t="n">
        <f aca="false">SUM(BL77:BO77)</f>
        <v>4397.04</v>
      </c>
      <c r="BX77" s="852" t="n">
        <v>5.04859685147159</v>
      </c>
      <c r="BY77" s="1099" t="n">
        <v>0</v>
      </c>
      <c r="BZ77" s="852" t="n">
        <v>0</v>
      </c>
      <c r="CA77" s="852" t="n">
        <v>0</v>
      </c>
      <c r="CB77" s="852" t="n">
        <v>0</v>
      </c>
      <c r="CC77" s="852" t="n">
        <v>0</v>
      </c>
      <c r="CD77" s="852" t="n">
        <v>0</v>
      </c>
      <c r="CE77" s="1100" t="n">
        <v>0</v>
      </c>
      <c r="CF77" s="852" t="n">
        <v>0</v>
      </c>
      <c r="CG77" s="852" t="n">
        <v>0</v>
      </c>
      <c r="CH77" s="852" t="n">
        <v>0</v>
      </c>
      <c r="CI77" s="852" t="n">
        <v>0</v>
      </c>
      <c r="CJ77" s="1101" t="n">
        <v>0</v>
      </c>
      <c r="CK77" s="852" t="n">
        <v>0</v>
      </c>
      <c r="CL77" s="852" t="n">
        <v>0</v>
      </c>
      <c r="CM77" s="852" t="n">
        <v>0</v>
      </c>
      <c r="CN77" s="852" t="n">
        <v>0</v>
      </c>
      <c r="CO77" s="852" t="n">
        <v>0</v>
      </c>
      <c r="CP77" s="852" t="n">
        <v>0</v>
      </c>
      <c r="CQ77" s="1102" t="n">
        <v>0</v>
      </c>
      <c r="CR77" s="1103" t="n">
        <v>0</v>
      </c>
      <c r="CS77" s="1103" t="n">
        <v>0</v>
      </c>
      <c r="CT77" s="1103" t="n">
        <v>0</v>
      </c>
      <c r="CU77" s="1103" t="n">
        <v>0</v>
      </c>
      <c r="CV77" s="1103" t="n">
        <v>0</v>
      </c>
      <c r="CW77" s="1103" t="n">
        <v>0</v>
      </c>
      <c r="CX77" s="1104" t="n">
        <v>0</v>
      </c>
      <c r="CY77" s="1105" t="n">
        <v>7734.58544</v>
      </c>
      <c r="CZ77" s="1099" t="n">
        <v>0</v>
      </c>
      <c r="DA77" s="852" t="n">
        <v>0</v>
      </c>
      <c r="DB77" s="852" t="n">
        <v>0</v>
      </c>
      <c r="DC77" s="852" t="n">
        <v>0</v>
      </c>
      <c r="DD77" s="852" t="n">
        <v>0</v>
      </c>
      <c r="DE77" s="1113" t="n">
        <v>0</v>
      </c>
      <c r="DF77" s="1109" t="n">
        <v>0</v>
      </c>
      <c r="DG77" s="1110" t="n">
        <v>0</v>
      </c>
      <c r="DH77" s="1111" t="n">
        <v>0</v>
      </c>
      <c r="DI77" s="1112" t="n">
        <v>0</v>
      </c>
      <c r="DJ77" s="1112" t="n">
        <v>0</v>
      </c>
      <c r="DK77" s="1112" t="n">
        <v>0</v>
      </c>
      <c r="DL77" s="1113" t="n">
        <v>0</v>
      </c>
      <c r="DM77" s="1114" t="n">
        <v>0</v>
      </c>
      <c r="DN77" s="1114" t="n">
        <v>0</v>
      </c>
      <c r="DO77" s="1114" t="n">
        <v>0</v>
      </c>
      <c r="DP77" s="1114" t="n">
        <v>0</v>
      </c>
      <c r="DQ77" s="1114" t="n">
        <v>0</v>
      </c>
      <c r="DR77" s="1109" t="n">
        <v>0</v>
      </c>
      <c r="DS77" s="852" t="n">
        <v>0</v>
      </c>
      <c r="DT77" s="852" t="n">
        <v>0</v>
      </c>
      <c r="DU77" s="852" t="n">
        <v>0</v>
      </c>
      <c r="DV77" s="852" t="n">
        <v>0</v>
      </c>
      <c r="DW77" s="852" t="n">
        <v>0</v>
      </c>
      <c r="DX77" s="852" t="n">
        <v>0</v>
      </c>
      <c r="DY77" s="852" t="n">
        <v>0</v>
      </c>
      <c r="DZ77" s="852" t="n">
        <v>0</v>
      </c>
      <c r="EA77" s="852" t="n">
        <v>0</v>
      </c>
      <c r="EB77" s="1113" t="n">
        <v>0</v>
      </c>
      <c r="EC77" s="1115" t="n">
        <f aca="false">DS77*BD77</f>
        <v>0</v>
      </c>
      <c r="ED77" s="1115" t="n">
        <f aca="false">DT77*BE77</f>
        <v>0</v>
      </c>
      <c r="EE77" s="1115" t="n">
        <f aca="false">DU77*BF77</f>
        <v>0</v>
      </c>
      <c r="EF77" s="1115" t="n">
        <f aca="false">DV77*BG77</f>
        <v>0</v>
      </c>
      <c r="EG77" s="1115" t="n">
        <f aca="false">DS77*BD77+DT77*BE77+DU77*BF77+DV77*BG77</f>
        <v>0</v>
      </c>
      <c r="EH77" s="1116" t="n">
        <v>0</v>
      </c>
      <c r="EI77" s="1117" t="n">
        <v>0</v>
      </c>
      <c r="EJ77" s="1117" t="n">
        <v>0</v>
      </c>
      <c r="EK77" s="1117" t="n">
        <v>0</v>
      </c>
      <c r="EL77" s="1118" t="n">
        <f aca="false">IF(C77&gt;=Summary!$E$26,MAX(0,SUM(EH77:EK77)),0)</f>
        <v>0</v>
      </c>
      <c r="EM77" s="1115" t="n">
        <f aca="false">IF(C77&gt;=Summary!$E$26,DX77*BL77,0)</f>
        <v>0</v>
      </c>
      <c r="EN77" s="1115" t="n">
        <f aca="false">IF(C77&gt;=Summary!$E$26,DY77*BM77,0)</f>
        <v>0</v>
      </c>
      <c r="EO77" s="1115" t="n">
        <f aca="false">IF(C77&gt;=Summary!$E$26,DZ77*BN77,0)</f>
        <v>0</v>
      </c>
      <c r="EP77" s="1115" t="n">
        <f aca="false">IF(C77&gt;=Summary!$E$26,EA77*BO77,0)</f>
        <v>0</v>
      </c>
      <c r="EQ77" s="1115" t="n">
        <f aca="false">IF(C77&gt;=Summary!$E$26,DX77*BL77+DY77*BM77+DZ77*BN77+EA77*BO77,0)</f>
        <v>0</v>
      </c>
      <c r="ER77" s="1119" t="n">
        <v>0</v>
      </c>
      <c r="ES77" s="1120" t="n">
        <v>0</v>
      </c>
      <c r="ET77" s="1120" t="n">
        <v>0</v>
      </c>
      <c r="EU77" s="1120" t="n">
        <v>0</v>
      </c>
      <c r="EV77" s="1143" t="n">
        <f aca="false">IF(C77&gt;=Summary!$E$26,MAX(0,SUM(ER77:EU77)),0)</f>
        <v>0</v>
      </c>
      <c r="EW77" s="1115"/>
      <c r="EX77" s="1165" t="n">
        <f aca="false">(EQ77-EV77)+IF(EZ77="Yes",(EG77-EL77),0)</f>
        <v>0</v>
      </c>
      <c r="EY77" s="1166" t="str">
        <f aca="false">IF(EX77,EX77/EQ77,"")</f>
        <v/>
      </c>
      <c r="EZ77" s="1122" t="s">
        <v>37</v>
      </c>
      <c r="FA77" s="1096" t="n">
        <f aca="false">FA76</f>
        <v>45</v>
      </c>
      <c r="FB77" s="1167" t="e">
        <f aca="false">IF(EZ77="No",IF((OR(MONTH(C77)=5,MONTH(C77)=6,MONTH(C77)=7,MONTH(C77)=8,MONTH(C77)=9)),$FA77*12*AX77*(1-$BC77),$FA77*10*AX77*(1-$BC77)),0)</f>
        <v>#VALUE!</v>
      </c>
      <c r="FC77" s="1129" t="e">
        <f aca="false">IF(EZ77="No",IF((OR(MONTH(C77)=5,MONTH(C77)=6,MONTH(C77)=7,MONTH(C77)=8,MONTH(C77)=9)),0,$FA77*3*AX77*(1-$BC77)),0)</f>
        <v>#VALUE!</v>
      </c>
      <c r="FD77" s="1129" t="e">
        <f aca="false">IF(EZ77="No",IF((OR(MONTH(C77)=5,MONTH(C77)=6,MONTH(C77)=7,MONTH(C77)=8,MONTH(C77)=9)),$FA77*12*AY77*(1-$BC77),$FA77*10*AY77*(1-$BC77)),0)</f>
        <v>#VALUE!</v>
      </c>
      <c r="FE77" s="1129" t="e">
        <f aca="false">IF(EZ77="No",IF((OR(MONTH(C77)=5,MONTH(C77)=6,MONTH(C77)=7,MONTH(C77)=8,MONTH(C77)=9)),0,$FA77*3*AY77*(1-$BC77)),0)</f>
        <v>#VALUE!</v>
      </c>
      <c r="FF77" s="1129" t="e">
        <f aca="false">IF(EZ77="No",IF((OR(MONTH(C77)=5,MONTH(C77)=6,MONTH(C77)=7,MONTH(C77)=8,MONTH(C77)=9)),$FA77*12*(AZ77+BA77)*(1-$BC77),$FA77*10*(AZ77+BA77)*(1-$BC77)),0)</f>
        <v>#VALUE!</v>
      </c>
      <c r="FG77" s="1129" t="e">
        <f aca="false">IF(EZ77="No",IF((OR(MONTH(C77)=5,MONTH(C77)=6,MONTH(C77)=7,MONTH(C77)=8,MONTH(C77)=9)),0,$FA77*3*(AZ77+BA77)*(1-$BC77)),0)</f>
        <v>#VALUE!</v>
      </c>
      <c r="FH77" s="1170" t="e">
        <f aca="false">IF(EZ77="No",IF((OR(MONTH(C77)=5,MONTH(C77)=6,MONTH(C77)=7,MONTH(C77)=8,MONTH(C77)=9)),Summary!$O$15*12*(AX77+AY77+AZ77+BA77)*(1-$BC77),Summary!$O$15*13*(AX77+AY77+AZ77+BA77)*(1-$BC77)+IF(Summary!$O$16="Yes",(CALC!FA77+Summary!$O$15)*6*(AX77+AY77+AZ77+BA77)*(1-$BC77),0)),0)</f>
        <v>#VALUE!</v>
      </c>
      <c r="FI77" s="1126" t="n">
        <f aca="false">IF(MONTH(C77)=5,FI76*(IF(Summary!$E$70="no",(1+(Summary!$E$71*0.8)),1+HLOOKUP(YEAR(C77)-1,CCFMODEL!$I$127:$AF$128,2)*0.8)),+FI76)</f>
        <v>29.9518363804076</v>
      </c>
      <c r="FJ77" s="1127" t="n">
        <f aca="false">IF(MONTH(C77)=5,FJ76*(IF(Summary!$E$70="no",(1+(Summary!$E$71*0.8)),1+HLOOKUP(YEAR(CALC!C77)-1,CCFMODEL!$I$127:$AF$128,2)*0.8)),FJ76)</f>
        <v>26.1783766789389</v>
      </c>
      <c r="FK77" s="1128" t="e">
        <f aca="false">SUM(FB77:FG77)*FI77+FH77*FJ77</f>
        <v>#VALUE!</v>
      </c>
      <c r="FL77" s="1126" t="n">
        <f aca="false">IF(MONTH(C77)=5,FL76*(IF(Summary!$E$70="no",(1+(Summary!$E$71*0.8)),1+HLOOKUP(YEAR(CALC!C77)-1,CCFMODEL!$I$127:$AF$128,2)*0.8)),+FL76)</f>
        <v>62.9920698379101</v>
      </c>
      <c r="FM77" s="1127" t="n">
        <f aca="false">IF(MONTH(C77)=5,FM76*(IF(Summary!$E$70="no",(1+(Summary!$E$71*0.8)),1+HLOOKUP(YEAR(CALC!C77)-1,CCFMODEL!$I$127:$AF$128,2)*0.8)),+FM76)</f>
        <v>30.0641417286656</v>
      </c>
      <c r="FN77" s="1128" t="e">
        <f aca="false">IF((OR(MONTH(C77)=5,MONTH(C77)=6,MONTH(C77)=7,MONTH(C77)=8,MONTH(C77)=9)),SUM(FB77:FG77)/(1-BC77)*FL77,SUM(FB77:FG77)/(1-BC77)*FM77)</f>
        <v>#VALUE!</v>
      </c>
      <c r="FO77" s="1129" t="e">
        <f aca="false">FK77+FN77</f>
        <v>#VALUE!</v>
      </c>
      <c r="FP77" s="1169" t="e">
        <f aca="false">FB77</f>
        <v>#VALUE!</v>
      </c>
      <c r="FQ77" s="1129" t="e">
        <f aca="false">FC77</f>
        <v>#VALUE!</v>
      </c>
      <c r="FR77" s="1129" t="e">
        <f aca="false">FD77</f>
        <v>#VALUE!</v>
      </c>
      <c r="FS77" s="1129" t="e">
        <f aca="false">FE77</f>
        <v>#VALUE!</v>
      </c>
      <c r="FT77" s="1129" t="e">
        <f aca="false">FF77</f>
        <v>#VALUE!</v>
      </c>
      <c r="FU77" s="1129" t="e">
        <f aca="false">FG77</f>
        <v>#VALUE!</v>
      </c>
      <c r="FV77" s="1170" t="e">
        <f aca="false">FH77</f>
        <v>#VALUE!</v>
      </c>
      <c r="FW77" s="1115" t="n">
        <f aca="false">IF(ER77&gt;0,MIN(FB77-FP77,BL77),0)</f>
        <v>0</v>
      </c>
      <c r="FX77" s="1115" t="n">
        <f aca="false">IF(ES77&gt;0,MIN(FD77-FR77,BM77),0)</f>
        <v>0</v>
      </c>
      <c r="FY77" s="1115" t="n">
        <f aca="false">IF(ET77&gt;0,MIN(FF77-FT77,BN77),0)</f>
        <v>0</v>
      </c>
      <c r="FZ77" s="1143" t="n">
        <f aca="false">IF(EU77&gt;0,MIN(FH77-FV77,BO77),0)</f>
        <v>0</v>
      </c>
      <c r="GA77" s="1132" t="e">
        <f aca="false">(SUM(FP77:FV77)+SUM(GU77:HB77)/(1-Summary!$O$25))*CY77/1000</f>
        <v>#VALUE!</v>
      </c>
      <c r="GB77" s="1133" t="n">
        <f aca="false">IF($C77&lt;Summary!$M$81,+Summary!$O$81,VLOOKUP(C77,GasTable,19))</f>
        <v>2.4</v>
      </c>
      <c r="GC77" s="1134" t="e">
        <f aca="false">IF(H77&lt;=Summary!$N$84,MIN(GA77,Summary!$O$75*(H77-G77+1)),0)</f>
        <v>#VALUE!</v>
      </c>
      <c r="GD77" s="1135" t="e">
        <f aca="false">IF(Summary!$O$75*(H77-G77+1)*0.8&gt;GC77,1,0)</f>
        <v>#VALUE!</v>
      </c>
      <c r="GE77" s="1136" t="n">
        <v>0</v>
      </c>
      <c r="GF77" s="1134" t="e">
        <f aca="false">ABS(MIN(0,GC77-$GA77))</f>
        <v>#VALUE!</v>
      </c>
      <c r="GG77" s="1135" t="e">
        <f aca="false">GF77*(IF(Summary!$O$74=1,VLOOKUP($C77,GasTable,16)+Summary!$O$92+Summary!$O$93,VLOOKUP($C77,GasTable,19)+Summary!$O$92+Summary!$O$93))</f>
        <v>#VALUE!</v>
      </c>
      <c r="GH77" s="1137" t="n">
        <v>20590.2</v>
      </c>
      <c r="GI77" s="1138" t="n">
        <v>0</v>
      </c>
      <c r="GJ77" s="1139" t="e">
        <f aca="false">+GB77*GC77+GE77+GG77+GH77-GI77</f>
        <v>#VALUE!</v>
      </c>
      <c r="GK77" s="1115" t="e">
        <f aca="false">SUM(FP77:FV77,GU77:GX77,GY77:HB77)</f>
        <v>#VALUE!</v>
      </c>
      <c r="GL77" s="1140" t="n">
        <v>0.759536290208</v>
      </c>
      <c r="GM77" s="1141" t="e">
        <f aca="false">IF(GK77&gt;GC77/(CY77/1000),GC77/(CY77/1000),+GK77)*GL77</f>
        <v>#VALUE!</v>
      </c>
      <c r="GN77" s="1115" t="n">
        <f aca="false">IF(SUM(GU77:HB77)=0,0,IF(Summary!$O$16="Yes",SUM(GX77:HB77),IF(Summary!$O$17="Yes",SUM(GY77:HB77),SUM(GU77:HB77))))</f>
        <v>12199.03785</v>
      </c>
      <c r="GO77" s="1142" t="n">
        <v>2.7585222762878</v>
      </c>
      <c r="GP77" s="1143" t="n">
        <f aca="false">GN77*GO77</f>
        <v>33651.317658503</v>
      </c>
      <c r="GQ77" s="1115"/>
      <c r="GR77" s="1115"/>
      <c r="GS77" s="1115"/>
      <c r="GT77" s="1115"/>
      <c r="GU77" s="1150" t="n">
        <v>5389.47675</v>
      </c>
      <c r="GV77" s="1115" t="n">
        <v>1026.567</v>
      </c>
      <c r="GW77" s="1115" t="n">
        <v>1539.8505</v>
      </c>
      <c r="GX77" s="1115"/>
      <c r="GY77" s="1151" t="n">
        <v>2874.3876</v>
      </c>
      <c r="GZ77" s="1115" t="n">
        <v>547.5024</v>
      </c>
      <c r="HA77" s="1115" t="n">
        <v>821.2536</v>
      </c>
      <c r="HB77" s="1141"/>
      <c r="HC77" s="1115" t="n">
        <v>12199.03785</v>
      </c>
      <c r="HD77" s="1115"/>
      <c r="HE77" s="1115" t="n">
        <v>20950.521525</v>
      </c>
      <c r="HF77" s="1115" t="n">
        <v>463387.319441289</v>
      </c>
      <c r="HG77" s="1115"/>
      <c r="HH77" s="1142" t="n">
        <v>37.6946835696356</v>
      </c>
      <c r="HI77" s="1115" t="n">
        <v>789723.279503714</v>
      </c>
      <c r="HJ77" s="1150" t="e">
        <f aca="false">MAX(FB77-FP77-FW77,0)</f>
        <v>#VALUE!</v>
      </c>
      <c r="HK77" s="1115" t="e">
        <f aca="false">MAX(FD77-FR77-FX77,0)</f>
        <v>#VALUE!</v>
      </c>
      <c r="HL77" s="1115" t="e">
        <f aca="false">MAX(FF77-FT77-FY77,0)</f>
        <v>#VALUE!</v>
      </c>
      <c r="HM77" s="1141" t="e">
        <f aca="false">MAX(FH77-FV77-FZ77,0)</f>
        <v>#VALUE!</v>
      </c>
      <c r="HN77" s="1115" t="e">
        <f aca="false">SUM(HJ77:HM77)</f>
        <v>#VALUE!</v>
      </c>
      <c r="HO77" s="1142" t="n">
        <f aca="false">IF(ISERROR(+HP77/HN77),0,+HP77/HN77)</f>
        <v>0</v>
      </c>
      <c r="HP77" s="1143" t="e">
        <f aca="false">(HJ77*CE77+HK77*CF77+HL77*CG77+HM77*CH77)</f>
        <v>#VALUE!</v>
      </c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R77" s="844"/>
    </row>
    <row r="78" customFormat="false" ht="13.5" hidden="false" customHeight="false" outlineLevel="0" collapsed="false">
      <c r="A78" s="0" t="str">
        <f aca="false">+D78&amp;"Q"&amp;ROUNDUP(E78/3,0)</f>
        <v>2005Q1</v>
      </c>
      <c r="B78" s="0" t="n">
        <f aca="false">YEAR(C78)</f>
        <v>2005</v>
      </c>
      <c r="C78" s="1153" t="n">
        <f aca="false">EOMONTH(C77,0)+1</f>
        <v>38384</v>
      </c>
      <c r="D78" s="841" t="n">
        <f aca="false">+YEAR(C78)</f>
        <v>2005</v>
      </c>
      <c r="E78" s="807" t="n">
        <f aca="false">MONTH(C78)</f>
        <v>2</v>
      </c>
      <c r="F78" s="1154" t="e">
        <f aca="false">IF(G78="","",Holiday(D78,E78))</f>
        <v>#VALUE!</v>
      </c>
      <c r="G78" s="1155" t="n">
        <v>38384</v>
      </c>
      <c r="H78" s="1156" t="n">
        <v>38411</v>
      </c>
      <c r="I78" s="1157" t="n">
        <f aca="false">I77</f>
        <v>0.0715</v>
      </c>
      <c r="J78" s="1158" t="n">
        <f aca="false">(1+I78/2)^(-2*(DATE(D79,E79,20)-$H$7)/365.25)</f>
        <v>0.690959254853916</v>
      </c>
      <c r="K78" s="1159" t="e">
        <f aca="false">IF(#REF!=1,+#REF!,I78+#REF!/10000)</f>
        <v>#REF!</v>
      </c>
      <c r="L78" s="1158" t="e">
        <f aca="false">(1+K78/2)^(-2*(DATE(D79,E79,20)-$H$7)/365.25)</f>
        <v>#REF!</v>
      </c>
      <c r="M78" s="1082" t="n">
        <v>0</v>
      </c>
      <c r="N78" s="1110" t="n">
        <f aca="false">M78</f>
        <v>0</v>
      </c>
      <c r="O78" s="1174" t="n">
        <f aca="false">N78</f>
        <v>0</v>
      </c>
      <c r="P78" s="1175" t="n">
        <f aca="false">M78</f>
        <v>0</v>
      </c>
      <c r="Q78" s="1110" t="n">
        <f aca="false">P78</f>
        <v>0</v>
      </c>
      <c r="R78" s="1174" t="n">
        <f aca="false">Q78</f>
        <v>0</v>
      </c>
      <c r="S78" s="1110" t="n">
        <f aca="false">R78</f>
        <v>0</v>
      </c>
      <c r="T78" s="1110" t="n">
        <f aca="false">S78</f>
        <v>0</v>
      </c>
      <c r="U78" s="1110" t="n">
        <f aca="false">T78</f>
        <v>0</v>
      </c>
      <c r="V78" s="1175" t="n">
        <f aca="false">U78</f>
        <v>0</v>
      </c>
      <c r="W78" s="1110" t="n">
        <f aca="false">V78</f>
        <v>0</v>
      </c>
      <c r="X78" s="1176" t="n">
        <f aca="false">W78</f>
        <v>0</v>
      </c>
      <c r="Y78" s="1086" t="n">
        <v>0</v>
      </c>
      <c r="Z78" s="1086" t="n">
        <v>0</v>
      </c>
      <c r="AA78" s="1087" t="n">
        <v>0</v>
      </c>
      <c r="AB78" s="1086" t="n">
        <v>0</v>
      </c>
      <c r="AC78" s="1086" t="n">
        <v>0</v>
      </c>
      <c r="AD78" s="1087" t="n">
        <v>0</v>
      </c>
      <c r="AE78" s="1086" t="n">
        <v>0</v>
      </c>
      <c r="AF78" s="1086" t="n">
        <v>0</v>
      </c>
      <c r="AG78" s="1087" t="n">
        <v>0</v>
      </c>
      <c r="AH78" s="1086" t="n">
        <v>0</v>
      </c>
      <c r="AI78" s="1086" t="n">
        <v>0</v>
      </c>
      <c r="AJ78" s="1087" t="n">
        <v>0</v>
      </c>
      <c r="AK78" s="1086" t="n">
        <v>0</v>
      </c>
      <c r="AL78" s="1086" t="n">
        <v>0</v>
      </c>
      <c r="AM78" s="1087" t="n">
        <v>0</v>
      </c>
      <c r="AN78" s="1086" t="n">
        <v>0</v>
      </c>
      <c r="AO78" s="1086" t="n">
        <v>0</v>
      </c>
      <c r="AP78" s="1087" t="n">
        <v>0</v>
      </c>
      <c r="AQ78" s="1086" t="n">
        <v>0</v>
      </c>
      <c r="AR78" s="1086" t="n">
        <v>0</v>
      </c>
      <c r="AS78" s="1087" t="n">
        <v>0</v>
      </c>
      <c r="AT78" s="1086" t="n">
        <v>0</v>
      </c>
      <c r="AU78" s="1086" t="n">
        <v>0</v>
      </c>
      <c r="AV78" s="1086" t="n">
        <v>0</v>
      </c>
      <c r="AW78" s="1172" t="n">
        <v>0</v>
      </c>
      <c r="AX78" s="807" t="n">
        <f aca="false">BB78-SUM(AY78:BA78)</f>
        <v>20</v>
      </c>
      <c r="AY78" s="807" t="n">
        <f aca="false">IF(AND($E78=MONTH(Summary!$E$24),$D78=YEAR(Summary!$E$24)),Summary!$E$25,1)*IF(G78="",0,INT((H78-MOD(H78,7)-G78)/7)+1-IF(BA78,IF(WEEKDAY(F78)=7,1,0),0))</f>
        <v>4</v>
      </c>
      <c r="AZ78" s="807" t="n">
        <f aca="false">IF(AND($E78=MONTH(Summary!$E$24),$D78=YEAR(Summary!$E$24)),Summary!$E$25,1)*IF(G78="",0,INT((H78-MOD(H78-1,7)-G78)/7)+1-IF(BA78,IF(WEEKDAY(F78)=1,1,0),0))</f>
        <v>4</v>
      </c>
      <c r="BA78" s="807" t="n">
        <v>0</v>
      </c>
      <c r="BB78" s="807" t="n">
        <f aca="false">IF(AND($E78=MONTH(Summary!$E$24),$D78=YEAR(Summary!$E$24)),Summary!$E$25,1)*IF(G78="",0,H78-G78+1)</f>
        <v>28</v>
      </c>
      <c r="BC78" s="1089" t="n">
        <f aca="false">Summary!$E$19</f>
        <v>0.015</v>
      </c>
      <c r="BD78" s="1090" t="n">
        <v>14184</v>
      </c>
      <c r="BE78" s="1091" t="n">
        <v>2836.8</v>
      </c>
      <c r="BF78" s="1091" t="n">
        <v>2836.8</v>
      </c>
      <c r="BG78" s="842"/>
      <c r="BH78" s="1092" t="n">
        <v>1</v>
      </c>
      <c r="BI78" s="1092" t="n">
        <v>1</v>
      </c>
      <c r="BJ78" s="1092" t="n">
        <v>1</v>
      </c>
      <c r="BK78" s="1092" t="n">
        <v>1</v>
      </c>
      <c r="BL78" s="1093" t="n">
        <v>2836.8</v>
      </c>
      <c r="BM78" s="1091" t="n">
        <v>567.36</v>
      </c>
      <c r="BN78" s="1091" t="n">
        <v>567.36</v>
      </c>
      <c r="BO78" s="842"/>
      <c r="BP78" s="1092" t="n">
        <v>1</v>
      </c>
      <c r="BQ78" s="1094" t="n">
        <v>1</v>
      </c>
      <c r="BR78" s="1094" t="n">
        <v>1</v>
      </c>
      <c r="BS78" s="1095" t="n">
        <v>1</v>
      </c>
      <c r="BT78" s="1093" t="n">
        <f aca="false">SUM(BD78:BF78)</f>
        <v>19857.6</v>
      </c>
      <c r="BU78" s="1098" t="n">
        <f aca="false">SUM(BD78:BG78)</f>
        <v>19857.6</v>
      </c>
      <c r="BV78" s="1090" t="n">
        <f aca="false">SUM(BL78:BN78)</f>
        <v>3971.52</v>
      </c>
      <c r="BW78" s="1098" t="n">
        <f aca="false">SUM(BL78:BO78)</f>
        <v>3971.52</v>
      </c>
      <c r="BX78" s="852" t="n">
        <v>5.13347022587269</v>
      </c>
      <c r="BY78" s="1099" t="n">
        <v>0</v>
      </c>
      <c r="BZ78" s="852" t="n">
        <v>0</v>
      </c>
      <c r="CA78" s="852" t="n">
        <v>0</v>
      </c>
      <c r="CB78" s="852" t="n">
        <v>0</v>
      </c>
      <c r="CC78" s="852" t="n">
        <v>0</v>
      </c>
      <c r="CD78" s="852" t="n">
        <v>0</v>
      </c>
      <c r="CE78" s="1100" t="n">
        <v>0</v>
      </c>
      <c r="CF78" s="852" t="n">
        <v>0</v>
      </c>
      <c r="CG78" s="852" t="n">
        <v>0</v>
      </c>
      <c r="CH78" s="852" t="n">
        <v>0</v>
      </c>
      <c r="CI78" s="852" t="n">
        <v>0</v>
      </c>
      <c r="CJ78" s="1101" t="n">
        <v>0</v>
      </c>
      <c r="CK78" s="852" t="n">
        <v>0</v>
      </c>
      <c r="CL78" s="852" t="n">
        <v>0</v>
      </c>
      <c r="CM78" s="852" t="n">
        <v>0</v>
      </c>
      <c r="CN78" s="852" t="n">
        <v>0</v>
      </c>
      <c r="CO78" s="852" t="n">
        <v>0</v>
      </c>
      <c r="CP78" s="852" t="n">
        <v>0</v>
      </c>
      <c r="CQ78" s="1102" t="n">
        <v>0</v>
      </c>
      <c r="CR78" s="1103" t="n">
        <v>0</v>
      </c>
      <c r="CS78" s="1103" t="n">
        <v>0</v>
      </c>
      <c r="CT78" s="1103" t="n">
        <v>0</v>
      </c>
      <c r="CU78" s="1103" t="n">
        <v>0</v>
      </c>
      <c r="CV78" s="1103" t="n">
        <v>0</v>
      </c>
      <c r="CW78" s="1103" t="n">
        <v>0</v>
      </c>
      <c r="CX78" s="1104" t="n">
        <v>0</v>
      </c>
      <c r="CY78" s="1105" t="n">
        <v>7735.88832</v>
      </c>
      <c r="CZ78" s="1099" t="n">
        <v>0</v>
      </c>
      <c r="DA78" s="852" t="n">
        <v>0</v>
      </c>
      <c r="DB78" s="852" t="n">
        <v>0</v>
      </c>
      <c r="DC78" s="852" t="n">
        <v>0</v>
      </c>
      <c r="DD78" s="852" t="n">
        <v>0</v>
      </c>
      <c r="DE78" s="1113" t="n">
        <v>0</v>
      </c>
      <c r="DF78" s="1109" t="n">
        <v>0</v>
      </c>
      <c r="DG78" s="1110" t="n">
        <v>0</v>
      </c>
      <c r="DH78" s="1111" t="n">
        <v>0</v>
      </c>
      <c r="DI78" s="1112" t="n">
        <v>0</v>
      </c>
      <c r="DJ78" s="1112" t="n">
        <v>0</v>
      </c>
      <c r="DK78" s="1112" t="n">
        <v>0</v>
      </c>
      <c r="DL78" s="1113" t="n">
        <v>0</v>
      </c>
      <c r="DM78" s="1114" t="n">
        <v>0</v>
      </c>
      <c r="DN78" s="1114" t="n">
        <v>0</v>
      </c>
      <c r="DO78" s="1114" t="n">
        <v>0</v>
      </c>
      <c r="DP78" s="1114" t="n">
        <v>0</v>
      </c>
      <c r="DQ78" s="1114" t="n">
        <v>0</v>
      </c>
      <c r="DR78" s="1109" t="n">
        <v>0</v>
      </c>
      <c r="DS78" s="852" t="n">
        <v>0</v>
      </c>
      <c r="DT78" s="852" t="n">
        <v>0</v>
      </c>
      <c r="DU78" s="852" t="n">
        <v>0</v>
      </c>
      <c r="DV78" s="852" t="n">
        <v>0</v>
      </c>
      <c r="DW78" s="852" t="n">
        <v>0</v>
      </c>
      <c r="DX78" s="852" t="n">
        <v>0</v>
      </c>
      <c r="DY78" s="852" t="n">
        <v>0</v>
      </c>
      <c r="DZ78" s="852" t="n">
        <v>0</v>
      </c>
      <c r="EA78" s="852" t="n">
        <v>0</v>
      </c>
      <c r="EB78" s="1113" t="n">
        <v>0</v>
      </c>
      <c r="EC78" s="1115" t="n">
        <f aca="false">DS78*BD78</f>
        <v>0</v>
      </c>
      <c r="ED78" s="1115" t="n">
        <f aca="false">DT78*BE78</f>
        <v>0</v>
      </c>
      <c r="EE78" s="1115" t="n">
        <f aca="false">DU78*BF78</f>
        <v>0</v>
      </c>
      <c r="EF78" s="1115" t="n">
        <f aca="false">DV78*BG78</f>
        <v>0</v>
      </c>
      <c r="EG78" s="1115" t="n">
        <f aca="false">DS78*BD78+DT78*BE78+DU78*BF78+DV78*BG78</f>
        <v>0</v>
      </c>
      <c r="EH78" s="1116" t="n">
        <v>0</v>
      </c>
      <c r="EI78" s="1117" t="n">
        <v>0</v>
      </c>
      <c r="EJ78" s="1117" t="n">
        <v>0</v>
      </c>
      <c r="EK78" s="1117" t="n">
        <v>0</v>
      </c>
      <c r="EL78" s="1118" t="n">
        <f aca="false">IF(C78&gt;=Summary!$E$26,MAX(0,SUM(EH78:EK78)),0)</f>
        <v>0</v>
      </c>
      <c r="EM78" s="1115" t="n">
        <f aca="false">IF(C78&gt;=Summary!$E$26,DX78*BL78,0)</f>
        <v>0</v>
      </c>
      <c r="EN78" s="1115" t="n">
        <f aca="false">IF(C78&gt;=Summary!$E$26,DY78*BM78,0)</f>
        <v>0</v>
      </c>
      <c r="EO78" s="1115" t="n">
        <f aca="false">IF(C78&gt;=Summary!$E$26,DZ78*BN78,0)</f>
        <v>0</v>
      </c>
      <c r="EP78" s="1115" t="n">
        <f aca="false">IF(C78&gt;=Summary!$E$26,EA78*BO78,0)</f>
        <v>0</v>
      </c>
      <c r="EQ78" s="1115" t="n">
        <f aca="false">IF(C78&gt;=Summary!$E$26,DX78*BL78+DY78*BM78+DZ78*BN78+EA78*BO78,0)</f>
        <v>0</v>
      </c>
      <c r="ER78" s="1119" t="n">
        <v>0</v>
      </c>
      <c r="ES78" s="1120" t="n">
        <v>0</v>
      </c>
      <c r="ET78" s="1120" t="n">
        <v>0</v>
      </c>
      <c r="EU78" s="1120" t="n">
        <v>0</v>
      </c>
      <c r="EV78" s="1143" t="n">
        <f aca="false">IF(C78&gt;=Summary!$E$26,MAX(0,SUM(ER78:EU78)),0)</f>
        <v>0</v>
      </c>
      <c r="EW78" s="1115"/>
      <c r="EX78" s="1165" t="n">
        <f aca="false">(EQ78-EV78)+IF(EZ78="Yes",(EG78-EL78),0)</f>
        <v>0</v>
      </c>
      <c r="EY78" s="1166" t="str">
        <f aca="false">IF(EX78,EX78/EQ78,"")</f>
        <v/>
      </c>
      <c r="EZ78" s="1122" t="s">
        <v>37</v>
      </c>
      <c r="FA78" s="1096" t="n">
        <f aca="false">FA77</f>
        <v>45</v>
      </c>
      <c r="FB78" s="1167" t="n">
        <f aca="false">IF(EZ78="No",IF((OR(MONTH(C78)=5,MONTH(C78)=6,MONTH(C78)=7,MONTH(C78)=8,MONTH(C78)=9)),$FA78*12*AX78*(1-$BC78),$FA78*10*AX78*(1-$BC78)),0)</f>
        <v>8865</v>
      </c>
      <c r="FC78" s="1129" t="n">
        <f aca="false">IF(EZ78="No",IF((OR(MONTH(C78)=5,MONTH(C78)=6,MONTH(C78)=7,MONTH(C78)=8,MONTH(C78)=9)),0,$FA78*3*AX78*(1-$BC78)),0)</f>
        <v>2659.5</v>
      </c>
      <c r="FD78" s="1129" t="n">
        <f aca="false">IF(EZ78="No",IF((OR(MONTH(C78)=5,MONTH(C78)=6,MONTH(C78)=7,MONTH(C78)=8,MONTH(C78)=9)),$FA78*12*AY78*(1-$BC78),$FA78*10*AY78*(1-$BC78)),0)</f>
        <v>1773</v>
      </c>
      <c r="FE78" s="1129" t="n">
        <f aca="false">IF(EZ78="No",IF((OR(MONTH(C78)=5,MONTH(C78)=6,MONTH(C78)=7,MONTH(C78)=8,MONTH(C78)=9)),0,$FA78*3*AY78*(1-$BC78)),0)</f>
        <v>531.9</v>
      </c>
      <c r="FF78" s="1129" t="n">
        <f aca="false">IF(EZ78="No",IF((OR(MONTH(C78)=5,MONTH(C78)=6,MONTH(C78)=7,MONTH(C78)=8,MONTH(C78)=9)),$FA78*12*(AZ78+BA78)*(1-$BC78),$FA78*10*(AZ78+BA78)*(1-$BC78)),0)</f>
        <v>1773</v>
      </c>
      <c r="FG78" s="1129" t="n">
        <f aca="false">IF(EZ78="No",IF((OR(MONTH(C78)=5,MONTH(C78)=6,MONTH(C78)=7,MONTH(C78)=8,MONTH(C78)=9)),0,$FA78*3*(AZ78+BA78)*(1-$BC78)),0)</f>
        <v>531.9</v>
      </c>
      <c r="FH78" s="1170" t="n">
        <f aca="false">IF(EZ78="No",IF((OR(MONTH(C78)=5,MONTH(C78)=6,MONTH(C78)=7,MONTH(C78)=8,MONTH(C78)=9)),Summary!$O$15*12*(AX78+AY78+AZ78+BA78)*(1-$BC78),Summary!$O$15*13*(AX78+AY78+AZ78+BA78)*(1-$BC78)+IF(Summary!$O$16="Yes",(CALC!FA78+Summary!$O$15)*6*(AX78+AY78+AZ78+BA78)*(1-$BC78),0)),0)</f>
        <v>0</v>
      </c>
      <c r="FI78" s="1126" t="n">
        <f aca="false">IF(MONTH(C78)=5,FI77*(IF(Summary!$E$70="no",(1+(Summary!$E$71*0.8)),1+HLOOKUP(YEAR(C78)-1,CCFMODEL!$I$127:$AF$128,2)*0.8)),+FI77)</f>
        <v>29.9518363804076</v>
      </c>
      <c r="FJ78" s="1127" t="n">
        <f aca="false">IF(MONTH(C78)=5,FJ77*(IF(Summary!$E$70="no",(1+(Summary!$E$71*0.8)),1+HLOOKUP(YEAR(CALC!C78)-1,CCFMODEL!$I$127:$AF$128,2)*0.8)),FJ77)</f>
        <v>26.1783766789389</v>
      </c>
      <c r="FK78" s="1128" t="n">
        <f aca="false">SUM(FB78:FG78)*FI78+FH78*FJ78</f>
        <v>483251.913712411</v>
      </c>
      <c r="FL78" s="1126" t="n">
        <f aca="false">IF(MONTH(C78)=5,FL77*(IF(Summary!$E$70="no",(1+(Summary!$E$71*0.8)),1+HLOOKUP(YEAR(CALC!C78)-1,CCFMODEL!$I$127:$AF$128,2)*0.8)),+FL77)</f>
        <v>62.9920698379101</v>
      </c>
      <c r="FM78" s="1127" t="n">
        <f aca="false">IF(MONTH(C78)=5,FM77*(IF(Summary!$E$70="no",(1+(Summary!$E$71*0.8)),1+HLOOKUP(YEAR(CALC!C78)-1,CCFMODEL!$I$127:$AF$128,2)*0.8)),+FM77)</f>
        <v>30.0641417286656</v>
      </c>
      <c r="FN78" s="1128" t="n">
        <f aca="false">IF((OR(MONTH(C78)=5,MONTH(C78)=6,MONTH(C78)=7,MONTH(C78)=8,MONTH(C78)=9)),SUM(FB78:FG78)/(1-BC78)*FL78,SUM(FB78:FG78)/(1-BC78)*FM78)</f>
        <v>492450.641515543</v>
      </c>
      <c r="FO78" s="1129" t="n">
        <f aca="false">FK78+FN78</f>
        <v>975702.555227953</v>
      </c>
      <c r="FP78" s="1169" t="n">
        <f aca="false">FB78</f>
        <v>8865</v>
      </c>
      <c r="FQ78" s="1129" t="n">
        <f aca="false">FC78</f>
        <v>2659.5</v>
      </c>
      <c r="FR78" s="1129" t="n">
        <f aca="false">FD78</f>
        <v>1773</v>
      </c>
      <c r="FS78" s="1129" t="n">
        <f aca="false">FE78</f>
        <v>531.9</v>
      </c>
      <c r="FT78" s="1129" t="n">
        <f aca="false">FF78</f>
        <v>1773</v>
      </c>
      <c r="FU78" s="1129" t="n">
        <f aca="false">FG78</f>
        <v>531.9</v>
      </c>
      <c r="FV78" s="1170" t="n">
        <f aca="false">FH78</f>
        <v>0</v>
      </c>
      <c r="FW78" s="1115" t="n">
        <f aca="false">IF(ER78&gt;0,MIN(FB78-FP78,BL78),0)</f>
        <v>0</v>
      </c>
      <c r="FX78" s="1115" t="n">
        <f aca="false">IF(ES78&gt;0,MIN(FD78-FR78,BM78),0)</f>
        <v>0</v>
      </c>
      <c r="FY78" s="1115" t="n">
        <f aca="false">IF(ET78&gt;0,MIN(FF78-FT78,BN78),0)</f>
        <v>0</v>
      </c>
      <c r="FZ78" s="1143" t="n">
        <f aca="false">IF(EU78&gt;0,MIN(FH78-FV78,BO78),0)</f>
        <v>0</v>
      </c>
      <c r="GA78" s="1132" t="n">
        <f aca="false">(SUM(FP78:FV78)+SUM(GU78:HB78)/(1-Summary!$O$25))*CY78/1000</f>
        <v>213142.444065734</v>
      </c>
      <c r="GB78" s="1133" t="n">
        <f aca="false">IF($C78&lt;Summary!$M$81,+Summary!$O$81,VLOOKUP(C78,GasTable,19))</f>
        <v>2.4</v>
      </c>
      <c r="GC78" s="1134" t="n">
        <f aca="false">IF(H78&lt;=Summary!$N$84,MIN(GA78,Summary!$O$75*(H78-G78+1)),0)</f>
        <v>140000</v>
      </c>
      <c r="GD78" s="1135" t="n">
        <f aca="false">IF(Summary!$O$75*(H78-G78+1)*0.8&gt;GC78,1,0)</f>
        <v>0</v>
      </c>
      <c r="GE78" s="1136" t="n">
        <v>0</v>
      </c>
      <c r="GF78" s="1134" t="n">
        <f aca="false">ABS(MIN(0,GC78-$GA78))</f>
        <v>73142.4440657344</v>
      </c>
      <c r="GG78" s="1135" t="n">
        <f aca="false">GF78*(IF(Summary!$O$74=1,VLOOKUP($C78,GasTable,16)+Summary!$O$92+Summary!$O$93,VLOOKUP($C78,GasTable,19)+Summary!$O$92+Summary!$O$93))</f>
        <v>209596.772978035</v>
      </c>
      <c r="GH78" s="1137" t="n">
        <v>17914.4</v>
      </c>
      <c r="GI78" s="1138" t="n">
        <v>0</v>
      </c>
      <c r="GJ78" s="1139" t="n">
        <f aca="false">+GB78*GC78+GE78+GG78+GH78-GI78</f>
        <v>563511.172978035</v>
      </c>
      <c r="GK78" s="1115" t="n">
        <f aca="false">SUM(FP78:FV78,GU78:GX78,GY78:HB78)</f>
        <v>27152.7858</v>
      </c>
      <c r="GL78" s="1140" t="n">
        <v>0.759664233024</v>
      </c>
      <c r="GM78" s="1141" t="n">
        <f aca="false">IF(GK78&gt;GC78/(CY78/1000),GC78/(CY78/1000),+GK78)*GL78</f>
        <v>13748</v>
      </c>
      <c r="GN78" s="1115" t="n">
        <f aca="false">IF(SUM(GU78:HB78)=0,0,IF(Summary!$O$16="Yes",SUM(GX78:HB78),IF(Summary!$O$17="Yes",SUM(GY78:HB78),SUM(GU78:HB78))))</f>
        <v>11018.4858</v>
      </c>
      <c r="GO78" s="1142" t="n">
        <v>2.7585222762878</v>
      </c>
      <c r="GP78" s="1143" t="n">
        <f aca="false">GN78*GO78</f>
        <v>30394.7385302608</v>
      </c>
      <c r="GQ78" s="1115"/>
      <c r="GR78" s="1115"/>
      <c r="GS78" s="1115"/>
      <c r="GT78" s="1115"/>
      <c r="GU78" s="1150" t="n">
        <v>5132.835</v>
      </c>
      <c r="GV78" s="1115" t="n">
        <v>1026.567</v>
      </c>
      <c r="GW78" s="1115" t="n">
        <v>1026.567</v>
      </c>
      <c r="GX78" s="1115"/>
      <c r="GY78" s="1151" t="n">
        <v>2737.512</v>
      </c>
      <c r="GZ78" s="1115" t="n">
        <v>547.5024</v>
      </c>
      <c r="HA78" s="1115" t="n">
        <v>547.5024</v>
      </c>
      <c r="HB78" s="1141"/>
      <c r="HC78" s="1115" t="n">
        <v>11018.4858</v>
      </c>
      <c r="HD78" s="1115"/>
      <c r="HE78" s="1115" t="n">
        <v>18923.0517</v>
      </c>
      <c r="HF78" s="1115" t="n">
        <v>345544.362140419</v>
      </c>
      <c r="HG78" s="1115"/>
      <c r="HH78" s="1142" t="n">
        <v>31.1262877122428</v>
      </c>
      <c r="HI78" s="1115" t="n">
        <v>589004.351607845</v>
      </c>
      <c r="HJ78" s="1150" t="n">
        <f aca="false">MAX(FB78-FP78-FW78,0)</f>
        <v>0</v>
      </c>
      <c r="HK78" s="1115" t="n">
        <f aca="false">MAX(FD78-FR78-FX78,0)</f>
        <v>0</v>
      </c>
      <c r="HL78" s="1115" t="n">
        <f aca="false">MAX(FF78-FT78-FY78,0)</f>
        <v>0</v>
      </c>
      <c r="HM78" s="1141" t="n">
        <f aca="false">MAX(FH78-FV78-FZ78,0)</f>
        <v>0</v>
      </c>
      <c r="HN78" s="1115" t="n">
        <f aca="false">SUM(HJ78:HM78)</f>
        <v>0</v>
      </c>
      <c r="HO78" s="1142" t="n">
        <f aca="false">IF(ISERROR(+HP78/HN78),0,+HP78/HN78)</f>
        <v>0</v>
      </c>
      <c r="HP78" s="1143" t="n">
        <f aca="false">(HJ78*CE78+HK78*CF78+HL78*CG78+HM78*CH78)</f>
        <v>0</v>
      </c>
      <c r="HQ78" s="884"/>
      <c r="HR78" s="882"/>
      <c r="HS78" s="882"/>
      <c r="HT78" s="882"/>
      <c r="HU78" s="882"/>
      <c r="HV78" s="882"/>
      <c r="HW78" s="882"/>
      <c r="HX78" s="882"/>
      <c r="HY78" s="882"/>
      <c r="HZ78" s="882"/>
      <c r="IA78" s="882"/>
      <c r="IB78" s="882"/>
      <c r="IC78" s="882"/>
      <c r="ID78" s="882"/>
      <c r="IE78" s="882"/>
      <c r="IF78" s="882"/>
      <c r="IG78" s="882"/>
      <c r="IH78" s="882"/>
      <c r="II78" s="882"/>
      <c r="IJ78" s="882"/>
      <c r="IK78" s="882"/>
      <c r="IL78" s="883"/>
      <c r="IR78" s="844"/>
    </row>
    <row r="79" customFormat="false" ht="13.5" hidden="false" customHeight="false" outlineLevel="0" collapsed="false">
      <c r="A79" s="0" t="str">
        <f aca="false">+D79&amp;"Q"&amp;ROUNDUP(E79/3,0)</f>
        <v>2005Q1</v>
      </c>
      <c r="B79" s="0" t="n">
        <f aca="false">YEAR(C79)</f>
        <v>2005</v>
      </c>
      <c r="C79" s="1153" t="n">
        <f aca="false">EOMONTH(C78,0)+1</f>
        <v>38412</v>
      </c>
      <c r="D79" s="841" t="n">
        <f aca="false">+YEAR(C79)</f>
        <v>2005</v>
      </c>
      <c r="E79" s="807" t="n">
        <f aca="false">MONTH(C79)</f>
        <v>3</v>
      </c>
      <c r="F79" s="1154" t="e">
        <f aca="false">IF(G79="","",Holiday(D79,E79))</f>
        <v>#VALUE!</v>
      </c>
      <c r="G79" s="1155" t="n">
        <v>38412</v>
      </c>
      <c r="H79" s="1156" t="n">
        <v>38442</v>
      </c>
      <c r="I79" s="1157" t="n">
        <f aca="false">I78</f>
        <v>0.0715</v>
      </c>
      <c r="J79" s="1158" t="n">
        <f aca="false">(1+I79/2)^(-2*(DATE(D80,E80,20)-$H$7)/365.25)</f>
        <v>0.686851674607178</v>
      </c>
      <c r="K79" s="1159" t="e">
        <f aca="false">IF(#REF!=1,+#REF!,I79+#REF!/10000)</f>
        <v>#REF!</v>
      </c>
      <c r="L79" s="1158" t="e">
        <f aca="false">(1+K79/2)^(-2*(DATE(D80,E80,20)-$H$7)/365.25)</f>
        <v>#REF!</v>
      </c>
      <c r="M79" s="1082" t="n">
        <v>0</v>
      </c>
      <c r="N79" s="1110" t="n">
        <f aca="false">M79</f>
        <v>0</v>
      </c>
      <c r="O79" s="1174" t="n">
        <f aca="false">N79</f>
        <v>0</v>
      </c>
      <c r="P79" s="1175" t="n">
        <f aca="false">M79</f>
        <v>0</v>
      </c>
      <c r="Q79" s="1110" t="n">
        <f aca="false">P79</f>
        <v>0</v>
      </c>
      <c r="R79" s="1174" t="n">
        <f aca="false">Q79</f>
        <v>0</v>
      </c>
      <c r="S79" s="1110" t="n">
        <f aca="false">R79</f>
        <v>0</v>
      </c>
      <c r="T79" s="1110" t="n">
        <f aca="false">S79</f>
        <v>0</v>
      </c>
      <c r="U79" s="1110" t="n">
        <f aca="false">T79</f>
        <v>0</v>
      </c>
      <c r="V79" s="1175" t="n">
        <f aca="false">U79</f>
        <v>0</v>
      </c>
      <c r="W79" s="1110" t="n">
        <f aca="false">V79</f>
        <v>0</v>
      </c>
      <c r="X79" s="1176" t="n">
        <f aca="false">W79</f>
        <v>0</v>
      </c>
      <c r="Y79" s="1086" t="n">
        <v>0</v>
      </c>
      <c r="Z79" s="1086" t="n">
        <v>0</v>
      </c>
      <c r="AA79" s="1087" t="n">
        <v>0</v>
      </c>
      <c r="AB79" s="1086" t="n">
        <v>0</v>
      </c>
      <c r="AC79" s="1086" t="n">
        <v>0</v>
      </c>
      <c r="AD79" s="1087" t="n">
        <v>0</v>
      </c>
      <c r="AE79" s="1086" t="n">
        <v>0</v>
      </c>
      <c r="AF79" s="1086" t="n">
        <v>0</v>
      </c>
      <c r="AG79" s="1087" t="n">
        <v>0</v>
      </c>
      <c r="AH79" s="1086" t="n">
        <v>0</v>
      </c>
      <c r="AI79" s="1086" t="n">
        <v>0</v>
      </c>
      <c r="AJ79" s="1087" t="n">
        <v>0</v>
      </c>
      <c r="AK79" s="1086" t="n">
        <v>0</v>
      </c>
      <c r="AL79" s="1086" t="n">
        <v>0</v>
      </c>
      <c r="AM79" s="1087" t="n">
        <v>0</v>
      </c>
      <c r="AN79" s="1086" t="n">
        <v>0</v>
      </c>
      <c r="AO79" s="1086" t="n">
        <v>0</v>
      </c>
      <c r="AP79" s="1087" t="n">
        <v>0</v>
      </c>
      <c r="AQ79" s="1086" t="n">
        <v>0</v>
      </c>
      <c r="AR79" s="1086" t="n">
        <v>0</v>
      </c>
      <c r="AS79" s="1087" t="n">
        <v>0</v>
      </c>
      <c r="AT79" s="1086" t="n">
        <v>0</v>
      </c>
      <c r="AU79" s="1086" t="n">
        <v>0</v>
      </c>
      <c r="AV79" s="1086" t="n">
        <v>0</v>
      </c>
      <c r="AW79" s="1172" t="n">
        <v>0</v>
      </c>
      <c r="AX79" s="807" t="n">
        <f aca="false">BB79-SUM(AY79:BA79)</f>
        <v>23</v>
      </c>
      <c r="AY79" s="807" t="n">
        <f aca="false">IF(AND($E79=MONTH(Summary!$E$24),$D79=YEAR(Summary!$E$24)),Summary!$E$25,1)*IF(G79="",0,INT((H79-MOD(H79,7)-G79)/7)+1-IF(BA79,IF(WEEKDAY(F79)=7,1,0),0))</f>
        <v>4</v>
      </c>
      <c r="AZ79" s="807" t="n">
        <f aca="false">IF(AND($E79=MONTH(Summary!$E$24),$D79=YEAR(Summary!$E$24)),Summary!$E$25,1)*IF(G79="",0,INT((H79-MOD(H79-1,7)-G79)/7)+1-IF(BA79,IF(WEEKDAY(F79)=1,1,0),0))</f>
        <v>4</v>
      </c>
      <c r="BA79" s="807" t="n">
        <v>0</v>
      </c>
      <c r="BB79" s="807" t="n">
        <f aca="false">IF(AND($E79=MONTH(Summary!$E$24),$D79=YEAR(Summary!$E$24)),Summary!$E$25,1)*IF(G79="",0,H79-G79+1)</f>
        <v>31</v>
      </c>
      <c r="BC79" s="1089" t="n">
        <f aca="false">Summary!$E$19</f>
        <v>0.015</v>
      </c>
      <c r="BD79" s="1090" t="n">
        <v>16311.6</v>
      </c>
      <c r="BE79" s="1091" t="n">
        <v>2836.8</v>
      </c>
      <c r="BF79" s="1091" t="n">
        <v>2836.8</v>
      </c>
      <c r="BG79" s="842"/>
      <c r="BH79" s="1092" t="n">
        <v>1</v>
      </c>
      <c r="BI79" s="1092" t="n">
        <v>1</v>
      </c>
      <c r="BJ79" s="1092" t="n">
        <v>1</v>
      </c>
      <c r="BK79" s="1092" t="n">
        <v>1</v>
      </c>
      <c r="BL79" s="1093" t="n">
        <v>3262.32</v>
      </c>
      <c r="BM79" s="1091" t="n">
        <v>567.36</v>
      </c>
      <c r="BN79" s="1091" t="n">
        <v>567.36</v>
      </c>
      <c r="BO79" s="842"/>
      <c r="BP79" s="1092" t="n">
        <v>1</v>
      </c>
      <c r="BQ79" s="1094" t="n">
        <v>1</v>
      </c>
      <c r="BR79" s="1094" t="n">
        <v>1</v>
      </c>
      <c r="BS79" s="1095" t="n">
        <v>1</v>
      </c>
      <c r="BT79" s="1093" t="n">
        <f aca="false">SUM(BD79:BF79)</f>
        <v>21985.2</v>
      </c>
      <c r="BU79" s="1098" t="n">
        <f aca="false">SUM(BD79:BG79)</f>
        <v>21985.2</v>
      </c>
      <c r="BV79" s="1090" t="n">
        <f aca="false">SUM(BL79:BN79)</f>
        <v>4397.04</v>
      </c>
      <c r="BW79" s="1098" t="n">
        <f aca="false">SUM(BL79:BO79)</f>
        <v>4397.04</v>
      </c>
      <c r="BX79" s="852" t="n">
        <v>5.21013004791239</v>
      </c>
      <c r="BY79" s="1099" t="n">
        <v>0</v>
      </c>
      <c r="BZ79" s="852" t="n">
        <v>0</v>
      </c>
      <c r="CA79" s="852" t="n">
        <v>0</v>
      </c>
      <c r="CB79" s="852" t="n">
        <v>0</v>
      </c>
      <c r="CC79" s="852" t="n">
        <v>0</v>
      </c>
      <c r="CD79" s="852" t="n">
        <v>0</v>
      </c>
      <c r="CE79" s="1100" t="n">
        <v>0</v>
      </c>
      <c r="CF79" s="852" t="n">
        <v>0</v>
      </c>
      <c r="CG79" s="852" t="n">
        <v>0</v>
      </c>
      <c r="CH79" s="852" t="n">
        <v>0</v>
      </c>
      <c r="CI79" s="852" t="n">
        <v>0</v>
      </c>
      <c r="CJ79" s="1101" t="n">
        <v>0</v>
      </c>
      <c r="CK79" s="852" t="n">
        <v>0</v>
      </c>
      <c r="CL79" s="852" t="n">
        <v>0</v>
      </c>
      <c r="CM79" s="852" t="n">
        <v>0</v>
      </c>
      <c r="CN79" s="852" t="n">
        <v>0</v>
      </c>
      <c r="CO79" s="852" t="n">
        <v>0</v>
      </c>
      <c r="CP79" s="852" t="n">
        <v>0</v>
      </c>
      <c r="CQ79" s="1102" t="n">
        <v>0</v>
      </c>
      <c r="CR79" s="1103" t="n">
        <v>0</v>
      </c>
      <c r="CS79" s="1103" t="n">
        <v>0</v>
      </c>
      <c r="CT79" s="1103" t="n">
        <v>0</v>
      </c>
      <c r="CU79" s="1103" t="n">
        <v>0</v>
      </c>
      <c r="CV79" s="1103" t="n">
        <v>0</v>
      </c>
      <c r="CW79" s="1103" t="n">
        <v>0</v>
      </c>
      <c r="CX79" s="1104" t="n">
        <v>0</v>
      </c>
      <c r="CY79" s="1105" t="n">
        <v>7737.1912</v>
      </c>
      <c r="CZ79" s="1099" t="n">
        <v>0</v>
      </c>
      <c r="DA79" s="852" t="n">
        <v>0</v>
      </c>
      <c r="DB79" s="852" t="n">
        <v>0</v>
      </c>
      <c r="DC79" s="852" t="n">
        <v>0</v>
      </c>
      <c r="DD79" s="852" t="n">
        <v>0</v>
      </c>
      <c r="DE79" s="1113" t="n">
        <v>0</v>
      </c>
      <c r="DF79" s="1109" t="n">
        <v>0</v>
      </c>
      <c r="DG79" s="1110" t="n">
        <v>0</v>
      </c>
      <c r="DH79" s="1111" t="n">
        <v>0</v>
      </c>
      <c r="DI79" s="1112" t="n">
        <v>0</v>
      </c>
      <c r="DJ79" s="1112" t="n">
        <v>0</v>
      </c>
      <c r="DK79" s="1112" t="n">
        <v>0</v>
      </c>
      <c r="DL79" s="1113" t="n">
        <v>0</v>
      </c>
      <c r="DM79" s="1114" t="n">
        <v>0</v>
      </c>
      <c r="DN79" s="1114" t="n">
        <v>0</v>
      </c>
      <c r="DO79" s="1114" t="n">
        <v>0</v>
      </c>
      <c r="DP79" s="1114" t="n">
        <v>0</v>
      </c>
      <c r="DQ79" s="1114" t="n">
        <v>0</v>
      </c>
      <c r="DR79" s="1109" t="n">
        <v>0</v>
      </c>
      <c r="DS79" s="852" t="n">
        <v>0</v>
      </c>
      <c r="DT79" s="852" t="n">
        <v>0</v>
      </c>
      <c r="DU79" s="852" t="n">
        <v>0</v>
      </c>
      <c r="DV79" s="852" t="n">
        <v>0</v>
      </c>
      <c r="DW79" s="852" t="n">
        <v>0</v>
      </c>
      <c r="DX79" s="852" t="n">
        <v>0</v>
      </c>
      <c r="DY79" s="852" t="n">
        <v>0</v>
      </c>
      <c r="DZ79" s="852" t="n">
        <v>0</v>
      </c>
      <c r="EA79" s="852" t="n">
        <v>0</v>
      </c>
      <c r="EB79" s="1113" t="n">
        <v>0</v>
      </c>
      <c r="EC79" s="1115" t="n">
        <f aca="false">DS79*BD79</f>
        <v>0</v>
      </c>
      <c r="ED79" s="1115" t="n">
        <f aca="false">DT79*BE79</f>
        <v>0</v>
      </c>
      <c r="EE79" s="1115" t="n">
        <f aca="false">DU79*BF79</f>
        <v>0</v>
      </c>
      <c r="EF79" s="1115" t="n">
        <f aca="false">DV79*BG79</f>
        <v>0</v>
      </c>
      <c r="EG79" s="1115" t="n">
        <f aca="false">DS79*BD79+DT79*BE79+DU79*BF79+DV79*BG79</f>
        <v>0</v>
      </c>
      <c r="EH79" s="1116" t="n">
        <v>0</v>
      </c>
      <c r="EI79" s="1117" t="n">
        <v>0</v>
      </c>
      <c r="EJ79" s="1117" t="n">
        <v>0</v>
      </c>
      <c r="EK79" s="1117" t="n">
        <v>0</v>
      </c>
      <c r="EL79" s="1118" t="n">
        <f aca="false">IF(C79&gt;=Summary!$E$26,MAX(0,SUM(EH79:EK79)),0)</f>
        <v>0</v>
      </c>
      <c r="EM79" s="1115" t="n">
        <f aca="false">IF(C79&gt;=Summary!$E$26,DX79*BL79,0)</f>
        <v>0</v>
      </c>
      <c r="EN79" s="1115" t="n">
        <f aca="false">IF(C79&gt;=Summary!$E$26,DY79*BM79,0)</f>
        <v>0</v>
      </c>
      <c r="EO79" s="1115" t="n">
        <f aca="false">IF(C79&gt;=Summary!$E$26,DZ79*BN79,0)</f>
        <v>0</v>
      </c>
      <c r="EP79" s="1115" t="n">
        <f aca="false">IF(C79&gt;=Summary!$E$26,EA79*BO79,0)</f>
        <v>0</v>
      </c>
      <c r="EQ79" s="1115" t="n">
        <f aca="false">IF(C79&gt;=Summary!$E$26,DX79*BL79+DY79*BM79+DZ79*BN79+EA79*BO79,0)</f>
        <v>0</v>
      </c>
      <c r="ER79" s="1119" t="n">
        <v>0</v>
      </c>
      <c r="ES79" s="1120" t="n">
        <v>0</v>
      </c>
      <c r="ET79" s="1120" t="n">
        <v>0</v>
      </c>
      <c r="EU79" s="1120" t="n">
        <v>0</v>
      </c>
      <c r="EV79" s="1143" t="n">
        <f aca="false">IF(C79&gt;=Summary!$E$26,MAX(0,SUM(ER79:EU79)),0)</f>
        <v>0</v>
      </c>
      <c r="EW79" s="1115"/>
      <c r="EX79" s="1165" t="n">
        <f aca="false">(EQ79-EV79)+IF(EZ79="Yes",(EG79-EL79),0)</f>
        <v>0</v>
      </c>
      <c r="EY79" s="1166" t="str">
        <f aca="false">IF(EX79,EX79/EQ79,"")</f>
        <v/>
      </c>
      <c r="EZ79" s="1122" t="s">
        <v>37</v>
      </c>
      <c r="FA79" s="1096" t="n">
        <f aca="false">FA78</f>
        <v>45</v>
      </c>
      <c r="FB79" s="1167" t="n">
        <f aca="false">IF(EZ79="No",IF((OR(MONTH(C79)=5,MONTH(C79)=6,MONTH(C79)=7,MONTH(C79)=8,MONTH(C79)=9)),$FA79*12*AX79*(1-$BC79),$FA79*10*AX79*(1-$BC79)),0)</f>
        <v>10194.75</v>
      </c>
      <c r="FC79" s="1129" t="n">
        <f aca="false">IF(EZ79="No",IF((OR(MONTH(C79)=5,MONTH(C79)=6,MONTH(C79)=7,MONTH(C79)=8,MONTH(C79)=9)),0,$FA79*3*AX79*(1-$BC79)),0)</f>
        <v>3058.425</v>
      </c>
      <c r="FD79" s="1129" t="n">
        <f aca="false">IF(EZ79="No",IF((OR(MONTH(C79)=5,MONTH(C79)=6,MONTH(C79)=7,MONTH(C79)=8,MONTH(C79)=9)),$FA79*12*AY79*(1-$BC79),$FA79*10*AY79*(1-$BC79)),0)</f>
        <v>1773</v>
      </c>
      <c r="FE79" s="1129" t="n">
        <f aca="false">IF(EZ79="No",IF((OR(MONTH(C79)=5,MONTH(C79)=6,MONTH(C79)=7,MONTH(C79)=8,MONTH(C79)=9)),0,$FA79*3*AY79*(1-$BC79)),0)</f>
        <v>531.9</v>
      </c>
      <c r="FF79" s="1129" t="n">
        <f aca="false">IF(EZ79="No",IF((OR(MONTH(C79)=5,MONTH(C79)=6,MONTH(C79)=7,MONTH(C79)=8,MONTH(C79)=9)),$FA79*12*(AZ79+BA79)*(1-$BC79),$FA79*10*(AZ79+BA79)*(1-$BC79)),0)</f>
        <v>1773</v>
      </c>
      <c r="FG79" s="1129" t="n">
        <f aca="false">IF(EZ79="No",IF((OR(MONTH(C79)=5,MONTH(C79)=6,MONTH(C79)=7,MONTH(C79)=8,MONTH(C79)=9)),0,$FA79*3*(AZ79+BA79)*(1-$BC79)),0)</f>
        <v>531.9</v>
      </c>
      <c r="FH79" s="1170" t="n">
        <f aca="false">IF(EZ79="No",IF((OR(MONTH(C79)=5,MONTH(C79)=6,MONTH(C79)=7,MONTH(C79)=8,MONTH(C79)=9)),Summary!$O$15*12*(AX79+AY79+AZ79+BA79)*(1-$BC79),Summary!$O$15*13*(AX79+AY79+AZ79+BA79)*(1-$BC79)+IF(Summary!$O$16="Yes",(CALC!FA79+Summary!$O$15)*6*(AX79+AY79+AZ79+BA79)*(1-$BC79),0)),0)</f>
        <v>0</v>
      </c>
      <c r="FI79" s="1126" t="n">
        <f aca="false">IF(MONTH(C79)=5,FI78*(IF(Summary!$E$70="no",(1+(Summary!$E$71*0.8)),1+HLOOKUP(YEAR(C79)-1,CCFMODEL!$I$127:$AF$128,2)*0.8)),+FI78)</f>
        <v>29.9518363804076</v>
      </c>
      <c r="FJ79" s="1127" t="n">
        <f aca="false">IF(MONTH(C79)=5,FJ78*(IF(Summary!$E$70="no",(1+(Summary!$E$71*0.8)),1+HLOOKUP(YEAR(CALC!C79)-1,CCFMODEL!$I$127:$AF$128,2)*0.8)),FJ78)</f>
        <v>26.1783766789389</v>
      </c>
      <c r="FK79" s="1128" t="n">
        <f aca="false">SUM(FB79:FG79)*FI79+FH79*FJ79</f>
        <v>535028.904467312</v>
      </c>
      <c r="FL79" s="1126" t="n">
        <f aca="false">IF(MONTH(C79)=5,FL78*(IF(Summary!$E$70="no",(1+(Summary!$E$71*0.8)),1+HLOOKUP(YEAR(CALC!C79)-1,CCFMODEL!$I$127:$AF$128,2)*0.8)),+FL78)</f>
        <v>62.9920698379101</v>
      </c>
      <c r="FM79" s="1127" t="n">
        <f aca="false">IF(MONTH(C79)=5,FM78*(IF(Summary!$E$70="no",(1+(Summary!$E$71*0.8)),1+HLOOKUP(YEAR(CALC!C79)-1,CCFMODEL!$I$127:$AF$128,2)*0.8)),+FM78)</f>
        <v>30.0641417286656</v>
      </c>
      <c r="FN79" s="1128" t="n">
        <f aca="false">IF((OR(MONTH(C79)=5,MONTH(C79)=6,MONTH(C79)=7,MONTH(C79)=8,MONTH(C79)=9)),SUM(FB79:FG79)/(1-BC79)*FL79,SUM(FB79:FG79)/(1-BC79)*FM79)</f>
        <v>545213.210249351</v>
      </c>
      <c r="FO79" s="1129" t="n">
        <f aca="false">FK79+FN79</f>
        <v>1080242.11471666</v>
      </c>
      <c r="FP79" s="1169" t="n">
        <f aca="false">FB79</f>
        <v>10194.75</v>
      </c>
      <c r="FQ79" s="1129" t="n">
        <f aca="false">FC79</f>
        <v>3058.425</v>
      </c>
      <c r="FR79" s="1129" t="n">
        <f aca="false">FD79</f>
        <v>1773</v>
      </c>
      <c r="FS79" s="1129" t="n">
        <f aca="false">FE79</f>
        <v>531.9</v>
      </c>
      <c r="FT79" s="1129" t="n">
        <f aca="false">FF79</f>
        <v>1773</v>
      </c>
      <c r="FU79" s="1129" t="n">
        <f aca="false">FG79</f>
        <v>531.9</v>
      </c>
      <c r="FV79" s="1170" t="n">
        <f aca="false">FH79</f>
        <v>0</v>
      </c>
      <c r="FW79" s="1115" t="n">
        <f aca="false">IF(ER79&gt;0,MIN(FB79-FP79,BL79),0)</f>
        <v>0</v>
      </c>
      <c r="FX79" s="1115" t="n">
        <f aca="false">IF(ES79&gt;0,MIN(FD79-FR79,BM79),0)</f>
        <v>0</v>
      </c>
      <c r="FY79" s="1115" t="n">
        <f aca="false">IF(ET79&gt;0,MIN(FF79-FT79,BN79),0)</f>
        <v>0</v>
      </c>
      <c r="FZ79" s="1143" t="n">
        <f aca="false">IF(EU79&gt;0,MIN(FH79-FV79,BO79),0)</f>
        <v>0</v>
      </c>
      <c r="GA79" s="1132" t="n">
        <f aca="false">(SUM(FP79:FV79)+SUM(GU79:HB79)/(1-Summary!$O$25))*CY79/1000</f>
        <v>236018.878158708</v>
      </c>
      <c r="GB79" s="1133" t="n">
        <f aca="false">IF($C79&lt;Summary!$M$81,+Summary!$O$81,VLOOKUP(C79,GasTable,19))</f>
        <v>2.4</v>
      </c>
      <c r="GC79" s="1134" t="n">
        <f aca="false">IF(H79&lt;=Summary!$N$84,MIN(GA79,Summary!$O$75*(H79-G79+1)),0)</f>
        <v>155000</v>
      </c>
      <c r="GD79" s="1135" t="n">
        <f aca="false">IF(Summary!$O$75*(H79-G79+1)*0.8&gt;GC79,1,0)</f>
        <v>0</v>
      </c>
      <c r="GE79" s="1136" t="n">
        <v>0</v>
      </c>
      <c r="GF79" s="1134" t="n">
        <f aca="false">ABS(MIN(0,GC79-$GA79))</f>
        <v>81018.878158708</v>
      </c>
      <c r="GG79" s="1135" t="n">
        <f aca="false">GF79*(IF(Summary!$O$74=1,VLOOKUP($C79,GasTable,16)+Summary!$O$92+Summary!$O$93,VLOOKUP($C79,GasTable,19)+Summary!$O$92+Summary!$O$93))</f>
        <v>219930.513006522</v>
      </c>
      <c r="GH79" s="1137" t="n">
        <v>19003</v>
      </c>
      <c r="GI79" s="1138" t="n">
        <v>0</v>
      </c>
      <c r="GJ79" s="1139" t="n">
        <f aca="false">+GB79*GC79+GE79+GG79+GH79-GI79</f>
        <v>610933.513006522</v>
      </c>
      <c r="GK79" s="1115" t="n">
        <f aca="false">SUM(FP79:FV79,GU79:GX79,GY79:HB79)</f>
        <v>30062.01285</v>
      </c>
      <c r="GL79" s="1140" t="n">
        <v>0.75979217584</v>
      </c>
      <c r="GM79" s="1141" t="n">
        <f aca="false">IF(GK79&gt;GC79/(CY79/1000),GC79/(CY79/1000),+GK79)*GL79</f>
        <v>15221</v>
      </c>
      <c r="GN79" s="1115" t="n">
        <f aca="false">IF(SUM(GU79:HB79)=0,0,IF(Summary!$O$16="Yes",SUM(GX79:HB79),IF(Summary!$O$17="Yes",SUM(GY79:HB79),SUM(GU79:HB79))))</f>
        <v>12199.03785</v>
      </c>
      <c r="GO79" s="1142" t="n">
        <v>2.7585222762878</v>
      </c>
      <c r="GP79" s="1143" t="n">
        <f aca="false">GN79*GO79</f>
        <v>33651.317658503</v>
      </c>
      <c r="GQ79" s="1115"/>
      <c r="GR79" s="1115"/>
      <c r="GS79" s="1115"/>
      <c r="GT79" s="1115"/>
      <c r="GU79" s="1150" t="n">
        <v>5902.76025</v>
      </c>
      <c r="GV79" s="1115" t="n">
        <v>1026.567</v>
      </c>
      <c r="GW79" s="1115" t="n">
        <v>1026.567</v>
      </c>
      <c r="GX79" s="1115"/>
      <c r="GY79" s="1151" t="n">
        <v>3148.1388</v>
      </c>
      <c r="GZ79" s="1115" t="n">
        <v>547.5024</v>
      </c>
      <c r="HA79" s="1115" t="n">
        <v>547.5024</v>
      </c>
      <c r="HB79" s="1141"/>
      <c r="HC79" s="1115" t="n">
        <v>12199.03785</v>
      </c>
      <c r="HD79" s="1115"/>
      <c r="HE79" s="1115" t="n">
        <v>14320.60965</v>
      </c>
      <c r="HF79" s="1115" t="n">
        <v>346180.771631196</v>
      </c>
      <c r="HG79" s="1115"/>
      <c r="HH79" s="1142" t="n">
        <v>28.3936279084762</v>
      </c>
      <c r="HI79" s="1115" t="n">
        <v>406614.061824633</v>
      </c>
      <c r="HJ79" s="1150" t="n">
        <f aca="false">MAX(FB79-FP79-FW79,0)</f>
        <v>0</v>
      </c>
      <c r="HK79" s="1115" t="n">
        <f aca="false">MAX(FD79-FR79-FX79,0)</f>
        <v>0</v>
      </c>
      <c r="HL79" s="1115" t="n">
        <f aca="false">MAX(FF79-FT79-FY79,0)</f>
        <v>0</v>
      </c>
      <c r="HM79" s="1141" t="n">
        <f aca="false">MAX(FH79-FV79-FZ79,0)</f>
        <v>0</v>
      </c>
      <c r="HN79" s="1115" t="n">
        <f aca="false">SUM(HJ79:HM79)</f>
        <v>0</v>
      </c>
      <c r="HO79" s="1142" t="n">
        <f aca="false">IF(ISERROR(+HP79/HN79),0,+HP79/HN79)</f>
        <v>0</v>
      </c>
      <c r="HP79" s="1143" t="n">
        <f aca="false">(HJ79*CE79+HK79*CF79+HL79*CG79+HM79*CH79)</f>
        <v>0</v>
      </c>
      <c r="HQ79" s="944"/>
      <c r="HR79" s="945"/>
      <c r="HS79" s="946"/>
      <c r="HT79" s="946"/>
      <c r="HU79" s="946"/>
      <c r="HV79" s="946"/>
      <c r="HW79" s="946"/>
      <c r="HX79" s="946"/>
      <c r="HY79" s="946"/>
      <c r="HZ79" s="946"/>
      <c r="IA79" s="946"/>
      <c r="IB79" s="946"/>
      <c r="IC79" s="946"/>
      <c r="ID79" s="946"/>
      <c r="IE79" s="946"/>
      <c r="IF79" s="946"/>
      <c r="IG79" s="946"/>
      <c r="IH79" s="946"/>
      <c r="II79" s="946"/>
      <c r="IJ79" s="946"/>
      <c r="IK79" s="946"/>
      <c r="IL79" s="947"/>
      <c r="IR79" s="844"/>
    </row>
    <row r="80" customFormat="false" ht="13.5" hidden="false" customHeight="false" outlineLevel="0" collapsed="false">
      <c r="A80" s="0" t="str">
        <f aca="false">+D80&amp;"Q"&amp;ROUNDUP(E80/3,0)</f>
        <v>2005Q2</v>
      </c>
      <c r="B80" s="0" t="n">
        <f aca="false">YEAR(C80)</f>
        <v>2005</v>
      </c>
      <c r="C80" s="1153" t="n">
        <f aca="false">EOMONTH(C79,0)+1</f>
        <v>38443</v>
      </c>
      <c r="D80" s="841" t="n">
        <f aca="false">+YEAR(C80)</f>
        <v>2005</v>
      </c>
      <c r="E80" s="807" t="n">
        <f aca="false">MONTH(C80)</f>
        <v>4</v>
      </c>
      <c r="F80" s="1154" t="e">
        <f aca="false">IF(G80="","",Holiday(D80,E80))</f>
        <v>#VALUE!</v>
      </c>
      <c r="G80" s="1155" t="n">
        <v>38443</v>
      </c>
      <c r="H80" s="1156" t="n">
        <v>38472</v>
      </c>
      <c r="I80" s="1157" t="n">
        <f aca="false">I79</f>
        <v>0.0715</v>
      </c>
      <c r="J80" s="1158" t="n">
        <f aca="false">(1+I80/2)^(-2*(DATE(D81,E81,20)-$H$7)/365.25)</f>
        <v>0.682899848139004</v>
      </c>
      <c r="K80" s="1159" t="e">
        <f aca="false">IF(#REF!=1,+#REF!,I80+#REF!/10000)</f>
        <v>#REF!</v>
      </c>
      <c r="L80" s="1158" t="e">
        <f aca="false">(1+K80/2)^(-2*(DATE(D81,E81,20)-$H$7)/365.25)</f>
        <v>#REF!</v>
      </c>
      <c r="M80" s="1082" t="n">
        <v>0</v>
      </c>
      <c r="N80" s="1110" t="n">
        <f aca="false">M80</f>
        <v>0</v>
      </c>
      <c r="O80" s="1174" t="n">
        <f aca="false">N80</f>
        <v>0</v>
      </c>
      <c r="P80" s="1175" t="n">
        <f aca="false">M80</f>
        <v>0</v>
      </c>
      <c r="Q80" s="1110" t="n">
        <f aca="false">P80</f>
        <v>0</v>
      </c>
      <c r="R80" s="1174" t="n">
        <f aca="false">Q80</f>
        <v>0</v>
      </c>
      <c r="S80" s="1110" t="n">
        <f aca="false">R80</f>
        <v>0</v>
      </c>
      <c r="T80" s="1110" t="n">
        <f aca="false">S80</f>
        <v>0</v>
      </c>
      <c r="U80" s="1110" t="n">
        <f aca="false">T80</f>
        <v>0</v>
      </c>
      <c r="V80" s="1175" t="n">
        <f aca="false">U80</f>
        <v>0</v>
      </c>
      <c r="W80" s="1110" t="n">
        <f aca="false">V80</f>
        <v>0</v>
      </c>
      <c r="X80" s="1176" t="n">
        <f aca="false">W80</f>
        <v>0</v>
      </c>
      <c r="Y80" s="1086" t="n">
        <v>0</v>
      </c>
      <c r="Z80" s="1086" t="n">
        <v>0</v>
      </c>
      <c r="AA80" s="1087" t="n">
        <v>0</v>
      </c>
      <c r="AB80" s="1086" t="n">
        <v>0</v>
      </c>
      <c r="AC80" s="1086" t="n">
        <v>0</v>
      </c>
      <c r="AD80" s="1087" t="n">
        <v>0</v>
      </c>
      <c r="AE80" s="1086" t="n">
        <v>0</v>
      </c>
      <c r="AF80" s="1086" t="n">
        <v>0</v>
      </c>
      <c r="AG80" s="1087" t="n">
        <v>0</v>
      </c>
      <c r="AH80" s="1086" t="n">
        <v>0</v>
      </c>
      <c r="AI80" s="1086" t="n">
        <v>0</v>
      </c>
      <c r="AJ80" s="1087" t="n">
        <v>0</v>
      </c>
      <c r="AK80" s="1086" t="n">
        <v>0</v>
      </c>
      <c r="AL80" s="1086" t="n">
        <v>0</v>
      </c>
      <c r="AM80" s="1087" t="n">
        <v>0</v>
      </c>
      <c r="AN80" s="1086" t="n">
        <v>0</v>
      </c>
      <c r="AO80" s="1086" t="n">
        <v>0</v>
      </c>
      <c r="AP80" s="1087" t="n">
        <v>0</v>
      </c>
      <c r="AQ80" s="1086" t="n">
        <v>0</v>
      </c>
      <c r="AR80" s="1086" t="n">
        <v>0</v>
      </c>
      <c r="AS80" s="1087" t="n">
        <v>0</v>
      </c>
      <c r="AT80" s="1086" t="n">
        <v>0</v>
      </c>
      <c r="AU80" s="1086" t="n">
        <v>0</v>
      </c>
      <c r="AV80" s="1086" t="n">
        <v>0</v>
      </c>
      <c r="AW80" s="1172" t="n">
        <v>0</v>
      </c>
      <c r="AX80" s="807" t="n">
        <f aca="false">BB80-SUM(AY80:BA80)</f>
        <v>21</v>
      </c>
      <c r="AY80" s="807" t="n">
        <f aca="false">IF(AND($E80=MONTH(Summary!$E$24),$D80=YEAR(Summary!$E$24)),Summary!$E$25,1)*IF(G80="",0,INT((H80-MOD(H80,7)-G80)/7)+1-IF(BA80,IF(WEEKDAY(F80)=7,1,0),0))</f>
        <v>5</v>
      </c>
      <c r="AZ80" s="807" t="n">
        <f aca="false">IF(AND($E80=MONTH(Summary!$E$24),$D80=YEAR(Summary!$E$24)),Summary!$E$25,1)*IF(G80="",0,INT((H80-MOD(H80-1,7)-G80)/7)+1-IF(BA80,IF(WEEKDAY(F80)=1,1,0),0))</f>
        <v>4</v>
      </c>
      <c r="BA80" s="807" t="n">
        <v>0</v>
      </c>
      <c r="BB80" s="807" t="n">
        <f aca="false">IF(AND($E80=MONTH(Summary!$E$24),$D80=YEAR(Summary!$E$24)),Summary!$E$25,1)*IF(G80="",0,H80-G80+1)</f>
        <v>30</v>
      </c>
      <c r="BC80" s="1089" t="n">
        <f aca="false">Summary!$E$19</f>
        <v>0.015</v>
      </c>
      <c r="BD80" s="1090" t="n">
        <v>14893.2</v>
      </c>
      <c r="BE80" s="1091" t="n">
        <v>3546</v>
      </c>
      <c r="BF80" s="1091" t="n">
        <v>2836.8</v>
      </c>
      <c r="BG80" s="842"/>
      <c r="BH80" s="1092" t="n">
        <v>1</v>
      </c>
      <c r="BI80" s="1092" t="n">
        <v>1</v>
      </c>
      <c r="BJ80" s="1092" t="n">
        <v>1</v>
      </c>
      <c r="BK80" s="1092" t="n">
        <v>1</v>
      </c>
      <c r="BL80" s="1093" t="n">
        <v>2978.64</v>
      </c>
      <c r="BM80" s="1091" t="n">
        <v>709.2</v>
      </c>
      <c r="BN80" s="1091" t="n">
        <v>567.36</v>
      </c>
      <c r="BO80" s="842"/>
      <c r="BP80" s="1092" t="n">
        <v>1</v>
      </c>
      <c r="BQ80" s="1094" t="n">
        <v>1</v>
      </c>
      <c r="BR80" s="1094" t="n">
        <v>1</v>
      </c>
      <c r="BS80" s="1095" t="n">
        <v>1</v>
      </c>
      <c r="BT80" s="1093" t="n">
        <f aca="false">SUM(BD80:BF80)</f>
        <v>21276</v>
      </c>
      <c r="BU80" s="1098" t="n">
        <f aca="false">SUM(BD80:BG80)</f>
        <v>21276</v>
      </c>
      <c r="BV80" s="1090" t="n">
        <f aca="false">SUM(BL80:BN80)</f>
        <v>4255.2</v>
      </c>
      <c r="BW80" s="1098" t="n">
        <f aca="false">SUM(BL80:BO80)</f>
        <v>4255.2</v>
      </c>
      <c r="BX80" s="852" t="n">
        <v>5.29500342231348</v>
      </c>
      <c r="BY80" s="1099" t="n">
        <v>0</v>
      </c>
      <c r="BZ80" s="852" t="n">
        <v>0</v>
      </c>
      <c r="CA80" s="852" t="n">
        <v>0</v>
      </c>
      <c r="CB80" s="852" t="n">
        <v>0</v>
      </c>
      <c r="CC80" s="852" t="n">
        <v>0</v>
      </c>
      <c r="CD80" s="852" t="n">
        <v>0</v>
      </c>
      <c r="CE80" s="1100" t="n">
        <v>0</v>
      </c>
      <c r="CF80" s="852" t="n">
        <v>0</v>
      </c>
      <c r="CG80" s="852" t="n">
        <v>0</v>
      </c>
      <c r="CH80" s="852" t="n">
        <v>0</v>
      </c>
      <c r="CI80" s="852" t="n">
        <v>0</v>
      </c>
      <c r="CJ80" s="1101" t="n">
        <v>0</v>
      </c>
      <c r="CK80" s="852" t="n">
        <v>0</v>
      </c>
      <c r="CL80" s="852" t="n">
        <v>0</v>
      </c>
      <c r="CM80" s="852" t="n">
        <v>0</v>
      </c>
      <c r="CN80" s="852" t="n">
        <v>0</v>
      </c>
      <c r="CO80" s="852" t="n">
        <v>0</v>
      </c>
      <c r="CP80" s="852" t="n">
        <v>0</v>
      </c>
      <c r="CQ80" s="1102" t="n">
        <v>0</v>
      </c>
      <c r="CR80" s="1103" t="n">
        <v>0</v>
      </c>
      <c r="CS80" s="1103" t="n">
        <v>0</v>
      </c>
      <c r="CT80" s="1103" t="n">
        <v>0</v>
      </c>
      <c r="CU80" s="1103" t="n">
        <v>0</v>
      </c>
      <c r="CV80" s="1103" t="n">
        <v>0</v>
      </c>
      <c r="CW80" s="1103" t="n">
        <v>0</v>
      </c>
      <c r="CX80" s="1104" t="n">
        <v>0</v>
      </c>
      <c r="CY80" s="1105" t="n">
        <v>7738.49408</v>
      </c>
      <c r="CZ80" s="1099" t="n">
        <v>0</v>
      </c>
      <c r="DA80" s="852" t="n">
        <v>0</v>
      </c>
      <c r="DB80" s="852" t="n">
        <v>0</v>
      </c>
      <c r="DC80" s="852" t="n">
        <v>0</v>
      </c>
      <c r="DD80" s="852" t="n">
        <v>0</v>
      </c>
      <c r="DE80" s="1113" t="n">
        <v>0</v>
      </c>
      <c r="DF80" s="1109" t="n">
        <v>0</v>
      </c>
      <c r="DG80" s="1110" t="n">
        <v>0</v>
      </c>
      <c r="DH80" s="1111" t="n">
        <v>0</v>
      </c>
      <c r="DI80" s="1112" t="n">
        <v>0</v>
      </c>
      <c r="DJ80" s="1112" t="n">
        <v>0</v>
      </c>
      <c r="DK80" s="1112" t="n">
        <v>0</v>
      </c>
      <c r="DL80" s="1113" t="n">
        <v>0</v>
      </c>
      <c r="DM80" s="1114" t="n">
        <v>0</v>
      </c>
      <c r="DN80" s="1114" t="n">
        <v>0</v>
      </c>
      <c r="DO80" s="1114" t="n">
        <v>0</v>
      </c>
      <c r="DP80" s="1114" t="n">
        <v>0</v>
      </c>
      <c r="DQ80" s="1114" t="n">
        <v>0</v>
      </c>
      <c r="DR80" s="1109" t="n">
        <v>0</v>
      </c>
      <c r="DS80" s="852" t="n">
        <v>0</v>
      </c>
      <c r="DT80" s="852" t="n">
        <v>0</v>
      </c>
      <c r="DU80" s="852" t="n">
        <v>0</v>
      </c>
      <c r="DV80" s="852" t="n">
        <v>0</v>
      </c>
      <c r="DW80" s="852" t="n">
        <v>0</v>
      </c>
      <c r="DX80" s="852" t="n">
        <v>0</v>
      </c>
      <c r="DY80" s="852" t="n">
        <v>0</v>
      </c>
      <c r="DZ80" s="852" t="n">
        <v>0</v>
      </c>
      <c r="EA80" s="852" t="n">
        <v>0</v>
      </c>
      <c r="EB80" s="1113" t="n">
        <v>0</v>
      </c>
      <c r="EC80" s="1115" t="n">
        <f aca="false">DS80*BD80</f>
        <v>0</v>
      </c>
      <c r="ED80" s="1115" t="n">
        <f aca="false">DT80*BE80</f>
        <v>0</v>
      </c>
      <c r="EE80" s="1115" t="n">
        <f aca="false">DU80*BF80</f>
        <v>0</v>
      </c>
      <c r="EF80" s="1115" t="n">
        <f aca="false">DV80*BG80</f>
        <v>0</v>
      </c>
      <c r="EG80" s="1115" t="n">
        <f aca="false">DS80*BD80+DT80*BE80+DU80*BF80+DV80*BG80</f>
        <v>0</v>
      </c>
      <c r="EH80" s="1116" t="n">
        <v>0</v>
      </c>
      <c r="EI80" s="1117" t="n">
        <v>0</v>
      </c>
      <c r="EJ80" s="1117" t="n">
        <v>0</v>
      </c>
      <c r="EK80" s="1117" t="n">
        <v>0</v>
      </c>
      <c r="EL80" s="1118" t="n">
        <f aca="false">IF(C80&gt;=Summary!$E$26,MAX(0,SUM(EH80:EK80)),0)</f>
        <v>0</v>
      </c>
      <c r="EM80" s="1115" t="n">
        <f aca="false">IF(C80&gt;=Summary!$E$26,DX80*BL80,0)</f>
        <v>0</v>
      </c>
      <c r="EN80" s="1115" t="n">
        <f aca="false">IF(C80&gt;=Summary!$E$26,DY80*BM80,0)</f>
        <v>0</v>
      </c>
      <c r="EO80" s="1115" t="n">
        <f aca="false">IF(C80&gt;=Summary!$E$26,DZ80*BN80,0)</f>
        <v>0</v>
      </c>
      <c r="EP80" s="1115" t="n">
        <f aca="false">IF(C80&gt;=Summary!$E$26,EA80*BO80,0)</f>
        <v>0</v>
      </c>
      <c r="EQ80" s="1115" t="n">
        <f aca="false">IF(C80&gt;=Summary!$E$26,DX80*BL80+DY80*BM80+DZ80*BN80+EA80*BO80,0)</f>
        <v>0</v>
      </c>
      <c r="ER80" s="1119" t="n">
        <v>0</v>
      </c>
      <c r="ES80" s="1120" t="n">
        <v>0</v>
      </c>
      <c r="ET80" s="1120" t="n">
        <v>0</v>
      </c>
      <c r="EU80" s="1120" t="n">
        <v>0</v>
      </c>
      <c r="EV80" s="1143" t="n">
        <f aca="false">IF(C80&gt;=Summary!$E$26,MAX(0,SUM(ER80:EU80)),0)</f>
        <v>0</v>
      </c>
      <c r="EW80" s="1115"/>
      <c r="EX80" s="1165" t="n">
        <f aca="false">(EQ80-EV80)+IF(EZ80="Yes",(EG80-EL80),0)</f>
        <v>0</v>
      </c>
      <c r="EY80" s="1166" t="str">
        <f aca="false">IF(EX80,EX80/EQ80,"")</f>
        <v/>
      </c>
      <c r="EZ80" s="1122" t="s">
        <v>37</v>
      </c>
      <c r="FA80" s="1096" t="n">
        <f aca="false">FA79</f>
        <v>45</v>
      </c>
      <c r="FB80" s="1167" t="n">
        <f aca="false">IF(EZ80="No",IF((OR(MONTH(C80)=5,MONTH(C80)=6,MONTH(C80)=7,MONTH(C80)=8,MONTH(C80)=9)),$FA80*12*AX80*(1-$BC80),$FA80*10*AX80*(1-$BC80)),0)</f>
        <v>9308.25</v>
      </c>
      <c r="FC80" s="1129" t="n">
        <f aca="false">IF(EZ80="No",IF((OR(MONTH(C80)=5,MONTH(C80)=6,MONTH(C80)=7,MONTH(C80)=8,MONTH(C80)=9)),0,$FA80*3*AX80*(1-$BC80)),0)</f>
        <v>2792.475</v>
      </c>
      <c r="FD80" s="1129" t="n">
        <f aca="false">IF(EZ80="No",IF((OR(MONTH(C80)=5,MONTH(C80)=6,MONTH(C80)=7,MONTH(C80)=8,MONTH(C80)=9)),$FA80*12*AY80*(1-$BC80),$FA80*10*AY80*(1-$BC80)),0)</f>
        <v>2216.25</v>
      </c>
      <c r="FE80" s="1129" t="n">
        <f aca="false">IF(EZ80="No",IF((OR(MONTH(C80)=5,MONTH(C80)=6,MONTH(C80)=7,MONTH(C80)=8,MONTH(C80)=9)),0,$FA80*3*AY80*(1-$BC80)),0)</f>
        <v>664.875</v>
      </c>
      <c r="FF80" s="1129" t="n">
        <f aca="false">IF(EZ80="No",IF((OR(MONTH(C80)=5,MONTH(C80)=6,MONTH(C80)=7,MONTH(C80)=8,MONTH(C80)=9)),$FA80*12*(AZ80+BA80)*(1-$BC80),$FA80*10*(AZ80+BA80)*(1-$BC80)),0)</f>
        <v>1773</v>
      </c>
      <c r="FG80" s="1129" t="n">
        <f aca="false">IF(EZ80="No",IF((OR(MONTH(C80)=5,MONTH(C80)=6,MONTH(C80)=7,MONTH(C80)=8,MONTH(C80)=9)),0,$FA80*3*(AZ80+BA80)*(1-$BC80)),0)</f>
        <v>531.9</v>
      </c>
      <c r="FH80" s="1170" t="n">
        <f aca="false">IF(EZ80="No",IF((OR(MONTH(C80)=5,MONTH(C80)=6,MONTH(C80)=7,MONTH(C80)=8,MONTH(C80)=9)),Summary!$O$15*12*(AX80+AY80+AZ80+BA80)*(1-$BC80),Summary!$O$15*13*(AX80+AY80+AZ80+BA80)*(1-$BC80)+IF(Summary!$O$16="Yes",(CALC!FA80+Summary!$O$15)*6*(AX80+AY80+AZ80+BA80)*(1-$BC80),0)),0)</f>
        <v>0</v>
      </c>
      <c r="FI80" s="1126" t="n">
        <f aca="false">IF(MONTH(C80)=5,FI79*(IF(Summary!$E$70="no",(1+(Summary!$E$71*0.8)),1+HLOOKUP(YEAR(C80)-1,CCFMODEL!$I$127:$AF$128,2)*0.8)),+FI79)</f>
        <v>29.9518363804076</v>
      </c>
      <c r="FJ80" s="1127" t="n">
        <f aca="false">IF(MONTH(C80)=5,FJ79*(IF(Summary!$E$70="no",(1+(Summary!$E$71*0.8)),1+HLOOKUP(YEAR(CALC!C80)-1,CCFMODEL!$I$127:$AF$128,2)*0.8)),FJ79)</f>
        <v>26.1783766789389</v>
      </c>
      <c r="FK80" s="1128" t="n">
        <f aca="false">SUM(FB80:FG80)*FI80+FH80*FJ80</f>
        <v>517769.907549011</v>
      </c>
      <c r="FL80" s="1126" t="n">
        <f aca="false">IF(MONTH(C80)=5,FL79*(IF(Summary!$E$70="no",(1+(Summary!$E$71*0.8)),1+HLOOKUP(YEAR(CALC!C80)-1,CCFMODEL!$I$127:$AF$128,2)*0.8)),+FL79)</f>
        <v>62.9920698379101</v>
      </c>
      <c r="FM80" s="1127" t="n">
        <f aca="false">IF(MONTH(C80)=5,FM79*(IF(Summary!$E$70="no",(1+(Summary!$E$71*0.8)),1+HLOOKUP(YEAR(CALC!C80)-1,CCFMODEL!$I$127:$AF$128,2)*0.8)),+FM79)</f>
        <v>30.0641417286656</v>
      </c>
      <c r="FN80" s="1128" t="n">
        <f aca="false">IF((OR(MONTH(C80)=5,MONTH(C80)=6,MONTH(C80)=7,MONTH(C80)=8,MONTH(C80)=9)),SUM(FB80:FG80)/(1-BC80)*FL80,SUM(FB80:FG80)/(1-BC80)*FM80)</f>
        <v>527625.687338081</v>
      </c>
      <c r="FO80" s="1129" t="n">
        <f aca="false">FK80+FN80</f>
        <v>1045395.59488709</v>
      </c>
      <c r="FP80" s="1169" t="n">
        <f aca="false">FB80</f>
        <v>9308.25</v>
      </c>
      <c r="FQ80" s="1129" t="n">
        <f aca="false">FC80</f>
        <v>2792.475</v>
      </c>
      <c r="FR80" s="1129" t="n">
        <f aca="false">FD80</f>
        <v>2216.25</v>
      </c>
      <c r="FS80" s="1129" t="n">
        <f aca="false">FE80</f>
        <v>664.875</v>
      </c>
      <c r="FT80" s="1129" t="n">
        <f aca="false">FF80</f>
        <v>1773</v>
      </c>
      <c r="FU80" s="1129" t="n">
        <f aca="false">FG80</f>
        <v>531.9</v>
      </c>
      <c r="FV80" s="1170" t="n">
        <f aca="false">FH80</f>
        <v>0</v>
      </c>
      <c r="FW80" s="1115" t="n">
        <f aca="false">IF(ER80&gt;0,MIN(FB80-FP80,BL80),0)</f>
        <v>0</v>
      </c>
      <c r="FX80" s="1115" t="n">
        <f aca="false">IF(ES80&gt;0,MIN(FD80-FR80,BM80),0)</f>
        <v>0</v>
      </c>
      <c r="FY80" s="1115" t="n">
        <f aca="false">IF(ET80&gt;0,MIN(FF80-FT80,BN80),0)</f>
        <v>0</v>
      </c>
      <c r="FZ80" s="1143" t="n">
        <f aca="false">IF(EU80&gt;0,MIN(FH80-FV80,BO80),0)</f>
        <v>0</v>
      </c>
      <c r="GA80" s="1132" t="n">
        <f aca="false">(SUM(FP80:FV80)+SUM(GU80:HB80)/(1-Summary!$O$25))*CY80/1000</f>
        <v>228443.827563936</v>
      </c>
      <c r="GB80" s="1133" t="n">
        <f aca="false">IF($C80&lt;Summary!$M$81,+Summary!$O$81,VLOOKUP(C80,GasTable,19))</f>
        <v>2.4</v>
      </c>
      <c r="GC80" s="1134" t="n">
        <f aca="false">IF(H80&lt;=Summary!$N$84,MIN(GA80,Summary!$O$75*(H80-G80+1)),0)</f>
        <v>150000</v>
      </c>
      <c r="GD80" s="1135" t="n">
        <f aca="false">IF(Summary!$O$75*(H80-G80+1)*0.8&gt;GC80,1,0)</f>
        <v>0</v>
      </c>
      <c r="GE80" s="1136" t="n">
        <v>0</v>
      </c>
      <c r="GF80" s="1134" t="n">
        <f aca="false">ABS(MIN(0,GC80-$GA80))</f>
        <v>78443.827563936</v>
      </c>
      <c r="GG80" s="1135" t="n">
        <f aca="false">GF80*(IF(Summary!$O$74=1,VLOOKUP($C80,GasTable,16)+Summary!$O$92+Summary!$O$93,VLOOKUP($C80,GasTable,19)+Summary!$O$92+Summary!$O$93))</f>
        <v>206674.633625547</v>
      </c>
      <c r="GH80" s="1137" t="n">
        <v>17586</v>
      </c>
      <c r="GI80" s="1138" t="n">
        <v>0</v>
      </c>
      <c r="GJ80" s="1139" t="n">
        <f aca="false">+GB80*GC80+GE80+GG80+GH80-GI80</f>
        <v>584260.633625547</v>
      </c>
      <c r="GK80" s="1115" t="n">
        <f aca="false">SUM(FP80:FV80,GU80:GX80,GY80:HB80)</f>
        <v>29092.2705</v>
      </c>
      <c r="GL80" s="1140" t="n">
        <v>0.759920118656</v>
      </c>
      <c r="GM80" s="1141" t="n">
        <f aca="false">IF(GK80&gt;GC80/(CY80/1000),GC80/(CY80/1000),+GK80)*GL80</f>
        <v>14730</v>
      </c>
      <c r="GN80" s="1115" t="n">
        <f aca="false">IF(SUM(GU80:HB80)=0,0,IF(Summary!$O$16="Yes",SUM(GX80:HB80),IF(Summary!$O$17="Yes",SUM(GY80:HB80),SUM(GU80:HB80))))</f>
        <v>11805.5205</v>
      </c>
      <c r="GO80" s="1142" t="n">
        <v>2.7585222762878</v>
      </c>
      <c r="GP80" s="1143" t="n">
        <f aca="false">GN80*GO80</f>
        <v>32565.7912824223</v>
      </c>
      <c r="GQ80" s="1115"/>
      <c r="GR80" s="1115"/>
      <c r="GS80" s="1115"/>
      <c r="GT80" s="1115"/>
      <c r="GU80" s="1150" t="n">
        <v>5389.47675</v>
      </c>
      <c r="GV80" s="1115" t="n">
        <v>1283.20875</v>
      </c>
      <c r="GW80" s="1115" t="n">
        <v>1026.567</v>
      </c>
      <c r="GX80" s="1115"/>
      <c r="GY80" s="1151" t="n">
        <v>2874.3876</v>
      </c>
      <c r="GZ80" s="1115" t="n">
        <v>684.378</v>
      </c>
      <c r="HA80" s="1115" t="n">
        <v>547.5024</v>
      </c>
      <c r="HB80" s="1141"/>
      <c r="HC80" s="1115" t="n">
        <v>11805.5205</v>
      </c>
      <c r="HD80" s="1115"/>
      <c r="HE80" s="1115" t="n">
        <v>13858.6545</v>
      </c>
      <c r="HF80" s="1115" t="n">
        <v>345110.514586077</v>
      </c>
      <c r="HG80" s="1115"/>
      <c r="HH80" s="1142" t="n">
        <v>29.2329774520384</v>
      </c>
      <c r="HI80" s="1115" t="n">
        <v>405129.73451409</v>
      </c>
      <c r="HJ80" s="1150" t="n">
        <f aca="false">MAX(FB80-FP80-FW80,0)</f>
        <v>0</v>
      </c>
      <c r="HK80" s="1115" t="n">
        <f aca="false">MAX(FD80-FR80-FX80,0)</f>
        <v>0</v>
      </c>
      <c r="HL80" s="1115" t="n">
        <f aca="false">MAX(FF80-FT80-FY80,0)</f>
        <v>0</v>
      </c>
      <c r="HM80" s="1141" t="n">
        <f aca="false">MAX(FH80-FV80-FZ80,0)</f>
        <v>0</v>
      </c>
      <c r="HN80" s="1115" t="n">
        <f aca="false">SUM(HJ80:HM80)</f>
        <v>0</v>
      </c>
      <c r="HO80" s="1142" t="n">
        <f aca="false">IF(ISERROR(+HP80/HN80),0,+HP80/HN80)</f>
        <v>0</v>
      </c>
      <c r="HP80" s="1143" t="n">
        <f aca="false">(HJ80*CE80+HK80*CF80+HL80*CG80+HM80*CH80)</f>
        <v>0</v>
      </c>
      <c r="HQ80" s="909"/>
      <c r="HR80" s="987" t="s">
        <v>853</v>
      </c>
      <c r="HS80" s="988"/>
      <c r="HT80" s="988"/>
      <c r="HU80" s="988"/>
      <c r="HV80" s="988"/>
      <c r="HW80" s="988"/>
      <c r="HX80" s="988"/>
      <c r="HY80" s="989"/>
      <c r="HZ80" s="990" t="s">
        <v>854</v>
      </c>
      <c r="IA80" s="991"/>
      <c r="IB80" s="991"/>
      <c r="IC80" s="991"/>
      <c r="ID80" s="991"/>
      <c r="IE80" s="991"/>
      <c r="IF80" s="991"/>
      <c r="IG80" s="991"/>
      <c r="IH80" s="991"/>
      <c r="II80" s="988"/>
      <c r="IJ80" s="988"/>
      <c r="IK80" s="988"/>
      <c r="IL80" s="992" t="s">
        <v>855</v>
      </c>
      <c r="IM80" s="222"/>
      <c r="IN80" s="222"/>
      <c r="IR80" s="844"/>
    </row>
    <row r="81" customFormat="false" ht="13.5" hidden="false" customHeight="false" outlineLevel="0" collapsed="false">
      <c r="A81" s="0" t="str">
        <f aca="false">+D81&amp;"Q"&amp;ROUNDUP(E81/3,0)</f>
        <v>2005Q2</v>
      </c>
      <c r="B81" s="0" t="n">
        <f aca="false">YEAR(C81)</f>
        <v>2005</v>
      </c>
      <c r="C81" s="1153" t="n">
        <f aca="false">EOMONTH(C80,0)+1</f>
        <v>38473</v>
      </c>
      <c r="D81" s="841" t="n">
        <f aca="false">+YEAR(C81)</f>
        <v>2005</v>
      </c>
      <c r="E81" s="807" t="n">
        <f aca="false">MONTH(C81)</f>
        <v>5</v>
      </c>
      <c r="F81" s="1154" t="e">
        <f aca="false">IF(G81="","",Holiday(D81,E81))</f>
        <v>#VALUE!</v>
      </c>
      <c r="G81" s="1155" t="n">
        <v>38473</v>
      </c>
      <c r="H81" s="1156" t="n">
        <v>38503</v>
      </c>
      <c r="I81" s="1157" t="n">
        <f aca="false">I80</f>
        <v>0.0715</v>
      </c>
      <c r="J81" s="1158" t="n">
        <f aca="false">(1+I81/2)^(-2*(DATE(D82,E82,20)-$H$7)/365.25)</f>
        <v>0.678840179052859</v>
      </c>
      <c r="K81" s="1159" t="e">
        <f aca="false">IF(#REF!=1,+#REF!,I81+#REF!/10000)</f>
        <v>#REF!</v>
      </c>
      <c r="L81" s="1158" t="e">
        <f aca="false">(1+K81/2)^(-2*(DATE(D82,E82,20)-$H$7)/365.25)</f>
        <v>#REF!</v>
      </c>
      <c r="M81" s="1082" t="n">
        <v>0</v>
      </c>
      <c r="N81" s="1110" t="n">
        <f aca="false">M81</f>
        <v>0</v>
      </c>
      <c r="O81" s="1174" t="n">
        <f aca="false">N81</f>
        <v>0</v>
      </c>
      <c r="P81" s="1175" t="n">
        <f aca="false">M81</f>
        <v>0</v>
      </c>
      <c r="Q81" s="1110" t="n">
        <f aca="false">P81</f>
        <v>0</v>
      </c>
      <c r="R81" s="1174" t="n">
        <f aca="false">Q81</f>
        <v>0</v>
      </c>
      <c r="S81" s="1110" t="n">
        <f aca="false">R81</f>
        <v>0</v>
      </c>
      <c r="T81" s="1110" t="n">
        <f aca="false">S81</f>
        <v>0</v>
      </c>
      <c r="U81" s="1110" t="n">
        <f aca="false">T81</f>
        <v>0</v>
      </c>
      <c r="V81" s="1175" t="n">
        <f aca="false">U81</f>
        <v>0</v>
      </c>
      <c r="W81" s="1110" t="n">
        <f aca="false">V81</f>
        <v>0</v>
      </c>
      <c r="X81" s="1176" t="n">
        <f aca="false">W81</f>
        <v>0</v>
      </c>
      <c r="Y81" s="1086" t="n">
        <v>0</v>
      </c>
      <c r="Z81" s="1086" t="n">
        <v>0</v>
      </c>
      <c r="AA81" s="1087" t="n">
        <v>0</v>
      </c>
      <c r="AB81" s="1086" t="n">
        <v>0</v>
      </c>
      <c r="AC81" s="1086" t="n">
        <v>0</v>
      </c>
      <c r="AD81" s="1087" t="n">
        <v>0</v>
      </c>
      <c r="AE81" s="1086" t="n">
        <v>0</v>
      </c>
      <c r="AF81" s="1086" t="n">
        <v>0</v>
      </c>
      <c r="AG81" s="1087" t="n">
        <v>0</v>
      </c>
      <c r="AH81" s="1086" t="n">
        <v>0</v>
      </c>
      <c r="AI81" s="1086" t="n">
        <v>0</v>
      </c>
      <c r="AJ81" s="1087" t="n">
        <v>0</v>
      </c>
      <c r="AK81" s="1086" t="n">
        <v>0</v>
      </c>
      <c r="AL81" s="1086" t="n">
        <v>0</v>
      </c>
      <c r="AM81" s="1087" t="n">
        <v>0</v>
      </c>
      <c r="AN81" s="1086" t="n">
        <v>0</v>
      </c>
      <c r="AO81" s="1086" t="n">
        <v>0</v>
      </c>
      <c r="AP81" s="1087" t="n">
        <v>0</v>
      </c>
      <c r="AQ81" s="1086" t="n">
        <v>0</v>
      </c>
      <c r="AR81" s="1086" t="n">
        <v>0</v>
      </c>
      <c r="AS81" s="1087" t="n">
        <v>0</v>
      </c>
      <c r="AT81" s="1086" t="n">
        <v>0</v>
      </c>
      <c r="AU81" s="1086" t="n">
        <v>0</v>
      </c>
      <c r="AV81" s="1086" t="n">
        <v>0</v>
      </c>
      <c r="AW81" s="1172" t="n">
        <v>0</v>
      </c>
      <c r="AX81" s="807" t="e">
        <f aca="false">BB81-SUM(AY81:BA81)</f>
        <v>#VALUE!</v>
      </c>
      <c r="AY81" s="807" t="e">
        <f aca="false">IF(AND($E81=MONTH(Summary!$E$24),$D81=YEAR(Summary!$E$24)),Summary!$E$25,1)*IF(G81="",0,INT((H81-MOD(H81,7)-G81)/7)+1-IF(BA81,IF(WEEKDAY(F81)=7,1,0),0))</f>
        <v>#VALUE!</v>
      </c>
      <c r="AZ81" s="807" t="e">
        <f aca="false">IF(AND($E81=MONTH(Summary!$E$24),$D81=YEAR(Summary!$E$24)),Summary!$E$25,1)*IF(G81="",0,INT((H81-MOD(H81-1,7)-G81)/7)+1-IF(BA81,IF(WEEKDAY(F81)=1,1,0),0))</f>
        <v>#VALUE!</v>
      </c>
      <c r="BA81" s="807" t="n">
        <v>1</v>
      </c>
      <c r="BB81" s="807" t="n">
        <f aca="false">IF(AND($E81=MONTH(Summary!$E$24),$D81=YEAR(Summary!$E$24)),Summary!$E$25,1)*IF(G81="",0,H81-G81+1)</f>
        <v>31</v>
      </c>
      <c r="BC81" s="1089" t="n">
        <f aca="false">Summary!$E$19</f>
        <v>0.015</v>
      </c>
      <c r="BD81" s="1090" t="n">
        <v>14893.2</v>
      </c>
      <c r="BE81" s="1091" t="n">
        <v>2836.8</v>
      </c>
      <c r="BF81" s="1091" t="n">
        <v>4255.2</v>
      </c>
      <c r="BG81" s="842"/>
      <c r="BH81" s="1092" t="n">
        <v>1</v>
      </c>
      <c r="BI81" s="1092" t="n">
        <v>1</v>
      </c>
      <c r="BJ81" s="1092" t="n">
        <v>1</v>
      </c>
      <c r="BK81" s="1092" t="n">
        <v>1</v>
      </c>
      <c r="BL81" s="1093" t="n">
        <v>2978.64</v>
      </c>
      <c r="BM81" s="1091" t="n">
        <v>567.36</v>
      </c>
      <c r="BN81" s="1091" t="n">
        <v>851.04</v>
      </c>
      <c r="BO81" s="842"/>
      <c r="BP81" s="1092" t="n">
        <v>1</v>
      </c>
      <c r="BQ81" s="1094" t="n">
        <v>1</v>
      </c>
      <c r="BR81" s="1094" t="n">
        <v>1</v>
      </c>
      <c r="BS81" s="1095" t="n">
        <v>1</v>
      </c>
      <c r="BT81" s="1093" t="n">
        <f aca="false">SUM(BD81:BF81)</f>
        <v>21985.2</v>
      </c>
      <c r="BU81" s="1098" t="n">
        <f aca="false">SUM(BD81:BG81)</f>
        <v>21985.2</v>
      </c>
      <c r="BV81" s="1090" t="n">
        <f aca="false">SUM(BL81:BN81)</f>
        <v>4397.04</v>
      </c>
      <c r="BW81" s="1098" t="n">
        <f aca="false">SUM(BL81:BO81)</f>
        <v>4397.04</v>
      </c>
      <c r="BX81" s="852" t="n">
        <v>5.37713894592745</v>
      </c>
      <c r="BY81" s="1099" t="n">
        <v>0</v>
      </c>
      <c r="BZ81" s="852" t="n">
        <v>0</v>
      </c>
      <c r="CA81" s="852" t="n">
        <v>0</v>
      </c>
      <c r="CB81" s="852" t="n">
        <v>0</v>
      </c>
      <c r="CC81" s="852" t="n">
        <v>0</v>
      </c>
      <c r="CD81" s="852" t="n">
        <v>0</v>
      </c>
      <c r="CE81" s="1100" t="n">
        <v>0</v>
      </c>
      <c r="CF81" s="852" t="n">
        <v>0</v>
      </c>
      <c r="CG81" s="852" t="n">
        <v>0</v>
      </c>
      <c r="CH81" s="852" t="n">
        <v>0</v>
      </c>
      <c r="CI81" s="852" t="n">
        <v>0</v>
      </c>
      <c r="CJ81" s="1101" t="n">
        <v>0</v>
      </c>
      <c r="CK81" s="852" t="n">
        <v>0</v>
      </c>
      <c r="CL81" s="852" t="n">
        <v>0</v>
      </c>
      <c r="CM81" s="852" t="n">
        <v>0</v>
      </c>
      <c r="CN81" s="852" t="n">
        <v>0</v>
      </c>
      <c r="CO81" s="852" t="n">
        <v>0</v>
      </c>
      <c r="CP81" s="852" t="n">
        <v>0</v>
      </c>
      <c r="CQ81" s="1102" t="n">
        <v>0</v>
      </c>
      <c r="CR81" s="1103" t="n">
        <v>0</v>
      </c>
      <c r="CS81" s="1103" t="n">
        <v>0</v>
      </c>
      <c r="CT81" s="1103" t="n">
        <v>0</v>
      </c>
      <c r="CU81" s="1103" t="n">
        <v>0</v>
      </c>
      <c r="CV81" s="1103" t="n">
        <v>0</v>
      </c>
      <c r="CW81" s="1103" t="n">
        <v>0</v>
      </c>
      <c r="CX81" s="1104" t="n">
        <v>0</v>
      </c>
      <c r="CY81" s="1105" t="n">
        <v>7739.79696</v>
      </c>
      <c r="CZ81" s="1099" t="n">
        <v>0</v>
      </c>
      <c r="DA81" s="852" t="n">
        <v>0</v>
      </c>
      <c r="DB81" s="852" t="n">
        <v>0</v>
      </c>
      <c r="DC81" s="852" t="n">
        <v>0</v>
      </c>
      <c r="DD81" s="852" t="n">
        <v>0</v>
      </c>
      <c r="DE81" s="1113" t="n">
        <v>0</v>
      </c>
      <c r="DF81" s="1109" t="n">
        <v>0</v>
      </c>
      <c r="DG81" s="1110" t="n">
        <v>0</v>
      </c>
      <c r="DH81" s="1111" t="n">
        <v>0</v>
      </c>
      <c r="DI81" s="1112" t="n">
        <v>0</v>
      </c>
      <c r="DJ81" s="1112" t="n">
        <v>0</v>
      </c>
      <c r="DK81" s="1112" t="n">
        <v>0</v>
      </c>
      <c r="DL81" s="1113" t="n">
        <v>0</v>
      </c>
      <c r="DM81" s="1114" t="n">
        <v>0</v>
      </c>
      <c r="DN81" s="1114" t="n">
        <v>0</v>
      </c>
      <c r="DO81" s="1114" t="n">
        <v>0</v>
      </c>
      <c r="DP81" s="1114" t="n">
        <v>0</v>
      </c>
      <c r="DQ81" s="1114" t="n">
        <v>0</v>
      </c>
      <c r="DR81" s="1109" t="n">
        <v>0</v>
      </c>
      <c r="DS81" s="852" t="n">
        <v>0</v>
      </c>
      <c r="DT81" s="852" t="n">
        <v>0</v>
      </c>
      <c r="DU81" s="852" t="n">
        <v>0</v>
      </c>
      <c r="DV81" s="852" t="n">
        <v>0</v>
      </c>
      <c r="DW81" s="852" t="n">
        <v>0</v>
      </c>
      <c r="DX81" s="852" t="n">
        <v>0</v>
      </c>
      <c r="DY81" s="852" t="n">
        <v>0</v>
      </c>
      <c r="DZ81" s="852" t="n">
        <v>0</v>
      </c>
      <c r="EA81" s="852" t="n">
        <v>0</v>
      </c>
      <c r="EB81" s="1113" t="n">
        <v>0</v>
      </c>
      <c r="EC81" s="1115" t="n">
        <f aca="false">DS81*BD81</f>
        <v>0</v>
      </c>
      <c r="ED81" s="1115" t="n">
        <f aca="false">DT81*BE81</f>
        <v>0</v>
      </c>
      <c r="EE81" s="1115" t="n">
        <f aca="false">DU81*BF81</f>
        <v>0</v>
      </c>
      <c r="EF81" s="1115" t="n">
        <f aca="false">DV81*BG81</f>
        <v>0</v>
      </c>
      <c r="EG81" s="1115" t="n">
        <f aca="false">DS81*BD81+DT81*BE81+DU81*BF81+DV81*BG81</f>
        <v>0</v>
      </c>
      <c r="EH81" s="1116" t="n">
        <v>0</v>
      </c>
      <c r="EI81" s="1117" t="n">
        <v>0</v>
      </c>
      <c r="EJ81" s="1117" t="n">
        <v>0</v>
      </c>
      <c r="EK81" s="1117" t="n">
        <v>0</v>
      </c>
      <c r="EL81" s="1118" t="n">
        <f aca="false">IF(C81&gt;=Summary!$E$26,MAX(0,SUM(EH81:EK81)),0)</f>
        <v>0</v>
      </c>
      <c r="EM81" s="1115" t="n">
        <f aca="false">IF(C81&gt;=Summary!$E$26,DX81*BL81,0)</f>
        <v>0</v>
      </c>
      <c r="EN81" s="1115" t="n">
        <f aca="false">IF(C81&gt;=Summary!$E$26,DY81*BM81,0)</f>
        <v>0</v>
      </c>
      <c r="EO81" s="1115" t="n">
        <f aca="false">IF(C81&gt;=Summary!$E$26,DZ81*BN81,0)</f>
        <v>0</v>
      </c>
      <c r="EP81" s="1115" t="n">
        <f aca="false">IF(C81&gt;=Summary!$E$26,EA81*BO81,0)</f>
        <v>0</v>
      </c>
      <c r="EQ81" s="1115" t="n">
        <f aca="false">IF(C81&gt;=Summary!$E$26,DX81*BL81+DY81*BM81+DZ81*BN81+EA81*BO81,0)</f>
        <v>0</v>
      </c>
      <c r="ER81" s="1119" t="n">
        <v>0</v>
      </c>
      <c r="ES81" s="1120" t="n">
        <v>0</v>
      </c>
      <c r="ET81" s="1120" t="n">
        <v>0</v>
      </c>
      <c r="EU81" s="1120" t="n">
        <v>0</v>
      </c>
      <c r="EV81" s="1143" t="n">
        <f aca="false">IF(C81&gt;=Summary!$E$26,MAX(0,SUM(ER81:EU81)),0)</f>
        <v>0</v>
      </c>
      <c r="EW81" s="1115"/>
      <c r="EX81" s="1165" t="n">
        <f aca="false">(EQ81-EV81)+IF(EZ81="Yes",(EG81-EL81),0)</f>
        <v>0</v>
      </c>
      <c r="EY81" s="1166" t="str">
        <f aca="false">IF(EX81,EX81/EQ81,"")</f>
        <v/>
      </c>
      <c r="EZ81" s="1122" t="s">
        <v>37</v>
      </c>
      <c r="FA81" s="1096" t="n">
        <f aca="false">FA80</f>
        <v>45</v>
      </c>
      <c r="FB81" s="1167" t="e">
        <f aca="false">IF(EZ81="No",IF((OR(MONTH(C81)=5,MONTH(C81)=6,MONTH(C81)=7,MONTH(C81)=8,MONTH(C81)=9)),$FA81*12*AX81*(1-$BC81),$FA81*10*AX81*(1-$BC81)),0)</f>
        <v>#VALUE!</v>
      </c>
      <c r="FC81" s="1129" t="n">
        <f aca="false">IF(EZ81="No",IF((OR(MONTH(C81)=5,MONTH(C81)=6,MONTH(C81)=7,MONTH(C81)=8,MONTH(C81)=9)),0,$FA81*3*AX81*(1-$BC81)),0)</f>
        <v>0</v>
      </c>
      <c r="FD81" s="1129" t="e">
        <f aca="false">IF(EZ81="No",IF((OR(MONTH(C81)=5,MONTH(C81)=6,MONTH(C81)=7,MONTH(C81)=8,MONTH(C81)=9)),$FA81*12*AY81*(1-$BC81),$FA81*10*AY81*(1-$BC81)),0)</f>
        <v>#VALUE!</v>
      </c>
      <c r="FE81" s="1129" t="n">
        <f aca="false">IF(EZ81="No",IF((OR(MONTH(C81)=5,MONTH(C81)=6,MONTH(C81)=7,MONTH(C81)=8,MONTH(C81)=9)),0,$FA81*3*AY81*(1-$BC81)),0)</f>
        <v>0</v>
      </c>
      <c r="FF81" s="1129" t="e">
        <f aca="false">IF(EZ81="No",IF((OR(MONTH(C81)=5,MONTH(C81)=6,MONTH(C81)=7,MONTH(C81)=8,MONTH(C81)=9)),$FA81*12*(AZ81+BA81)*(1-$BC81),$FA81*10*(AZ81+BA81)*(1-$BC81)),0)</f>
        <v>#VALUE!</v>
      </c>
      <c r="FG81" s="1129" t="n">
        <f aca="false">IF(EZ81="No",IF((OR(MONTH(C81)=5,MONTH(C81)=6,MONTH(C81)=7,MONTH(C81)=8,MONTH(C81)=9)),0,$FA81*3*(AZ81+BA81)*(1-$BC81)),0)</f>
        <v>0</v>
      </c>
      <c r="FH81" s="1170" t="e">
        <f aca="false">IF(EZ81="No",IF((OR(MONTH(C81)=5,MONTH(C81)=6,MONTH(C81)=7,MONTH(C81)=8,MONTH(C81)=9)),Summary!$O$15*12*(AX81+AY81+AZ81+BA81)*(1-$BC81),Summary!$O$15*13*(AX81+AY81+AZ81+BA81)*(1-$BC81)+IF(Summary!$O$16="Yes",(CALC!FA81+Summary!$O$15)*6*(AX81+AY81+AZ81+BA81)*(1-$BC81),0)),0)</f>
        <v>#VALUE!</v>
      </c>
      <c r="FI81" s="1126" t="n">
        <f aca="false">IF(MONTH(C81)=5,FI80*(IF(Summary!$E$70="no",(1+(Summary!$E$71*0.8)),1+HLOOKUP(YEAR(C81)-1,CCFMODEL!$I$127:$AF$128,2)*0.8)),+FI80)</f>
        <v>30.6706804535374</v>
      </c>
      <c r="FJ81" s="1127" t="n">
        <f aca="false">IF(MONTH(C81)=5,FJ80*(IF(Summary!$E$70="no",(1+(Summary!$E$71*0.8)),1+HLOOKUP(YEAR(CALC!C81)-1,CCFMODEL!$I$127:$AF$128,2)*0.8)),FJ80)</f>
        <v>26.8066577192335</v>
      </c>
      <c r="FK81" s="1128" t="e">
        <f aca="false">SUM(FB81:FG81)*FI81+FH81*FJ81</f>
        <v>#VALUE!</v>
      </c>
      <c r="FL81" s="1126" t="n">
        <f aca="false">IF(MONTH(C81)=5,FL80*(IF(Summary!$E$70="no",(1+(Summary!$E$71*0.8)),1+HLOOKUP(YEAR(CALC!C81)-1,CCFMODEL!$I$127:$AF$128,2)*0.8)),+FL80)</f>
        <v>64.50387951402</v>
      </c>
      <c r="FM81" s="1127" t="n">
        <f aca="false">IF(MONTH(C81)=5,FM80*(IF(Summary!$E$70="no",(1+(Summary!$E$71*0.8)),1+HLOOKUP(YEAR(CALC!C81)-1,CCFMODEL!$I$127:$AF$128,2)*0.8)),+FM80)</f>
        <v>30.7856811301536</v>
      </c>
      <c r="FN81" s="1128" t="e">
        <f aca="false">IF((OR(MONTH(C81)=5,MONTH(C81)=6,MONTH(C81)=7,MONTH(C81)=8,MONTH(C81)=9)),SUM(FB81:FG81)/(1-BC81)*FL81,SUM(FB81:FG81)/(1-BC81)*FM81)</f>
        <v>#VALUE!</v>
      </c>
      <c r="FO81" s="1129" t="e">
        <f aca="false">FK81+FN81</f>
        <v>#VALUE!</v>
      </c>
      <c r="FP81" s="1169" t="e">
        <f aca="false">FB81</f>
        <v>#VALUE!</v>
      </c>
      <c r="FQ81" s="1129" t="n">
        <f aca="false">FC81</f>
        <v>0</v>
      </c>
      <c r="FR81" s="1129" t="e">
        <f aca="false">FD81</f>
        <v>#VALUE!</v>
      </c>
      <c r="FS81" s="1129" t="n">
        <f aca="false">FE81</f>
        <v>0</v>
      </c>
      <c r="FT81" s="1129" t="e">
        <f aca="false">FF81</f>
        <v>#VALUE!</v>
      </c>
      <c r="FU81" s="1129" t="n">
        <f aca="false">FG81</f>
        <v>0</v>
      </c>
      <c r="FV81" s="1170" t="e">
        <f aca="false">FH81</f>
        <v>#VALUE!</v>
      </c>
      <c r="FW81" s="1115" t="n">
        <f aca="false">IF(ER81&gt;0,MIN(FB81-FP81,BL81),0)</f>
        <v>0</v>
      </c>
      <c r="FX81" s="1115" t="n">
        <f aca="false">IF(ES81&gt;0,MIN(FD81-FR81,BM81),0)</f>
        <v>0</v>
      </c>
      <c r="FY81" s="1115" t="n">
        <f aca="false">IF(ET81&gt;0,MIN(FF81-FT81,BN81),0)</f>
        <v>0</v>
      </c>
      <c r="FZ81" s="1143" t="n">
        <f aca="false">IF(EU81&gt;0,MIN(FH81-FV81,BO81),0)</f>
        <v>0</v>
      </c>
      <c r="GA81" s="1132" t="e">
        <f aca="false">(SUM(FP81:FV81)+SUM(GU81:HB81)/(1-Summary!$O$25))*CY81/1000</f>
        <v>#VALUE!</v>
      </c>
      <c r="GB81" s="1133" t="n">
        <f aca="false">IF($C81&lt;Summary!$M$81,+Summary!$O$81,VLOOKUP(C81,GasTable,19))</f>
        <v>2.4</v>
      </c>
      <c r="GC81" s="1134" t="e">
        <f aca="false">IF(H81&lt;=Summary!$N$84,MIN(GA81,Summary!$O$75*(H81-G81+1)),0)</f>
        <v>#VALUE!</v>
      </c>
      <c r="GD81" s="1135" t="e">
        <f aca="false">IF(Summary!$O$75*(H81-G81+1)*0.8&gt;GC81,1,0)</f>
        <v>#VALUE!</v>
      </c>
      <c r="GE81" s="1136" t="n">
        <v>0</v>
      </c>
      <c r="GF81" s="1134" t="e">
        <f aca="false">ABS(MIN(0,GC81-$GA81))</f>
        <v>#VALUE!</v>
      </c>
      <c r="GG81" s="1135" t="e">
        <f aca="false">GF81*(IF(Summary!$O$74=1,VLOOKUP($C81,GasTable,16)+Summary!$O$92+Summary!$O$93,VLOOKUP($C81,GasTable,19)+Summary!$O$92+Summary!$O$93))</f>
        <v>#VALUE!</v>
      </c>
      <c r="GH81" s="1137" t="n">
        <v>18091.6</v>
      </c>
      <c r="GI81" s="1138" t="n">
        <v>0</v>
      </c>
      <c r="GJ81" s="1139" t="e">
        <f aca="false">+GB81*GC81+GE81+GG81+GH81-GI81</f>
        <v>#VALUE!</v>
      </c>
      <c r="GK81" s="1115" t="e">
        <f aca="false">SUM(FP81:FV81,GU81:GX81,GY81:HB81)</f>
        <v>#VALUE!</v>
      </c>
      <c r="GL81" s="1140" t="n">
        <v>0.760048061472</v>
      </c>
      <c r="GM81" s="1141" t="e">
        <f aca="false">IF(GK81&gt;GC81/(CY81/1000),GC81/(CY81/1000),+GK81)*GL81</f>
        <v>#VALUE!</v>
      </c>
      <c r="GN81" s="1115" t="n">
        <f aca="false">IF(SUM(GU81:HB81)=0,0,IF(Summary!$O$16="Yes",SUM(GX81:HB81),IF(Summary!$O$17="Yes",SUM(GY81:HB81),SUM(GU81:HB81))))</f>
        <v>9547.0731</v>
      </c>
      <c r="GO81" s="1142" t="n">
        <v>2.7585222762878</v>
      </c>
      <c r="GP81" s="1143" t="n">
        <f aca="false">GN81*GO81</f>
        <v>26335.813819698</v>
      </c>
      <c r="GQ81" s="1115"/>
      <c r="GR81" s="1115"/>
      <c r="GS81" s="1115"/>
      <c r="GT81" s="1115"/>
      <c r="GU81" s="1150" t="n">
        <v>3592.9845</v>
      </c>
      <c r="GV81" s="1115" t="n">
        <v>684.378</v>
      </c>
      <c r="GW81" s="1115" t="n">
        <v>1026.567</v>
      </c>
      <c r="GX81" s="1115"/>
      <c r="GY81" s="1151" t="n">
        <v>2874.3876</v>
      </c>
      <c r="GZ81" s="1115" t="n">
        <v>547.5024</v>
      </c>
      <c r="HA81" s="1115" t="n">
        <v>821.2536</v>
      </c>
      <c r="HB81" s="1141"/>
      <c r="HC81" s="1115" t="n">
        <v>9547.0731</v>
      </c>
      <c r="HD81" s="1115"/>
      <c r="HE81" s="1115" t="n">
        <v>22276.5039</v>
      </c>
      <c r="HF81" s="1115" t="n">
        <v>277026.036523934</v>
      </c>
      <c r="HG81" s="1115"/>
      <c r="HH81" s="1142" t="n">
        <v>29.3997214693298</v>
      </c>
      <c r="HI81" s="1115" t="n">
        <v>654923.009970438</v>
      </c>
      <c r="HJ81" s="1150" t="e">
        <f aca="false">MAX(FB81-FP81-FW81,0)</f>
        <v>#VALUE!</v>
      </c>
      <c r="HK81" s="1115" t="e">
        <f aca="false">MAX(FD81-FR81-FX81,0)</f>
        <v>#VALUE!</v>
      </c>
      <c r="HL81" s="1115" t="e">
        <f aca="false">MAX(FF81-FT81-FY81,0)</f>
        <v>#VALUE!</v>
      </c>
      <c r="HM81" s="1141" t="e">
        <f aca="false">MAX(FH81-FV81-FZ81,0)</f>
        <v>#VALUE!</v>
      </c>
      <c r="HN81" s="1115" t="e">
        <f aca="false">SUM(HJ81:HM81)</f>
        <v>#VALUE!</v>
      </c>
      <c r="HO81" s="1142" t="n">
        <f aca="false">IF(ISERROR(+HP81/HN81),0,+HP81/HN81)</f>
        <v>0</v>
      </c>
      <c r="HP81" s="1143" t="e">
        <f aca="false">(HJ81*CE81+HK81*CF81+HL81*CG81+HM81*CH81)</f>
        <v>#VALUE!</v>
      </c>
      <c r="HQ81" s="909"/>
      <c r="HR81" s="1003"/>
      <c r="HS81" s="1004"/>
      <c r="HT81" s="1005"/>
      <c r="HU81" s="1004"/>
      <c r="HV81" s="1004"/>
      <c r="HW81" s="1006"/>
      <c r="HX81" s="1007"/>
      <c r="HY81" s="1008"/>
      <c r="HZ81" s="1009" t="s">
        <v>884</v>
      </c>
      <c r="IA81" s="983"/>
      <c r="IB81" s="983"/>
      <c r="IC81" s="983"/>
      <c r="ID81" s="983"/>
      <c r="IE81" s="983"/>
      <c r="IF81" s="983"/>
      <c r="IG81" s="983"/>
      <c r="IH81" s="984"/>
      <c r="II81" s="1011" t="s">
        <v>886</v>
      </c>
      <c r="IJ81" s="991"/>
      <c r="IK81" s="991"/>
      <c r="IL81" s="1012"/>
      <c r="IM81" s="1191" t="s">
        <v>920</v>
      </c>
      <c r="IN81" s="1122" t="s">
        <v>906</v>
      </c>
      <c r="IO81" s="1122"/>
      <c r="IP81" s="1122"/>
      <c r="IQ81" s="1122"/>
      <c r="IR81" s="844"/>
    </row>
    <row r="82" customFormat="false" ht="13.5" hidden="false" customHeight="false" outlineLevel="0" collapsed="false">
      <c r="A82" s="0" t="str">
        <f aca="false">+D82&amp;"Q"&amp;ROUNDUP(E82/3,0)</f>
        <v>2005Q2</v>
      </c>
      <c r="B82" s="0" t="n">
        <f aca="false">YEAR(C82)</f>
        <v>2005</v>
      </c>
      <c r="C82" s="1153" t="n">
        <f aca="false">EOMONTH(C81,0)+1</f>
        <v>38504</v>
      </c>
      <c r="D82" s="841" t="n">
        <f aca="false">+YEAR(C82)</f>
        <v>2005</v>
      </c>
      <c r="E82" s="807" t="n">
        <f aca="false">MONTH(C82)</f>
        <v>6</v>
      </c>
      <c r="F82" s="1154" t="e">
        <f aca="false">IF(G82="","",Holiday(D82,E82))</f>
        <v>#VALUE!</v>
      </c>
      <c r="G82" s="1155" t="n">
        <v>38504</v>
      </c>
      <c r="H82" s="1156" t="n">
        <v>38533</v>
      </c>
      <c r="I82" s="1157" t="n">
        <f aca="false">I81</f>
        <v>0.0715</v>
      </c>
      <c r="J82" s="1158" t="n">
        <f aca="false">(1+I82/2)^(-2*(DATE(D83,E83,20)-$H$7)/365.25)</f>
        <v>0.674934447020138</v>
      </c>
      <c r="K82" s="1159"/>
      <c r="L82" s="1158"/>
      <c r="M82" s="1082" t="n">
        <v>0</v>
      </c>
      <c r="N82" s="1110" t="n">
        <f aca="false">M82</f>
        <v>0</v>
      </c>
      <c r="O82" s="1174" t="n">
        <f aca="false">N82</f>
        <v>0</v>
      </c>
      <c r="P82" s="1175" t="n">
        <f aca="false">M82</f>
        <v>0</v>
      </c>
      <c r="Q82" s="1110" t="n">
        <f aca="false">P82</f>
        <v>0</v>
      </c>
      <c r="R82" s="1174" t="n">
        <f aca="false">Q82</f>
        <v>0</v>
      </c>
      <c r="S82" s="1110" t="n">
        <f aca="false">R82</f>
        <v>0</v>
      </c>
      <c r="T82" s="1110" t="n">
        <f aca="false">S82</f>
        <v>0</v>
      </c>
      <c r="U82" s="1110" t="n">
        <f aca="false">T82</f>
        <v>0</v>
      </c>
      <c r="V82" s="1175" t="n">
        <f aca="false">U82</f>
        <v>0</v>
      </c>
      <c r="W82" s="1110" t="n">
        <f aca="false">V82</f>
        <v>0</v>
      </c>
      <c r="X82" s="1176" t="n">
        <f aca="false">W82</f>
        <v>0</v>
      </c>
      <c r="Y82" s="1086" t="n">
        <v>0</v>
      </c>
      <c r="Z82" s="1086" t="n">
        <v>0</v>
      </c>
      <c r="AA82" s="1087" t="n">
        <v>0</v>
      </c>
      <c r="AB82" s="1086" t="n">
        <v>0</v>
      </c>
      <c r="AC82" s="1086" t="n">
        <v>0</v>
      </c>
      <c r="AD82" s="1087" t="n">
        <v>0</v>
      </c>
      <c r="AE82" s="1086" t="n">
        <v>0</v>
      </c>
      <c r="AF82" s="1086" t="n">
        <v>0</v>
      </c>
      <c r="AG82" s="1087" t="n">
        <v>0</v>
      </c>
      <c r="AH82" s="1086" t="n">
        <v>0</v>
      </c>
      <c r="AI82" s="1086" t="n">
        <v>0</v>
      </c>
      <c r="AJ82" s="1087" t="n">
        <v>0</v>
      </c>
      <c r="AK82" s="1086" t="n">
        <v>0</v>
      </c>
      <c r="AL82" s="1086" t="n">
        <v>0</v>
      </c>
      <c r="AM82" s="1087" t="n">
        <v>0</v>
      </c>
      <c r="AN82" s="1086" t="n">
        <v>0</v>
      </c>
      <c r="AO82" s="1086" t="n">
        <v>0</v>
      </c>
      <c r="AP82" s="1087" t="n">
        <v>0</v>
      </c>
      <c r="AQ82" s="1086" t="n">
        <v>0</v>
      </c>
      <c r="AR82" s="1086" t="n">
        <v>0</v>
      </c>
      <c r="AS82" s="1087" t="n">
        <v>0</v>
      </c>
      <c r="AT82" s="1086" t="n">
        <v>0</v>
      </c>
      <c r="AU82" s="1086" t="n">
        <v>0</v>
      </c>
      <c r="AV82" s="1086" t="n">
        <v>0</v>
      </c>
      <c r="AW82" s="1172" t="n">
        <v>0</v>
      </c>
      <c r="AX82" s="807" t="n">
        <f aca="false">BB82-SUM(AY82:BA82)</f>
        <v>22</v>
      </c>
      <c r="AY82" s="807" t="n">
        <f aca="false">IF(AND($E82=MONTH(Summary!$E$24),$D82=YEAR(Summary!$E$24)),Summary!$E$25,1)*IF(G82="",0,INT((H82-MOD(H82,7)-G82)/7)+1-IF(BA82,IF(WEEKDAY(F82)=7,1,0),0))</f>
        <v>4</v>
      </c>
      <c r="AZ82" s="807" t="n">
        <f aca="false">IF(AND($E82=MONTH(Summary!$E$24),$D82=YEAR(Summary!$E$24)),Summary!$E$25,1)*IF(G82="",0,INT((H82-MOD(H82-1,7)-G82)/7)+1-IF(BA82,IF(WEEKDAY(F82)=1,1,0),0))</f>
        <v>4</v>
      </c>
      <c r="BA82" s="807" t="n">
        <v>0</v>
      </c>
      <c r="BB82" s="807" t="n">
        <f aca="false">IF(AND($E82=MONTH(Summary!$E$24),$D82=YEAR(Summary!$E$24)),Summary!$E$25,1)*IF(G82="",0,H82-G82+1)</f>
        <v>30</v>
      </c>
      <c r="BC82" s="1089" t="n">
        <f aca="false">Summary!$E$19</f>
        <v>0.015</v>
      </c>
      <c r="BD82" s="1090" t="n">
        <v>15602.4</v>
      </c>
      <c r="BE82" s="1091" t="n">
        <v>2836.8</v>
      </c>
      <c r="BF82" s="1091" t="n">
        <v>2836.8</v>
      </c>
      <c r="BG82" s="842"/>
      <c r="BH82" s="1092" t="n">
        <v>1</v>
      </c>
      <c r="BI82" s="1092" t="n">
        <v>1</v>
      </c>
      <c r="BJ82" s="1092" t="n">
        <v>1</v>
      </c>
      <c r="BK82" s="1092" t="n">
        <v>1</v>
      </c>
      <c r="BL82" s="1093" t="n">
        <v>3120.48</v>
      </c>
      <c r="BM82" s="1091" t="n">
        <v>567.36</v>
      </c>
      <c r="BN82" s="1091" t="n">
        <v>567.36</v>
      </c>
      <c r="BO82" s="842"/>
      <c r="BP82" s="1092" t="n">
        <v>1</v>
      </c>
      <c r="BQ82" s="1094" t="n">
        <v>1</v>
      </c>
      <c r="BR82" s="1094" t="n">
        <v>1</v>
      </c>
      <c r="BS82" s="1095" t="n">
        <v>1</v>
      </c>
      <c r="BT82" s="1093" t="n">
        <f aca="false">SUM(BD82:BF82)</f>
        <v>21276</v>
      </c>
      <c r="BU82" s="1098" t="n">
        <f aca="false">SUM(BD82:BG82)</f>
        <v>21276</v>
      </c>
      <c r="BV82" s="1090" t="n">
        <f aca="false">SUM(BL82:BN82)</f>
        <v>4255.2</v>
      </c>
      <c r="BW82" s="1098" t="n">
        <f aca="false">SUM(BL82:BO82)</f>
        <v>4255.2</v>
      </c>
      <c r="BX82" s="852" t="n">
        <v>5.46201232032854</v>
      </c>
      <c r="BY82" s="1099" t="n">
        <v>0</v>
      </c>
      <c r="BZ82" s="852" t="n">
        <v>0</v>
      </c>
      <c r="CA82" s="852" t="n">
        <v>0</v>
      </c>
      <c r="CB82" s="852" t="n">
        <v>0</v>
      </c>
      <c r="CC82" s="852" t="n">
        <v>0</v>
      </c>
      <c r="CD82" s="852" t="n">
        <v>0</v>
      </c>
      <c r="CE82" s="1100" t="n">
        <v>0</v>
      </c>
      <c r="CF82" s="852" t="n">
        <v>0</v>
      </c>
      <c r="CG82" s="852" t="n">
        <v>0</v>
      </c>
      <c r="CH82" s="852" t="n">
        <v>0</v>
      </c>
      <c r="CI82" s="852" t="n">
        <v>0</v>
      </c>
      <c r="CJ82" s="1101" t="n">
        <v>0</v>
      </c>
      <c r="CK82" s="852" t="n">
        <v>0</v>
      </c>
      <c r="CL82" s="852" t="n">
        <v>0</v>
      </c>
      <c r="CM82" s="852" t="n">
        <v>0</v>
      </c>
      <c r="CN82" s="852" t="n">
        <v>0</v>
      </c>
      <c r="CO82" s="852" t="n">
        <v>0</v>
      </c>
      <c r="CP82" s="852" t="n">
        <v>0</v>
      </c>
      <c r="CQ82" s="1102" t="n">
        <v>0</v>
      </c>
      <c r="CR82" s="1103" t="n">
        <v>0</v>
      </c>
      <c r="CS82" s="1103" t="n">
        <v>0</v>
      </c>
      <c r="CT82" s="1103" t="n">
        <v>0</v>
      </c>
      <c r="CU82" s="1103" t="n">
        <v>0</v>
      </c>
      <c r="CV82" s="1103" t="n">
        <v>0</v>
      </c>
      <c r="CW82" s="1103" t="n">
        <v>0</v>
      </c>
      <c r="CX82" s="1104" t="n">
        <v>0</v>
      </c>
      <c r="CY82" s="1105" t="n">
        <v>7741.09984</v>
      </c>
      <c r="CZ82" s="1099" t="n">
        <v>0</v>
      </c>
      <c r="DA82" s="852" t="n">
        <v>0</v>
      </c>
      <c r="DB82" s="852" t="n">
        <v>0</v>
      </c>
      <c r="DC82" s="852" t="n">
        <v>0</v>
      </c>
      <c r="DD82" s="852" t="n">
        <v>0</v>
      </c>
      <c r="DE82" s="1113" t="n">
        <v>0</v>
      </c>
      <c r="DF82" s="1109" t="n">
        <v>0</v>
      </c>
      <c r="DG82" s="1110" t="n">
        <v>0</v>
      </c>
      <c r="DH82" s="1111" t="n">
        <v>0</v>
      </c>
      <c r="DI82" s="1112" t="n">
        <v>0</v>
      </c>
      <c r="DJ82" s="1112" t="n">
        <v>0</v>
      </c>
      <c r="DK82" s="1112" t="n">
        <v>0</v>
      </c>
      <c r="DL82" s="1113" t="n">
        <v>0</v>
      </c>
      <c r="DM82" s="1114" t="n">
        <v>0</v>
      </c>
      <c r="DN82" s="1114" t="n">
        <v>0</v>
      </c>
      <c r="DO82" s="1114" t="n">
        <v>0</v>
      </c>
      <c r="DP82" s="1114" t="n">
        <v>0</v>
      </c>
      <c r="DQ82" s="1114" t="n">
        <v>0</v>
      </c>
      <c r="DR82" s="1109" t="n">
        <v>0</v>
      </c>
      <c r="DS82" s="852" t="n">
        <v>0</v>
      </c>
      <c r="DT82" s="852" t="n">
        <v>0</v>
      </c>
      <c r="DU82" s="852" t="n">
        <v>0</v>
      </c>
      <c r="DV82" s="852" t="n">
        <v>0</v>
      </c>
      <c r="DW82" s="852" t="n">
        <v>0</v>
      </c>
      <c r="DX82" s="852" t="n">
        <v>0</v>
      </c>
      <c r="DY82" s="852" t="n">
        <v>0</v>
      </c>
      <c r="DZ82" s="852" t="n">
        <v>0</v>
      </c>
      <c r="EA82" s="852" t="n">
        <v>0</v>
      </c>
      <c r="EB82" s="1113" t="n">
        <v>0</v>
      </c>
      <c r="EC82" s="1115" t="n">
        <f aca="false">DS82*BD82</f>
        <v>0</v>
      </c>
      <c r="ED82" s="1115" t="n">
        <f aca="false">DT82*BE82</f>
        <v>0</v>
      </c>
      <c r="EE82" s="1115" t="n">
        <f aca="false">DU82*BF82</f>
        <v>0</v>
      </c>
      <c r="EF82" s="1115" t="n">
        <f aca="false">DV82*BG82</f>
        <v>0</v>
      </c>
      <c r="EG82" s="1115" t="n">
        <f aca="false">DS82*BD82+DT82*BE82+DU82*BF82+DV82*BG82</f>
        <v>0</v>
      </c>
      <c r="EH82" s="1116" t="n">
        <v>0</v>
      </c>
      <c r="EI82" s="1117" t="n">
        <v>0</v>
      </c>
      <c r="EJ82" s="1117" t="n">
        <v>0</v>
      </c>
      <c r="EK82" s="1117" t="n">
        <v>0</v>
      </c>
      <c r="EL82" s="1118" t="n">
        <f aca="false">IF(C82&gt;=Summary!$E$26,MAX(0,SUM(EH82:EK82)),0)</f>
        <v>0</v>
      </c>
      <c r="EM82" s="1115" t="n">
        <f aca="false">IF(C82&gt;=Summary!$E$26,DX82*BL82,0)</f>
        <v>0</v>
      </c>
      <c r="EN82" s="1115" t="n">
        <f aca="false">IF(C82&gt;=Summary!$E$26,DY82*BM82,0)</f>
        <v>0</v>
      </c>
      <c r="EO82" s="1115" t="n">
        <f aca="false">IF(C82&gt;=Summary!$E$26,DZ82*BN82,0)</f>
        <v>0</v>
      </c>
      <c r="EP82" s="1115" t="n">
        <f aca="false">IF(C82&gt;=Summary!$E$26,EA82*BO82,0)</f>
        <v>0</v>
      </c>
      <c r="EQ82" s="1115" t="n">
        <f aca="false">IF(C82&gt;=Summary!$E$26,DX82*BL82+DY82*BM82+DZ82*BN82+EA82*BO82,0)</f>
        <v>0</v>
      </c>
      <c r="ER82" s="1119" t="n">
        <v>0</v>
      </c>
      <c r="ES82" s="1120" t="n">
        <v>0</v>
      </c>
      <c r="ET82" s="1120" t="n">
        <v>0</v>
      </c>
      <c r="EU82" s="1120" t="n">
        <v>0</v>
      </c>
      <c r="EV82" s="1143" t="n">
        <f aca="false">IF(C82&gt;=Summary!$E$26,MAX(0,SUM(ER82:EU82)),0)</f>
        <v>0</v>
      </c>
      <c r="EW82" s="1115"/>
      <c r="EX82" s="1165" t="n">
        <f aca="false">(EQ82-EV82)+IF(EZ82="Yes",(EG82-EL82),0)</f>
        <v>0</v>
      </c>
      <c r="EY82" s="1166" t="str">
        <f aca="false">IF(EX82,EX82/EQ82,"")</f>
        <v/>
      </c>
      <c r="EZ82" s="1122" t="s">
        <v>37</v>
      </c>
      <c r="FA82" s="1096" t="n">
        <f aca="false">FA81</f>
        <v>45</v>
      </c>
      <c r="FB82" s="1167" t="n">
        <f aca="false">IF(EZ82="No",IF((OR(MONTH(C82)=5,MONTH(C82)=6,MONTH(C82)=7,MONTH(C82)=8,MONTH(C82)=9)),$FA82*12*AX82*(1-$BC82),$FA82*10*AX82*(1-$BC82)),0)</f>
        <v>11701.8</v>
      </c>
      <c r="FC82" s="1129" t="n">
        <f aca="false">IF(EZ82="No",IF((OR(MONTH(C82)=5,MONTH(C82)=6,MONTH(C82)=7,MONTH(C82)=8,MONTH(C82)=9)),0,$FA82*3*AX82*(1-$BC82)),0)</f>
        <v>0</v>
      </c>
      <c r="FD82" s="1129" t="n">
        <f aca="false">IF(EZ82="No",IF((OR(MONTH(C82)=5,MONTH(C82)=6,MONTH(C82)=7,MONTH(C82)=8,MONTH(C82)=9)),$FA82*12*AY82*(1-$BC82),$FA82*10*AY82*(1-$BC82)),0)</f>
        <v>2127.6</v>
      </c>
      <c r="FE82" s="1129" t="n">
        <f aca="false">IF(EZ82="No",IF((OR(MONTH(C82)=5,MONTH(C82)=6,MONTH(C82)=7,MONTH(C82)=8,MONTH(C82)=9)),0,$FA82*3*AY82*(1-$BC82)),0)</f>
        <v>0</v>
      </c>
      <c r="FF82" s="1129" t="n">
        <f aca="false">IF(EZ82="No",IF((OR(MONTH(C82)=5,MONTH(C82)=6,MONTH(C82)=7,MONTH(C82)=8,MONTH(C82)=9)),$FA82*12*(AZ82+BA82)*(1-$BC82),$FA82*10*(AZ82+BA82)*(1-$BC82)),0)</f>
        <v>2127.6</v>
      </c>
      <c r="FG82" s="1129" t="n">
        <f aca="false">IF(EZ82="No",IF((OR(MONTH(C82)=5,MONTH(C82)=6,MONTH(C82)=7,MONTH(C82)=8,MONTH(C82)=9)),0,$FA82*3*(AZ82+BA82)*(1-$BC82)),0)</f>
        <v>0</v>
      </c>
      <c r="FH82" s="1170" t="n">
        <f aca="false">IF(EZ82="No",IF((OR(MONTH(C82)=5,MONTH(C82)=6,MONTH(C82)=7,MONTH(C82)=8,MONTH(C82)=9)),Summary!$O$15*12*(AX82+AY82+AZ82+BA82)*(1-$BC82),Summary!$O$15*13*(AX82+AY82+AZ82+BA82)*(1-$BC82)+IF(Summary!$O$16="Yes",(CALC!FA82+Summary!$O$15)*6*(AX82+AY82+AZ82+BA82)*(1-$BC82),0)),0)</f>
        <v>0</v>
      </c>
      <c r="FI82" s="1126" t="n">
        <f aca="false">IF(MONTH(C82)=5,FI81*(IF(Summary!$E$70="no",(1+(Summary!$E$71*0.8)),1+HLOOKUP(YEAR(C82)-1,CCFMODEL!$I$127:$AF$128,2)*0.8)),+FI81)</f>
        <v>30.6706804535374</v>
      </c>
      <c r="FJ82" s="1127" t="n">
        <f aca="false">IF(MONTH(C82)=5,FJ81*(IF(Summary!$E$70="no",(1+(Summary!$E$71*0.8)),1+HLOOKUP(YEAR(CALC!C82)-1,CCFMODEL!$I$127:$AF$128,2)*0.8)),FJ81)</f>
        <v>26.8066577192335</v>
      </c>
      <c r="FK82" s="1128" t="n">
        <f aca="false">SUM(FB82:FG82)*FI82+FH82*FJ82</f>
        <v>489412.047997096</v>
      </c>
      <c r="FL82" s="1126" t="n">
        <f aca="false">IF(MONTH(C82)=5,FL81*(IF(Summary!$E$70="no",(1+(Summary!$E$71*0.8)),1+HLOOKUP(YEAR(CALC!C82)-1,CCFMODEL!$I$127:$AF$128,2)*0.8)),+FL81)</f>
        <v>64.50387951402</v>
      </c>
      <c r="FM82" s="1127" t="n">
        <f aca="false">IF(MONTH(C82)=5,FM81*(IF(Summary!$E$70="no",(1+(Summary!$E$71*0.8)),1+HLOOKUP(YEAR(CALC!C82)-1,CCFMODEL!$I$127:$AF$128,2)*0.8)),+FM81)</f>
        <v>30.7856811301536</v>
      </c>
      <c r="FN82" s="1128" t="n">
        <f aca="false">IF((OR(MONTH(C82)=5,MONTH(C82)=6,MONTH(C82)=7,MONTH(C82)=8,MONTH(C82)=9)),SUM(FB82:FG82)/(1-BC82)*FL82,SUM(FB82:FG82)/(1-BC82)*FM82)</f>
        <v>1044962.84812712</v>
      </c>
      <c r="FO82" s="1129" t="n">
        <f aca="false">FK82+FN82</f>
        <v>1534374.89612422</v>
      </c>
      <c r="FP82" s="1169" t="n">
        <f aca="false">FB82</f>
        <v>11701.8</v>
      </c>
      <c r="FQ82" s="1129" t="n">
        <f aca="false">FC82</f>
        <v>0</v>
      </c>
      <c r="FR82" s="1129" t="n">
        <f aca="false">FD82</f>
        <v>2127.6</v>
      </c>
      <c r="FS82" s="1129" t="n">
        <f aca="false">FE82</f>
        <v>0</v>
      </c>
      <c r="FT82" s="1129" t="n">
        <f aca="false">FF82</f>
        <v>2127.6</v>
      </c>
      <c r="FU82" s="1129" t="n">
        <f aca="false">FG82</f>
        <v>0</v>
      </c>
      <c r="FV82" s="1170" t="n">
        <f aca="false">FH82</f>
        <v>0</v>
      </c>
      <c r="FW82" s="1115" t="n">
        <f aca="false">IF(ER82&gt;0,MIN(FB82-FP82,BL82),0)</f>
        <v>0</v>
      </c>
      <c r="FX82" s="1115" t="n">
        <f aca="false">IF(ES82&gt;0,MIN(FD82-FR82,BM82),0)</f>
        <v>0</v>
      </c>
      <c r="FY82" s="1115" t="n">
        <f aca="false">IF(ET82&gt;0,MIN(FF82-FT82,BN82),0)</f>
        <v>0</v>
      </c>
      <c r="FZ82" s="1143" t="n">
        <f aca="false">IF(EU82&gt;0,MIN(FH82-FV82,BO82),0)</f>
        <v>0</v>
      </c>
      <c r="GA82" s="1132" t="n">
        <f aca="false">(SUM(FP82:FV82)+SUM(GU82:HB82)/(1-Summary!$O$25))*CY82/1000</f>
        <v>156464.658186048</v>
      </c>
      <c r="GB82" s="1133" t="n">
        <f aca="false">IF($C82&lt;Summary!$M$81,+Summary!$O$81,VLOOKUP(C82,GasTable,19))</f>
        <v>2.4</v>
      </c>
      <c r="GC82" s="1134" t="n">
        <f aca="false">IF(H82&lt;=Summary!$N$84,MIN(GA82,Summary!$O$75*(H82-G82+1)),0)</f>
        <v>150000</v>
      </c>
      <c r="GD82" s="1135" t="n">
        <f aca="false">IF(Summary!$O$75*(H82-G82+1)*0.8&gt;GC82,1,0)</f>
        <v>0</v>
      </c>
      <c r="GE82" s="1136" t="n">
        <v>0</v>
      </c>
      <c r="GF82" s="1134" t="n">
        <f aca="false">ABS(MIN(0,GC82-$GA82))</f>
        <v>6464.65818604801</v>
      </c>
      <c r="GG82" s="1135" t="n">
        <f aca="false">GF82*(IF(Summary!$O$74=1,VLOOKUP($C82,GasTable,16)+Summary!$O$92+Summary!$O$93,VLOOKUP($C82,GasTable,19)+Summary!$O$92+Summary!$O$93))</f>
        <v>17106.5650690455</v>
      </c>
      <c r="GH82" s="1137" t="n">
        <v>17712</v>
      </c>
      <c r="GI82" s="1138" t="n">
        <v>0</v>
      </c>
      <c r="GJ82" s="1139" t="n">
        <f aca="false">+GB82*GC82+GE82+GG82+GH82-GI82</f>
        <v>394818.565069045</v>
      </c>
      <c r="GK82" s="1115" t="n">
        <f aca="false">SUM(FP82:FV82,GU82:GX82,GY82:HB82)</f>
        <v>20063.268</v>
      </c>
      <c r="GL82" s="1140" t="n">
        <v>0.760176004288</v>
      </c>
      <c r="GM82" s="1141" t="n">
        <f aca="false">IF(GK82&gt;GC82/(CY82/1000),GC82/(CY82/1000),+GK82)*GL82</f>
        <v>14730</v>
      </c>
      <c r="GN82" s="1115" t="n">
        <f aca="false">IF(SUM(GU82:HB82)=0,0,IF(Summary!$O$16="Yes",SUM(GX82:HB82),IF(Summary!$O$17="Yes",SUM(GY82:HB82),SUM(GU82:HB82))))</f>
        <v>4106.268</v>
      </c>
      <c r="GO82" s="1142" t="n">
        <v>2.7585222762878</v>
      </c>
      <c r="GP82" s="1143" t="n">
        <f aca="false">GN82*GO82</f>
        <v>11327.2317504078</v>
      </c>
      <c r="GQ82" s="1115"/>
      <c r="GR82" s="1115"/>
      <c r="GS82" s="1115"/>
      <c r="GT82" s="1115"/>
      <c r="GU82" s="1150" t="n">
        <v>0</v>
      </c>
      <c r="GV82" s="1115" t="n">
        <v>0</v>
      </c>
      <c r="GW82" s="1115" t="n">
        <v>0</v>
      </c>
      <c r="GX82" s="1115"/>
      <c r="GY82" s="1151" t="n">
        <v>3011.2632</v>
      </c>
      <c r="GZ82" s="1115" t="n">
        <v>547.5024</v>
      </c>
      <c r="HA82" s="1115" t="n">
        <v>547.5024</v>
      </c>
      <c r="HB82" s="1141"/>
      <c r="HC82" s="1115" t="n">
        <v>4106.268</v>
      </c>
      <c r="HD82" s="1115"/>
      <c r="HE82" s="1115" t="n">
        <v>16425.072</v>
      </c>
      <c r="HF82" s="1115" t="n">
        <v>113890.690325467</v>
      </c>
      <c r="HG82" s="1115"/>
      <c r="HH82" s="1142" t="n">
        <v>27.7358151794931</v>
      </c>
      <c r="HI82" s="1115" t="n">
        <v>455562.761301866</v>
      </c>
      <c r="HJ82" s="1150" t="n">
        <f aca="false">MAX(FB82-FP82-FW82,0)</f>
        <v>0</v>
      </c>
      <c r="HK82" s="1115" t="n">
        <f aca="false">MAX(FD82-FR82-FX82,0)</f>
        <v>0</v>
      </c>
      <c r="HL82" s="1115" t="n">
        <f aca="false">MAX(FF82-FT82-FY82,0)</f>
        <v>0</v>
      </c>
      <c r="HM82" s="1141" t="n">
        <f aca="false">MAX(FH82-FV82-FZ82,0)</f>
        <v>0</v>
      </c>
      <c r="HN82" s="1115" t="n">
        <f aca="false">SUM(HJ82:HM82)</f>
        <v>0</v>
      </c>
      <c r="HO82" s="1142" t="n">
        <f aca="false">IF(ISERROR(+HP82/HN82),0,+HP82/HN82)</f>
        <v>0</v>
      </c>
      <c r="HP82" s="1143" t="n">
        <f aca="false">(HJ82*CE82+HK82*CF82+HL82*CG82+HM82*CH82)</f>
        <v>0</v>
      </c>
      <c r="HQ82" s="1073"/>
      <c r="HR82" s="1069"/>
      <c r="HS82" s="1070"/>
      <c r="HT82" s="1072"/>
      <c r="HU82" s="1070"/>
      <c r="HV82" s="1070"/>
      <c r="HW82" s="1070"/>
      <c r="HX82" s="1061"/>
      <c r="HY82" s="1040"/>
      <c r="HZ82" s="1070"/>
      <c r="IA82" s="1070"/>
      <c r="IB82" s="1072"/>
      <c r="IC82" s="1070"/>
      <c r="ID82" s="1070"/>
      <c r="IE82" s="1072"/>
      <c r="IF82" s="1070"/>
      <c r="IG82" s="1070"/>
      <c r="IH82" s="1056"/>
      <c r="II82" s="1070"/>
      <c r="IJ82" s="1070"/>
      <c r="IK82" s="1070"/>
      <c r="IL82" s="1074"/>
      <c r="IM82" s="1191"/>
      <c r="IN82" s="1069"/>
      <c r="IO82" s="1070"/>
      <c r="IP82" s="1070"/>
      <c r="IQ82" s="1040"/>
      <c r="IR82" s="844"/>
    </row>
    <row r="83" customFormat="false" ht="13.5" hidden="false" customHeight="false" outlineLevel="0" collapsed="false">
      <c r="A83" s="0" t="str">
        <f aca="false">+D83&amp;"Q"&amp;ROUNDUP(E83/3,0)</f>
        <v>2005Q3</v>
      </c>
      <c r="B83" s="0" t="n">
        <f aca="false">YEAR(C83)</f>
        <v>2005</v>
      </c>
      <c r="C83" s="1153" t="n">
        <f aca="false">EOMONTH(C82,0)+1</f>
        <v>38534</v>
      </c>
      <c r="D83" s="841" t="n">
        <f aca="false">+YEAR(C83)</f>
        <v>2005</v>
      </c>
      <c r="E83" s="807" t="n">
        <f aca="false">MONTH(C83)</f>
        <v>7</v>
      </c>
      <c r="F83" s="1154" t="e">
        <f aca="false">IF(G83="","",Holiday(D83,E83))</f>
        <v>#VALUE!</v>
      </c>
      <c r="G83" s="1155" t="n">
        <v>38534</v>
      </c>
      <c r="H83" s="1156" t="n">
        <v>38564</v>
      </c>
      <c r="I83" s="1157" t="n">
        <f aca="false">I82</f>
        <v>0.0715</v>
      </c>
      <c r="J83" s="1158" t="n">
        <f aca="false">(1+I83/2)^(-2*(DATE(D84,E84,20)-$H$7)/365.25)</f>
        <v>0.67092213025479</v>
      </c>
      <c r="K83" s="1159"/>
      <c r="L83" s="1158"/>
      <c r="M83" s="1082" t="n">
        <v>0</v>
      </c>
      <c r="N83" s="1110" t="n">
        <f aca="false">M83</f>
        <v>0</v>
      </c>
      <c r="O83" s="1174" t="n">
        <f aca="false">N83</f>
        <v>0</v>
      </c>
      <c r="P83" s="1175" t="n">
        <f aca="false">M83</f>
        <v>0</v>
      </c>
      <c r="Q83" s="1110" t="n">
        <f aca="false">P83</f>
        <v>0</v>
      </c>
      <c r="R83" s="1174" t="n">
        <f aca="false">Q83</f>
        <v>0</v>
      </c>
      <c r="S83" s="1110" t="n">
        <f aca="false">R83</f>
        <v>0</v>
      </c>
      <c r="T83" s="1110" t="n">
        <f aca="false">S83</f>
        <v>0</v>
      </c>
      <c r="U83" s="1110" t="n">
        <f aca="false">T83</f>
        <v>0</v>
      </c>
      <c r="V83" s="1175" t="n">
        <f aca="false">U83</f>
        <v>0</v>
      </c>
      <c r="W83" s="1110" t="n">
        <f aca="false">V83</f>
        <v>0</v>
      </c>
      <c r="X83" s="1176" t="n">
        <f aca="false">W83</f>
        <v>0</v>
      </c>
      <c r="Y83" s="1086" t="n">
        <v>0</v>
      </c>
      <c r="Z83" s="1086" t="n">
        <v>0</v>
      </c>
      <c r="AA83" s="1087" t="n">
        <v>0</v>
      </c>
      <c r="AB83" s="1086" t="n">
        <v>0</v>
      </c>
      <c r="AC83" s="1086" t="n">
        <v>0</v>
      </c>
      <c r="AD83" s="1087" t="n">
        <v>0</v>
      </c>
      <c r="AE83" s="1086" t="n">
        <v>0</v>
      </c>
      <c r="AF83" s="1086" t="n">
        <v>0</v>
      </c>
      <c r="AG83" s="1087" t="n">
        <v>0</v>
      </c>
      <c r="AH83" s="1086" t="n">
        <v>0</v>
      </c>
      <c r="AI83" s="1086" t="n">
        <v>0</v>
      </c>
      <c r="AJ83" s="1087" t="n">
        <v>0</v>
      </c>
      <c r="AK83" s="1086" t="n">
        <v>0</v>
      </c>
      <c r="AL83" s="1086" t="n">
        <v>0</v>
      </c>
      <c r="AM83" s="1087" t="n">
        <v>0</v>
      </c>
      <c r="AN83" s="1086" t="n">
        <v>0</v>
      </c>
      <c r="AO83" s="1086" t="n">
        <v>0</v>
      </c>
      <c r="AP83" s="1087" t="n">
        <v>0</v>
      </c>
      <c r="AQ83" s="1086" t="n">
        <v>0</v>
      </c>
      <c r="AR83" s="1086" t="n">
        <v>0</v>
      </c>
      <c r="AS83" s="1087" t="n">
        <v>0</v>
      </c>
      <c r="AT83" s="1086" t="n">
        <v>0</v>
      </c>
      <c r="AU83" s="1086" t="n">
        <v>0</v>
      </c>
      <c r="AV83" s="1086" t="n">
        <v>0</v>
      </c>
      <c r="AW83" s="1172" t="n">
        <v>0</v>
      </c>
      <c r="AX83" s="807" t="e">
        <f aca="false">BB83-SUM(AY83:BA83)</f>
        <v>#VALUE!</v>
      </c>
      <c r="AY83" s="807" t="e">
        <f aca="false">IF(AND($E83=MONTH(Summary!$E$24),$D83=YEAR(Summary!$E$24)),Summary!$E$25,1)*IF(G83="",0,INT((H83-MOD(H83,7)-G83)/7)+1-IF(BA83,IF(WEEKDAY(F83)=7,1,0),0))</f>
        <v>#VALUE!</v>
      </c>
      <c r="AZ83" s="807" t="e">
        <f aca="false">IF(AND($E83=MONTH(Summary!$E$24),$D83=YEAR(Summary!$E$24)),Summary!$E$25,1)*IF(G83="",0,INT((H83-MOD(H83-1,7)-G83)/7)+1-IF(BA83,IF(WEEKDAY(F83)=1,1,0),0))</f>
        <v>#VALUE!</v>
      </c>
      <c r="BA83" s="807" t="n">
        <v>1</v>
      </c>
      <c r="BB83" s="807" t="n">
        <f aca="false">IF(AND($E83=MONTH(Summary!$E$24),$D83=YEAR(Summary!$E$24)),Summary!$E$25,1)*IF(G83="",0,H83-G83+1)</f>
        <v>31</v>
      </c>
      <c r="BC83" s="1089" t="n">
        <f aca="false">Summary!$E$19</f>
        <v>0.015</v>
      </c>
      <c r="BD83" s="1090" t="n">
        <v>14184</v>
      </c>
      <c r="BE83" s="1091" t="n">
        <v>3546</v>
      </c>
      <c r="BF83" s="1091" t="n">
        <v>4255.2</v>
      </c>
      <c r="BG83" s="842"/>
      <c r="BH83" s="1092" t="n">
        <v>1</v>
      </c>
      <c r="BI83" s="1092" t="n">
        <v>1</v>
      </c>
      <c r="BJ83" s="1092" t="n">
        <v>1</v>
      </c>
      <c r="BK83" s="1092" t="n">
        <v>1</v>
      </c>
      <c r="BL83" s="1093" t="n">
        <v>2836.8</v>
      </c>
      <c r="BM83" s="1091" t="n">
        <v>709.2</v>
      </c>
      <c r="BN83" s="1091" t="n">
        <v>851.04</v>
      </c>
      <c r="BO83" s="842"/>
      <c r="BP83" s="1092" t="n">
        <v>1</v>
      </c>
      <c r="BQ83" s="1094" t="n">
        <v>1</v>
      </c>
      <c r="BR83" s="1094" t="n">
        <v>1</v>
      </c>
      <c r="BS83" s="1095" t="n">
        <v>1</v>
      </c>
      <c r="BT83" s="1093" t="n">
        <f aca="false">SUM(BD83:BF83)</f>
        <v>21985.2</v>
      </c>
      <c r="BU83" s="1098" t="n">
        <f aca="false">SUM(BD83:BG83)</f>
        <v>21985.2</v>
      </c>
      <c r="BV83" s="1090" t="n">
        <f aca="false">SUM(BL83:BN83)</f>
        <v>4397.04</v>
      </c>
      <c r="BW83" s="1098" t="n">
        <f aca="false">SUM(BL83:BO83)</f>
        <v>4397.04</v>
      </c>
      <c r="BX83" s="852" t="n">
        <v>5.54414784394251</v>
      </c>
      <c r="BY83" s="1099" t="n">
        <v>0</v>
      </c>
      <c r="BZ83" s="852" t="n">
        <v>0</v>
      </c>
      <c r="CA83" s="852" t="n">
        <v>0</v>
      </c>
      <c r="CB83" s="852" t="n">
        <v>0</v>
      </c>
      <c r="CC83" s="852" t="n">
        <v>0</v>
      </c>
      <c r="CD83" s="852" t="n">
        <v>0</v>
      </c>
      <c r="CE83" s="1100" t="n">
        <v>0</v>
      </c>
      <c r="CF83" s="852" t="n">
        <v>0</v>
      </c>
      <c r="CG83" s="852" t="n">
        <v>0</v>
      </c>
      <c r="CH83" s="852" t="n">
        <v>0</v>
      </c>
      <c r="CI83" s="852" t="n">
        <v>0</v>
      </c>
      <c r="CJ83" s="1101" t="n">
        <v>0</v>
      </c>
      <c r="CK83" s="852" t="n">
        <v>0</v>
      </c>
      <c r="CL83" s="852" t="n">
        <v>0</v>
      </c>
      <c r="CM83" s="852" t="n">
        <v>0</v>
      </c>
      <c r="CN83" s="852" t="n">
        <v>0</v>
      </c>
      <c r="CO83" s="852" t="n">
        <v>0</v>
      </c>
      <c r="CP83" s="852" t="n">
        <v>0</v>
      </c>
      <c r="CQ83" s="1102" t="n">
        <v>0</v>
      </c>
      <c r="CR83" s="1103" t="n">
        <v>0</v>
      </c>
      <c r="CS83" s="1103" t="n">
        <v>0</v>
      </c>
      <c r="CT83" s="1103" t="n">
        <v>0</v>
      </c>
      <c r="CU83" s="1103" t="n">
        <v>0</v>
      </c>
      <c r="CV83" s="1103" t="n">
        <v>0</v>
      </c>
      <c r="CW83" s="1103" t="n">
        <v>0</v>
      </c>
      <c r="CX83" s="1104" t="n">
        <v>0</v>
      </c>
      <c r="CY83" s="1105" t="n">
        <v>7742.40272</v>
      </c>
      <c r="CZ83" s="1099" t="n">
        <v>0</v>
      </c>
      <c r="DA83" s="852" t="n">
        <v>0</v>
      </c>
      <c r="DB83" s="852" t="n">
        <v>0</v>
      </c>
      <c r="DC83" s="852" t="n">
        <v>0</v>
      </c>
      <c r="DD83" s="852" t="n">
        <v>0</v>
      </c>
      <c r="DE83" s="1113" t="n">
        <v>0</v>
      </c>
      <c r="DF83" s="1109" t="n">
        <v>0</v>
      </c>
      <c r="DG83" s="1110" t="n">
        <v>0</v>
      </c>
      <c r="DH83" s="1111" t="n">
        <v>0</v>
      </c>
      <c r="DI83" s="1112" t="n">
        <v>0</v>
      </c>
      <c r="DJ83" s="1112" t="n">
        <v>0</v>
      </c>
      <c r="DK83" s="1112" t="n">
        <v>0</v>
      </c>
      <c r="DL83" s="1113" t="n">
        <v>0</v>
      </c>
      <c r="DM83" s="1114" t="n">
        <v>0</v>
      </c>
      <c r="DN83" s="1114" t="n">
        <v>0</v>
      </c>
      <c r="DO83" s="1114" t="n">
        <v>0</v>
      </c>
      <c r="DP83" s="1114" t="n">
        <v>0</v>
      </c>
      <c r="DQ83" s="1114" t="n">
        <v>0</v>
      </c>
      <c r="DR83" s="1109" t="n">
        <v>0</v>
      </c>
      <c r="DS83" s="852" t="n">
        <v>0</v>
      </c>
      <c r="DT83" s="852" t="n">
        <v>0</v>
      </c>
      <c r="DU83" s="852" t="n">
        <v>0</v>
      </c>
      <c r="DV83" s="852" t="n">
        <v>0</v>
      </c>
      <c r="DW83" s="852" t="n">
        <v>0</v>
      </c>
      <c r="DX83" s="852" t="n">
        <v>0</v>
      </c>
      <c r="DY83" s="852" t="n">
        <v>0</v>
      </c>
      <c r="DZ83" s="852" t="n">
        <v>0</v>
      </c>
      <c r="EA83" s="852" t="n">
        <v>0</v>
      </c>
      <c r="EB83" s="1113" t="n">
        <v>0</v>
      </c>
      <c r="EC83" s="1115" t="n">
        <f aca="false">DS83*BD83</f>
        <v>0</v>
      </c>
      <c r="ED83" s="1115" t="n">
        <f aca="false">DT83*BE83</f>
        <v>0</v>
      </c>
      <c r="EE83" s="1115" t="n">
        <f aca="false">DU83*BF83</f>
        <v>0</v>
      </c>
      <c r="EF83" s="1115" t="n">
        <f aca="false">DV83*BG83</f>
        <v>0</v>
      </c>
      <c r="EG83" s="1115" t="n">
        <f aca="false">DS83*BD83+DT83*BE83+DU83*BF83+DV83*BG83</f>
        <v>0</v>
      </c>
      <c r="EH83" s="1116" t="n">
        <v>0</v>
      </c>
      <c r="EI83" s="1117" t="n">
        <v>0</v>
      </c>
      <c r="EJ83" s="1117" t="n">
        <v>0</v>
      </c>
      <c r="EK83" s="1117" t="n">
        <v>0</v>
      </c>
      <c r="EL83" s="1118" t="n">
        <f aca="false">IF(C83&gt;=Summary!$E$26,MAX(0,SUM(EH83:EK83)),0)</f>
        <v>0</v>
      </c>
      <c r="EM83" s="1115" t="n">
        <f aca="false">IF(C83&gt;=Summary!$E$26,DX83*BL83,0)</f>
        <v>0</v>
      </c>
      <c r="EN83" s="1115" t="n">
        <f aca="false">IF(C83&gt;=Summary!$E$26,DY83*BM83,0)</f>
        <v>0</v>
      </c>
      <c r="EO83" s="1115" t="n">
        <f aca="false">IF(C83&gt;=Summary!$E$26,DZ83*BN83,0)</f>
        <v>0</v>
      </c>
      <c r="EP83" s="1115" t="n">
        <f aca="false">IF(C83&gt;=Summary!$E$26,EA83*BO83,0)</f>
        <v>0</v>
      </c>
      <c r="EQ83" s="1115" t="n">
        <f aca="false">IF(C83&gt;=Summary!$E$26,DX83*BL83+DY83*BM83+DZ83*BN83+EA83*BO83,0)</f>
        <v>0</v>
      </c>
      <c r="ER83" s="1119" t="n">
        <v>0</v>
      </c>
      <c r="ES83" s="1120" t="n">
        <v>0</v>
      </c>
      <c r="ET83" s="1120" t="n">
        <v>0</v>
      </c>
      <c r="EU83" s="1120" t="n">
        <v>0</v>
      </c>
      <c r="EV83" s="1143" t="n">
        <f aca="false">IF(C83&gt;=Summary!$E$26,MAX(0,SUM(ER83:EU83)),0)</f>
        <v>0</v>
      </c>
      <c r="EW83" s="1115"/>
      <c r="EX83" s="1165" t="n">
        <f aca="false">(EQ83-EV83)+IF(EZ83="Yes",(EG83-EL83),0)</f>
        <v>0</v>
      </c>
      <c r="EY83" s="1166" t="str">
        <f aca="false">IF(EX83,EX83/EQ83,"")</f>
        <v/>
      </c>
      <c r="EZ83" s="1122" t="s">
        <v>37</v>
      </c>
      <c r="FA83" s="1096" t="n">
        <f aca="false">FA82</f>
        <v>45</v>
      </c>
      <c r="FB83" s="1167" t="e">
        <f aca="false">IF(EZ83="No",IF((OR(MONTH(C83)=5,MONTH(C83)=6,MONTH(C83)=7,MONTH(C83)=8,MONTH(C83)=9)),$FA83*12*AX83*(1-$BC83),$FA83*10*AX83*(1-$BC83)),0)</f>
        <v>#VALUE!</v>
      </c>
      <c r="FC83" s="1129" t="n">
        <f aca="false">IF(EZ83="No",IF((OR(MONTH(C83)=5,MONTH(C83)=6,MONTH(C83)=7,MONTH(C83)=8,MONTH(C83)=9)),0,$FA83*3*AX83*(1-$BC83)),0)</f>
        <v>0</v>
      </c>
      <c r="FD83" s="1129" t="e">
        <f aca="false">IF(EZ83="No",IF((OR(MONTH(C83)=5,MONTH(C83)=6,MONTH(C83)=7,MONTH(C83)=8,MONTH(C83)=9)),$FA83*12*AY83*(1-$BC83),$FA83*10*AY83*(1-$BC83)),0)</f>
        <v>#VALUE!</v>
      </c>
      <c r="FE83" s="1129" t="n">
        <f aca="false">IF(EZ83="No",IF((OR(MONTH(C83)=5,MONTH(C83)=6,MONTH(C83)=7,MONTH(C83)=8,MONTH(C83)=9)),0,$FA83*3*AY83*(1-$BC83)),0)</f>
        <v>0</v>
      </c>
      <c r="FF83" s="1129" t="e">
        <f aca="false">IF(EZ83="No",IF((OR(MONTH(C83)=5,MONTH(C83)=6,MONTH(C83)=7,MONTH(C83)=8,MONTH(C83)=9)),$FA83*12*(AZ83+BA83)*(1-$BC83),$FA83*10*(AZ83+BA83)*(1-$BC83)),0)</f>
        <v>#VALUE!</v>
      </c>
      <c r="FG83" s="1129" t="n">
        <f aca="false">IF(EZ83="No",IF((OR(MONTH(C83)=5,MONTH(C83)=6,MONTH(C83)=7,MONTH(C83)=8,MONTH(C83)=9)),0,$FA83*3*(AZ83+BA83)*(1-$BC83)),0)</f>
        <v>0</v>
      </c>
      <c r="FH83" s="1170" t="e">
        <f aca="false">IF(EZ83="No",IF((OR(MONTH(C83)=5,MONTH(C83)=6,MONTH(C83)=7,MONTH(C83)=8,MONTH(C83)=9)),Summary!$O$15*12*(AX83+AY83+AZ83+BA83)*(1-$BC83),Summary!$O$15*13*(AX83+AY83+AZ83+BA83)*(1-$BC83)+IF(Summary!$O$16="Yes",(CALC!FA83+Summary!$O$15)*6*(AX83+AY83+AZ83+BA83)*(1-$BC83),0)),0)</f>
        <v>#VALUE!</v>
      </c>
      <c r="FI83" s="1126" t="n">
        <f aca="false">IF(MONTH(C83)=5,FI82*(IF(Summary!$E$70="no",(1+(Summary!$E$71*0.8)),1+HLOOKUP(YEAR(C83)-1,CCFMODEL!$I$127:$AF$128,2)*0.8)),+FI82)</f>
        <v>30.6706804535374</v>
      </c>
      <c r="FJ83" s="1127" t="n">
        <f aca="false">IF(MONTH(C83)=5,FJ82*(IF(Summary!$E$70="no",(1+(Summary!$E$71*0.8)),1+HLOOKUP(YEAR(CALC!C83)-1,CCFMODEL!$I$127:$AF$128,2)*0.8)),FJ82)</f>
        <v>26.8066577192335</v>
      </c>
      <c r="FK83" s="1128" t="e">
        <f aca="false">SUM(FB83:FG83)*FI83+FH83*FJ83</f>
        <v>#VALUE!</v>
      </c>
      <c r="FL83" s="1126" t="n">
        <f aca="false">IF(MONTH(C83)=5,FL82*(IF(Summary!$E$70="no",(1+(Summary!$E$71*0.8)),1+HLOOKUP(YEAR(CALC!C83)-1,CCFMODEL!$I$127:$AF$128,2)*0.8)),+FL82)</f>
        <v>64.50387951402</v>
      </c>
      <c r="FM83" s="1127" t="n">
        <f aca="false">IF(MONTH(C83)=5,FM82*(IF(Summary!$E$70="no",(1+(Summary!$E$71*0.8)),1+HLOOKUP(YEAR(CALC!C83)-1,CCFMODEL!$I$127:$AF$128,2)*0.8)),+FM82)</f>
        <v>30.7856811301536</v>
      </c>
      <c r="FN83" s="1128" t="e">
        <f aca="false">IF((OR(MONTH(C83)=5,MONTH(C83)=6,MONTH(C83)=7,MONTH(C83)=8,MONTH(C83)=9)),SUM(FB83:FG83)/(1-BC83)*FL83,SUM(FB83:FG83)/(1-BC83)*FM83)</f>
        <v>#VALUE!</v>
      </c>
      <c r="FO83" s="1129" t="e">
        <f aca="false">FK83+FN83</f>
        <v>#VALUE!</v>
      </c>
      <c r="FP83" s="1169" t="e">
        <f aca="false">FB83</f>
        <v>#VALUE!</v>
      </c>
      <c r="FQ83" s="1129" t="n">
        <f aca="false">FC83</f>
        <v>0</v>
      </c>
      <c r="FR83" s="1129" t="e">
        <f aca="false">FD83</f>
        <v>#VALUE!</v>
      </c>
      <c r="FS83" s="1129" t="n">
        <f aca="false">FE83</f>
        <v>0</v>
      </c>
      <c r="FT83" s="1129" t="e">
        <f aca="false">FF83</f>
        <v>#VALUE!</v>
      </c>
      <c r="FU83" s="1129" t="n">
        <f aca="false">FG83</f>
        <v>0</v>
      </c>
      <c r="FV83" s="1170" t="e">
        <f aca="false">FH83</f>
        <v>#VALUE!</v>
      </c>
      <c r="FW83" s="1115" t="n">
        <f aca="false">IF(ER83&gt;0,MIN(FB83-FP83,BL83),0)</f>
        <v>0</v>
      </c>
      <c r="FX83" s="1115" t="n">
        <f aca="false">IF(ES83&gt;0,MIN(FD83-FR83,BM83),0)</f>
        <v>0</v>
      </c>
      <c r="FY83" s="1115" t="n">
        <f aca="false">IF(ET83&gt;0,MIN(FF83-FT83,BN83),0)</f>
        <v>0</v>
      </c>
      <c r="FZ83" s="1143" t="n">
        <f aca="false">IF(EU83&gt;0,MIN(FH83-FV83,BO83),0)</f>
        <v>0</v>
      </c>
      <c r="GA83" s="1132" t="e">
        <f aca="false">(SUM(FP83:FV83)+SUM(GU83:HB83)/(1-Summary!$O$25))*CY83/1000</f>
        <v>#VALUE!</v>
      </c>
      <c r="GB83" s="1133" t="n">
        <f aca="false">IF($C83&lt;Summary!$M$81,+Summary!$O$81,VLOOKUP(C83,GasTable,19))</f>
        <v>2.4</v>
      </c>
      <c r="GC83" s="1134" t="e">
        <f aca="false">IF(H83&lt;=Summary!$N$84,MIN(GA83,Summary!$O$75*(H83-G83+1)),0)</f>
        <v>#VALUE!</v>
      </c>
      <c r="GD83" s="1135" t="e">
        <f aca="false">IF(Summary!$O$75*(H83-G83+1)*0.8&gt;GC83,1,0)</f>
        <v>#VALUE!</v>
      </c>
      <c r="GE83" s="1136" t="n">
        <v>0</v>
      </c>
      <c r="GF83" s="1134" t="e">
        <f aca="false">ABS(MIN(0,GC83-$GA83))</f>
        <v>#VALUE!</v>
      </c>
      <c r="GG83" s="1135" t="e">
        <f aca="false">GF83*(IF(Summary!$O$74=1,VLOOKUP($C83,GasTable,16)+Summary!$O$92+Summary!$O$93,VLOOKUP($C83,GasTable,19)+Summary!$O$92+Summary!$O$93))</f>
        <v>#VALUE!</v>
      </c>
      <c r="GH83" s="1137" t="n">
        <v>18376.8</v>
      </c>
      <c r="GI83" s="1138" t="n">
        <v>0</v>
      </c>
      <c r="GJ83" s="1139" t="e">
        <f aca="false">+GB83*GC83+GE83+GG83+GH83-GI83</f>
        <v>#VALUE!</v>
      </c>
      <c r="GK83" s="1115" t="e">
        <f aca="false">SUM(FP83:FV83,GU83:GX83,GY83:HB83)</f>
        <v>#VALUE!</v>
      </c>
      <c r="GL83" s="1140" t="n">
        <v>0.760303947104</v>
      </c>
      <c r="GM83" s="1141" t="e">
        <f aca="false">IF(GK83&gt;GC83/(CY83/1000),GC83/(CY83/1000),+GK83)*GL83</f>
        <v>#VALUE!</v>
      </c>
      <c r="GN83" s="1115" t="n">
        <f aca="false">IF(SUM(GU83:HB83)=0,0,IF(Summary!$O$16="Yes",SUM(GX83:HB83),IF(Summary!$O$17="Yes",SUM(GY83:HB83),SUM(GU83:HB83))))</f>
        <v>9547.0731</v>
      </c>
      <c r="GO83" s="1142" t="n">
        <v>2.7585222762878</v>
      </c>
      <c r="GP83" s="1143" t="n">
        <f aca="false">GN83*GO83</f>
        <v>26335.813819698</v>
      </c>
      <c r="GQ83" s="1115"/>
      <c r="GR83" s="1115"/>
      <c r="GS83" s="1115"/>
      <c r="GT83" s="1115"/>
      <c r="GU83" s="1150" t="n">
        <v>3421.89</v>
      </c>
      <c r="GV83" s="1115" t="n">
        <v>855.4725</v>
      </c>
      <c r="GW83" s="1115" t="n">
        <v>1026.567</v>
      </c>
      <c r="GX83" s="1115"/>
      <c r="GY83" s="1151" t="n">
        <v>2737.512</v>
      </c>
      <c r="GZ83" s="1115" t="n">
        <v>684.378</v>
      </c>
      <c r="HA83" s="1115" t="n">
        <v>821.2536</v>
      </c>
      <c r="HB83" s="1141"/>
      <c r="HC83" s="1115" t="n">
        <v>9547.0731</v>
      </c>
      <c r="HD83" s="1115"/>
      <c r="HE83" s="1115" t="n">
        <v>22276.5039</v>
      </c>
      <c r="HF83" s="1115" t="n">
        <v>355850.813712567</v>
      </c>
      <c r="HG83" s="1115"/>
      <c r="HH83" s="1142" t="n">
        <v>39.4714791750593</v>
      </c>
      <c r="HI83" s="1115" t="n">
        <v>879286.559781978</v>
      </c>
      <c r="HJ83" s="1150" t="e">
        <f aca="false">MAX(FB83-FP83-FW83,0)</f>
        <v>#VALUE!</v>
      </c>
      <c r="HK83" s="1115" t="e">
        <f aca="false">MAX(FD83-FR83-FX83,0)</f>
        <v>#VALUE!</v>
      </c>
      <c r="HL83" s="1115" t="e">
        <f aca="false">MAX(FF83-FT83-FY83,0)</f>
        <v>#VALUE!</v>
      </c>
      <c r="HM83" s="1141" t="e">
        <f aca="false">MAX(FH83-FV83-FZ83,0)</f>
        <v>#VALUE!</v>
      </c>
      <c r="HN83" s="1115" t="e">
        <f aca="false">SUM(HJ83:HM83)</f>
        <v>#VALUE!</v>
      </c>
      <c r="HO83" s="1142" t="n">
        <f aca="false">IF(ISERROR(+HP83/HN83),0,+HP83/HN83)</f>
        <v>0</v>
      </c>
      <c r="HP83" s="1143" t="e">
        <f aca="false">(HJ83*CE83+HK83*CF83+HL83*CG83+HM83*CH83)</f>
        <v>#VALUE!</v>
      </c>
      <c r="HQ83" s="1146"/>
      <c r="HR83" s="1119"/>
      <c r="HS83" s="1147"/>
      <c r="HT83" s="1144"/>
      <c r="HU83" s="1148"/>
      <c r="HV83" s="1145"/>
      <c r="HW83" s="1120"/>
      <c r="HX83" s="1149"/>
      <c r="HY83" s="1121"/>
      <c r="HZ83" s="1150"/>
      <c r="IA83" s="1142"/>
      <c r="IB83" s="1141"/>
      <c r="IC83" s="1151"/>
      <c r="ID83" s="1142"/>
      <c r="IE83" s="1141"/>
      <c r="IF83" s="1151"/>
      <c r="IG83" s="1142"/>
      <c r="IH83" s="1141"/>
      <c r="II83" s="1115"/>
      <c r="IJ83" s="1142"/>
      <c r="IK83" s="1115"/>
      <c r="IL83" s="1152"/>
      <c r="IM83" s="1192"/>
      <c r="IN83" s="1148"/>
      <c r="IO83" s="1148"/>
      <c r="IP83" s="1148"/>
      <c r="IQ83" s="1148"/>
      <c r="IR83" s="844"/>
    </row>
    <row r="84" customFormat="false" ht="13.5" hidden="false" customHeight="false" outlineLevel="0" collapsed="false">
      <c r="A84" s="0" t="str">
        <f aca="false">+D84&amp;"Q"&amp;ROUNDUP(E84/3,0)</f>
        <v>2005Q3</v>
      </c>
      <c r="B84" s="0" t="n">
        <f aca="false">YEAR(C84)</f>
        <v>2005</v>
      </c>
      <c r="C84" s="1153" t="n">
        <f aca="false">EOMONTH(C83,0)+1</f>
        <v>38565</v>
      </c>
      <c r="D84" s="841" t="n">
        <f aca="false">+YEAR(C84)</f>
        <v>2005</v>
      </c>
      <c r="E84" s="807" t="n">
        <f aca="false">MONTH(C84)</f>
        <v>8</v>
      </c>
      <c r="F84" s="1154" t="e">
        <f aca="false">IF(G84="","",Holiday(D84,E84))</f>
        <v>#VALUE!</v>
      </c>
      <c r="G84" s="1155" t="n">
        <v>38565</v>
      </c>
      <c r="H84" s="1156" t="n">
        <v>38595</v>
      </c>
      <c r="I84" s="1157" t="n">
        <f aca="false">I83</f>
        <v>0.0715</v>
      </c>
      <c r="J84" s="1158" t="n">
        <f aca="false">(1+I84/2)^(-2*(DATE(D85,E85,20)-$H$7)/365.25)</f>
        <v>0.666933665710789</v>
      </c>
      <c r="K84" s="1159"/>
      <c r="L84" s="1158"/>
      <c r="M84" s="1082" t="n">
        <v>0</v>
      </c>
      <c r="N84" s="1110" t="n">
        <f aca="false">M84</f>
        <v>0</v>
      </c>
      <c r="O84" s="1174" t="n">
        <f aca="false">N84</f>
        <v>0</v>
      </c>
      <c r="P84" s="1175" t="n">
        <f aca="false">M84</f>
        <v>0</v>
      </c>
      <c r="Q84" s="1110" t="n">
        <f aca="false">P84</f>
        <v>0</v>
      </c>
      <c r="R84" s="1174" t="n">
        <f aca="false">Q84</f>
        <v>0</v>
      </c>
      <c r="S84" s="1110" t="n">
        <f aca="false">R84</f>
        <v>0</v>
      </c>
      <c r="T84" s="1110" t="n">
        <f aca="false">S84</f>
        <v>0</v>
      </c>
      <c r="U84" s="1110" t="n">
        <f aca="false">T84</f>
        <v>0</v>
      </c>
      <c r="V84" s="1175" t="n">
        <f aca="false">U84</f>
        <v>0</v>
      </c>
      <c r="W84" s="1110" t="n">
        <f aca="false">V84</f>
        <v>0</v>
      </c>
      <c r="X84" s="1176" t="n">
        <f aca="false">W84</f>
        <v>0</v>
      </c>
      <c r="Y84" s="1086" t="n">
        <v>0</v>
      </c>
      <c r="Z84" s="1086" t="n">
        <v>0</v>
      </c>
      <c r="AA84" s="1087" t="n">
        <v>0</v>
      </c>
      <c r="AB84" s="1086" t="n">
        <v>0</v>
      </c>
      <c r="AC84" s="1086" t="n">
        <v>0</v>
      </c>
      <c r="AD84" s="1087" t="n">
        <v>0</v>
      </c>
      <c r="AE84" s="1086" t="n">
        <v>0</v>
      </c>
      <c r="AF84" s="1086" t="n">
        <v>0</v>
      </c>
      <c r="AG84" s="1087" t="n">
        <v>0</v>
      </c>
      <c r="AH84" s="1086" t="n">
        <v>0</v>
      </c>
      <c r="AI84" s="1086" t="n">
        <v>0</v>
      </c>
      <c r="AJ84" s="1087" t="n">
        <v>0</v>
      </c>
      <c r="AK84" s="1086" t="n">
        <v>0</v>
      </c>
      <c r="AL84" s="1086" t="n">
        <v>0</v>
      </c>
      <c r="AM84" s="1087" t="n">
        <v>0</v>
      </c>
      <c r="AN84" s="1086" t="n">
        <v>0</v>
      </c>
      <c r="AO84" s="1086" t="n">
        <v>0</v>
      </c>
      <c r="AP84" s="1087" t="n">
        <v>0</v>
      </c>
      <c r="AQ84" s="1086" t="n">
        <v>0</v>
      </c>
      <c r="AR84" s="1086" t="n">
        <v>0</v>
      </c>
      <c r="AS84" s="1087" t="n">
        <v>0</v>
      </c>
      <c r="AT84" s="1086" t="n">
        <v>0</v>
      </c>
      <c r="AU84" s="1086" t="n">
        <v>0</v>
      </c>
      <c r="AV84" s="1086" t="n">
        <v>0</v>
      </c>
      <c r="AW84" s="1172" t="n">
        <v>0</v>
      </c>
      <c r="AX84" s="807" t="n">
        <f aca="false">BB84-SUM(AY84:BA84)</f>
        <v>23</v>
      </c>
      <c r="AY84" s="807" t="n">
        <f aca="false">IF(AND($E84=MONTH(Summary!$E$24),$D84=YEAR(Summary!$E$24)),Summary!$E$25,1)*IF(G84="",0,INT((H84-MOD(H84,7)-G84)/7)+1-IF(BA84,IF(WEEKDAY(F84)=7,1,0),0))</f>
        <v>4</v>
      </c>
      <c r="AZ84" s="807" t="n">
        <f aca="false">IF(AND($E84=MONTH(Summary!$E$24),$D84=YEAR(Summary!$E$24)),Summary!$E$25,1)*IF(G84="",0,INT((H84-MOD(H84-1,7)-G84)/7)+1-IF(BA84,IF(WEEKDAY(F84)=1,1,0),0))</f>
        <v>4</v>
      </c>
      <c r="BA84" s="807" t="n">
        <v>0</v>
      </c>
      <c r="BB84" s="807" t="n">
        <f aca="false">IF(AND($E84=MONTH(Summary!$E$24),$D84=YEAR(Summary!$E$24)),Summary!$E$25,1)*IF(G84="",0,H84-G84+1)</f>
        <v>31</v>
      </c>
      <c r="BC84" s="1089" t="n">
        <f aca="false">Summary!$E$19</f>
        <v>0.015</v>
      </c>
      <c r="BD84" s="1090" t="n">
        <v>16311.6</v>
      </c>
      <c r="BE84" s="1091" t="n">
        <v>2836.8</v>
      </c>
      <c r="BF84" s="1091" t="n">
        <v>2836.8</v>
      </c>
      <c r="BG84" s="842"/>
      <c r="BH84" s="1092" t="n">
        <v>1</v>
      </c>
      <c r="BI84" s="1092" t="n">
        <v>1</v>
      </c>
      <c r="BJ84" s="1092" t="n">
        <v>1</v>
      </c>
      <c r="BK84" s="1092" t="n">
        <v>1</v>
      </c>
      <c r="BL84" s="1093" t="n">
        <v>3262.32</v>
      </c>
      <c r="BM84" s="1091" t="n">
        <v>567.36</v>
      </c>
      <c r="BN84" s="1091" t="n">
        <v>567.36</v>
      </c>
      <c r="BO84" s="842"/>
      <c r="BP84" s="1092" t="n">
        <v>1</v>
      </c>
      <c r="BQ84" s="1094" t="n">
        <v>1</v>
      </c>
      <c r="BR84" s="1094" t="n">
        <v>1</v>
      </c>
      <c r="BS84" s="1095" t="n">
        <v>1</v>
      </c>
      <c r="BT84" s="1093" t="n">
        <f aca="false">SUM(BD84:BF84)</f>
        <v>21985.2</v>
      </c>
      <c r="BU84" s="1098" t="n">
        <f aca="false">SUM(BD84:BG84)</f>
        <v>21985.2</v>
      </c>
      <c r="BV84" s="1090" t="n">
        <f aca="false">SUM(BL84:BN84)</f>
        <v>4397.04</v>
      </c>
      <c r="BW84" s="1098" t="n">
        <f aca="false">SUM(BL84:BO84)</f>
        <v>4397.04</v>
      </c>
      <c r="BX84" s="852" t="n">
        <v>5.6290212183436</v>
      </c>
      <c r="BY84" s="1099" t="n">
        <v>0</v>
      </c>
      <c r="BZ84" s="852" t="n">
        <v>0</v>
      </c>
      <c r="CA84" s="852" t="n">
        <v>0</v>
      </c>
      <c r="CB84" s="852" t="n">
        <v>0</v>
      </c>
      <c r="CC84" s="852" t="n">
        <v>0</v>
      </c>
      <c r="CD84" s="852" t="n">
        <v>0</v>
      </c>
      <c r="CE84" s="1100" t="n">
        <v>0</v>
      </c>
      <c r="CF84" s="852" t="n">
        <v>0</v>
      </c>
      <c r="CG84" s="852" t="n">
        <v>0</v>
      </c>
      <c r="CH84" s="852" t="n">
        <v>0</v>
      </c>
      <c r="CI84" s="852" t="n">
        <v>0</v>
      </c>
      <c r="CJ84" s="1101" t="n">
        <v>0</v>
      </c>
      <c r="CK84" s="852" t="n">
        <v>0</v>
      </c>
      <c r="CL84" s="852" t="n">
        <v>0</v>
      </c>
      <c r="CM84" s="852" t="n">
        <v>0</v>
      </c>
      <c r="CN84" s="852" t="n">
        <v>0</v>
      </c>
      <c r="CO84" s="852" t="n">
        <v>0</v>
      </c>
      <c r="CP84" s="852" t="n">
        <v>0</v>
      </c>
      <c r="CQ84" s="1102" t="n">
        <v>0</v>
      </c>
      <c r="CR84" s="1103" t="n">
        <v>0</v>
      </c>
      <c r="CS84" s="1103" t="n">
        <v>0</v>
      </c>
      <c r="CT84" s="1103" t="n">
        <v>0</v>
      </c>
      <c r="CU84" s="1103" t="n">
        <v>0</v>
      </c>
      <c r="CV84" s="1103" t="n">
        <v>0</v>
      </c>
      <c r="CW84" s="1103" t="n">
        <v>0</v>
      </c>
      <c r="CX84" s="1104" t="n">
        <v>0</v>
      </c>
      <c r="CY84" s="1105" t="n">
        <v>7743.7056</v>
      </c>
      <c r="CZ84" s="1099" t="n">
        <v>0</v>
      </c>
      <c r="DA84" s="852" t="n">
        <v>0</v>
      </c>
      <c r="DB84" s="852" t="n">
        <v>0</v>
      </c>
      <c r="DC84" s="852" t="n">
        <v>0</v>
      </c>
      <c r="DD84" s="852" t="n">
        <v>0</v>
      </c>
      <c r="DE84" s="1113" t="n">
        <v>0</v>
      </c>
      <c r="DF84" s="1109" t="n">
        <v>0</v>
      </c>
      <c r="DG84" s="1110" t="n">
        <v>0</v>
      </c>
      <c r="DH84" s="1111" t="n">
        <v>0</v>
      </c>
      <c r="DI84" s="1112" t="n">
        <v>0</v>
      </c>
      <c r="DJ84" s="1112" t="n">
        <v>0</v>
      </c>
      <c r="DK84" s="1112" t="n">
        <v>0</v>
      </c>
      <c r="DL84" s="1113" t="n">
        <v>0</v>
      </c>
      <c r="DM84" s="1114" t="n">
        <v>0</v>
      </c>
      <c r="DN84" s="1114" t="n">
        <v>0</v>
      </c>
      <c r="DO84" s="1114" t="n">
        <v>0</v>
      </c>
      <c r="DP84" s="1114" t="n">
        <v>0</v>
      </c>
      <c r="DQ84" s="1114" t="n">
        <v>0</v>
      </c>
      <c r="DR84" s="1109" t="n">
        <v>0</v>
      </c>
      <c r="DS84" s="852" t="n">
        <v>0</v>
      </c>
      <c r="DT84" s="852" t="n">
        <v>0</v>
      </c>
      <c r="DU84" s="852" t="n">
        <v>0</v>
      </c>
      <c r="DV84" s="852" t="n">
        <v>0</v>
      </c>
      <c r="DW84" s="852" t="n">
        <v>0</v>
      </c>
      <c r="DX84" s="852" t="n">
        <v>0</v>
      </c>
      <c r="DY84" s="852" t="n">
        <v>0</v>
      </c>
      <c r="DZ84" s="852" t="n">
        <v>0</v>
      </c>
      <c r="EA84" s="852" t="n">
        <v>0</v>
      </c>
      <c r="EB84" s="1113" t="n">
        <v>0</v>
      </c>
      <c r="EC84" s="1115" t="n">
        <f aca="false">DS84*BD84</f>
        <v>0</v>
      </c>
      <c r="ED84" s="1115" t="n">
        <f aca="false">DT84*BE84</f>
        <v>0</v>
      </c>
      <c r="EE84" s="1115" t="n">
        <f aca="false">DU84*BF84</f>
        <v>0</v>
      </c>
      <c r="EF84" s="1115" t="n">
        <f aca="false">DV84*BG84</f>
        <v>0</v>
      </c>
      <c r="EG84" s="1115" t="n">
        <f aca="false">DS84*BD84+DT84*BE84+DU84*BF84+DV84*BG84</f>
        <v>0</v>
      </c>
      <c r="EH84" s="1116" t="n">
        <v>0</v>
      </c>
      <c r="EI84" s="1117" t="n">
        <v>0</v>
      </c>
      <c r="EJ84" s="1117" t="n">
        <v>0</v>
      </c>
      <c r="EK84" s="1117" t="n">
        <v>0</v>
      </c>
      <c r="EL84" s="1118" t="n">
        <f aca="false">IF(C84&gt;=Summary!$E$26,MAX(0,SUM(EH84:EK84)),0)</f>
        <v>0</v>
      </c>
      <c r="EM84" s="1115" t="n">
        <f aca="false">IF(C84&gt;=Summary!$E$26,DX84*BL84,0)</f>
        <v>0</v>
      </c>
      <c r="EN84" s="1115" t="n">
        <f aca="false">IF(C84&gt;=Summary!$E$26,DY84*BM84,0)</f>
        <v>0</v>
      </c>
      <c r="EO84" s="1115" t="n">
        <f aca="false">IF(C84&gt;=Summary!$E$26,DZ84*BN84,0)</f>
        <v>0</v>
      </c>
      <c r="EP84" s="1115" t="n">
        <f aca="false">IF(C84&gt;=Summary!$E$26,EA84*BO84,0)</f>
        <v>0</v>
      </c>
      <c r="EQ84" s="1115" t="n">
        <f aca="false">IF(C84&gt;=Summary!$E$26,DX84*BL84+DY84*BM84+DZ84*BN84+EA84*BO84,0)</f>
        <v>0</v>
      </c>
      <c r="ER84" s="1119" t="n">
        <v>0</v>
      </c>
      <c r="ES84" s="1120" t="n">
        <v>0</v>
      </c>
      <c r="ET84" s="1120" t="n">
        <v>0</v>
      </c>
      <c r="EU84" s="1120" t="n">
        <v>0</v>
      </c>
      <c r="EV84" s="1143" t="n">
        <f aca="false">IF(C84&gt;=Summary!$E$26,MAX(0,SUM(ER84:EU84)),0)</f>
        <v>0</v>
      </c>
      <c r="EW84" s="1115"/>
      <c r="EX84" s="1165" t="n">
        <f aca="false">(EQ84-EV84)+IF(EZ84="Yes",(EG84-EL84),0)</f>
        <v>0</v>
      </c>
      <c r="EY84" s="1166" t="str">
        <f aca="false">IF(EX84,EX84/EQ84,"")</f>
        <v/>
      </c>
      <c r="EZ84" s="1122" t="s">
        <v>37</v>
      </c>
      <c r="FA84" s="1096" t="n">
        <f aca="false">FA83</f>
        <v>45</v>
      </c>
      <c r="FB84" s="1167" t="n">
        <f aca="false">IF(EZ84="No",IF((OR(MONTH(C84)=5,MONTH(C84)=6,MONTH(C84)=7,MONTH(C84)=8,MONTH(C84)=9)),$FA84*12*AX84*(1-$BC84),$FA84*10*AX84*(1-$BC84)),0)</f>
        <v>12233.7</v>
      </c>
      <c r="FC84" s="1129" t="n">
        <f aca="false">IF(EZ84="No",IF((OR(MONTH(C84)=5,MONTH(C84)=6,MONTH(C84)=7,MONTH(C84)=8,MONTH(C84)=9)),0,$FA84*3*AX84*(1-$BC84)),0)</f>
        <v>0</v>
      </c>
      <c r="FD84" s="1129" t="n">
        <f aca="false">IF(EZ84="No",IF((OR(MONTH(C84)=5,MONTH(C84)=6,MONTH(C84)=7,MONTH(C84)=8,MONTH(C84)=9)),$FA84*12*AY84*(1-$BC84),$FA84*10*AY84*(1-$BC84)),0)</f>
        <v>2127.6</v>
      </c>
      <c r="FE84" s="1129" t="n">
        <f aca="false">IF(EZ84="No",IF((OR(MONTH(C84)=5,MONTH(C84)=6,MONTH(C84)=7,MONTH(C84)=8,MONTH(C84)=9)),0,$FA84*3*AY84*(1-$BC84)),0)</f>
        <v>0</v>
      </c>
      <c r="FF84" s="1129" t="n">
        <f aca="false">IF(EZ84="No",IF((OR(MONTH(C84)=5,MONTH(C84)=6,MONTH(C84)=7,MONTH(C84)=8,MONTH(C84)=9)),$FA84*12*(AZ84+BA84)*(1-$BC84),$FA84*10*(AZ84+BA84)*(1-$BC84)),0)</f>
        <v>2127.6</v>
      </c>
      <c r="FG84" s="1129" t="n">
        <f aca="false">IF(EZ84="No",IF((OR(MONTH(C84)=5,MONTH(C84)=6,MONTH(C84)=7,MONTH(C84)=8,MONTH(C84)=9)),0,$FA84*3*(AZ84+BA84)*(1-$BC84)),0)</f>
        <v>0</v>
      </c>
      <c r="FH84" s="1170" t="n">
        <f aca="false">IF(EZ84="No",IF((OR(MONTH(C84)=5,MONTH(C84)=6,MONTH(C84)=7,MONTH(C84)=8,MONTH(C84)=9)),Summary!$O$15*12*(AX84+AY84+AZ84+BA84)*(1-$BC84),Summary!$O$15*13*(AX84+AY84+AZ84+BA84)*(1-$BC84)+IF(Summary!$O$16="Yes",(CALC!FA84+Summary!$O$15)*6*(AX84+AY84+AZ84+BA84)*(1-$BC84),0)),0)</f>
        <v>0</v>
      </c>
      <c r="FI84" s="1126" t="n">
        <f aca="false">IF(MONTH(C84)=5,FI83*(IF(Summary!$E$70="no",(1+(Summary!$E$71*0.8)),1+HLOOKUP(YEAR(C84)-1,CCFMODEL!$I$127:$AF$128,2)*0.8)),+FI83)</f>
        <v>30.6706804535374</v>
      </c>
      <c r="FJ84" s="1127" t="n">
        <f aca="false">IF(MONTH(C84)=5,FJ83*(IF(Summary!$E$70="no",(1+(Summary!$E$71*0.8)),1+HLOOKUP(YEAR(CALC!C84)-1,CCFMODEL!$I$127:$AF$128,2)*0.8)),FJ83)</f>
        <v>26.8066577192335</v>
      </c>
      <c r="FK84" s="1128" t="n">
        <f aca="false">SUM(FB84:FG84)*FI84+FH84*FJ84</f>
        <v>505725.782930333</v>
      </c>
      <c r="FL84" s="1126" t="n">
        <f aca="false">IF(MONTH(C84)=5,FL83*(IF(Summary!$E$70="no",(1+(Summary!$E$71*0.8)),1+HLOOKUP(YEAR(CALC!C84)-1,CCFMODEL!$I$127:$AF$128,2)*0.8)),+FL83)</f>
        <v>64.50387951402</v>
      </c>
      <c r="FM84" s="1127" t="n">
        <f aca="false">IF(MONTH(C84)=5,FM83*(IF(Summary!$E$70="no",(1+(Summary!$E$71*0.8)),1+HLOOKUP(YEAR(CALC!C84)-1,CCFMODEL!$I$127:$AF$128,2)*0.8)),+FM83)</f>
        <v>30.7856811301536</v>
      </c>
      <c r="FN84" s="1128" t="n">
        <f aca="false">IF((OR(MONTH(C84)=5,MONTH(C84)=6,MONTH(C84)=7,MONTH(C84)=8,MONTH(C84)=9)),SUM(FB84:FG84)/(1-BC84)*FL84,SUM(FB84:FG84)/(1-BC84)*FM84)</f>
        <v>1079794.94306469</v>
      </c>
      <c r="FO84" s="1129" t="n">
        <f aca="false">FK84+FN84</f>
        <v>1585520.72599503</v>
      </c>
      <c r="FP84" s="1169" t="n">
        <f aca="false">FB84</f>
        <v>12233.7</v>
      </c>
      <c r="FQ84" s="1129" t="n">
        <f aca="false">FC84</f>
        <v>0</v>
      </c>
      <c r="FR84" s="1129" t="n">
        <f aca="false">FD84</f>
        <v>2127.6</v>
      </c>
      <c r="FS84" s="1129" t="n">
        <f aca="false">FE84</f>
        <v>0</v>
      </c>
      <c r="FT84" s="1129" t="n">
        <f aca="false">FF84</f>
        <v>2127.6</v>
      </c>
      <c r="FU84" s="1129" t="n">
        <f aca="false">FG84</f>
        <v>0</v>
      </c>
      <c r="FV84" s="1170" t="n">
        <f aca="false">FH84</f>
        <v>0</v>
      </c>
      <c r="FW84" s="1115" t="n">
        <f aca="false">IF(ER84&gt;0,MIN(FB84-FP84,BL84),0)</f>
        <v>0</v>
      </c>
      <c r="FX84" s="1115" t="n">
        <f aca="false">IF(ES84&gt;0,MIN(FD84-FR84,BM84),0)</f>
        <v>0</v>
      </c>
      <c r="FY84" s="1115" t="n">
        <f aca="false">IF(ET84&gt;0,MIN(FF84-FT84,BN84),0)</f>
        <v>0</v>
      </c>
      <c r="FZ84" s="1143" t="n">
        <f aca="false">IF(EU84&gt;0,MIN(FH84-FV84,BO84),0)</f>
        <v>0</v>
      </c>
      <c r="GA84" s="1132" t="n">
        <f aca="false">(SUM(FP84:FV84)+SUM(GU84:HB84)/(1-Summary!$O$25))*CY84/1000</f>
        <v>204296.299628544</v>
      </c>
      <c r="GB84" s="1133" t="n">
        <f aca="false">IF($C84&lt;Summary!$M$81,+Summary!$O$81,VLOOKUP(C84,GasTable,19))</f>
        <v>2.4</v>
      </c>
      <c r="GC84" s="1134" t="n">
        <f aca="false">IF(H84&lt;=Summary!$N$84,MIN(GA84,Summary!$O$75*(H84-G84+1)),0)</f>
        <v>155000</v>
      </c>
      <c r="GD84" s="1135" t="n">
        <f aca="false">IF(Summary!$O$75*(H84-G84+1)*0.8&gt;GC84,1,0)</f>
        <v>0</v>
      </c>
      <c r="GE84" s="1136" t="n">
        <v>0</v>
      </c>
      <c r="GF84" s="1134" t="n">
        <f aca="false">ABS(MIN(0,GC84-$GA84))</f>
        <v>49296.299628544</v>
      </c>
      <c r="GG84" s="1135" t="n">
        <f aca="false">GF84*(IF(Summary!$O$74=1,VLOOKUP($C84,GasTable,16)+Summary!$O$92+Summary!$O$93,VLOOKUP($C84,GasTable,19)+Summary!$O$92+Summary!$O$93))</f>
        <v>138894.137247393</v>
      </c>
      <c r="GH84" s="1137" t="n">
        <v>18507</v>
      </c>
      <c r="GI84" s="1138" t="n">
        <v>0</v>
      </c>
      <c r="GJ84" s="1139" t="n">
        <f aca="false">+GB84*GC84+GE84+GG84+GH84-GI84</f>
        <v>529401.137247393</v>
      </c>
      <c r="GK84" s="1115" t="n">
        <f aca="false">SUM(FP84:FV84,GU84:GX84,GY84:HB84)</f>
        <v>26035.9731</v>
      </c>
      <c r="GL84" s="1140" t="n">
        <v>0.76043188992</v>
      </c>
      <c r="GM84" s="1141" t="n">
        <f aca="false">IF(GK84&gt;GC84/(CY84/1000),GC84/(CY84/1000),+GK84)*GL84</f>
        <v>15221</v>
      </c>
      <c r="GN84" s="1115" t="n">
        <f aca="false">IF(SUM(GU84:HB84)=0,0,IF(Summary!$O$16="Yes",SUM(GX84:HB84),IF(Summary!$O$17="Yes",SUM(GY84:HB84),SUM(GU84:HB84))))</f>
        <v>9547.0731</v>
      </c>
      <c r="GO84" s="1142" t="n">
        <v>2.7585222762878</v>
      </c>
      <c r="GP84" s="1143" t="n">
        <f aca="false">GN84*GO84</f>
        <v>26335.813819698</v>
      </c>
      <c r="GQ84" s="1115"/>
      <c r="GR84" s="1115"/>
      <c r="GS84" s="1115"/>
      <c r="GT84" s="1115"/>
      <c r="GU84" s="1150" t="n">
        <v>3935.1735</v>
      </c>
      <c r="GV84" s="1115" t="n">
        <v>684.378</v>
      </c>
      <c r="GW84" s="1115" t="n">
        <v>684.378</v>
      </c>
      <c r="GX84" s="1115"/>
      <c r="GY84" s="1151" t="n">
        <v>3148.1388</v>
      </c>
      <c r="GZ84" s="1115" t="n">
        <v>547.5024</v>
      </c>
      <c r="HA84" s="1115" t="n">
        <v>547.5024</v>
      </c>
      <c r="HB84" s="1141"/>
      <c r="HC84" s="1115" t="n">
        <v>9547.0731</v>
      </c>
      <c r="HD84" s="1115"/>
      <c r="HE84" s="1115" t="n">
        <v>22276.5039</v>
      </c>
      <c r="HF84" s="1115" t="n">
        <v>506337.085808512</v>
      </c>
      <c r="HG84" s="1115"/>
      <c r="HH84" s="1142" t="n">
        <v>55.8416248235282</v>
      </c>
      <c r="HI84" s="1115" t="n">
        <v>1243956.17316366</v>
      </c>
      <c r="HJ84" s="1150" t="n">
        <f aca="false">MAX(FB84-FP84-FW84,0)</f>
        <v>0</v>
      </c>
      <c r="HK84" s="1115" t="n">
        <f aca="false">MAX(FD84-FR84-FX84,0)</f>
        <v>0</v>
      </c>
      <c r="HL84" s="1115" t="n">
        <f aca="false">MAX(FF84-FT84-FY84,0)</f>
        <v>0</v>
      </c>
      <c r="HM84" s="1141" t="n">
        <f aca="false">MAX(FH84-FV84-FZ84,0)</f>
        <v>0</v>
      </c>
      <c r="HN84" s="1115" t="n">
        <f aca="false">SUM(HJ84:HM84)</f>
        <v>0</v>
      </c>
      <c r="HO84" s="1142" t="n">
        <f aca="false">IF(ISERROR(+HP84/HN84),0,+HP84/HN84)</f>
        <v>0</v>
      </c>
      <c r="HP84" s="1143" t="n">
        <f aca="false">(HJ84*CE84+HK84*CF84+HL84*CG84+HM84*CH84)</f>
        <v>0</v>
      </c>
      <c r="HQ84" s="1146"/>
      <c r="HR84" s="1150"/>
      <c r="HS84" s="1110"/>
      <c r="HT84" s="1141"/>
      <c r="HU84" s="1151"/>
      <c r="HV84" s="1142"/>
      <c r="HW84" s="1115"/>
      <c r="HX84" s="1149"/>
      <c r="HY84" s="1143"/>
      <c r="HZ84" s="1150"/>
      <c r="IA84" s="1142"/>
      <c r="IB84" s="1141"/>
      <c r="IC84" s="1151"/>
      <c r="ID84" s="1142"/>
      <c r="IE84" s="1141"/>
      <c r="IF84" s="1115"/>
      <c r="IG84" s="1142"/>
      <c r="IH84" s="1141"/>
      <c r="II84" s="1115"/>
      <c r="IJ84" s="1142"/>
      <c r="IK84" s="1115"/>
      <c r="IL84" s="1152"/>
      <c r="IM84" s="1192"/>
      <c r="IN84" s="1151"/>
      <c r="IO84" s="1151"/>
      <c r="IP84" s="1151"/>
      <c r="IQ84" s="1151"/>
      <c r="IR84" s="844"/>
    </row>
    <row r="85" customFormat="false" ht="13.5" hidden="false" customHeight="false" outlineLevel="0" collapsed="false">
      <c r="A85" s="0" t="str">
        <f aca="false">+D85&amp;"Q"&amp;ROUNDUP(E85/3,0)</f>
        <v>2005Q3</v>
      </c>
      <c r="B85" s="0" t="n">
        <f aca="false">YEAR(C85)</f>
        <v>2005</v>
      </c>
      <c r="C85" s="1153" t="n">
        <f aca="false">EOMONTH(C84,0)+1</f>
        <v>38596</v>
      </c>
      <c r="D85" s="841" t="n">
        <f aca="false">+YEAR(C85)</f>
        <v>2005</v>
      </c>
      <c r="E85" s="807" t="n">
        <f aca="false">MONTH(C85)</f>
        <v>9</v>
      </c>
      <c r="F85" s="1154" t="e">
        <f aca="false">IF(G85="","",Holiday(D85,E85))</f>
        <v>#VALUE!</v>
      </c>
      <c r="G85" s="1155" t="n">
        <v>38596</v>
      </c>
      <c r="H85" s="1156" t="n">
        <v>38625</v>
      </c>
      <c r="I85" s="1157" t="n">
        <f aca="false">I84</f>
        <v>0.0715</v>
      </c>
      <c r="J85" s="1158" t="n">
        <f aca="false">(1+I85/2)^(-2*(DATE(D86,E86,20)-$H$7)/365.25)</f>
        <v>0.663096438242166</v>
      </c>
      <c r="K85" s="1159"/>
      <c r="L85" s="1158"/>
      <c r="M85" s="1082" t="n">
        <v>0</v>
      </c>
      <c r="N85" s="1110" t="n">
        <f aca="false">M85</f>
        <v>0</v>
      </c>
      <c r="O85" s="1174" t="n">
        <f aca="false">N85</f>
        <v>0</v>
      </c>
      <c r="P85" s="1175" t="n">
        <f aca="false">M85</f>
        <v>0</v>
      </c>
      <c r="Q85" s="1110" t="n">
        <f aca="false">P85</f>
        <v>0</v>
      </c>
      <c r="R85" s="1174" t="n">
        <f aca="false">Q85</f>
        <v>0</v>
      </c>
      <c r="S85" s="1110" t="n">
        <f aca="false">R85</f>
        <v>0</v>
      </c>
      <c r="T85" s="1110" t="n">
        <f aca="false">S85</f>
        <v>0</v>
      </c>
      <c r="U85" s="1110" t="n">
        <f aca="false">T85</f>
        <v>0</v>
      </c>
      <c r="V85" s="1175" t="n">
        <f aca="false">U85</f>
        <v>0</v>
      </c>
      <c r="W85" s="1110" t="n">
        <f aca="false">V85</f>
        <v>0</v>
      </c>
      <c r="X85" s="1176" t="n">
        <f aca="false">W85</f>
        <v>0</v>
      </c>
      <c r="Y85" s="1086" t="n">
        <v>0</v>
      </c>
      <c r="Z85" s="1086" t="n">
        <v>0</v>
      </c>
      <c r="AA85" s="1087" t="n">
        <v>0</v>
      </c>
      <c r="AB85" s="1086" t="n">
        <v>0</v>
      </c>
      <c r="AC85" s="1086" t="n">
        <v>0</v>
      </c>
      <c r="AD85" s="1087" t="n">
        <v>0</v>
      </c>
      <c r="AE85" s="1086" t="n">
        <v>0</v>
      </c>
      <c r="AF85" s="1086" t="n">
        <v>0</v>
      </c>
      <c r="AG85" s="1087" t="n">
        <v>0</v>
      </c>
      <c r="AH85" s="1086" t="n">
        <v>0</v>
      </c>
      <c r="AI85" s="1086" t="n">
        <v>0</v>
      </c>
      <c r="AJ85" s="1087" t="n">
        <v>0</v>
      </c>
      <c r="AK85" s="1086" t="n">
        <v>0</v>
      </c>
      <c r="AL85" s="1086" t="n">
        <v>0</v>
      </c>
      <c r="AM85" s="1087" t="n">
        <v>0</v>
      </c>
      <c r="AN85" s="1086" t="n">
        <v>0</v>
      </c>
      <c r="AO85" s="1086" t="n">
        <v>0</v>
      </c>
      <c r="AP85" s="1087" t="n">
        <v>0</v>
      </c>
      <c r="AQ85" s="1086" t="n">
        <v>0</v>
      </c>
      <c r="AR85" s="1086" t="n">
        <v>0</v>
      </c>
      <c r="AS85" s="1087" t="n">
        <v>0</v>
      </c>
      <c r="AT85" s="1086" t="n">
        <v>0</v>
      </c>
      <c r="AU85" s="1086" t="n">
        <v>0</v>
      </c>
      <c r="AV85" s="1086" t="n">
        <v>0</v>
      </c>
      <c r="AW85" s="1172" t="n">
        <v>0</v>
      </c>
      <c r="AX85" s="807" t="e">
        <f aca="false">BB85-SUM(AY85:BA85)</f>
        <v>#VALUE!</v>
      </c>
      <c r="AY85" s="807" t="e">
        <f aca="false">IF(AND($E85=MONTH(Summary!$E$24),$D85=YEAR(Summary!$E$24)),Summary!$E$25,1)*IF(G85="",0,INT((H85-MOD(H85,7)-G85)/7)+1-IF(BA85,IF(WEEKDAY(F85)=7,1,0),0))</f>
        <v>#VALUE!</v>
      </c>
      <c r="AZ85" s="807" t="e">
        <f aca="false">IF(AND($E85=MONTH(Summary!$E$24),$D85=YEAR(Summary!$E$24)),Summary!$E$25,1)*IF(G85="",0,INT((H85-MOD(H85-1,7)-G85)/7)+1-IF(BA85,IF(WEEKDAY(F85)=1,1,0),0))</f>
        <v>#VALUE!</v>
      </c>
      <c r="BA85" s="807" t="n">
        <v>1</v>
      </c>
      <c r="BB85" s="807" t="n">
        <f aca="false">IF(AND($E85=MONTH(Summary!$E$24),$D85=YEAR(Summary!$E$24)),Summary!$E$25,1)*IF(G85="",0,H85-G85+1)</f>
        <v>30</v>
      </c>
      <c r="BC85" s="1089" t="n">
        <f aca="false">Summary!$E$19</f>
        <v>0.015</v>
      </c>
      <c r="BD85" s="1090" t="n">
        <v>14893.2</v>
      </c>
      <c r="BE85" s="1091" t="n">
        <v>2836.8</v>
      </c>
      <c r="BF85" s="1091" t="n">
        <v>3546</v>
      </c>
      <c r="BG85" s="842"/>
      <c r="BH85" s="1092" t="n">
        <v>1</v>
      </c>
      <c r="BI85" s="1092" t="n">
        <v>1</v>
      </c>
      <c r="BJ85" s="1092" t="n">
        <v>1</v>
      </c>
      <c r="BK85" s="1092" t="n">
        <v>1</v>
      </c>
      <c r="BL85" s="1093" t="n">
        <v>2978.64</v>
      </c>
      <c r="BM85" s="1091" t="n">
        <v>567.36</v>
      </c>
      <c r="BN85" s="1091" t="n">
        <v>709.2</v>
      </c>
      <c r="BO85" s="842"/>
      <c r="BP85" s="1092" t="n">
        <v>1</v>
      </c>
      <c r="BQ85" s="1094" t="n">
        <v>1</v>
      </c>
      <c r="BR85" s="1094" t="n">
        <v>1</v>
      </c>
      <c r="BS85" s="1095" t="n">
        <v>1</v>
      </c>
      <c r="BT85" s="1093" t="n">
        <f aca="false">SUM(BD85:BF85)</f>
        <v>21276</v>
      </c>
      <c r="BU85" s="1098" t="n">
        <f aca="false">SUM(BD85:BG85)</f>
        <v>21276</v>
      </c>
      <c r="BV85" s="1090" t="n">
        <f aca="false">SUM(BL85:BN85)</f>
        <v>4255.2</v>
      </c>
      <c r="BW85" s="1098" t="n">
        <f aca="false">SUM(BL85:BO85)</f>
        <v>4255.2</v>
      </c>
      <c r="BX85" s="852" t="n">
        <v>5.7138945927447</v>
      </c>
      <c r="BY85" s="1099" t="n">
        <v>0</v>
      </c>
      <c r="BZ85" s="852" t="n">
        <v>0</v>
      </c>
      <c r="CA85" s="852" t="n">
        <v>0</v>
      </c>
      <c r="CB85" s="852" t="n">
        <v>0</v>
      </c>
      <c r="CC85" s="852" t="n">
        <v>0</v>
      </c>
      <c r="CD85" s="852" t="n">
        <v>0</v>
      </c>
      <c r="CE85" s="1100" t="n">
        <v>0</v>
      </c>
      <c r="CF85" s="852" t="n">
        <v>0</v>
      </c>
      <c r="CG85" s="852" t="n">
        <v>0</v>
      </c>
      <c r="CH85" s="852" t="n">
        <v>0</v>
      </c>
      <c r="CI85" s="852" t="n">
        <v>0</v>
      </c>
      <c r="CJ85" s="1101" t="n">
        <v>0</v>
      </c>
      <c r="CK85" s="852" t="n">
        <v>0</v>
      </c>
      <c r="CL85" s="852" t="n">
        <v>0</v>
      </c>
      <c r="CM85" s="852" t="n">
        <v>0</v>
      </c>
      <c r="CN85" s="852" t="n">
        <v>0</v>
      </c>
      <c r="CO85" s="852" t="n">
        <v>0</v>
      </c>
      <c r="CP85" s="852" t="n">
        <v>0</v>
      </c>
      <c r="CQ85" s="1102" t="n">
        <v>0</v>
      </c>
      <c r="CR85" s="1103" t="n">
        <v>0</v>
      </c>
      <c r="CS85" s="1103" t="n">
        <v>0</v>
      </c>
      <c r="CT85" s="1103" t="n">
        <v>0</v>
      </c>
      <c r="CU85" s="1103" t="n">
        <v>0</v>
      </c>
      <c r="CV85" s="1103" t="n">
        <v>0</v>
      </c>
      <c r="CW85" s="1103" t="n">
        <v>0</v>
      </c>
      <c r="CX85" s="1104" t="n">
        <v>0</v>
      </c>
      <c r="CY85" s="1105" t="n">
        <v>7745.00848</v>
      </c>
      <c r="CZ85" s="1099" t="n">
        <v>0</v>
      </c>
      <c r="DA85" s="852" t="n">
        <v>0</v>
      </c>
      <c r="DB85" s="852" t="n">
        <v>0</v>
      </c>
      <c r="DC85" s="852" t="n">
        <v>0</v>
      </c>
      <c r="DD85" s="852" t="n">
        <v>0</v>
      </c>
      <c r="DE85" s="1113" t="n">
        <v>0</v>
      </c>
      <c r="DF85" s="1109" t="n">
        <v>0</v>
      </c>
      <c r="DG85" s="1110" t="n">
        <v>0</v>
      </c>
      <c r="DH85" s="1111" t="n">
        <v>0</v>
      </c>
      <c r="DI85" s="1112" t="n">
        <v>0</v>
      </c>
      <c r="DJ85" s="1112" t="n">
        <v>0</v>
      </c>
      <c r="DK85" s="1112" t="n">
        <v>0</v>
      </c>
      <c r="DL85" s="1113" t="n">
        <v>0</v>
      </c>
      <c r="DM85" s="1114" t="n">
        <v>0</v>
      </c>
      <c r="DN85" s="1114" t="n">
        <v>0</v>
      </c>
      <c r="DO85" s="1114" t="n">
        <v>0</v>
      </c>
      <c r="DP85" s="1114" t="n">
        <v>0</v>
      </c>
      <c r="DQ85" s="1114" t="n">
        <v>0</v>
      </c>
      <c r="DR85" s="1109" t="n">
        <v>0</v>
      </c>
      <c r="DS85" s="852" t="n">
        <v>0</v>
      </c>
      <c r="DT85" s="852" t="n">
        <v>0</v>
      </c>
      <c r="DU85" s="852" t="n">
        <v>0</v>
      </c>
      <c r="DV85" s="852" t="n">
        <v>0</v>
      </c>
      <c r="DW85" s="852" t="n">
        <v>0</v>
      </c>
      <c r="DX85" s="852" t="n">
        <v>0</v>
      </c>
      <c r="DY85" s="852" t="n">
        <v>0</v>
      </c>
      <c r="DZ85" s="852" t="n">
        <v>0</v>
      </c>
      <c r="EA85" s="852" t="n">
        <v>0</v>
      </c>
      <c r="EB85" s="1113" t="n">
        <v>0</v>
      </c>
      <c r="EC85" s="1115" t="n">
        <f aca="false">DS85*BD85</f>
        <v>0</v>
      </c>
      <c r="ED85" s="1115" t="n">
        <f aca="false">DT85*BE85</f>
        <v>0</v>
      </c>
      <c r="EE85" s="1115" t="n">
        <f aca="false">DU85*BF85</f>
        <v>0</v>
      </c>
      <c r="EF85" s="1115" t="n">
        <f aca="false">DV85*BG85</f>
        <v>0</v>
      </c>
      <c r="EG85" s="1115" t="n">
        <f aca="false">DS85*BD85+DT85*BE85+DU85*BF85+DV85*BG85</f>
        <v>0</v>
      </c>
      <c r="EH85" s="1116" t="n">
        <v>0</v>
      </c>
      <c r="EI85" s="1117" t="n">
        <v>0</v>
      </c>
      <c r="EJ85" s="1117" t="n">
        <v>0</v>
      </c>
      <c r="EK85" s="1117" t="n">
        <v>0</v>
      </c>
      <c r="EL85" s="1118" t="n">
        <f aca="false">IF(C85&gt;=Summary!$E$26,MAX(0,SUM(EH85:EK85)),0)</f>
        <v>0</v>
      </c>
      <c r="EM85" s="1115" t="n">
        <f aca="false">IF(C85&gt;=Summary!$E$26,DX85*BL85,0)</f>
        <v>0</v>
      </c>
      <c r="EN85" s="1115" t="n">
        <f aca="false">IF(C85&gt;=Summary!$E$26,DY85*BM85,0)</f>
        <v>0</v>
      </c>
      <c r="EO85" s="1115" t="n">
        <f aca="false">IF(C85&gt;=Summary!$E$26,DZ85*BN85,0)</f>
        <v>0</v>
      </c>
      <c r="EP85" s="1115" t="n">
        <f aca="false">IF(C85&gt;=Summary!$E$26,EA85*BO85,0)</f>
        <v>0</v>
      </c>
      <c r="EQ85" s="1115" t="n">
        <f aca="false">IF(C85&gt;=Summary!$E$26,DX85*BL85+DY85*BM85+DZ85*BN85+EA85*BO85,0)</f>
        <v>0</v>
      </c>
      <c r="ER85" s="1119" t="n">
        <v>0</v>
      </c>
      <c r="ES85" s="1120" t="n">
        <v>0</v>
      </c>
      <c r="ET85" s="1120" t="n">
        <v>0</v>
      </c>
      <c r="EU85" s="1120" t="n">
        <v>0</v>
      </c>
      <c r="EV85" s="1143" t="n">
        <f aca="false">IF(C85&gt;=Summary!$E$26,MAX(0,SUM(ER85:EU85)),0)</f>
        <v>0</v>
      </c>
      <c r="EW85" s="1115"/>
      <c r="EX85" s="1165" t="n">
        <f aca="false">(EQ85-EV85)+IF(EZ85="Yes",(EG85-EL85),0)</f>
        <v>0</v>
      </c>
      <c r="EY85" s="1166" t="str">
        <f aca="false">IF(EX85,EX85/EQ85,"")</f>
        <v/>
      </c>
      <c r="EZ85" s="1122" t="s">
        <v>37</v>
      </c>
      <c r="FA85" s="1096" t="n">
        <f aca="false">FA84</f>
        <v>45</v>
      </c>
      <c r="FB85" s="1167" t="e">
        <f aca="false">IF(EZ85="No",IF((OR(MONTH(C85)=5,MONTH(C85)=6,MONTH(C85)=7,MONTH(C85)=8,MONTH(C85)=9)),$FA85*12*AX85*(1-$BC85),$FA85*10*AX85*(1-$BC85)),0)</f>
        <v>#VALUE!</v>
      </c>
      <c r="FC85" s="1129" t="n">
        <f aca="false">IF(EZ85="No",IF((OR(MONTH(C85)=5,MONTH(C85)=6,MONTH(C85)=7,MONTH(C85)=8,MONTH(C85)=9)),0,$FA85*3*AX85*(1-$BC85)),0)</f>
        <v>0</v>
      </c>
      <c r="FD85" s="1129" t="e">
        <f aca="false">IF(EZ85="No",IF((OR(MONTH(C85)=5,MONTH(C85)=6,MONTH(C85)=7,MONTH(C85)=8,MONTH(C85)=9)),$FA85*12*AY85*(1-$BC85),$FA85*10*AY85*(1-$BC85)),0)</f>
        <v>#VALUE!</v>
      </c>
      <c r="FE85" s="1129" t="n">
        <f aca="false">IF(EZ85="No",IF((OR(MONTH(C85)=5,MONTH(C85)=6,MONTH(C85)=7,MONTH(C85)=8,MONTH(C85)=9)),0,$FA85*3*AY85*(1-$BC85)),0)</f>
        <v>0</v>
      </c>
      <c r="FF85" s="1129" t="e">
        <f aca="false">IF(EZ85="No",IF((OR(MONTH(C85)=5,MONTH(C85)=6,MONTH(C85)=7,MONTH(C85)=8,MONTH(C85)=9)),$FA85*12*(AZ85+BA85)*(1-$BC85),$FA85*10*(AZ85+BA85)*(1-$BC85)),0)</f>
        <v>#VALUE!</v>
      </c>
      <c r="FG85" s="1129" t="n">
        <f aca="false">IF(EZ85="No",IF((OR(MONTH(C85)=5,MONTH(C85)=6,MONTH(C85)=7,MONTH(C85)=8,MONTH(C85)=9)),0,$FA85*3*(AZ85+BA85)*(1-$BC85)),0)</f>
        <v>0</v>
      </c>
      <c r="FH85" s="1170" t="e">
        <f aca="false">IF(EZ85="No",IF((OR(MONTH(C85)=5,MONTH(C85)=6,MONTH(C85)=7,MONTH(C85)=8,MONTH(C85)=9)),Summary!$O$15*12*(AX85+AY85+AZ85+BA85)*(1-$BC85),Summary!$O$15*13*(AX85+AY85+AZ85+BA85)*(1-$BC85)+IF(Summary!$O$16="Yes",(CALC!FA85+Summary!$O$15)*6*(AX85+AY85+AZ85+BA85)*(1-$BC85),0)),0)</f>
        <v>#VALUE!</v>
      </c>
      <c r="FI85" s="1126" t="n">
        <f aca="false">IF(MONTH(C85)=5,FI84*(IF(Summary!$E$70="no",(1+(Summary!$E$71*0.8)),1+HLOOKUP(YEAR(C85)-1,CCFMODEL!$I$127:$AF$128,2)*0.8)),+FI84)</f>
        <v>30.6706804535374</v>
      </c>
      <c r="FJ85" s="1127" t="n">
        <f aca="false">IF(MONTH(C85)=5,FJ84*(IF(Summary!$E$70="no",(1+(Summary!$E$71*0.8)),1+HLOOKUP(YEAR(CALC!C85)-1,CCFMODEL!$I$127:$AF$128,2)*0.8)),FJ84)</f>
        <v>26.8066577192335</v>
      </c>
      <c r="FK85" s="1128" t="e">
        <f aca="false">SUM(FB85:FG85)*FI85+FH85*FJ85</f>
        <v>#VALUE!</v>
      </c>
      <c r="FL85" s="1126" t="n">
        <f aca="false">IF(MONTH(C85)=5,FL84*(IF(Summary!$E$70="no",(1+(Summary!$E$71*0.8)),1+HLOOKUP(YEAR(CALC!C85)-1,CCFMODEL!$I$127:$AF$128,2)*0.8)),+FL84)</f>
        <v>64.50387951402</v>
      </c>
      <c r="FM85" s="1127" t="n">
        <f aca="false">IF(MONTH(C85)=5,FM84*(IF(Summary!$E$70="no",(1+(Summary!$E$71*0.8)),1+HLOOKUP(YEAR(CALC!C85)-1,CCFMODEL!$I$127:$AF$128,2)*0.8)),+FM84)</f>
        <v>30.7856811301536</v>
      </c>
      <c r="FN85" s="1128" t="e">
        <f aca="false">IF((OR(MONTH(C85)=5,MONTH(C85)=6,MONTH(C85)=7,MONTH(C85)=8,MONTH(C85)=9)),SUM(FB85:FG85)/(1-BC85)*FL85,SUM(FB85:FG85)/(1-BC85)*FM85)</f>
        <v>#VALUE!</v>
      </c>
      <c r="FO85" s="1129" t="e">
        <f aca="false">FK85+FN85</f>
        <v>#VALUE!</v>
      </c>
      <c r="FP85" s="1169" t="e">
        <f aca="false">FB85</f>
        <v>#VALUE!</v>
      </c>
      <c r="FQ85" s="1129" t="n">
        <f aca="false">FC85</f>
        <v>0</v>
      </c>
      <c r="FR85" s="1129" t="e">
        <f aca="false">FD85</f>
        <v>#VALUE!</v>
      </c>
      <c r="FS85" s="1129" t="n">
        <f aca="false">FE85</f>
        <v>0</v>
      </c>
      <c r="FT85" s="1129" t="e">
        <f aca="false">FF85</f>
        <v>#VALUE!</v>
      </c>
      <c r="FU85" s="1129" t="n">
        <f aca="false">FG85</f>
        <v>0</v>
      </c>
      <c r="FV85" s="1170" t="e">
        <f aca="false">FH85</f>
        <v>#VALUE!</v>
      </c>
      <c r="FW85" s="1115" t="n">
        <f aca="false">IF(ER85&gt;0,MIN(FB85-FP85,BL85),0)</f>
        <v>0</v>
      </c>
      <c r="FX85" s="1115" t="n">
        <f aca="false">IF(ES85&gt;0,MIN(FD85-FR85,BM85),0)</f>
        <v>0</v>
      </c>
      <c r="FY85" s="1115" t="n">
        <f aca="false">IF(ET85&gt;0,MIN(FF85-FT85,BN85),0)</f>
        <v>0</v>
      </c>
      <c r="FZ85" s="1143" t="n">
        <f aca="false">IF(EU85&gt;0,MIN(FH85-FV85,BO85),0)</f>
        <v>0</v>
      </c>
      <c r="GA85" s="1132" t="e">
        <f aca="false">(SUM(FP85:FV85)+SUM(GU85:HB85)/(1-Summary!$O$25))*CY85/1000</f>
        <v>#VALUE!</v>
      </c>
      <c r="GB85" s="1133" t="n">
        <f aca="false">IF($C85&lt;Summary!$M$81,+Summary!$O$81,VLOOKUP(C85,GasTable,19))</f>
        <v>2.4</v>
      </c>
      <c r="GC85" s="1134" t="e">
        <f aca="false">IF(H85&lt;=Summary!$N$84,MIN(GA85,Summary!$O$75*(H85-G85+1)),0)</f>
        <v>#VALUE!</v>
      </c>
      <c r="GD85" s="1135" t="e">
        <f aca="false">IF(Summary!$O$75*(H85-G85+1)*0.8&gt;GC85,1,0)</f>
        <v>#VALUE!</v>
      </c>
      <c r="GE85" s="1136" t="n">
        <v>0</v>
      </c>
      <c r="GF85" s="1134" t="e">
        <f aca="false">ABS(MIN(0,GC85-$GA85))</f>
        <v>#VALUE!</v>
      </c>
      <c r="GG85" s="1135" t="e">
        <f aca="false">GF85*(IF(Summary!$O$74=1,VLOOKUP($C85,GasTable,16)+Summary!$O$92+Summary!$O$93,VLOOKUP($C85,GasTable,19)+Summary!$O$92+Summary!$O$93))</f>
        <v>#VALUE!</v>
      </c>
      <c r="GH85" s="1137" t="n">
        <v>18078</v>
      </c>
      <c r="GI85" s="1138" t="n">
        <v>0</v>
      </c>
      <c r="GJ85" s="1139" t="e">
        <f aca="false">+GB85*GC85+GE85+GG85+GH85-GI85</f>
        <v>#VALUE!</v>
      </c>
      <c r="GK85" s="1115" t="e">
        <f aca="false">SUM(FP85:FV85,GU85:GX85,GY85:HB85)</f>
        <v>#VALUE!</v>
      </c>
      <c r="GL85" s="1140" t="n">
        <v>0.760559832736</v>
      </c>
      <c r="GM85" s="1141" t="e">
        <f aca="false">IF(GK85&gt;GC85/(CY85/1000),GC85/(CY85/1000),+GK85)*GL85</f>
        <v>#VALUE!</v>
      </c>
      <c r="GN85" s="1115" t="n">
        <f aca="false">IF(SUM(GU85:HB85)=0,0,IF(Summary!$O$16="Yes",SUM(GX85:HB85),IF(Summary!$O$17="Yes",SUM(GY85:HB85),SUM(GU85:HB85))))</f>
        <v>9239.103</v>
      </c>
      <c r="GO85" s="1142" t="n">
        <v>2.7585222762878</v>
      </c>
      <c r="GP85" s="1143" t="n">
        <f aca="false">GN85*GO85</f>
        <v>25486.2714384174</v>
      </c>
      <c r="GQ85" s="1115"/>
      <c r="GR85" s="1115"/>
      <c r="GS85" s="1115"/>
      <c r="GT85" s="1115"/>
      <c r="GU85" s="1150" t="n">
        <v>3592.9845</v>
      </c>
      <c r="GV85" s="1115" t="n">
        <v>684.378</v>
      </c>
      <c r="GW85" s="1115" t="n">
        <v>855.4725</v>
      </c>
      <c r="GX85" s="1115"/>
      <c r="GY85" s="1151" t="n">
        <v>2874.3876</v>
      </c>
      <c r="GZ85" s="1115" t="n">
        <v>547.5024</v>
      </c>
      <c r="HA85" s="1115" t="n">
        <v>684.378</v>
      </c>
      <c r="HB85" s="1141"/>
      <c r="HC85" s="1115" t="n">
        <v>9239.103</v>
      </c>
      <c r="HD85" s="1115"/>
      <c r="HE85" s="1115" t="n">
        <v>21557.907</v>
      </c>
      <c r="HF85" s="1115" t="n">
        <v>409704.387096085</v>
      </c>
      <c r="HG85" s="1115"/>
      <c r="HH85" s="1142" t="n">
        <v>46.0271192462548</v>
      </c>
      <c r="HI85" s="1115" t="n">
        <v>992248.356188671</v>
      </c>
      <c r="HJ85" s="1150" t="e">
        <f aca="false">MAX(FB85-FP85-FW85,0)</f>
        <v>#VALUE!</v>
      </c>
      <c r="HK85" s="1115" t="e">
        <f aca="false">MAX(FD85-FR85-FX85,0)</f>
        <v>#VALUE!</v>
      </c>
      <c r="HL85" s="1115" t="e">
        <f aca="false">MAX(FF85-FT85-FY85,0)</f>
        <v>#VALUE!</v>
      </c>
      <c r="HM85" s="1141" t="e">
        <f aca="false">MAX(FH85-FV85-FZ85,0)</f>
        <v>#VALUE!</v>
      </c>
      <c r="HN85" s="1115" t="e">
        <f aca="false">SUM(HJ85:HM85)</f>
        <v>#VALUE!</v>
      </c>
      <c r="HO85" s="1142" t="n">
        <f aca="false">IF(ISERROR(+HP85/HN85),0,+HP85/HN85)</f>
        <v>0</v>
      </c>
      <c r="HP85" s="1143" t="e">
        <f aca="false">(HJ85*CE85+HK85*CF85+HL85*CG85+HM85*CH85)</f>
        <v>#VALUE!</v>
      </c>
      <c r="HQ85" s="1146"/>
      <c r="HR85" s="1150"/>
      <c r="HS85" s="1110"/>
      <c r="HT85" s="1141"/>
      <c r="HU85" s="1151"/>
      <c r="HV85" s="1142"/>
      <c r="HW85" s="1115"/>
      <c r="HX85" s="1149"/>
      <c r="HY85" s="1143"/>
      <c r="HZ85" s="1150"/>
      <c r="IA85" s="1142"/>
      <c r="IB85" s="1141"/>
      <c r="IC85" s="1151"/>
      <c r="ID85" s="1142"/>
      <c r="IE85" s="1141"/>
      <c r="IF85" s="1115"/>
      <c r="IG85" s="1142"/>
      <c r="IH85" s="1141"/>
      <c r="II85" s="1115"/>
      <c r="IJ85" s="1142"/>
      <c r="IK85" s="1115"/>
      <c r="IL85" s="1152"/>
      <c r="IM85" s="1192"/>
      <c r="IN85" s="1151"/>
      <c r="IO85" s="1151"/>
      <c r="IP85" s="1151"/>
      <c r="IQ85" s="1151"/>
      <c r="IR85" s="844"/>
    </row>
    <row r="86" customFormat="false" ht="13.5" hidden="false" customHeight="false" outlineLevel="0" collapsed="false">
      <c r="A86" s="0" t="str">
        <f aca="false">+D86&amp;"Q"&amp;ROUNDUP(E86/3,0)</f>
        <v>2005Q4</v>
      </c>
      <c r="B86" s="0" t="n">
        <f aca="false">YEAR(C86)</f>
        <v>2005</v>
      </c>
      <c r="C86" s="1153" t="n">
        <f aca="false">EOMONTH(C85,0)+1</f>
        <v>38626</v>
      </c>
      <c r="D86" s="841" t="n">
        <f aca="false">+YEAR(C86)</f>
        <v>2005</v>
      </c>
      <c r="E86" s="807" t="n">
        <f aca="false">MONTH(C86)</f>
        <v>10</v>
      </c>
      <c r="F86" s="1154" t="e">
        <f aca="false">IF(G86="","",Holiday(D86,E86))</f>
        <v>#VALUE!</v>
      </c>
      <c r="G86" s="1155" t="n">
        <v>38626</v>
      </c>
      <c r="H86" s="1156" t="n">
        <v>38656</v>
      </c>
      <c r="I86" s="1157" t="n">
        <f aca="false">I85</f>
        <v>0.0715</v>
      </c>
      <c r="J86" s="1158" t="n">
        <f aca="false">(1+I86/2)^(-2*(DATE(D87,E87,20)-$H$7)/365.25)</f>
        <v>0.659154495483209</v>
      </c>
      <c r="K86" s="1159"/>
      <c r="L86" s="1158"/>
      <c r="M86" s="1082" t="n">
        <v>0</v>
      </c>
      <c r="N86" s="1110" t="n">
        <f aca="false">M86</f>
        <v>0</v>
      </c>
      <c r="O86" s="1174" t="n">
        <f aca="false">N86</f>
        <v>0</v>
      </c>
      <c r="P86" s="1175" t="n">
        <f aca="false">M86</f>
        <v>0</v>
      </c>
      <c r="Q86" s="1110" t="n">
        <f aca="false">P86</f>
        <v>0</v>
      </c>
      <c r="R86" s="1174" t="n">
        <f aca="false">Q86</f>
        <v>0</v>
      </c>
      <c r="S86" s="1110" t="n">
        <f aca="false">R86</f>
        <v>0</v>
      </c>
      <c r="T86" s="1110" t="n">
        <f aca="false">S86</f>
        <v>0</v>
      </c>
      <c r="U86" s="1110" t="n">
        <f aca="false">T86</f>
        <v>0</v>
      </c>
      <c r="V86" s="1175" t="n">
        <f aca="false">U86</f>
        <v>0</v>
      </c>
      <c r="W86" s="1110" t="n">
        <f aca="false">V86</f>
        <v>0</v>
      </c>
      <c r="X86" s="1176" t="n">
        <f aca="false">W86</f>
        <v>0</v>
      </c>
      <c r="Y86" s="1086" t="n">
        <v>0</v>
      </c>
      <c r="Z86" s="1086" t="n">
        <v>0</v>
      </c>
      <c r="AA86" s="1087" t="n">
        <v>0</v>
      </c>
      <c r="AB86" s="1086" t="n">
        <v>0</v>
      </c>
      <c r="AC86" s="1086" t="n">
        <v>0</v>
      </c>
      <c r="AD86" s="1087" t="n">
        <v>0</v>
      </c>
      <c r="AE86" s="1086" t="n">
        <v>0</v>
      </c>
      <c r="AF86" s="1086" t="n">
        <v>0</v>
      </c>
      <c r="AG86" s="1087" t="n">
        <v>0</v>
      </c>
      <c r="AH86" s="1086" t="n">
        <v>0</v>
      </c>
      <c r="AI86" s="1086" t="n">
        <v>0</v>
      </c>
      <c r="AJ86" s="1087" t="n">
        <v>0</v>
      </c>
      <c r="AK86" s="1086" t="n">
        <v>0</v>
      </c>
      <c r="AL86" s="1086" t="n">
        <v>0</v>
      </c>
      <c r="AM86" s="1087" t="n">
        <v>0</v>
      </c>
      <c r="AN86" s="1086" t="n">
        <v>0</v>
      </c>
      <c r="AO86" s="1086" t="n">
        <v>0</v>
      </c>
      <c r="AP86" s="1087" t="n">
        <v>0</v>
      </c>
      <c r="AQ86" s="1086" t="n">
        <v>0</v>
      </c>
      <c r="AR86" s="1086" t="n">
        <v>0</v>
      </c>
      <c r="AS86" s="1087" t="n">
        <v>0</v>
      </c>
      <c r="AT86" s="1086" t="n">
        <v>0</v>
      </c>
      <c r="AU86" s="1086" t="n">
        <v>0</v>
      </c>
      <c r="AV86" s="1086" t="n">
        <v>0</v>
      </c>
      <c r="AW86" s="1172" t="n">
        <v>0</v>
      </c>
      <c r="AX86" s="807" t="n">
        <f aca="false">BB86-SUM(AY86:BA86)</f>
        <v>21</v>
      </c>
      <c r="AY86" s="807" t="n">
        <f aca="false">IF(AND($E86=MONTH(Summary!$E$24),$D86=YEAR(Summary!$E$24)),Summary!$E$25,1)*IF(G86="",0,INT((H86-MOD(H86,7)-G86)/7)+1-IF(BA86,IF(WEEKDAY(F86)=7,1,0),0))</f>
        <v>5</v>
      </c>
      <c r="AZ86" s="807" t="n">
        <f aca="false">IF(AND($E86=MONTH(Summary!$E$24),$D86=YEAR(Summary!$E$24)),Summary!$E$25,1)*IF(G86="",0,INT((H86-MOD(H86-1,7)-G86)/7)+1-IF(BA86,IF(WEEKDAY(F86)=1,1,0),0))</f>
        <v>5</v>
      </c>
      <c r="BA86" s="807" t="n">
        <v>0</v>
      </c>
      <c r="BB86" s="807" t="n">
        <f aca="false">IF(AND($E86=MONTH(Summary!$E$24),$D86=YEAR(Summary!$E$24)),Summary!$E$25,1)*IF(G86="",0,H86-G86+1)</f>
        <v>31</v>
      </c>
      <c r="BC86" s="1089" t="n">
        <f aca="false">Summary!$E$19</f>
        <v>0.015</v>
      </c>
      <c r="BD86" s="1090" t="n">
        <v>14893.2</v>
      </c>
      <c r="BE86" s="1091" t="n">
        <v>3546</v>
      </c>
      <c r="BF86" s="1091" t="n">
        <v>3546</v>
      </c>
      <c r="BG86" s="842"/>
      <c r="BH86" s="1092" t="n">
        <v>1</v>
      </c>
      <c r="BI86" s="1092" t="n">
        <v>1</v>
      </c>
      <c r="BJ86" s="1092" t="n">
        <v>1</v>
      </c>
      <c r="BK86" s="1092" t="n">
        <v>1</v>
      </c>
      <c r="BL86" s="1093" t="n">
        <v>2978.64</v>
      </c>
      <c r="BM86" s="1091" t="n">
        <v>709.2</v>
      </c>
      <c r="BN86" s="1091" t="n">
        <v>709.2</v>
      </c>
      <c r="BO86" s="842"/>
      <c r="BP86" s="1092" t="n">
        <v>1</v>
      </c>
      <c r="BQ86" s="1094" t="n">
        <v>1</v>
      </c>
      <c r="BR86" s="1094" t="n">
        <v>1</v>
      </c>
      <c r="BS86" s="1095" t="n">
        <v>1</v>
      </c>
      <c r="BT86" s="1093" t="n">
        <f aca="false">SUM(BD86:BF86)</f>
        <v>21985.2</v>
      </c>
      <c r="BU86" s="1098" t="n">
        <f aca="false">SUM(BD86:BG86)</f>
        <v>21985.2</v>
      </c>
      <c r="BV86" s="1090" t="n">
        <f aca="false">SUM(BL86:BN86)</f>
        <v>4397.04</v>
      </c>
      <c r="BW86" s="1098" t="n">
        <f aca="false">SUM(BL86:BO86)</f>
        <v>4397.04</v>
      </c>
      <c r="BX86" s="852" t="n">
        <v>5.79603011635866</v>
      </c>
      <c r="BY86" s="1099" t="n">
        <v>0</v>
      </c>
      <c r="BZ86" s="852" t="n">
        <v>0</v>
      </c>
      <c r="CA86" s="852" t="n">
        <v>0</v>
      </c>
      <c r="CB86" s="852" t="n">
        <v>0</v>
      </c>
      <c r="CC86" s="852" t="n">
        <v>0</v>
      </c>
      <c r="CD86" s="852" t="n">
        <v>0</v>
      </c>
      <c r="CE86" s="1100" t="n">
        <v>0</v>
      </c>
      <c r="CF86" s="852" t="n">
        <v>0</v>
      </c>
      <c r="CG86" s="852" t="n">
        <v>0</v>
      </c>
      <c r="CH86" s="852" t="n">
        <v>0</v>
      </c>
      <c r="CI86" s="852" t="n">
        <v>0</v>
      </c>
      <c r="CJ86" s="1101" t="n">
        <v>0</v>
      </c>
      <c r="CK86" s="852" t="n">
        <v>0</v>
      </c>
      <c r="CL86" s="852" t="n">
        <v>0</v>
      </c>
      <c r="CM86" s="852" t="n">
        <v>0</v>
      </c>
      <c r="CN86" s="852" t="n">
        <v>0</v>
      </c>
      <c r="CO86" s="852" t="n">
        <v>0</v>
      </c>
      <c r="CP86" s="852" t="n">
        <v>0</v>
      </c>
      <c r="CQ86" s="1102" t="n">
        <v>0</v>
      </c>
      <c r="CR86" s="1103" t="n">
        <v>0</v>
      </c>
      <c r="CS86" s="1103" t="n">
        <v>0</v>
      </c>
      <c r="CT86" s="1103" t="n">
        <v>0</v>
      </c>
      <c r="CU86" s="1103" t="n">
        <v>0</v>
      </c>
      <c r="CV86" s="1103" t="n">
        <v>0</v>
      </c>
      <c r="CW86" s="1103" t="n">
        <v>0</v>
      </c>
      <c r="CX86" s="1104" t="n">
        <v>0</v>
      </c>
      <c r="CY86" s="1105" t="n">
        <v>7746.31136</v>
      </c>
      <c r="CZ86" s="1099" t="n">
        <v>0</v>
      </c>
      <c r="DA86" s="852" t="n">
        <v>0</v>
      </c>
      <c r="DB86" s="852" t="n">
        <v>0</v>
      </c>
      <c r="DC86" s="852" t="n">
        <v>0</v>
      </c>
      <c r="DD86" s="852" t="n">
        <v>0</v>
      </c>
      <c r="DE86" s="1113" t="n">
        <v>0</v>
      </c>
      <c r="DF86" s="1109" t="n">
        <v>0</v>
      </c>
      <c r="DG86" s="1110" t="n">
        <v>0</v>
      </c>
      <c r="DH86" s="1111" t="n">
        <v>0</v>
      </c>
      <c r="DI86" s="1112" t="n">
        <v>0</v>
      </c>
      <c r="DJ86" s="1112" t="n">
        <v>0</v>
      </c>
      <c r="DK86" s="1112" t="n">
        <v>0</v>
      </c>
      <c r="DL86" s="1113" t="n">
        <v>0</v>
      </c>
      <c r="DM86" s="1114" t="n">
        <v>0</v>
      </c>
      <c r="DN86" s="1114" t="n">
        <v>0</v>
      </c>
      <c r="DO86" s="1114" t="n">
        <v>0</v>
      </c>
      <c r="DP86" s="1114" t="n">
        <v>0</v>
      </c>
      <c r="DQ86" s="1114" t="n">
        <v>0</v>
      </c>
      <c r="DR86" s="1109" t="n">
        <v>0</v>
      </c>
      <c r="DS86" s="852" t="n">
        <v>0</v>
      </c>
      <c r="DT86" s="852" t="n">
        <v>0</v>
      </c>
      <c r="DU86" s="852" t="n">
        <v>0</v>
      </c>
      <c r="DV86" s="852" t="n">
        <v>0</v>
      </c>
      <c r="DW86" s="852" t="n">
        <v>0</v>
      </c>
      <c r="DX86" s="852" t="n">
        <v>0</v>
      </c>
      <c r="DY86" s="852" t="n">
        <v>0</v>
      </c>
      <c r="DZ86" s="852" t="n">
        <v>0</v>
      </c>
      <c r="EA86" s="852" t="n">
        <v>0</v>
      </c>
      <c r="EB86" s="1113" t="n">
        <v>0</v>
      </c>
      <c r="EC86" s="1115" t="n">
        <f aca="false">DS86*BD86</f>
        <v>0</v>
      </c>
      <c r="ED86" s="1115" t="n">
        <f aca="false">DT86*BE86</f>
        <v>0</v>
      </c>
      <c r="EE86" s="1115" t="n">
        <f aca="false">DU86*BF86</f>
        <v>0</v>
      </c>
      <c r="EF86" s="1115" t="n">
        <f aca="false">DV86*BG86</f>
        <v>0</v>
      </c>
      <c r="EG86" s="1115" t="n">
        <f aca="false">DS86*BD86+DT86*BE86+DU86*BF86+DV86*BG86</f>
        <v>0</v>
      </c>
      <c r="EH86" s="1116" t="n">
        <v>0</v>
      </c>
      <c r="EI86" s="1117" t="n">
        <v>0</v>
      </c>
      <c r="EJ86" s="1117" t="n">
        <v>0</v>
      </c>
      <c r="EK86" s="1117" t="n">
        <v>0</v>
      </c>
      <c r="EL86" s="1118" t="n">
        <f aca="false">IF(C86&gt;=Summary!$E$26,MAX(0,SUM(EH86:EK86)),0)</f>
        <v>0</v>
      </c>
      <c r="EM86" s="1115" t="n">
        <f aca="false">IF(C86&gt;=Summary!$E$26,DX86*BL86,0)</f>
        <v>0</v>
      </c>
      <c r="EN86" s="1115" t="n">
        <f aca="false">IF(C86&gt;=Summary!$E$26,DY86*BM86,0)</f>
        <v>0</v>
      </c>
      <c r="EO86" s="1115" t="n">
        <f aca="false">IF(C86&gt;=Summary!$E$26,DZ86*BN86,0)</f>
        <v>0</v>
      </c>
      <c r="EP86" s="1115" t="n">
        <f aca="false">IF(C86&gt;=Summary!$E$26,EA86*BO86,0)</f>
        <v>0</v>
      </c>
      <c r="EQ86" s="1115" t="n">
        <f aca="false">IF(C86&gt;=Summary!$E$26,DX86*BL86+DY86*BM86+DZ86*BN86+EA86*BO86,0)</f>
        <v>0</v>
      </c>
      <c r="ER86" s="1119" t="n">
        <v>0</v>
      </c>
      <c r="ES86" s="1120" t="n">
        <v>0</v>
      </c>
      <c r="ET86" s="1120" t="n">
        <v>0</v>
      </c>
      <c r="EU86" s="1120" t="n">
        <v>0</v>
      </c>
      <c r="EV86" s="1143" t="n">
        <f aca="false">IF(C86&gt;=Summary!$E$26,MAX(0,SUM(ER86:EU86)),0)</f>
        <v>0</v>
      </c>
      <c r="EW86" s="1115"/>
      <c r="EX86" s="1165" t="n">
        <f aca="false">(EQ86-EV86)+IF(EZ86="Yes",(EG86-EL86),0)</f>
        <v>0</v>
      </c>
      <c r="EY86" s="1166" t="str">
        <f aca="false">IF(EX86,EX86/EQ86,"")</f>
        <v/>
      </c>
      <c r="EZ86" s="1122" t="s">
        <v>37</v>
      </c>
      <c r="FA86" s="1096" t="n">
        <f aca="false">FA85</f>
        <v>45</v>
      </c>
      <c r="FB86" s="1167" t="n">
        <f aca="false">IF(EZ86="No",IF((OR(MONTH(C86)=5,MONTH(C86)=6,MONTH(C86)=7,MONTH(C86)=8,MONTH(C86)=9)),$FA86*12*AX86*(1-$BC86),$FA86*10*AX86*(1-$BC86)),0)</f>
        <v>9308.25</v>
      </c>
      <c r="FC86" s="1129" t="n">
        <f aca="false">IF(EZ86="No",IF((OR(MONTH(C86)=5,MONTH(C86)=6,MONTH(C86)=7,MONTH(C86)=8,MONTH(C86)=9)),0,$FA86*3*AX86*(1-$BC86)),0)</f>
        <v>2792.475</v>
      </c>
      <c r="FD86" s="1129" t="n">
        <f aca="false">IF(EZ86="No",IF((OR(MONTH(C86)=5,MONTH(C86)=6,MONTH(C86)=7,MONTH(C86)=8,MONTH(C86)=9)),$FA86*12*AY86*(1-$BC86),$FA86*10*AY86*(1-$BC86)),0)</f>
        <v>2216.25</v>
      </c>
      <c r="FE86" s="1129" t="n">
        <f aca="false">IF(EZ86="No",IF((OR(MONTH(C86)=5,MONTH(C86)=6,MONTH(C86)=7,MONTH(C86)=8,MONTH(C86)=9)),0,$FA86*3*AY86*(1-$BC86)),0)</f>
        <v>664.875</v>
      </c>
      <c r="FF86" s="1129" t="n">
        <f aca="false">IF(EZ86="No",IF((OR(MONTH(C86)=5,MONTH(C86)=6,MONTH(C86)=7,MONTH(C86)=8,MONTH(C86)=9)),$FA86*12*(AZ86+BA86)*(1-$BC86),$FA86*10*(AZ86+BA86)*(1-$BC86)),0)</f>
        <v>2216.25</v>
      </c>
      <c r="FG86" s="1129" t="n">
        <f aca="false">IF(EZ86="No",IF((OR(MONTH(C86)=5,MONTH(C86)=6,MONTH(C86)=7,MONTH(C86)=8,MONTH(C86)=9)),0,$FA86*3*(AZ86+BA86)*(1-$BC86)),0)</f>
        <v>664.875</v>
      </c>
      <c r="FH86" s="1170" t="n">
        <f aca="false">IF(EZ86="No",IF((OR(MONTH(C86)=5,MONTH(C86)=6,MONTH(C86)=7,MONTH(C86)=8,MONTH(C86)=9)),Summary!$O$15*12*(AX86+AY86+AZ86+BA86)*(1-$BC86),Summary!$O$15*13*(AX86+AY86+AZ86+BA86)*(1-$BC86)+IF(Summary!$O$16="Yes",(CALC!FA86+Summary!$O$15)*6*(AX86+AY86+AZ86+BA86)*(1-$BC86),0)),0)</f>
        <v>0</v>
      </c>
      <c r="FI86" s="1126" t="n">
        <f aca="false">IF(MONTH(C86)=5,FI85*(IF(Summary!$E$70="no",(1+(Summary!$E$71*0.8)),1+HLOOKUP(YEAR(C86)-1,CCFMODEL!$I$127:$AF$128,2)*0.8)),+FI85)</f>
        <v>30.6706804535374</v>
      </c>
      <c r="FJ86" s="1127" t="n">
        <f aca="false">IF(MONTH(C86)=5,FJ85*(IF(Summary!$E$70="no",(1+(Summary!$E$71*0.8)),1+HLOOKUP(YEAR(CALC!C86)-1,CCFMODEL!$I$127:$AF$128,2)*0.8)),FJ85)</f>
        <v>26.8066577192335</v>
      </c>
      <c r="FK86" s="1128" t="n">
        <f aca="false">SUM(FB86:FG86)*FI86+FH86*FJ86</f>
        <v>547869.598174527</v>
      </c>
      <c r="FL86" s="1126" t="n">
        <f aca="false">IF(MONTH(C86)=5,FL85*(IF(Summary!$E$70="no",(1+(Summary!$E$71*0.8)),1+HLOOKUP(YEAR(CALC!C86)-1,CCFMODEL!$I$127:$AF$128,2)*0.8)),+FL85)</f>
        <v>64.50387951402</v>
      </c>
      <c r="FM86" s="1127" t="n">
        <f aca="false">IF(MONTH(C86)=5,FM85*(IF(Summary!$E$70="no",(1+(Summary!$E$71*0.8)),1+HLOOKUP(YEAR(CALC!C86)-1,CCFMODEL!$I$127:$AF$128,2)*0.8)),+FM85)</f>
        <v>30.7856811301536</v>
      </c>
      <c r="FN86" s="1128" t="n">
        <f aca="false">IF((OR(MONTH(C86)=5,MONTH(C86)=6,MONTH(C86)=7,MONTH(C86)=8,MONTH(C86)=9)),SUM(FB86:FG86)/(1-BC86)*FL86,SUM(FB86:FG86)/(1-BC86)*FM86)</f>
        <v>558298.327295335</v>
      </c>
      <c r="FO86" s="1129" t="n">
        <f aca="false">FK86+FN86</f>
        <v>1106167.92546986</v>
      </c>
      <c r="FP86" s="1169" t="n">
        <f aca="false">FB86</f>
        <v>9308.25</v>
      </c>
      <c r="FQ86" s="1129" t="n">
        <f aca="false">FC86</f>
        <v>2792.475</v>
      </c>
      <c r="FR86" s="1129" t="n">
        <f aca="false">FD86</f>
        <v>2216.25</v>
      </c>
      <c r="FS86" s="1129" t="n">
        <f aca="false">FE86</f>
        <v>664.875</v>
      </c>
      <c r="FT86" s="1129" t="n">
        <f aca="false">FF86</f>
        <v>2216.25</v>
      </c>
      <c r="FU86" s="1129" t="n">
        <f aca="false">FG86</f>
        <v>664.875</v>
      </c>
      <c r="FV86" s="1170" t="n">
        <f aca="false">FH86</f>
        <v>0</v>
      </c>
      <c r="FW86" s="1115" t="n">
        <f aca="false">IF(ER86&gt;0,MIN(FB86-FP86,BL86),0)</f>
        <v>0</v>
      </c>
      <c r="FX86" s="1115" t="n">
        <f aca="false">IF(ES86&gt;0,MIN(FD86-FR86,BM86),0)</f>
        <v>0</v>
      </c>
      <c r="FY86" s="1115" t="n">
        <f aca="false">IF(ET86&gt;0,MIN(FF86-FT86,BN86),0)</f>
        <v>0</v>
      </c>
      <c r="FZ86" s="1143" t="n">
        <f aca="false">IF(EU86&gt;0,MIN(FH86-FV86,BO86),0)</f>
        <v>0</v>
      </c>
      <c r="GA86" s="1132" t="n">
        <f aca="false">(SUM(FP86:FV86)+SUM(GU86:HB86)/(1-Summary!$O$25))*CY86/1000</f>
        <v>236297.083760222</v>
      </c>
      <c r="GB86" s="1133" t="n">
        <f aca="false">IF($C86&lt;Summary!$M$81,+Summary!$O$81,VLOOKUP(C86,GasTable,19))</f>
        <v>2.4</v>
      </c>
      <c r="GC86" s="1134" t="n">
        <f aca="false">IF(H86&lt;=Summary!$N$84,MIN(GA86,Summary!$O$75*(H86-G86+1)),0)</f>
        <v>155000</v>
      </c>
      <c r="GD86" s="1135" t="n">
        <f aca="false">IF(Summary!$O$75*(H86-G86+1)*0.8&gt;GC86,1,0)</f>
        <v>0</v>
      </c>
      <c r="GE86" s="1136" t="n">
        <v>0</v>
      </c>
      <c r="GF86" s="1134" t="n">
        <f aca="false">ABS(MIN(0,GC86-$GA86))</f>
        <v>81297.0837602224</v>
      </c>
      <c r="GG86" s="1135" t="n">
        <f aca="false">GF86*(IF(Summary!$O$74=1,VLOOKUP($C86,GasTable,16)+Summary!$O$92+Summary!$O$93,VLOOKUP($C86,GasTable,19)+Summary!$O$92+Summary!$O$93))</f>
        <v>249214.638590228</v>
      </c>
      <c r="GH86" s="1137" t="n">
        <v>18761.2</v>
      </c>
      <c r="GI86" s="1138" t="n">
        <v>0</v>
      </c>
      <c r="GJ86" s="1139" t="n">
        <f aca="false">+GB86*GC86+GE86+GG86+GH86-GI86</f>
        <v>639975.838590228</v>
      </c>
      <c r="GK86" s="1115" t="n">
        <f aca="false">SUM(FP86:FV86,GU86:GX86,GY86:HB86)</f>
        <v>30062.01285</v>
      </c>
      <c r="GL86" s="1140" t="n">
        <v>0.760687775552</v>
      </c>
      <c r="GM86" s="1141" t="n">
        <f aca="false">IF(GK86&gt;GC86/(CY86/1000),GC86/(CY86/1000),+GK86)*GL86</f>
        <v>15221</v>
      </c>
      <c r="GN86" s="1115" t="n">
        <f aca="false">IF(SUM(GU86:HB86)=0,0,IF(Summary!$O$16="Yes",SUM(GX86:HB86),IF(Summary!$O$17="Yes",SUM(GY86:HB86),SUM(GU86:HB86))))</f>
        <v>12199.03785</v>
      </c>
      <c r="GO86" s="1142" t="n">
        <v>2.7585222762878</v>
      </c>
      <c r="GP86" s="1143" t="n">
        <f aca="false">GN86*GO86</f>
        <v>33651.317658503</v>
      </c>
      <c r="GQ86" s="1115"/>
      <c r="GR86" s="1115"/>
      <c r="GS86" s="1115"/>
      <c r="GT86" s="1115"/>
      <c r="GU86" s="1150" t="n">
        <v>5389.47675</v>
      </c>
      <c r="GV86" s="1115" t="n">
        <v>1283.20875</v>
      </c>
      <c r="GW86" s="1115" t="n">
        <v>1283.20875</v>
      </c>
      <c r="GX86" s="1115"/>
      <c r="GY86" s="1151" t="n">
        <v>2874.3876</v>
      </c>
      <c r="GZ86" s="1115" t="n">
        <v>684.378</v>
      </c>
      <c r="HA86" s="1115" t="n">
        <v>684.378</v>
      </c>
      <c r="HB86" s="1141"/>
      <c r="HC86" s="1115" t="n">
        <v>12199.03785</v>
      </c>
      <c r="HD86" s="1115"/>
      <c r="HE86" s="1115" t="n">
        <v>20950.521525</v>
      </c>
      <c r="HF86" s="1115" t="n">
        <v>502704.383585588</v>
      </c>
      <c r="HG86" s="1115"/>
      <c r="HH86" s="1142" t="n">
        <v>40.556754397997</v>
      </c>
      <c r="HI86" s="1115" t="n">
        <v>849685.155999375</v>
      </c>
      <c r="HJ86" s="1150" t="n">
        <f aca="false">MAX(FB86-FP86-FW86,0)</f>
        <v>0</v>
      </c>
      <c r="HK86" s="1115" t="n">
        <f aca="false">MAX(FD86-FR86-FX86,0)</f>
        <v>0</v>
      </c>
      <c r="HL86" s="1115" t="n">
        <f aca="false">MAX(FF86-FT86-FY86,0)</f>
        <v>0</v>
      </c>
      <c r="HM86" s="1141" t="n">
        <f aca="false">MAX(FH86-FV86-FZ86,0)</f>
        <v>0</v>
      </c>
      <c r="HN86" s="1115" t="n">
        <f aca="false">SUM(HJ86:HM86)</f>
        <v>0</v>
      </c>
      <c r="HO86" s="1142" t="n">
        <f aca="false">IF(ISERROR(+HP86/HN86),0,+HP86/HN86)</f>
        <v>0</v>
      </c>
      <c r="HP86" s="1143" t="n">
        <f aca="false">(HJ86*CE86+HK86*CF86+HL86*CG86+HM86*CH86)</f>
        <v>0</v>
      </c>
      <c r="HQ86" s="1146"/>
      <c r="HR86" s="1150"/>
      <c r="HS86" s="1110"/>
      <c r="HT86" s="1141"/>
      <c r="HU86" s="1151"/>
      <c r="HV86" s="1142"/>
      <c r="HW86" s="1115"/>
      <c r="HX86" s="1149"/>
      <c r="HY86" s="1143"/>
      <c r="HZ86" s="1150"/>
      <c r="IA86" s="1142"/>
      <c r="IB86" s="1141"/>
      <c r="IC86" s="1151"/>
      <c r="ID86" s="1142"/>
      <c r="IE86" s="1141"/>
      <c r="IF86" s="1115"/>
      <c r="IG86" s="1142"/>
      <c r="IH86" s="1141"/>
      <c r="II86" s="1115"/>
      <c r="IJ86" s="1142"/>
      <c r="IK86" s="1115"/>
      <c r="IL86" s="1152"/>
      <c r="IM86" s="1192"/>
      <c r="IN86" s="1151"/>
      <c r="IO86" s="1151"/>
      <c r="IP86" s="1151"/>
      <c r="IQ86" s="1151"/>
      <c r="IR86" s="844"/>
    </row>
    <row r="87" customFormat="false" ht="13.5" hidden="false" customHeight="false" outlineLevel="0" collapsed="false">
      <c r="A87" s="0" t="str">
        <f aca="false">+D87&amp;"Q"&amp;ROUNDUP(E87/3,0)</f>
        <v>2005Q4</v>
      </c>
      <c r="B87" s="0" t="n">
        <f aca="false">YEAR(C87)</f>
        <v>2005</v>
      </c>
      <c r="C87" s="1153" t="n">
        <f aca="false">EOMONTH(C86,0)+1</f>
        <v>38657</v>
      </c>
      <c r="D87" s="841" t="n">
        <f aca="false">+YEAR(C87)</f>
        <v>2005</v>
      </c>
      <c r="E87" s="807" t="n">
        <f aca="false">MONTH(C87)</f>
        <v>11</v>
      </c>
      <c r="F87" s="1154" t="e">
        <f aca="false">IF(G87="","",Holiday(D87,E87))</f>
        <v>#VALUE!</v>
      </c>
      <c r="G87" s="1155" t="n">
        <v>38657</v>
      </c>
      <c r="H87" s="1156" t="n">
        <v>38686</v>
      </c>
      <c r="I87" s="1157" t="n">
        <f aca="false">I86</f>
        <v>0.0715</v>
      </c>
      <c r="J87" s="1158" t="n">
        <f aca="false">(1+I87/2)^(-2*(DATE(D88,E88,20)-$H$7)/365.25)</f>
        <v>0.655362025757695</v>
      </c>
      <c r="K87" s="1159"/>
      <c r="L87" s="1158"/>
      <c r="M87" s="1082" t="n">
        <v>0</v>
      </c>
      <c r="N87" s="1110" t="n">
        <f aca="false">M87</f>
        <v>0</v>
      </c>
      <c r="O87" s="1174" t="n">
        <f aca="false">N87</f>
        <v>0</v>
      </c>
      <c r="P87" s="1175" t="n">
        <f aca="false">M87</f>
        <v>0</v>
      </c>
      <c r="Q87" s="1110" t="n">
        <f aca="false">P87</f>
        <v>0</v>
      </c>
      <c r="R87" s="1174" t="n">
        <f aca="false">Q87</f>
        <v>0</v>
      </c>
      <c r="S87" s="1110" t="n">
        <f aca="false">R87</f>
        <v>0</v>
      </c>
      <c r="T87" s="1110" t="n">
        <f aca="false">S87</f>
        <v>0</v>
      </c>
      <c r="U87" s="1110" t="n">
        <f aca="false">T87</f>
        <v>0</v>
      </c>
      <c r="V87" s="1175" t="n">
        <f aca="false">U87</f>
        <v>0</v>
      </c>
      <c r="W87" s="1110" t="n">
        <f aca="false">V87</f>
        <v>0</v>
      </c>
      <c r="X87" s="1176" t="n">
        <f aca="false">W87</f>
        <v>0</v>
      </c>
      <c r="Y87" s="1086" t="n">
        <v>0</v>
      </c>
      <c r="Z87" s="1086" t="n">
        <v>0</v>
      </c>
      <c r="AA87" s="1087" t="n">
        <v>0</v>
      </c>
      <c r="AB87" s="1086" t="n">
        <v>0</v>
      </c>
      <c r="AC87" s="1086" t="n">
        <v>0</v>
      </c>
      <c r="AD87" s="1087" t="n">
        <v>0</v>
      </c>
      <c r="AE87" s="1086" t="n">
        <v>0</v>
      </c>
      <c r="AF87" s="1086" t="n">
        <v>0</v>
      </c>
      <c r="AG87" s="1087" t="n">
        <v>0</v>
      </c>
      <c r="AH87" s="1086" t="n">
        <v>0</v>
      </c>
      <c r="AI87" s="1086" t="n">
        <v>0</v>
      </c>
      <c r="AJ87" s="1087" t="n">
        <v>0</v>
      </c>
      <c r="AK87" s="1086" t="n">
        <v>0</v>
      </c>
      <c r="AL87" s="1086" t="n">
        <v>0</v>
      </c>
      <c r="AM87" s="1087" t="n">
        <v>0</v>
      </c>
      <c r="AN87" s="1086" t="n">
        <v>0</v>
      </c>
      <c r="AO87" s="1086" t="n">
        <v>0</v>
      </c>
      <c r="AP87" s="1087" t="n">
        <v>0</v>
      </c>
      <c r="AQ87" s="1086" t="n">
        <v>0</v>
      </c>
      <c r="AR87" s="1086" t="n">
        <v>0</v>
      </c>
      <c r="AS87" s="1087" t="n">
        <v>0</v>
      </c>
      <c r="AT87" s="1086" t="n">
        <v>0</v>
      </c>
      <c r="AU87" s="1086" t="n">
        <v>0</v>
      </c>
      <c r="AV87" s="1086" t="n">
        <v>0</v>
      </c>
      <c r="AW87" s="1172" t="n">
        <v>0</v>
      </c>
      <c r="AX87" s="807" t="e">
        <f aca="false">BB87-SUM(AY87:BA87)</f>
        <v>#VALUE!</v>
      </c>
      <c r="AY87" s="807" t="e">
        <f aca="false">IF(AND($E87=MONTH(Summary!$E$24),$D87=YEAR(Summary!$E$24)),Summary!$E$25,1)*IF(G87="",0,INT((H87-MOD(H87,7)-G87)/7)+1-IF(BA87,IF(WEEKDAY(F87)=7,1,0),0))</f>
        <v>#VALUE!</v>
      </c>
      <c r="AZ87" s="807" t="e">
        <f aca="false">IF(AND($E87=MONTH(Summary!$E$24),$D87=YEAR(Summary!$E$24)),Summary!$E$25,1)*IF(G87="",0,INT((H87-MOD(H87-1,7)-G87)/7)+1-IF(BA87,IF(WEEKDAY(F87)=1,1,0),0))</f>
        <v>#VALUE!</v>
      </c>
      <c r="BA87" s="807" t="n">
        <v>1</v>
      </c>
      <c r="BB87" s="807" t="n">
        <f aca="false">IF(AND($E87=MONTH(Summary!$E$24),$D87=YEAR(Summary!$E$24)),Summary!$E$25,1)*IF(G87="",0,H87-G87+1)</f>
        <v>30</v>
      </c>
      <c r="BC87" s="1089" t="n">
        <f aca="false">Summary!$E$19</f>
        <v>0.015</v>
      </c>
      <c r="BD87" s="1090" t="n">
        <v>14893.2</v>
      </c>
      <c r="BE87" s="1091" t="n">
        <v>2836.8</v>
      </c>
      <c r="BF87" s="1091" t="n">
        <v>3546</v>
      </c>
      <c r="BG87" s="842"/>
      <c r="BH87" s="1092" t="n">
        <v>1</v>
      </c>
      <c r="BI87" s="1092" t="n">
        <v>1</v>
      </c>
      <c r="BJ87" s="1092" t="n">
        <v>1</v>
      </c>
      <c r="BK87" s="1092" t="n">
        <v>1</v>
      </c>
      <c r="BL87" s="1093" t="n">
        <v>2978.64</v>
      </c>
      <c r="BM87" s="1091" t="n">
        <v>567.36</v>
      </c>
      <c r="BN87" s="1091" t="n">
        <v>709.2</v>
      </c>
      <c r="BO87" s="842"/>
      <c r="BP87" s="1092" t="n">
        <v>1</v>
      </c>
      <c r="BQ87" s="1094" t="n">
        <v>1</v>
      </c>
      <c r="BR87" s="1094" t="n">
        <v>1</v>
      </c>
      <c r="BS87" s="1095" t="n">
        <v>1</v>
      </c>
      <c r="BT87" s="1093" t="n">
        <f aca="false">SUM(BD87:BF87)</f>
        <v>21276</v>
      </c>
      <c r="BU87" s="1098" t="n">
        <f aca="false">SUM(BD87:BG87)</f>
        <v>21276</v>
      </c>
      <c r="BV87" s="1090" t="n">
        <f aca="false">SUM(BL87:BN87)</f>
        <v>4255.2</v>
      </c>
      <c r="BW87" s="1098" t="n">
        <f aca="false">SUM(BL87:BO87)</f>
        <v>4255.2</v>
      </c>
      <c r="BX87" s="852" t="n">
        <v>5.88090349075975</v>
      </c>
      <c r="BY87" s="1099" t="n">
        <v>0</v>
      </c>
      <c r="BZ87" s="852" t="n">
        <v>0</v>
      </c>
      <c r="CA87" s="852" t="n">
        <v>0</v>
      </c>
      <c r="CB87" s="852" t="n">
        <v>0</v>
      </c>
      <c r="CC87" s="852" t="n">
        <v>0</v>
      </c>
      <c r="CD87" s="852" t="n">
        <v>0</v>
      </c>
      <c r="CE87" s="1100" t="n">
        <v>0</v>
      </c>
      <c r="CF87" s="852" t="n">
        <v>0</v>
      </c>
      <c r="CG87" s="852" t="n">
        <v>0</v>
      </c>
      <c r="CH87" s="852" t="n">
        <v>0</v>
      </c>
      <c r="CI87" s="852" t="n">
        <v>0</v>
      </c>
      <c r="CJ87" s="1101" t="n">
        <v>0</v>
      </c>
      <c r="CK87" s="852" t="n">
        <v>0</v>
      </c>
      <c r="CL87" s="852" t="n">
        <v>0</v>
      </c>
      <c r="CM87" s="852" t="n">
        <v>0</v>
      </c>
      <c r="CN87" s="852" t="n">
        <v>0</v>
      </c>
      <c r="CO87" s="852" t="n">
        <v>0</v>
      </c>
      <c r="CP87" s="852" t="n">
        <v>0</v>
      </c>
      <c r="CQ87" s="1102" t="n">
        <v>0</v>
      </c>
      <c r="CR87" s="1103" t="n">
        <v>0</v>
      </c>
      <c r="CS87" s="1103" t="n">
        <v>0</v>
      </c>
      <c r="CT87" s="1103" t="n">
        <v>0</v>
      </c>
      <c r="CU87" s="1103" t="n">
        <v>0</v>
      </c>
      <c r="CV87" s="1103" t="n">
        <v>0</v>
      </c>
      <c r="CW87" s="1103" t="n">
        <v>0</v>
      </c>
      <c r="CX87" s="1104" t="n">
        <v>0</v>
      </c>
      <c r="CY87" s="1105" t="n">
        <v>7747.61424</v>
      </c>
      <c r="CZ87" s="1099" t="n">
        <v>0</v>
      </c>
      <c r="DA87" s="852" t="n">
        <v>0</v>
      </c>
      <c r="DB87" s="852" t="n">
        <v>0</v>
      </c>
      <c r="DC87" s="852" t="n">
        <v>0</v>
      </c>
      <c r="DD87" s="852" t="n">
        <v>0</v>
      </c>
      <c r="DE87" s="1113" t="n">
        <v>0</v>
      </c>
      <c r="DF87" s="1109" t="n">
        <v>0</v>
      </c>
      <c r="DG87" s="1110" t="n">
        <v>0</v>
      </c>
      <c r="DH87" s="1111" t="n">
        <v>0</v>
      </c>
      <c r="DI87" s="1112" t="n">
        <v>0</v>
      </c>
      <c r="DJ87" s="1112" t="n">
        <v>0</v>
      </c>
      <c r="DK87" s="1112" t="n">
        <v>0</v>
      </c>
      <c r="DL87" s="1113" t="n">
        <v>0</v>
      </c>
      <c r="DM87" s="1114" t="n">
        <v>0</v>
      </c>
      <c r="DN87" s="1114" t="n">
        <v>0</v>
      </c>
      <c r="DO87" s="1114" t="n">
        <v>0</v>
      </c>
      <c r="DP87" s="1114" t="n">
        <v>0</v>
      </c>
      <c r="DQ87" s="1114" t="n">
        <v>0</v>
      </c>
      <c r="DR87" s="1109" t="n">
        <v>0</v>
      </c>
      <c r="DS87" s="852" t="n">
        <v>0</v>
      </c>
      <c r="DT87" s="852" t="n">
        <v>0</v>
      </c>
      <c r="DU87" s="852" t="n">
        <v>0</v>
      </c>
      <c r="DV87" s="852" t="n">
        <v>0</v>
      </c>
      <c r="DW87" s="852" t="n">
        <v>0</v>
      </c>
      <c r="DX87" s="852" t="n">
        <v>0</v>
      </c>
      <c r="DY87" s="852" t="n">
        <v>0</v>
      </c>
      <c r="DZ87" s="852" t="n">
        <v>0</v>
      </c>
      <c r="EA87" s="852" t="n">
        <v>0</v>
      </c>
      <c r="EB87" s="1113" t="n">
        <v>0</v>
      </c>
      <c r="EC87" s="1115" t="n">
        <f aca="false">DS87*BD87</f>
        <v>0</v>
      </c>
      <c r="ED87" s="1115" t="n">
        <f aca="false">DT87*BE87</f>
        <v>0</v>
      </c>
      <c r="EE87" s="1115" t="n">
        <f aca="false">DU87*BF87</f>
        <v>0</v>
      </c>
      <c r="EF87" s="1115" t="n">
        <f aca="false">DV87*BG87</f>
        <v>0</v>
      </c>
      <c r="EG87" s="1115" t="n">
        <f aca="false">DS87*BD87+DT87*BE87+DU87*BF87+DV87*BG87</f>
        <v>0</v>
      </c>
      <c r="EH87" s="1116" t="n">
        <v>0</v>
      </c>
      <c r="EI87" s="1117" t="n">
        <v>0</v>
      </c>
      <c r="EJ87" s="1117" t="n">
        <v>0</v>
      </c>
      <c r="EK87" s="1117" t="n">
        <v>0</v>
      </c>
      <c r="EL87" s="1118" t="n">
        <f aca="false">IF(C87&gt;=Summary!$E$26,MAX(0,SUM(EH87:EK87)),0)</f>
        <v>0</v>
      </c>
      <c r="EM87" s="1115" t="n">
        <f aca="false">IF(C87&gt;=Summary!$E$26,DX87*BL87,0)</f>
        <v>0</v>
      </c>
      <c r="EN87" s="1115" t="n">
        <f aca="false">IF(C87&gt;=Summary!$E$26,DY87*BM87,0)</f>
        <v>0</v>
      </c>
      <c r="EO87" s="1115" t="n">
        <f aca="false">IF(C87&gt;=Summary!$E$26,DZ87*BN87,0)</f>
        <v>0</v>
      </c>
      <c r="EP87" s="1115" t="n">
        <f aca="false">IF(C87&gt;=Summary!$E$26,EA87*BO87,0)</f>
        <v>0</v>
      </c>
      <c r="EQ87" s="1115" t="n">
        <f aca="false">IF(C87&gt;=Summary!$E$26,DX87*BL87+DY87*BM87+DZ87*BN87+EA87*BO87,0)</f>
        <v>0</v>
      </c>
      <c r="ER87" s="1119" t="n">
        <v>0</v>
      </c>
      <c r="ES87" s="1120" t="n">
        <v>0</v>
      </c>
      <c r="ET87" s="1120" t="n">
        <v>0</v>
      </c>
      <c r="EU87" s="1120" t="n">
        <v>0</v>
      </c>
      <c r="EV87" s="1143" t="n">
        <f aca="false">IF(C87&gt;=Summary!$E$26,MAX(0,SUM(ER87:EU87)),0)</f>
        <v>0</v>
      </c>
      <c r="EW87" s="1115"/>
      <c r="EX87" s="1165" t="n">
        <f aca="false">(EQ87-EV87)+IF(EZ87="Yes",(EG87-EL87),0)</f>
        <v>0</v>
      </c>
      <c r="EY87" s="1166" t="str">
        <f aca="false">IF(EX87,EX87/EQ87,"")</f>
        <v/>
      </c>
      <c r="EZ87" s="1122" t="s">
        <v>37</v>
      </c>
      <c r="FA87" s="1096" t="n">
        <f aca="false">FA86</f>
        <v>45</v>
      </c>
      <c r="FB87" s="1167" t="e">
        <f aca="false">IF(EZ87="No",IF((OR(MONTH(C87)=5,MONTH(C87)=6,MONTH(C87)=7,MONTH(C87)=8,MONTH(C87)=9)),$FA87*12*AX87*(1-$BC87),$FA87*10*AX87*(1-$BC87)),0)</f>
        <v>#VALUE!</v>
      </c>
      <c r="FC87" s="1129" t="e">
        <f aca="false">IF(EZ87="No",IF((OR(MONTH(C87)=5,MONTH(C87)=6,MONTH(C87)=7,MONTH(C87)=8,MONTH(C87)=9)),0,$FA87*3*AX87*(1-$BC87)),0)</f>
        <v>#VALUE!</v>
      </c>
      <c r="FD87" s="1129" t="e">
        <f aca="false">IF(EZ87="No",IF((OR(MONTH(C87)=5,MONTH(C87)=6,MONTH(C87)=7,MONTH(C87)=8,MONTH(C87)=9)),$FA87*12*AY87*(1-$BC87),$FA87*10*AY87*(1-$BC87)),0)</f>
        <v>#VALUE!</v>
      </c>
      <c r="FE87" s="1129" t="e">
        <f aca="false">IF(EZ87="No",IF((OR(MONTH(C87)=5,MONTH(C87)=6,MONTH(C87)=7,MONTH(C87)=8,MONTH(C87)=9)),0,$FA87*3*AY87*(1-$BC87)),0)</f>
        <v>#VALUE!</v>
      </c>
      <c r="FF87" s="1129" t="e">
        <f aca="false">IF(EZ87="No",IF((OR(MONTH(C87)=5,MONTH(C87)=6,MONTH(C87)=7,MONTH(C87)=8,MONTH(C87)=9)),$FA87*12*(AZ87+BA87)*(1-$BC87),$FA87*10*(AZ87+BA87)*(1-$BC87)),0)</f>
        <v>#VALUE!</v>
      </c>
      <c r="FG87" s="1129" t="e">
        <f aca="false">IF(EZ87="No",IF((OR(MONTH(C87)=5,MONTH(C87)=6,MONTH(C87)=7,MONTH(C87)=8,MONTH(C87)=9)),0,$FA87*3*(AZ87+BA87)*(1-$BC87)),0)</f>
        <v>#VALUE!</v>
      </c>
      <c r="FH87" s="1170" t="e">
        <f aca="false">IF(EZ87="No",IF((OR(MONTH(C87)=5,MONTH(C87)=6,MONTH(C87)=7,MONTH(C87)=8,MONTH(C87)=9)),Summary!$O$15*12*(AX87+AY87+AZ87+BA87)*(1-$BC87),Summary!$O$15*13*(AX87+AY87+AZ87+BA87)*(1-$BC87)+IF(Summary!$O$16="Yes",(CALC!FA87+Summary!$O$15)*6*(AX87+AY87+AZ87+BA87)*(1-$BC87),0)),0)</f>
        <v>#VALUE!</v>
      </c>
      <c r="FI87" s="1126" t="n">
        <f aca="false">IF(MONTH(C87)=5,FI86*(IF(Summary!$E$70="no",(1+(Summary!$E$71*0.8)),1+HLOOKUP(YEAR(C87)-1,CCFMODEL!$I$127:$AF$128,2)*0.8)),+FI86)</f>
        <v>30.6706804535374</v>
      </c>
      <c r="FJ87" s="1127" t="n">
        <f aca="false">IF(MONTH(C87)=5,FJ86*(IF(Summary!$E$70="no",(1+(Summary!$E$71*0.8)),1+HLOOKUP(YEAR(CALC!C87)-1,CCFMODEL!$I$127:$AF$128,2)*0.8)),FJ86)</f>
        <v>26.8066577192335</v>
      </c>
      <c r="FK87" s="1128" t="e">
        <f aca="false">SUM(FB87:FG87)*FI87+FH87*FJ87</f>
        <v>#VALUE!</v>
      </c>
      <c r="FL87" s="1126" t="n">
        <f aca="false">IF(MONTH(C87)=5,FL86*(IF(Summary!$E$70="no",(1+(Summary!$E$71*0.8)),1+HLOOKUP(YEAR(CALC!C87)-1,CCFMODEL!$I$127:$AF$128,2)*0.8)),+FL86)</f>
        <v>64.50387951402</v>
      </c>
      <c r="FM87" s="1127" t="n">
        <f aca="false">IF(MONTH(C87)=5,FM86*(IF(Summary!$E$70="no",(1+(Summary!$E$71*0.8)),1+HLOOKUP(YEAR(CALC!C87)-1,CCFMODEL!$I$127:$AF$128,2)*0.8)),+FM86)</f>
        <v>30.7856811301536</v>
      </c>
      <c r="FN87" s="1128" t="e">
        <f aca="false">IF((OR(MONTH(C87)=5,MONTH(C87)=6,MONTH(C87)=7,MONTH(C87)=8,MONTH(C87)=9)),SUM(FB87:FG87)/(1-BC87)*FL87,SUM(FB87:FG87)/(1-BC87)*FM87)</f>
        <v>#VALUE!</v>
      </c>
      <c r="FO87" s="1129" t="e">
        <f aca="false">FK87+FN87</f>
        <v>#VALUE!</v>
      </c>
      <c r="FP87" s="1169" t="e">
        <f aca="false">FB87</f>
        <v>#VALUE!</v>
      </c>
      <c r="FQ87" s="1129" t="e">
        <f aca="false">FC87</f>
        <v>#VALUE!</v>
      </c>
      <c r="FR87" s="1129" t="e">
        <f aca="false">FD87</f>
        <v>#VALUE!</v>
      </c>
      <c r="FS87" s="1129" t="e">
        <f aca="false">FE87</f>
        <v>#VALUE!</v>
      </c>
      <c r="FT87" s="1129" t="e">
        <f aca="false">FF87</f>
        <v>#VALUE!</v>
      </c>
      <c r="FU87" s="1129" t="e">
        <f aca="false">FG87</f>
        <v>#VALUE!</v>
      </c>
      <c r="FV87" s="1170" t="e">
        <f aca="false">FH87</f>
        <v>#VALUE!</v>
      </c>
      <c r="FW87" s="1115" t="n">
        <f aca="false">IF(ER87&gt;0,MIN(FB87-FP87,BL87),0)</f>
        <v>0</v>
      </c>
      <c r="FX87" s="1115" t="n">
        <f aca="false">IF(ES87&gt;0,MIN(FD87-FR87,BM87),0)</f>
        <v>0</v>
      </c>
      <c r="FY87" s="1115" t="n">
        <f aca="false">IF(ET87&gt;0,MIN(FF87-FT87,BN87),0)</f>
        <v>0</v>
      </c>
      <c r="FZ87" s="1143" t="n">
        <f aca="false">IF(EU87&gt;0,MIN(FH87-FV87,BO87),0)</f>
        <v>0</v>
      </c>
      <c r="GA87" s="1132" t="e">
        <f aca="false">(SUM(FP87:FV87)+SUM(GU87:HB87)/(1-Summary!$O$25))*CY87/1000</f>
        <v>#VALUE!</v>
      </c>
      <c r="GB87" s="1133" t="n">
        <f aca="false">IF($C87&lt;Summary!$M$81,+Summary!$O$81,VLOOKUP(C87,GasTable,19))</f>
        <v>2.4</v>
      </c>
      <c r="GC87" s="1134" t="e">
        <f aca="false">IF(H87&lt;=Summary!$N$84,MIN(GA87,Summary!$O$75*(H87-G87+1)),0)</f>
        <v>#VALUE!</v>
      </c>
      <c r="GD87" s="1135" t="e">
        <f aca="false">IF(Summary!$O$75*(H87-G87+1)*0.8&gt;GC87,1,0)</f>
        <v>#VALUE!</v>
      </c>
      <c r="GE87" s="1136" t="n">
        <v>0</v>
      </c>
      <c r="GF87" s="1134" t="e">
        <f aca="false">ABS(MIN(0,GC87-$GA87))</f>
        <v>#VALUE!</v>
      </c>
      <c r="GG87" s="1135" t="e">
        <f aca="false">GF87*(IF(Summary!$O$74=1,VLOOKUP($C87,GasTable,16)+Summary!$O$92+Summary!$O$93,VLOOKUP($C87,GasTable,19)+Summary!$O$92+Summary!$O$93))</f>
        <v>#VALUE!</v>
      </c>
      <c r="GH87" s="1137" t="n">
        <v>18660</v>
      </c>
      <c r="GI87" s="1138" t="n">
        <v>0</v>
      </c>
      <c r="GJ87" s="1139" t="e">
        <f aca="false">+GB87*GC87+GE87+GG87+GH87-GI87</f>
        <v>#VALUE!</v>
      </c>
      <c r="GK87" s="1115" t="e">
        <f aca="false">SUM(FP87:FV87,GU87:GX87,GY87:HB87)</f>
        <v>#VALUE!</v>
      </c>
      <c r="GL87" s="1140" t="n">
        <v>0.760815718368</v>
      </c>
      <c r="GM87" s="1141" t="e">
        <f aca="false">IF(GK87&gt;GC87/(CY87/1000),GC87/(CY87/1000),+GK87)*GL87</f>
        <v>#VALUE!</v>
      </c>
      <c r="GN87" s="1115" t="n">
        <f aca="false">IF(SUM(GU87:HB87)=0,0,IF(Summary!$O$16="Yes",SUM(GX87:HB87),IF(Summary!$O$17="Yes",SUM(GY87:HB87),SUM(GU87:HB87))))</f>
        <v>11805.5205</v>
      </c>
      <c r="GO87" s="1142" t="n">
        <v>2.7585222762878</v>
      </c>
      <c r="GP87" s="1143" t="n">
        <f aca="false">GN87*GO87</f>
        <v>32565.7912824223</v>
      </c>
      <c r="GQ87" s="1115"/>
      <c r="GR87" s="1115"/>
      <c r="GS87" s="1115"/>
      <c r="GT87" s="1115"/>
      <c r="GU87" s="1150" t="n">
        <v>5389.47675</v>
      </c>
      <c r="GV87" s="1115" t="n">
        <v>1026.567</v>
      </c>
      <c r="GW87" s="1115" t="n">
        <v>1283.20875</v>
      </c>
      <c r="GX87" s="1115"/>
      <c r="GY87" s="1151" t="n">
        <v>2874.3876</v>
      </c>
      <c r="GZ87" s="1115" t="n">
        <v>547.5024</v>
      </c>
      <c r="HA87" s="1115" t="n">
        <v>684.378</v>
      </c>
      <c r="HB87" s="1141"/>
      <c r="HC87" s="1115" t="n">
        <v>11805.5205</v>
      </c>
      <c r="HD87" s="1115"/>
      <c r="HE87" s="1115" t="n">
        <v>20274.69825</v>
      </c>
      <c r="HF87" s="1115" t="n">
        <v>505139.794077448</v>
      </c>
      <c r="HG87" s="1115"/>
      <c r="HH87" s="1142" t="n">
        <v>42.5365544394025</v>
      </c>
      <c r="HI87" s="1115" t="n">
        <v>862415.805853584</v>
      </c>
      <c r="HJ87" s="1150" t="e">
        <f aca="false">MAX(FB87-FP87-FW87,0)</f>
        <v>#VALUE!</v>
      </c>
      <c r="HK87" s="1115" t="e">
        <f aca="false">MAX(FD87-FR87-FX87,0)</f>
        <v>#VALUE!</v>
      </c>
      <c r="HL87" s="1115" t="e">
        <f aca="false">MAX(FF87-FT87-FY87,0)</f>
        <v>#VALUE!</v>
      </c>
      <c r="HM87" s="1141" t="e">
        <f aca="false">MAX(FH87-FV87-FZ87,0)</f>
        <v>#VALUE!</v>
      </c>
      <c r="HN87" s="1115" t="e">
        <f aca="false">SUM(HJ87:HM87)</f>
        <v>#VALUE!</v>
      </c>
      <c r="HO87" s="1142" t="n">
        <f aca="false">IF(ISERROR(+HP87/HN87),0,+HP87/HN87)</f>
        <v>0</v>
      </c>
      <c r="HP87" s="1143" t="e">
        <f aca="false">(HJ87*CE87+HK87*CF87+HL87*CG87+HM87*CH87)</f>
        <v>#VALUE!</v>
      </c>
      <c r="HQ87" s="1146"/>
      <c r="HR87" s="1150"/>
      <c r="HS87" s="1110"/>
      <c r="HT87" s="1141"/>
      <c r="HU87" s="1151"/>
      <c r="HV87" s="1142"/>
      <c r="HW87" s="1115"/>
      <c r="HX87" s="1149"/>
      <c r="HY87" s="1143"/>
      <c r="HZ87" s="1150"/>
      <c r="IA87" s="1142"/>
      <c r="IB87" s="1141"/>
      <c r="IC87" s="1151"/>
      <c r="ID87" s="1142"/>
      <c r="IE87" s="1141"/>
      <c r="IF87" s="1115"/>
      <c r="IG87" s="1142"/>
      <c r="IH87" s="1141"/>
      <c r="II87" s="1115"/>
      <c r="IJ87" s="1142"/>
      <c r="IK87" s="1115"/>
      <c r="IL87" s="1152"/>
      <c r="IM87" s="1192"/>
      <c r="IN87" s="1151"/>
      <c r="IO87" s="1151"/>
      <c r="IP87" s="1151"/>
      <c r="IQ87" s="1151"/>
      <c r="IR87" s="844"/>
    </row>
    <row r="88" customFormat="false" ht="13.5" hidden="false" customHeight="false" outlineLevel="0" collapsed="false">
      <c r="A88" s="0" t="str">
        <f aca="false">+D88&amp;"Q"&amp;ROUNDUP(E88/3,0)</f>
        <v>2005Q4</v>
      </c>
      <c r="B88" s="0" t="n">
        <f aca="false">YEAR(C88)</f>
        <v>2005</v>
      </c>
      <c r="C88" s="1153" t="n">
        <f aca="false">EOMONTH(C87,0)+1</f>
        <v>38687</v>
      </c>
      <c r="D88" s="841" t="n">
        <f aca="false">+YEAR(C88)</f>
        <v>2005</v>
      </c>
      <c r="E88" s="807" t="n">
        <f aca="false">MONTH(C88)</f>
        <v>12</v>
      </c>
      <c r="F88" s="1154" t="e">
        <f aca="false">IF(G88="","",Holiday(D88,E88))</f>
        <v>#VALUE!</v>
      </c>
      <c r="G88" s="1155" t="n">
        <v>38687</v>
      </c>
      <c r="H88" s="1156" t="n">
        <v>38717</v>
      </c>
      <c r="I88" s="1157" t="n">
        <f aca="false">I87</f>
        <v>0.0715</v>
      </c>
      <c r="J88" s="1158" t="n">
        <f aca="false">(1+I88/2)^(-2*(DATE(D89,E89,20)-$H$7)/365.25)</f>
        <v>0.651466062149777</v>
      </c>
      <c r="K88" s="1159"/>
      <c r="L88" s="1158"/>
      <c r="M88" s="1082" t="n">
        <v>0</v>
      </c>
      <c r="N88" s="1110" t="n">
        <f aca="false">M88</f>
        <v>0</v>
      </c>
      <c r="O88" s="1174" t="n">
        <f aca="false">N88</f>
        <v>0</v>
      </c>
      <c r="P88" s="1175" t="n">
        <f aca="false">M88</f>
        <v>0</v>
      </c>
      <c r="Q88" s="1110" t="n">
        <f aca="false">P88</f>
        <v>0</v>
      </c>
      <c r="R88" s="1174" t="n">
        <f aca="false">Q88</f>
        <v>0</v>
      </c>
      <c r="S88" s="1110" t="n">
        <f aca="false">R88</f>
        <v>0</v>
      </c>
      <c r="T88" s="1110" t="n">
        <f aca="false">S88</f>
        <v>0</v>
      </c>
      <c r="U88" s="1110" t="n">
        <f aca="false">T88</f>
        <v>0</v>
      </c>
      <c r="V88" s="1175" t="n">
        <f aca="false">U88</f>
        <v>0</v>
      </c>
      <c r="W88" s="1110" t="n">
        <f aca="false">V88</f>
        <v>0</v>
      </c>
      <c r="X88" s="1176" t="n">
        <f aca="false">W88</f>
        <v>0</v>
      </c>
      <c r="Y88" s="1086" t="n">
        <v>0</v>
      </c>
      <c r="Z88" s="1086" t="n">
        <v>0</v>
      </c>
      <c r="AA88" s="1087" t="n">
        <v>0</v>
      </c>
      <c r="AB88" s="1086" t="n">
        <v>0</v>
      </c>
      <c r="AC88" s="1086" t="n">
        <v>0</v>
      </c>
      <c r="AD88" s="1087" t="n">
        <v>0</v>
      </c>
      <c r="AE88" s="1086" t="n">
        <v>0</v>
      </c>
      <c r="AF88" s="1086" t="n">
        <v>0</v>
      </c>
      <c r="AG88" s="1087" t="n">
        <v>0</v>
      </c>
      <c r="AH88" s="1086" t="n">
        <v>0</v>
      </c>
      <c r="AI88" s="1086" t="n">
        <v>0</v>
      </c>
      <c r="AJ88" s="1087" t="n">
        <v>0</v>
      </c>
      <c r="AK88" s="1086" t="n">
        <v>0</v>
      </c>
      <c r="AL88" s="1086" t="n">
        <v>0</v>
      </c>
      <c r="AM88" s="1087" t="n">
        <v>0</v>
      </c>
      <c r="AN88" s="1086" t="n">
        <v>0</v>
      </c>
      <c r="AO88" s="1086" t="n">
        <v>0</v>
      </c>
      <c r="AP88" s="1087" t="n">
        <v>0</v>
      </c>
      <c r="AQ88" s="1086" t="n">
        <v>0</v>
      </c>
      <c r="AR88" s="1086" t="n">
        <v>0</v>
      </c>
      <c r="AS88" s="1087" t="n">
        <v>0</v>
      </c>
      <c r="AT88" s="1086" t="n">
        <v>0</v>
      </c>
      <c r="AU88" s="1086" t="n">
        <v>0</v>
      </c>
      <c r="AV88" s="1086" t="n">
        <v>0</v>
      </c>
      <c r="AW88" s="1172" t="n">
        <v>0</v>
      </c>
      <c r="AX88" s="807" t="e">
        <f aca="false">BB88-SUM(AY88:BA88)</f>
        <v>#VALUE!</v>
      </c>
      <c r="AY88" s="807" t="e">
        <f aca="false">IF(AND($E88=MONTH(Summary!$E$24),$D88=YEAR(Summary!$E$24)),Summary!$E$25,1)*IF(G88="",0,INT((H88-MOD(H88,7)-G88)/7)+1-IF(BA88,IF(WEEKDAY(F88)=7,1,0),0))</f>
        <v>#VALUE!</v>
      </c>
      <c r="AZ88" s="807" t="e">
        <f aca="false">IF(AND($E88=MONTH(Summary!$E$24),$D88=YEAR(Summary!$E$24)),Summary!$E$25,1)*IF(G88="",0,INT((H88-MOD(H88-1,7)-G88)/7)+1-IF(BA88,IF(WEEKDAY(F88)=1,1,0),0))</f>
        <v>#VALUE!</v>
      </c>
      <c r="BA88" s="807" t="n">
        <v>1</v>
      </c>
      <c r="BB88" s="807" t="n">
        <f aca="false">IF(AND($E88=MONTH(Summary!$E$24),$D88=YEAR(Summary!$E$24)),Summary!$E$25,1)*IF(G88="",0,H88-G88+1)</f>
        <v>31</v>
      </c>
      <c r="BC88" s="1089" t="n">
        <f aca="false">Summary!$E$19</f>
        <v>0.015</v>
      </c>
      <c r="BD88" s="1090" t="n">
        <v>14893.2</v>
      </c>
      <c r="BE88" s="1091" t="n">
        <v>3546</v>
      </c>
      <c r="BF88" s="1091" t="n">
        <v>3546</v>
      </c>
      <c r="BG88" s="842"/>
      <c r="BH88" s="1092" t="n">
        <v>1</v>
      </c>
      <c r="BI88" s="1092" t="n">
        <v>1</v>
      </c>
      <c r="BJ88" s="1092" t="n">
        <v>1</v>
      </c>
      <c r="BK88" s="1092" t="n">
        <v>1</v>
      </c>
      <c r="BL88" s="1093" t="n">
        <v>2978.64</v>
      </c>
      <c r="BM88" s="1091" t="n">
        <v>709.2</v>
      </c>
      <c r="BN88" s="1091" t="n">
        <v>709.2</v>
      </c>
      <c r="BO88" s="842"/>
      <c r="BP88" s="1092" t="n">
        <v>1</v>
      </c>
      <c r="BQ88" s="1094" t="n">
        <v>1</v>
      </c>
      <c r="BR88" s="1094" t="n">
        <v>1</v>
      </c>
      <c r="BS88" s="1095" t="n">
        <v>1</v>
      </c>
      <c r="BT88" s="1093" t="n">
        <f aca="false">SUM(BD88:BF88)</f>
        <v>21985.2</v>
      </c>
      <c r="BU88" s="1098" t="n">
        <f aca="false">SUM(BD88:BG88)</f>
        <v>21985.2</v>
      </c>
      <c r="BV88" s="1090" t="n">
        <f aca="false">SUM(BL88:BN88)</f>
        <v>4397.04</v>
      </c>
      <c r="BW88" s="1098" t="n">
        <f aca="false">SUM(BL88:BO88)</f>
        <v>4397.04</v>
      </c>
      <c r="BX88" s="852" t="n">
        <v>5.96303901437372</v>
      </c>
      <c r="BY88" s="1099" t="n">
        <v>0</v>
      </c>
      <c r="BZ88" s="852" t="n">
        <v>0</v>
      </c>
      <c r="CA88" s="852" t="n">
        <v>0</v>
      </c>
      <c r="CB88" s="852" t="n">
        <v>0</v>
      </c>
      <c r="CC88" s="852" t="n">
        <v>0</v>
      </c>
      <c r="CD88" s="852" t="n">
        <v>0</v>
      </c>
      <c r="CE88" s="1100" t="n">
        <v>0</v>
      </c>
      <c r="CF88" s="852" t="n">
        <v>0</v>
      </c>
      <c r="CG88" s="852" t="n">
        <v>0</v>
      </c>
      <c r="CH88" s="852" t="n">
        <v>0</v>
      </c>
      <c r="CI88" s="852" t="n">
        <v>0</v>
      </c>
      <c r="CJ88" s="1101" t="n">
        <v>0</v>
      </c>
      <c r="CK88" s="852" t="n">
        <v>0</v>
      </c>
      <c r="CL88" s="852" t="n">
        <v>0</v>
      </c>
      <c r="CM88" s="852" t="n">
        <v>0</v>
      </c>
      <c r="CN88" s="852" t="n">
        <v>0</v>
      </c>
      <c r="CO88" s="852" t="n">
        <v>0</v>
      </c>
      <c r="CP88" s="852" t="n">
        <v>0</v>
      </c>
      <c r="CQ88" s="1102" t="n">
        <v>0</v>
      </c>
      <c r="CR88" s="1103" t="n">
        <v>0</v>
      </c>
      <c r="CS88" s="1103" t="n">
        <v>0</v>
      </c>
      <c r="CT88" s="1103" t="n">
        <v>0</v>
      </c>
      <c r="CU88" s="1103" t="n">
        <v>0</v>
      </c>
      <c r="CV88" s="1103" t="n">
        <v>0</v>
      </c>
      <c r="CW88" s="1103" t="n">
        <v>0</v>
      </c>
      <c r="CX88" s="1104" t="n">
        <v>0</v>
      </c>
      <c r="CY88" s="1105" t="n">
        <v>7748.91712</v>
      </c>
      <c r="CZ88" s="1099" t="n">
        <v>0</v>
      </c>
      <c r="DA88" s="852" t="n">
        <v>0</v>
      </c>
      <c r="DB88" s="852" t="n">
        <v>0</v>
      </c>
      <c r="DC88" s="852" t="n">
        <v>0</v>
      </c>
      <c r="DD88" s="852" t="n">
        <v>0</v>
      </c>
      <c r="DE88" s="1113" t="n">
        <v>0</v>
      </c>
      <c r="DF88" s="1109" t="n">
        <v>0</v>
      </c>
      <c r="DG88" s="1110" t="n">
        <v>0</v>
      </c>
      <c r="DH88" s="1111" t="n">
        <v>0</v>
      </c>
      <c r="DI88" s="1112" t="n">
        <v>0</v>
      </c>
      <c r="DJ88" s="1112" t="n">
        <v>0</v>
      </c>
      <c r="DK88" s="1112" t="n">
        <v>0</v>
      </c>
      <c r="DL88" s="1113" t="n">
        <v>0</v>
      </c>
      <c r="DM88" s="1114" t="n">
        <v>0</v>
      </c>
      <c r="DN88" s="1114" t="n">
        <v>0</v>
      </c>
      <c r="DO88" s="1114" t="n">
        <v>0</v>
      </c>
      <c r="DP88" s="1114" t="n">
        <v>0</v>
      </c>
      <c r="DQ88" s="1114" t="n">
        <v>0</v>
      </c>
      <c r="DR88" s="1109" t="n">
        <v>0</v>
      </c>
      <c r="DS88" s="852" t="n">
        <v>0</v>
      </c>
      <c r="DT88" s="852" t="n">
        <v>0</v>
      </c>
      <c r="DU88" s="852" t="n">
        <v>0</v>
      </c>
      <c r="DV88" s="852" t="n">
        <v>0</v>
      </c>
      <c r="DW88" s="852" t="n">
        <v>0</v>
      </c>
      <c r="DX88" s="852" t="n">
        <v>0</v>
      </c>
      <c r="DY88" s="852" t="n">
        <v>0</v>
      </c>
      <c r="DZ88" s="852" t="n">
        <v>0</v>
      </c>
      <c r="EA88" s="852" t="n">
        <v>0</v>
      </c>
      <c r="EB88" s="1113" t="n">
        <v>0</v>
      </c>
      <c r="EC88" s="1115" t="n">
        <f aca="false">DS88*BD88</f>
        <v>0</v>
      </c>
      <c r="ED88" s="1115" t="n">
        <f aca="false">DT88*BE88</f>
        <v>0</v>
      </c>
      <c r="EE88" s="1115" t="n">
        <f aca="false">DU88*BF88</f>
        <v>0</v>
      </c>
      <c r="EF88" s="1115" t="n">
        <f aca="false">DV88*BG88</f>
        <v>0</v>
      </c>
      <c r="EG88" s="1115" t="n">
        <f aca="false">DS88*BD88+DT88*BE88+DU88*BF88+DV88*BG88</f>
        <v>0</v>
      </c>
      <c r="EH88" s="1116" t="n">
        <v>0</v>
      </c>
      <c r="EI88" s="1117" t="n">
        <v>0</v>
      </c>
      <c r="EJ88" s="1117" t="n">
        <v>0</v>
      </c>
      <c r="EK88" s="1117" t="n">
        <v>0</v>
      </c>
      <c r="EL88" s="1118" t="n">
        <f aca="false">IF(C88&gt;=Summary!$E$26,MAX(0,SUM(EH88:EK88)),0)</f>
        <v>0</v>
      </c>
      <c r="EM88" s="1115" t="n">
        <f aca="false">IF(C88&gt;=Summary!$E$26,DX88*BL88,0)</f>
        <v>0</v>
      </c>
      <c r="EN88" s="1115" t="n">
        <f aca="false">IF(C88&gt;=Summary!$E$26,DY88*BM88,0)</f>
        <v>0</v>
      </c>
      <c r="EO88" s="1115" t="n">
        <f aca="false">IF(C88&gt;=Summary!$E$26,DZ88*BN88,0)</f>
        <v>0</v>
      </c>
      <c r="EP88" s="1115" t="n">
        <f aca="false">IF(C88&gt;=Summary!$E$26,EA88*BO88,0)</f>
        <v>0</v>
      </c>
      <c r="EQ88" s="1115" t="n">
        <f aca="false">IF(C88&gt;=Summary!$E$26,DX88*BL88+DY88*BM88+DZ88*BN88+EA88*BO88,0)</f>
        <v>0</v>
      </c>
      <c r="ER88" s="1119" t="n">
        <v>0</v>
      </c>
      <c r="ES88" s="1120" t="n">
        <v>0</v>
      </c>
      <c r="ET88" s="1120" t="n">
        <v>0</v>
      </c>
      <c r="EU88" s="1120" t="n">
        <v>0</v>
      </c>
      <c r="EV88" s="1143" t="n">
        <f aca="false">IF(C88&gt;=Summary!$E$26,MAX(0,SUM(ER88:EU88)),0)</f>
        <v>0</v>
      </c>
      <c r="EW88" s="1115"/>
      <c r="EX88" s="1165" t="n">
        <f aca="false">(EQ88-EV88)+IF(EZ88="Yes",(EG88-EL88),0)</f>
        <v>0</v>
      </c>
      <c r="EY88" s="1166" t="str">
        <f aca="false">IF(EX88,EX88/EQ88,"")</f>
        <v/>
      </c>
      <c r="EZ88" s="1122" t="s">
        <v>37</v>
      </c>
      <c r="FA88" s="1096" t="n">
        <f aca="false">FA87</f>
        <v>45</v>
      </c>
      <c r="FB88" s="1167" t="e">
        <f aca="false">IF(EZ88="No",IF((OR(MONTH(C88)=5,MONTH(C88)=6,MONTH(C88)=7,MONTH(C88)=8,MONTH(C88)=9)),$FA88*12*AX88*(1-$BC88),$FA88*10*AX88*(1-$BC88)),0)</f>
        <v>#VALUE!</v>
      </c>
      <c r="FC88" s="1129" t="e">
        <f aca="false">IF(EZ88="No",IF((OR(MONTH(C88)=5,MONTH(C88)=6,MONTH(C88)=7,MONTH(C88)=8,MONTH(C88)=9)),0,$FA88*3*AX88*(1-$BC88)),0)</f>
        <v>#VALUE!</v>
      </c>
      <c r="FD88" s="1129" t="e">
        <f aca="false">IF(EZ88="No",IF((OR(MONTH(C88)=5,MONTH(C88)=6,MONTH(C88)=7,MONTH(C88)=8,MONTH(C88)=9)),$FA88*12*AY88*(1-$BC88),$FA88*10*AY88*(1-$BC88)),0)</f>
        <v>#VALUE!</v>
      </c>
      <c r="FE88" s="1129" t="e">
        <f aca="false">IF(EZ88="No",IF((OR(MONTH(C88)=5,MONTH(C88)=6,MONTH(C88)=7,MONTH(C88)=8,MONTH(C88)=9)),0,$FA88*3*AY88*(1-$BC88)),0)</f>
        <v>#VALUE!</v>
      </c>
      <c r="FF88" s="1129" t="e">
        <f aca="false">IF(EZ88="No",IF((OR(MONTH(C88)=5,MONTH(C88)=6,MONTH(C88)=7,MONTH(C88)=8,MONTH(C88)=9)),$FA88*12*(AZ88+BA88)*(1-$BC88),$FA88*10*(AZ88+BA88)*(1-$BC88)),0)</f>
        <v>#VALUE!</v>
      </c>
      <c r="FG88" s="1129" t="e">
        <f aca="false">IF(EZ88="No",IF((OR(MONTH(C88)=5,MONTH(C88)=6,MONTH(C88)=7,MONTH(C88)=8,MONTH(C88)=9)),0,$FA88*3*(AZ88+BA88)*(1-$BC88)),0)</f>
        <v>#VALUE!</v>
      </c>
      <c r="FH88" s="1170" t="e">
        <f aca="false">IF(EZ88="No",IF((OR(MONTH(C88)=5,MONTH(C88)=6,MONTH(C88)=7,MONTH(C88)=8,MONTH(C88)=9)),Summary!$O$15*12*(AX88+AY88+AZ88+BA88)*(1-$BC88),Summary!$O$15*13*(AX88+AY88+AZ88+BA88)*(1-$BC88)+IF(Summary!$O$16="Yes",(CALC!FA88+Summary!$O$15)*6*(AX88+AY88+AZ88+BA88)*(1-$BC88),0)),0)</f>
        <v>#VALUE!</v>
      </c>
      <c r="FI88" s="1126" t="n">
        <f aca="false">IF(MONTH(C88)=5,FI87*(IF(Summary!$E$70="no",(1+(Summary!$E$71*0.8)),1+HLOOKUP(YEAR(C88)-1,CCFMODEL!$I$127:$AF$128,2)*0.8)),+FI87)</f>
        <v>30.6706804535374</v>
      </c>
      <c r="FJ88" s="1127" t="n">
        <f aca="false">IF(MONTH(C88)=5,FJ87*(IF(Summary!$E$70="no",(1+(Summary!$E$71*0.8)),1+HLOOKUP(YEAR(CALC!C88)-1,CCFMODEL!$I$127:$AF$128,2)*0.8)),FJ87)</f>
        <v>26.8066577192335</v>
      </c>
      <c r="FK88" s="1128" t="e">
        <f aca="false">SUM(FB88:FG88)*FI88+FH88*FJ88</f>
        <v>#VALUE!</v>
      </c>
      <c r="FL88" s="1126" t="n">
        <f aca="false">IF(MONTH(C88)=5,FL87*(IF(Summary!$E$70="no",(1+(Summary!$E$71*0.8)),1+HLOOKUP(YEAR(CALC!C88)-1,CCFMODEL!$I$127:$AF$128,2)*0.8)),+FL87)</f>
        <v>64.50387951402</v>
      </c>
      <c r="FM88" s="1127" t="n">
        <f aca="false">IF(MONTH(C88)=5,FM87*(IF(Summary!$E$70="no",(1+(Summary!$E$71*0.8)),1+HLOOKUP(YEAR(CALC!C88)-1,CCFMODEL!$I$127:$AF$128,2)*0.8)),+FM87)</f>
        <v>30.7856811301536</v>
      </c>
      <c r="FN88" s="1128" t="e">
        <f aca="false">IF((OR(MONTH(C88)=5,MONTH(C88)=6,MONTH(C88)=7,MONTH(C88)=8,MONTH(C88)=9)),SUM(FB88:FG88)/(1-BC88)*FL88,SUM(FB88:FG88)/(1-BC88)*FM88)</f>
        <v>#VALUE!</v>
      </c>
      <c r="FO88" s="1129" t="e">
        <f aca="false">FK88+FN88</f>
        <v>#VALUE!</v>
      </c>
      <c r="FP88" s="1169" t="e">
        <f aca="false">FB88</f>
        <v>#VALUE!</v>
      </c>
      <c r="FQ88" s="1129" t="e">
        <f aca="false">FC88</f>
        <v>#VALUE!</v>
      </c>
      <c r="FR88" s="1129" t="e">
        <f aca="false">FD88</f>
        <v>#VALUE!</v>
      </c>
      <c r="FS88" s="1129" t="e">
        <f aca="false">FE88</f>
        <v>#VALUE!</v>
      </c>
      <c r="FT88" s="1129" t="e">
        <f aca="false">FF88</f>
        <v>#VALUE!</v>
      </c>
      <c r="FU88" s="1129" t="e">
        <f aca="false">FG88</f>
        <v>#VALUE!</v>
      </c>
      <c r="FV88" s="1170" t="e">
        <f aca="false">FH88</f>
        <v>#VALUE!</v>
      </c>
      <c r="FW88" s="1115" t="n">
        <f aca="false">IF(ER88&gt;0,MIN(FB88-FP88,BL88),0)</f>
        <v>0</v>
      </c>
      <c r="FX88" s="1115" t="n">
        <f aca="false">IF(ES88&gt;0,MIN(FD88-FR88,BM88),0)</f>
        <v>0</v>
      </c>
      <c r="FY88" s="1115" t="n">
        <f aca="false">IF(ET88&gt;0,MIN(FF88-FT88,BN88),0)</f>
        <v>0</v>
      </c>
      <c r="FZ88" s="1143" t="n">
        <f aca="false">IF(EU88&gt;0,MIN(FH88-FV88,BO88),0)</f>
        <v>0</v>
      </c>
      <c r="GA88" s="1132" t="e">
        <f aca="false">(SUM(FP88:FV88)+SUM(GU88:HB88)/(1-Summary!$O$25))*CY88/1000</f>
        <v>#VALUE!</v>
      </c>
      <c r="GB88" s="1133" t="n">
        <f aca="false">IF($C88&lt;Summary!$M$81,+Summary!$O$81,VLOOKUP(C88,GasTable,19))</f>
        <v>2.4</v>
      </c>
      <c r="GC88" s="1134" t="e">
        <f aca="false">IF(H88&lt;=Summary!$N$84,MIN(GA88,Summary!$O$75*(H88-G88+1)),0)</f>
        <v>#VALUE!</v>
      </c>
      <c r="GD88" s="1135" t="e">
        <f aca="false">IF(Summary!$O$75*(H88-G88+1)*0.8&gt;GC88,1,0)</f>
        <v>#VALUE!</v>
      </c>
      <c r="GE88" s="1136" t="n">
        <v>0</v>
      </c>
      <c r="GF88" s="1134" t="e">
        <f aca="false">ABS(MIN(0,GC88-$GA88))</f>
        <v>#VALUE!</v>
      </c>
      <c r="GG88" s="1135" t="e">
        <f aca="false">GF88*(IF(Summary!$O$74=1,VLOOKUP($C88,GasTable,16)+Summary!$O$92+Summary!$O$93,VLOOKUP($C88,GasTable,19)+Summary!$O$92+Summary!$O$93))</f>
        <v>#VALUE!</v>
      </c>
      <c r="GH88" s="1137" t="n">
        <v>19809</v>
      </c>
      <c r="GI88" s="1138" t="n">
        <v>0</v>
      </c>
      <c r="GJ88" s="1139" t="e">
        <f aca="false">+GB88*GC88+GE88+GG88+GH88-GI88</f>
        <v>#VALUE!</v>
      </c>
      <c r="GK88" s="1115" t="e">
        <f aca="false">SUM(FP88:FV88,GU88:GX88,GY88:HB88)</f>
        <v>#VALUE!</v>
      </c>
      <c r="GL88" s="1140" t="n">
        <v>0.760943661184</v>
      </c>
      <c r="GM88" s="1141" t="e">
        <f aca="false">IF(GK88&gt;GC88/(CY88/1000),GC88/(CY88/1000),+GK88)*GL88</f>
        <v>#VALUE!</v>
      </c>
      <c r="GN88" s="1115" t="n">
        <f aca="false">IF(SUM(GU88:HB88)=0,0,IF(Summary!$O$16="Yes",SUM(GX88:HB88),IF(Summary!$O$17="Yes",SUM(GY88:HB88),SUM(GU88:HB88))))</f>
        <v>12199.03785</v>
      </c>
      <c r="GO88" s="1142" t="n">
        <v>2.7585222762878</v>
      </c>
      <c r="GP88" s="1143" t="n">
        <f aca="false">GN88*GO88</f>
        <v>33651.317658503</v>
      </c>
      <c r="GQ88" s="1115"/>
      <c r="GR88" s="1115"/>
      <c r="GS88" s="1115"/>
      <c r="GT88" s="1115"/>
      <c r="GU88" s="1150" t="n">
        <v>5389.47675</v>
      </c>
      <c r="GV88" s="1115" t="n">
        <v>1283.20875</v>
      </c>
      <c r="GW88" s="1115" t="n">
        <v>1283.20875</v>
      </c>
      <c r="GX88" s="1115"/>
      <c r="GY88" s="1151" t="n">
        <v>2874.3876</v>
      </c>
      <c r="GZ88" s="1115" t="n">
        <v>684.378</v>
      </c>
      <c r="HA88" s="1115" t="n">
        <v>684.378</v>
      </c>
      <c r="HB88" s="1141"/>
      <c r="HC88" s="1115" t="n">
        <v>12199.03785</v>
      </c>
      <c r="HD88" s="1115"/>
      <c r="HE88" s="1115" t="n">
        <v>20950.521525</v>
      </c>
      <c r="HF88" s="1115" t="n">
        <v>510171.097902498</v>
      </c>
      <c r="HG88" s="1115"/>
      <c r="HH88" s="1142" t="n">
        <v>41.5507430530326</v>
      </c>
      <c r="HI88" s="1115" t="n">
        <v>870509.736712303</v>
      </c>
      <c r="HJ88" s="1150" t="e">
        <f aca="false">MAX(FB88-FP88-FW88,0)</f>
        <v>#VALUE!</v>
      </c>
      <c r="HK88" s="1115" t="e">
        <f aca="false">MAX(FD88-FR88-FX88,0)</f>
        <v>#VALUE!</v>
      </c>
      <c r="HL88" s="1115" t="e">
        <f aca="false">MAX(FF88-FT88-FY88,0)</f>
        <v>#VALUE!</v>
      </c>
      <c r="HM88" s="1141" t="e">
        <f aca="false">MAX(FH88-FV88-FZ88,0)</f>
        <v>#VALUE!</v>
      </c>
      <c r="HN88" s="1115" t="e">
        <f aca="false">SUM(HJ88:HM88)</f>
        <v>#VALUE!</v>
      </c>
      <c r="HO88" s="1142" t="n">
        <f aca="false">IF(ISERROR(+HP88/HN88),0,+HP88/HN88)</f>
        <v>0</v>
      </c>
      <c r="HP88" s="1143" t="e">
        <f aca="false">(HJ88*CE88+HK88*CF88+HL88*CG88+HM88*CH88)</f>
        <v>#VALUE!</v>
      </c>
      <c r="HQ88" s="1146"/>
      <c r="HR88" s="1150"/>
      <c r="HS88" s="1110"/>
      <c r="HT88" s="1141"/>
      <c r="HU88" s="1151"/>
      <c r="HV88" s="1142"/>
      <c r="HW88" s="1115"/>
      <c r="HX88" s="1149"/>
      <c r="HY88" s="1143"/>
      <c r="HZ88" s="1150"/>
      <c r="IA88" s="1142"/>
      <c r="IB88" s="1141"/>
      <c r="IC88" s="1151"/>
      <c r="ID88" s="1142"/>
      <c r="IE88" s="1141"/>
      <c r="IF88" s="1115"/>
      <c r="IG88" s="1142"/>
      <c r="IH88" s="1141"/>
      <c r="II88" s="1115"/>
      <c r="IJ88" s="1142"/>
      <c r="IK88" s="1115"/>
      <c r="IL88" s="1152"/>
      <c r="IM88" s="1192"/>
      <c r="IN88" s="1151"/>
      <c r="IO88" s="1151"/>
      <c r="IP88" s="1151"/>
      <c r="IQ88" s="1151"/>
      <c r="IR88" s="844"/>
    </row>
    <row r="89" customFormat="false" ht="13.5" hidden="false" customHeight="false" outlineLevel="0" collapsed="false">
      <c r="A89" s="0" t="str">
        <f aca="false">+D89&amp;"Q"&amp;ROUNDUP(E89/3,0)</f>
        <v>2006Q1</v>
      </c>
      <c r="B89" s="0" t="n">
        <f aca="false">YEAR(C89)</f>
        <v>2006</v>
      </c>
      <c r="C89" s="1153" t="n">
        <f aca="false">EOMONTH(C88,0)+1</f>
        <v>38718</v>
      </c>
      <c r="D89" s="841" t="n">
        <f aca="false">+YEAR(C89)</f>
        <v>2006</v>
      </c>
      <c r="E89" s="807" t="n">
        <f aca="false">MONTH(C89)</f>
        <v>1</v>
      </c>
      <c r="F89" s="1154" t="e">
        <f aca="false">IF(G89="","",Holiday(D89,E89))</f>
        <v>#VALUE!</v>
      </c>
      <c r="G89" s="1155" t="n">
        <v>38718</v>
      </c>
      <c r="H89" s="1156" t="n">
        <v>38748</v>
      </c>
      <c r="I89" s="1157" t="n">
        <f aca="false">I88</f>
        <v>0.0715</v>
      </c>
      <c r="J89" s="1158" t="n">
        <f aca="false">(1+I89/2)^(-2*(DATE(D90,E90,20)-$H$7)/365.25)</f>
        <v>0.647593259072739</v>
      </c>
      <c r="K89" s="1159"/>
      <c r="L89" s="1158"/>
      <c r="M89" s="1082" t="n">
        <v>0</v>
      </c>
      <c r="N89" s="1110" t="n">
        <f aca="false">M89</f>
        <v>0</v>
      </c>
      <c r="O89" s="1174" t="n">
        <f aca="false">N89</f>
        <v>0</v>
      </c>
      <c r="P89" s="1175" t="n">
        <f aca="false">M89</f>
        <v>0</v>
      </c>
      <c r="Q89" s="1110" t="n">
        <f aca="false">P89</f>
        <v>0</v>
      </c>
      <c r="R89" s="1174" t="n">
        <f aca="false">Q89</f>
        <v>0</v>
      </c>
      <c r="S89" s="1110" t="n">
        <f aca="false">R89</f>
        <v>0</v>
      </c>
      <c r="T89" s="1110" t="n">
        <f aca="false">S89</f>
        <v>0</v>
      </c>
      <c r="U89" s="1110" t="n">
        <f aca="false">T89</f>
        <v>0</v>
      </c>
      <c r="V89" s="1175" t="n">
        <f aca="false">U89</f>
        <v>0</v>
      </c>
      <c r="W89" s="1110" t="n">
        <f aca="false">V89</f>
        <v>0</v>
      </c>
      <c r="X89" s="1176" t="n">
        <f aca="false">W89</f>
        <v>0</v>
      </c>
      <c r="Y89" s="1086" t="n">
        <v>0</v>
      </c>
      <c r="Z89" s="1086" t="n">
        <v>0</v>
      </c>
      <c r="AA89" s="1087" t="n">
        <v>0</v>
      </c>
      <c r="AB89" s="1086" t="n">
        <v>0</v>
      </c>
      <c r="AC89" s="1086" t="n">
        <v>0</v>
      </c>
      <c r="AD89" s="1087" t="n">
        <v>0</v>
      </c>
      <c r="AE89" s="1086" t="n">
        <v>0</v>
      </c>
      <c r="AF89" s="1086" t="n">
        <v>0</v>
      </c>
      <c r="AG89" s="1087" t="n">
        <v>0</v>
      </c>
      <c r="AH89" s="1086" t="n">
        <v>0</v>
      </c>
      <c r="AI89" s="1086" t="n">
        <v>0</v>
      </c>
      <c r="AJ89" s="1087" t="n">
        <v>0</v>
      </c>
      <c r="AK89" s="1086" t="n">
        <v>0</v>
      </c>
      <c r="AL89" s="1086" t="n">
        <v>0</v>
      </c>
      <c r="AM89" s="1087" t="n">
        <v>0</v>
      </c>
      <c r="AN89" s="1086" t="n">
        <v>0</v>
      </c>
      <c r="AO89" s="1086" t="n">
        <v>0</v>
      </c>
      <c r="AP89" s="1087" t="n">
        <v>0</v>
      </c>
      <c r="AQ89" s="1086" t="n">
        <v>0</v>
      </c>
      <c r="AR89" s="1086" t="n">
        <v>0</v>
      </c>
      <c r="AS89" s="1087" t="n">
        <v>0</v>
      </c>
      <c r="AT89" s="1086" t="n">
        <v>0</v>
      </c>
      <c r="AU89" s="1086" t="n">
        <v>0</v>
      </c>
      <c r="AV89" s="1086" t="n">
        <v>0</v>
      </c>
      <c r="AW89" s="1172" t="n">
        <v>0</v>
      </c>
      <c r="AX89" s="807" t="e">
        <f aca="false">BB89-SUM(AY89:BA89)</f>
        <v>#VALUE!</v>
      </c>
      <c r="AY89" s="807" t="e">
        <f aca="false">IF(AND($E89=MONTH(Summary!$E$24),$D89=YEAR(Summary!$E$24)),Summary!$E$25,1)*IF(G89="",0,INT((H89-MOD(H89,7)-G89)/7)+1-IF(BA89,IF(WEEKDAY(F89)=7,1,0),0))</f>
        <v>#VALUE!</v>
      </c>
      <c r="AZ89" s="807" t="e">
        <f aca="false">IF(AND($E89=MONTH(Summary!$E$24),$D89=YEAR(Summary!$E$24)),Summary!$E$25,1)*IF(G89="",0,INT((H89-MOD(H89-1,7)-G89)/7)+1-IF(BA89,IF(WEEKDAY(F89)=1,1,0),0))</f>
        <v>#VALUE!</v>
      </c>
      <c r="BA89" s="807" t="n">
        <v>1</v>
      </c>
      <c r="BB89" s="807" t="n">
        <f aca="false">IF(AND($E89=MONTH(Summary!$E$24),$D89=YEAR(Summary!$E$24)),Summary!$E$25,1)*IF(G89="",0,H89-G89+1)</f>
        <v>31</v>
      </c>
      <c r="BC89" s="1089" t="n">
        <f aca="false">Summary!$E$19</f>
        <v>0.015</v>
      </c>
      <c r="BD89" s="1090" t="n">
        <v>14893.2</v>
      </c>
      <c r="BE89" s="1091" t="n">
        <v>2836.8</v>
      </c>
      <c r="BF89" s="1091" t="n">
        <v>4255.2</v>
      </c>
      <c r="BG89" s="842"/>
      <c r="BH89" s="1092" t="n">
        <v>1</v>
      </c>
      <c r="BI89" s="1092" t="n">
        <v>1</v>
      </c>
      <c r="BJ89" s="1092" t="n">
        <v>1</v>
      </c>
      <c r="BK89" s="1092" t="n">
        <v>1</v>
      </c>
      <c r="BL89" s="1093" t="n">
        <v>2978.64</v>
      </c>
      <c r="BM89" s="1091" t="n">
        <v>567.36</v>
      </c>
      <c r="BN89" s="1091" t="n">
        <v>851.04</v>
      </c>
      <c r="BO89" s="842"/>
      <c r="BP89" s="1092" t="n">
        <v>1</v>
      </c>
      <c r="BQ89" s="1094" t="n">
        <v>1</v>
      </c>
      <c r="BR89" s="1094" t="n">
        <v>1</v>
      </c>
      <c r="BS89" s="1095" t="n">
        <v>1</v>
      </c>
      <c r="BT89" s="1093" t="n">
        <f aca="false">SUM(BD89:BF89)</f>
        <v>21985.2</v>
      </c>
      <c r="BU89" s="1098" t="n">
        <f aca="false">SUM(BD89:BG89)</f>
        <v>21985.2</v>
      </c>
      <c r="BV89" s="1090" t="n">
        <f aca="false">SUM(BL89:BN89)</f>
        <v>4397.04</v>
      </c>
      <c r="BW89" s="1098" t="n">
        <f aca="false">SUM(BL89:BO89)</f>
        <v>4397.04</v>
      </c>
      <c r="BX89" s="852" t="n">
        <v>6.04791238877481</v>
      </c>
      <c r="BY89" s="1099" t="n">
        <v>0</v>
      </c>
      <c r="BZ89" s="852" t="n">
        <v>0</v>
      </c>
      <c r="CA89" s="852" t="n">
        <v>0</v>
      </c>
      <c r="CB89" s="852" t="n">
        <v>0</v>
      </c>
      <c r="CC89" s="852" t="n">
        <v>0</v>
      </c>
      <c r="CD89" s="852" t="n">
        <v>0</v>
      </c>
      <c r="CE89" s="1100" t="n">
        <v>0</v>
      </c>
      <c r="CF89" s="852" t="n">
        <v>0</v>
      </c>
      <c r="CG89" s="852" t="n">
        <v>0</v>
      </c>
      <c r="CH89" s="852" t="n">
        <v>0</v>
      </c>
      <c r="CI89" s="852" t="n">
        <v>0</v>
      </c>
      <c r="CJ89" s="1101" t="n">
        <v>0</v>
      </c>
      <c r="CK89" s="852" t="n">
        <v>0</v>
      </c>
      <c r="CL89" s="852" t="n">
        <v>0</v>
      </c>
      <c r="CM89" s="852" t="n">
        <v>0</v>
      </c>
      <c r="CN89" s="852" t="n">
        <v>0</v>
      </c>
      <c r="CO89" s="852" t="n">
        <v>0</v>
      </c>
      <c r="CP89" s="852" t="n">
        <v>0</v>
      </c>
      <c r="CQ89" s="1102" t="n">
        <v>0</v>
      </c>
      <c r="CR89" s="1103" t="n">
        <v>0</v>
      </c>
      <c r="CS89" s="1103" t="n">
        <v>0</v>
      </c>
      <c r="CT89" s="1103" t="n">
        <v>0</v>
      </c>
      <c r="CU89" s="1103" t="n">
        <v>0</v>
      </c>
      <c r="CV89" s="1103" t="n">
        <v>0</v>
      </c>
      <c r="CW89" s="1103" t="n">
        <v>0</v>
      </c>
      <c r="CX89" s="1104" t="n">
        <v>0</v>
      </c>
      <c r="CY89" s="1105" t="n">
        <v>7750.22</v>
      </c>
      <c r="CZ89" s="1099" t="n">
        <v>0</v>
      </c>
      <c r="DA89" s="852" t="n">
        <v>0</v>
      </c>
      <c r="DB89" s="852" t="n">
        <v>0</v>
      </c>
      <c r="DC89" s="852" t="n">
        <v>0</v>
      </c>
      <c r="DD89" s="852" t="n">
        <v>0</v>
      </c>
      <c r="DE89" s="1113" t="n">
        <v>0</v>
      </c>
      <c r="DF89" s="1109" t="n">
        <v>0</v>
      </c>
      <c r="DG89" s="1110" t="n">
        <v>0</v>
      </c>
      <c r="DH89" s="1111" t="n">
        <v>0</v>
      </c>
      <c r="DI89" s="1112" t="n">
        <v>0</v>
      </c>
      <c r="DJ89" s="1112" t="n">
        <v>0</v>
      </c>
      <c r="DK89" s="1112" t="n">
        <v>0</v>
      </c>
      <c r="DL89" s="1113" t="n">
        <v>0</v>
      </c>
      <c r="DM89" s="1114" t="n">
        <v>0</v>
      </c>
      <c r="DN89" s="1114" t="n">
        <v>0</v>
      </c>
      <c r="DO89" s="1114" t="n">
        <v>0</v>
      </c>
      <c r="DP89" s="1114" t="n">
        <v>0</v>
      </c>
      <c r="DQ89" s="1114" t="n">
        <v>0</v>
      </c>
      <c r="DR89" s="1109" t="n">
        <v>0</v>
      </c>
      <c r="DS89" s="852" t="n">
        <v>0</v>
      </c>
      <c r="DT89" s="852" t="n">
        <v>0</v>
      </c>
      <c r="DU89" s="852" t="n">
        <v>0</v>
      </c>
      <c r="DV89" s="852" t="n">
        <v>0</v>
      </c>
      <c r="DW89" s="852" t="n">
        <v>0</v>
      </c>
      <c r="DX89" s="852" t="n">
        <v>0</v>
      </c>
      <c r="DY89" s="852" t="n">
        <v>0</v>
      </c>
      <c r="DZ89" s="852" t="n">
        <v>0</v>
      </c>
      <c r="EA89" s="852" t="n">
        <v>0</v>
      </c>
      <c r="EB89" s="1113" t="n">
        <v>0</v>
      </c>
      <c r="EC89" s="1115" t="n">
        <f aca="false">DS89*BD89</f>
        <v>0</v>
      </c>
      <c r="ED89" s="1115" t="n">
        <f aca="false">DT89*BE89</f>
        <v>0</v>
      </c>
      <c r="EE89" s="1115" t="n">
        <f aca="false">DU89*BF89</f>
        <v>0</v>
      </c>
      <c r="EF89" s="1115" t="n">
        <f aca="false">DV89*BG89</f>
        <v>0</v>
      </c>
      <c r="EG89" s="1115" t="n">
        <f aca="false">DS89*BD89+DT89*BE89+DU89*BF89+DV89*BG89</f>
        <v>0</v>
      </c>
      <c r="EH89" s="1116" t="n">
        <v>0</v>
      </c>
      <c r="EI89" s="1117" t="n">
        <v>0</v>
      </c>
      <c r="EJ89" s="1117" t="n">
        <v>0</v>
      </c>
      <c r="EK89" s="1117" t="n">
        <v>0</v>
      </c>
      <c r="EL89" s="1118" t="n">
        <f aca="false">IF(C89&gt;=Summary!$E$26,MAX(0,SUM(EH89:EK89)),0)</f>
        <v>0</v>
      </c>
      <c r="EM89" s="1115" t="n">
        <f aca="false">IF(C89&gt;=Summary!$E$26,DX89*BL89,0)</f>
        <v>0</v>
      </c>
      <c r="EN89" s="1115" t="n">
        <f aca="false">IF(C89&gt;=Summary!$E$26,DY89*BM89,0)</f>
        <v>0</v>
      </c>
      <c r="EO89" s="1115" t="n">
        <f aca="false">IF(C89&gt;=Summary!$E$26,DZ89*BN89,0)</f>
        <v>0</v>
      </c>
      <c r="EP89" s="1115" t="n">
        <f aca="false">IF(C89&gt;=Summary!$E$26,EA89*BO89,0)</f>
        <v>0</v>
      </c>
      <c r="EQ89" s="1115" t="n">
        <f aca="false">IF(C89&gt;=Summary!$E$26,DX89*BL89+DY89*BM89+DZ89*BN89+EA89*BO89,0)</f>
        <v>0</v>
      </c>
      <c r="ER89" s="1119" t="n">
        <v>0</v>
      </c>
      <c r="ES89" s="1120" t="n">
        <v>0</v>
      </c>
      <c r="ET89" s="1120" t="n">
        <v>0</v>
      </c>
      <c r="EU89" s="1120" t="n">
        <v>0</v>
      </c>
      <c r="EV89" s="1143" t="n">
        <f aca="false">IF(C89&gt;=Summary!$E$26,MAX(0,SUM(ER89:EU89)),0)</f>
        <v>0</v>
      </c>
      <c r="EW89" s="1115"/>
      <c r="EX89" s="1165" t="n">
        <f aca="false">(EQ89-EV89)+IF(EZ89="Yes",(EG89-EL89),0)</f>
        <v>0</v>
      </c>
      <c r="EY89" s="1166" t="str">
        <f aca="false">IF(EX89,EX89/EQ89,"")</f>
        <v/>
      </c>
      <c r="EZ89" s="1122" t="s">
        <v>37</v>
      </c>
      <c r="FA89" s="1096" t="n">
        <f aca="false">FA88</f>
        <v>45</v>
      </c>
      <c r="FB89" s="1167" t="e">
        <f aca="false">IF(EZ89="No",IF((OR(MONTH(C89)=5,MONTH(C89)=6,MONTH(C89)=7,MONTH(C89)=8,MONTH(C89)=9)),$FA89*12*AX89*(1-$BC89),$FA89*10*AX89*(1-$BC89)),0)</f>
        <v>#VALUE!</v>
      </c>
      <c r="FC89" s="1129" t="e">
        <f aca="false">IF(EZ89="No",IF((OR(MONTH(C89)=5,MONTH(C89)=6,MONTH(C89)=7,MONTH(C89)=8,MONTH(C89)=9)),0,$FA89*3*AX89*(1-$BC89)),0)</f>
        <v>#VALUE!</v>
      </c>
      <c r="FD89" s="1129" t="e">
        <f aca="false">IF(EZ89="No",IF((OR(MONTH(C89)=5,MONTH(C89)=6,MONTH(C89)=7,MONTH(C89)=8,MONTH(C89)=9)),$FA89*12*AY89*(1-$BC89),$FA89*10*AY89*(1-$BC89)),0)</f>
        <v>#VALUE!</v>
      </c>
      <c r="FE89" s="1129" t="e">
        <f aca="false">IF(EZ89="No",IF((OR(MONTH(C89)=5,MONTH(C89)=6,MONTH(C89)=7,MONTH(C89)=8,MONTH(C89)=9)),0,$FA89*3*AY89*(1-$BC89)),0)</f>
        <v>#VALUE!</v>
      </c>
      <c r="FF89" s="1129" t="e">
        <f aca="false">IF(EZ89="No",IF((OR(MONTH(C89)=5,MONTH(C89)=6,MONTH(C89)=7,MONTH(C89)=8,MONTH(C89)=9)),$FA89*12*(AZ89+BA89)*(1-$BC89),$FA89*10*(AZ89+BA89)*(1-$BC89)),0)</f>
        <v>#VALUE!</v>
      </c>
      <c r="FG89" s="1129" t="e">
        <f aca="false">IF(EZ89="No",IF((OR(MONTH(C89)=5,MONTH(C89)=6,MONTH(C89)=7,MONTH(C89)=8,MONTH(C89)=9)),0,$FA89*3*(AZ89+BA89)*(1-$BC89)),0)</f>
        <v>#VALUE!</v>
      </c>
      <c r="FH89" s="1170" t="e">
        <f aca="false">IF(EZ89="No",IF((OR(MONTH(C89)=5,MONTH(C89)=6,MONTH(C89)=7,MONTH(C89)=8,MONTH(C89)=9)),Summary!$O$15*12*(AX89+AY89+AZ89+BA89)*(1-$BC89),Summary!$O$15*13*(AX89+AY89+AZ89+BA89)*(1-$BC89)+IF(Summary!$O$16="Yes",(CALC!FA89+Summary!$O$15)*6*(AX89+AY89+AZ89+BA89)*(1-$BC89),0)),0)</f>
        <v>#VALUE!</v>
      </c>
      <c r="FI89" s="1126" t="n">
        <f aca="false">IF(MONTH(C89)=5,FI88*(IF(Summary!$E$70="no",(1+(Summary!$E$71*0.8)),1+HLOOKUP(YEAR(C89)-1,CCFMODEL!$I$127:$AF$128,2)*0.8)),+FI88)</f>
        <v>30.6706804535374</v>
      </c>
      <c r="FJ89" s="1127" t="n">
        <f aca="false">IF(MONTH(C89)=5,FJ88*(IF(Summary!$E$70="no",(1+(Summary!$E$71*0.8)),1+HLOOKUP(YEAR(CALC!C89)-1,CCFMODEL!$I$127:$AF$128,2)*0.8)),FJ88)</f>
        <v>26.8066577192335</v>
      </c>
      <c r="FK89" s="1128" t="e">
        <f aca="false">SUM(FB89:FG89)*FI89+FH89*FJ89</f>
        <v>#VALUE!</v>
      </c>
      <c r="FL89" s="1126" t="n">
        <f aca="false">IF(MONTH(C89)=5,FL88*(IF(Summary!$E$70="no",(1+(Summary!$E$71*0.8)),1+HLOOKUP(YEAR(CALC!C89)-1,CCFMODEL!$I$127:$AF$128,2)*0.8)),+FL88)</f>
        <v>64.50387951402</v>
      </c>
      <c r="FM89" s="1127" t="n">
        <f aca="false">IF(MONTH(C89)=5,FM88*(IF(Summary!$E$70="no",(1+(Summary!$E$71*0.8)),1+HLOOKUP(YEAR(CALC!C89)-1,CCFMODEL!$I$127:$AF$128,2)*0.8)),+FM88)</f>
        <v>30.7856811301536</v>
      </c>
      <c r="FN89" s="1128" t="e">
        <f aca="false">IF((OR(MONTH(C89)=5,MONTH(C89)=6,MONTH(C89)=7,MONTH(C89)=8,MONTH(C89)=9)),SUM(FB89:FG89)/(1-BC89)*FL89,SUM(FB89:FG89)/(1-BC89)*FM89)</f>
        <v>#VALUE!</v>
      </c>
      <c r="FO89" s="1129" t="e">
        <f aca="false">FK89+FN89</f>
        <v>#VALUE!</v>
      </c>
      <c r="FP89" s="1169" t="e">
        <f aca="false">FB89</f>
        <v>#VALUE!</v>
      </c>
      <c r="FQ89" s="1129" t="e">
        <f aca="false">FC89</f>
        <v>#VALUE!</v>
      </c>
      <c r="FR89" s="1129" t="e">
        <f aca="false">FD89</f>
        <v>#VALUE!</v>
      </c>
      <c r="FS89" s="1129" t="e">
        <f aca="false">FE89</f>
        <v>#VALUE!</v>
      </c>
      <c r="FT89" s="1129" t="e">
        <f aca="false">FF89</f>
        <v>#VALUE!</v>
      </c>
      <c r="FU89" s="1129" t="e">
        <f aca="false">FG89</f>
        <v>#VALUE!</v>
      </c>
      <c r="FV89" s="1170" t="e">
        <f aca="false">FH89</f>
        <v>#VALUE!</v>
      </c>
      <c r="FW89" s="1115" t="n">
        <f aca="false">IF(ER89&gt;0,MIN(FB89-FP89,BL89),0)</f>
        <v>0</v>
      </c>
      <c r="FX89" s="1115" t="n">
        <f aca="false">IF(ES89&gt;0,MIN(FD89-FR89,BM89),0)</f>
        <v>0</v>
      </c>
      <c r="FY89" s="1115" t="n">
        <f aca="false">IF(ET89&gt;0,MIN(FF89-FT89,BN89),0)</f>
        <v>0</v>
      </c>
      <c r="FZ89" s="1143" t="n">
        <f aca="false">IF(EU89&gt;0,MIN(FH89-FV89,BO89),0)</f>
        <v>0</v>
      </c>
      <c r="GA89" s="1132" t="e">
        <f aca="false">(SUM(FP89:FV89)+SUM(GU89:HB89)/(1-Summary!$O$25))*CY89/1000</f>
        <v>#VALUE!</v>
      </c>
      <c r="GB89" s="1133" t="n">
        <f aca="false">IF($C89&lt;Summary!$M$81,+Summary!$O$81,VLOOKUP(C89,GasTable,19))</f>
        <v>2.4</v>
      </c>
      <c r="GC89" s="1134" t="e">
        <f aca="false">IF(H89&lt;=Summary!$N$84,MIN(GA89,Summary!$O$75*(H89-G89+1)),0)</f>
        <v>#VALUE!</v>
      </c>
      <c r="GD89" s="1135" t="e">
        <f aca="false">IF(Summary!$O$75*(H89-G89+1)*0.8&gt;GC89,1,0)</f>
        <v>#VALUE!</v>
      </c>
      <c r="GE89" s="1136" t="n">
        <v>0</v>
      </c>
      <c r="GF89" s="1134" t="e">
        <f aca="false">ABS(MIN(0,GC89-$GA89))</f>
        <v>#VALUE!</v>
      </c>
      <c r="GG89" s="1135" t="e">
        <f aca="false">GF89*(IF(Summary!$O$74=1,VLOOKUP($C89,GasTable,16)+Summary!$O$92+Summary!$O$93,VLOOKUP($C89,GasTable,19)+Summary!$O$92+Summary!$O$93))</f>
        <v>#VALUE!</v>
      </c>
      <c r="GH89" s="1137" t="n">
        <v>20633.6</v>
      </c>
      <c r="GI89" s="1138" t="n">
        <v>0</v>
      </c>
      <c r="GJ89" s="1139" t="e">
        <f aca="false">+GB89*GC89+GE89+GG89+GH89-GI89</f>
        <v>#VALUE!</v>
      </c>
      <c r="GK89" s="1115" t="e">
        <f aca="false">SUM(FP89:FV89,GU89:GX89,GY89:HB89)</f>
        <v>#VALUE!</v>
      </c>
      <c r="GL89" s="1140" t="n">
        <v>0.761071604</v>
      </c>
      <c r="GM89" s="1141" t="e">
        <f aca="false">IF(GK89&gt;GC89/(CY89/1000),GC89/(CY89/1000),+GK89)*GL89</f>
        <v>#VALUE!</v>
      </c>
      <c r="GN89" s="1115" t="n">
        <f aca="false">IF(SUM(GU89:HB89)=0,0,IF(Summary!$O$16="Yes",SUM(GX89:HB89),IF(Summary!$O$17="Yes",SUM(GY89:HB89),SUM(GU89:HB89))))</f>
        <v>12199.03785</v>
      </c>
      <c r="GO89" s="1142" t="n">
        <v>2.84127794457643</v>
      </c>
      <c r="GP89" s="1143" t="n">
        <f aca="false">GN89*GO89</f>
        <v>34660.8571882581</v>
      </c>
      <c r="GQ89" s="1115"/>
      <c r="GR89" s="1115"/>
      <c r="GS89" s="1115"/>
      <c r="GT89" s="1115"/>
      <c r="GU89" s="1150" t="n">
        <v>5389.47675</v>
      </c>
      <c r="GV89" s="1115" t="n">
        <v>1026.567</v>
      </c>
      <c r="GW89" s="1115" t="n">
        <v>1539.8505</v>
      </c>
      <c r="GX89" s="1115"/>
      <c r="GY89" s="1151" t="n">
        <v>2874.3876</v>
      </c>
      <c r="GZ89" s="1115" t="n">
        <v>547.5024</v>
      </c>
      <c r="HA89" s="1115" t="n">
        <v>821.2536</v>
      </c>
      <c r="HB89" s="1141"/>
      <c r="HC89" s="1115" t="n">
        <v>12199.03785</v>
      </c>
      <c r="HD89" s="1115"/>
      <c r="HE89" s="1115" t="n">
        <v>20950.521525</v>
      </c>
      <c r="HF89" s="1115" t="n">
        <v>501770.94504352</v>
      </c>
      <c r="HG89" s="1115"/>
      <c r="HH89" s="1142" t="n">
        <v>40.8170362120773</v>
      </c>
      <c r="HI89" s="1115" t="n">
        <v>855138.19574783</v>
      </c>
      <c r="HJ89" s="1150" t="e">
        <f aca="false">MAX(FB89-FP89-FW89,0)</f>
        <v>#VALUE!</v>
      </c>
      <c r="HK89" s="1115" t="e">
        <f aca="false">MAX(FD89-FR89-FX89,0)</f>
        <v>#VALUE!</v>
      </c>
      <c r="HL89" s="1115" t="e">
        <f aca="false">MAX(FF89-FT89-FY89,0)</f>
        <v>#VALUE!</v>
      </c>
      <c r="HM89" s="1141" t="e">
        <f aca="false">MAX(FH89-FV89-FZ89,0)</f>
        <v>#VALUE!</v>
      </c>
      <c r="HN89" s="1115" t="e">
        <f aca="false">SUM(HJ89:HM89)</f>
        <v>#VALUE!</v>
      </c>
      <c r="HO89" s="1142" t="n">
        <f aca="false">IF(ISERROR(+HP89/HN89),0,+HP89/HN89)</f>
        <v>0</v>
      </c>
      <c r="HP89" s="1143" t="e">
        <f aca="false">(HJ89*CE89+HK89*CF89+HL89*CG89+HM89*CH89)</f>
        <v>#VALUE!</v>
      </c>
      <c r="HQ89" s="1146"/>
      <c r="HR89" s="1150"/>
      <c r="HS89" s="1110"/>
      <c r="HT89" s="1141"/>
      <c r="HU89" s="1151"/>
      <c r="HV89" s="1142"/>
      <c r="HW89" s="1115"/>
      <c r="HX89" s="1149"/>
      <c r="HY89" s="1143"/>
      <c r="HZ89" s="1150"/>
      <c r="IA89" s="1142"/>
      <c r="IB89" s="1141"/>
      <c r="IC89" s="1151"/>
      <c r="ID89" s="1142"/>
      <c r="IE89" s="1141"/>
      <c r="IF89" s="1115"/>
      <c r="IG89" s="1142"/>
      <c r="IH89" s="1141"/>
      <c r="II89" s="1115"/>
      <c r="IJ89" s="1142"/>
      <c r="IK89" s="1115"/>
      <c r="IL89" s="1152"/>
      <c r="IM89" s="1192"/>
      <c r="IN89" s="1151"/>
      <c r="IO89" s="1151"/>
      <c r="IP89" s="1151"/>
      <c r="IQ89" s="1151"/>
      <c r="IR89" s="844"/>
    </row>
    <row r="90" customFormat="false" ht="13.5" hidden="false" customHeight="false" outlineLevel="0" collapsed="false">
      <c r="A90" s="0" t="str">
        <f aca="false">+D90&amp;"Q"&amp;ROUNDUP(E90/3,0)</f>
        <v>2006Q1</v>
      </c>
      <c r="B90" s="0" t="n">
        <f aca="false">YEAR(C90)</f>
        <v>2006</v>
      </c>
      <c r="C90" s="1153" t="n">
        <f aca="false">EOMONTH(C89,0)+1</f>
        <v>38749</v>
      </c>
      <c r="D90" s="841" t="n">
        <f aca="false">+YEAR(C90)</f>
        <v>2006</v>
      </c>
      <c r="E90" s="807" t="n">
        <f aca="false">MONTH(C90)</f>
        <v>2</v>
      </c>
      <c r="F90" s="1154" t="e">
        <f aca="false">IF(G90="","",Holiday(D90,E90))</f>
        <v>#VALUE!</v>
      </c>
      <c r="G90" s="1155" t="n">
        <v>38749</v>
      </c>
      <c r="H90" s="1156" t="n">
        <v>38776</v>
      </c>
      <c r="I90" s="1157" t="n">
        <f aca="false">I89</f>
        <v>0.0715</v>
      </c>
      <c r="J90" s="1158" t="n">
        <f aca="false">(1+I90/2)^(-2*(DATE(D91,E91,20)-$H$7)/365.25)</f>
        <v>0.644115035819623</v>
      </c>
      <c r="K90" s="1159"/>
      <c r="L90" s="1158"/>
      <c r="M90" s="1082" t="n">
        <v>0</v>
      </c>
      <c r="N90" s="1110" t="n">
        <f aca="false">M90</f>
        <v>0</v>
      </c>
      <c r="O90" s="1174" t="n">
        <f aca="false">N90</f>
        <v>0</v>
      </c>
      <c r="P90" s="1175" t="n">
        <f aca="false">M90</f>
        <v>0</v>
      </c>
      <c r="Q90" s="1110" t="n">
        <f aca="false">P90</f>
        <v>0</v>
      </c>
      <c r="R90" s="1174" t="n">
        <f aca="false">Q90</f>
        <v>0</v>
      </c>
      <c r="S90" s="1110" t="n">
        <f aca="false">R90</f>
        <v>0</v>
      </c>
      <c r="T90" s="1110" t="n">
        <f aca="false">S90</f>
        <v>0</v>
      </c>
      <c r="U90" s="1110" t="n">
        <f aca="false">T90</f>
        <v>0</v>
      </c>
      <c r="V90" s="1175" t="n">
        <f aca="false">U90</f>
        <v>0</v>
      </c>
      <c r="W90" s="1110" t="n">
        <f aca="false">V90</f>
        <v>0</v>
      </c>
      <c r="X90" s="1176" t="n">
        <f aca="false">W90</f>
        <v>0</v>
      </c>
      <c r="Y90" s="1086" t="n">
        <v>0</v>
      </c>
      <c r="Z90" s="1086" t="n">
        <v>0</v>
      </c>
      <c r="AA90" s="1087" t="n">
        <v>0</v>
      </c>
      <c r="AB90" s="1086" t="n">
        <v>0</v>
      </c>
      <c r="AC90" s="1086" t="n">
        <v>0</v>
      </c>
      <c r="AD90" s="1087" t="n">
        <v>0</v>
      </c>
      <c r="AE90" s="1086" t="n">
        <v>0</v>
      </c>
      <c r="AF90" s="1086" t="n">
        <v>0</v>
      </c>
      <c r="AG90" s="1087" t="n">
        <v>0</v>
      </c>
      <c r="AH90" s="1086" t="n">
        <v>0</v>
      </c>
      <c r="AI90" s="1086" t="n">
        <v>0</v>
      </c>
      <c r="AJ90" s="1087" t="n">
        <v>0</v>
      </c>
      <c r="AK90" s="1086" t="n">
        <v>0</v>
      </c>
      <c r="AL90" s="1086" t="n">
        <v>0</v>
      </c>
      <c r="AM90" s="1087" t="n">
        <v>0</v>
      </c>
      <c r="AN90" s="1086" t="n">
        <v>0</v>
      </c>
      <c r="AO90" s="1086" t="n">
        <v>0</v>
      </c>
      <c r="AP90" s="1087" t="n">
        <v>0</v>
      </c>
      <c r="AQ90" s="1086" t="n">
        <v>0</v>
      </c>
      <c r="AR90" s="1086" t="n">
        <v>0</v>
      </c>
      <c r="AS90" s="1087" t="n">
        <v>0</v>
      </c>
      <c r="AT90" s="1086" t="n">
        <v>0</v>
      </c>
      <c r="AU90" s="1086" t="n">
        <v>0</v>
      </c>
      <c r="AV90" s="1086" t="n">
        <v>0</v>
      </c>
      <c r="AW90" s="1172" t="n">
        <v>0</v>
      </c>
      <c r="AX90" s="807" t="n">
        <f aca="false">BB90-SUM(AY90:BA90)</f>
        <v>20</v>
      </c>
      <c r="AY90" s="807" t="n">
        <f aca="false">IF(AND($E90=MONTH(Summary!$E$24),$D90=YEAR(Summary!$E$24)),Summary!$E$25,1)*IF(G90="",0,INT((H90-MOD(H90,7)-G90)/7)+1-IF(BA90,IF(WEEKDAY(F90)=7,1,0),0))</f>
        <v>4</v>
      </c>
      <c r="AZ90" s="807" t="n">
        <f aca="false">IF(AND($E90=MONTH(Summary!$E$24),$D90=YEAR(Summary!$E$24)),Summary!$E$25,1)*IF(G90="",0,INT((H90-MOD(H90-1,7)-G90)/7)+1-IF(BA90,IF(WEEKDAY(F90)=1,1,0),0))</f>
        <v>4</v>
      </c>
      <c r="BA90" s="807" t="n">
        <v>0</v>
      </c>
      <c r="BB90" s="807" t="n">
        <f aca="false">IF(AND($E90=MONTH(Summary!$E$24),$D90=YEAR(Summary!$E$24)),Summary!$E$25,1)*IF(G90="",0,H90-G90+1)</f>
        <v>28</v>
      </c>
      <c r="BC90" s="1089" t="n">
        <f aca="false">Summary!$E$19</f>
        <v>0.015</v>
      </c>
      <c r="BD90" s="1090" t="n">
        <v>14184</v>
      </c>
      <c r="BE90" s="1091" t="n">
        <v>2836.8</v>
      </c>
      <c r="BF90" s="1091" t="n">
        <v>2836.8</v>
      </c>
      <c r="BG90" s="842"/>
      <c r="BH90" s="1092" t="n">
        <v>1</v>
      </c>
      <c r="BI90" s="1092" t="n">
        <v>1</v>
      </c>
      <c r="BJ90" s="1092" t="n">
        <v>1</v>
      </c>
      <c r="BK90" s="1092" t="n">
        <v>1</v>
      </c>
      <c r="BL90" s="1093" t="n">
        <v>2836.8</v>
      </c>
      <c r="BM90" s="1091" t="n">
        <v>567.36</v>
      </c>
      <c r="BN90" s="1091" t="n">
        <v>567.36</v>
      </c>
      <c r="BO90" s="842"/>
      <c r="BP90" s="1092" t="n">
        <v>1</v>
      </c>
      <c r="BQ90" s="1094" t="n">
        <v>1</v>
      </c>
      <c r="BR90" s="1094" t="n">
        <v>1</v>
      </c>
      <c r="BS90" s="1095" t="n">
        <v>1</v>
      </c>
      <c r="BT90" s="1093" t="n">
        <f aca="false">SUM(BD90:BF90)</f>
        <v>19857.6</v>
      </c>
      <c r="BU90" s="1098" t="n">
        <f aca="false">SUM(BD90:BG90)</f>
        <v>19857.6</v>
      </c>
      <c r="BV90" s="1090" t="n">
        <f aca="false">SUM(BL90:BN90)</f>
        <v>3971.52</v>
      </c>
      <c r="BW90" s="1098" t="n">
        <f aca="false">SUM(BL90:BO90)</f>
        <v>3971.52</v>
      </c>
      <c r="BX90" s="852" t="n">
        <v>6.13278576317591</v>
      </c>
      <c r="BY90" s="1099" t="n">
        <v>0</v>
      </c>
      <c r="BZ90" s="852" t="n">
        <v>0</v>
      </c>
      <c r="CA90" s="852" t="n">
        <v>0</v>
      </c>
      <c r="CB90" s="852" t="n">
        <v>0</v>
      </c>
      <c r="CC90" s="852" t="n">
        <v>0</v>
      </c>
      <c r="CD90" s="852" t="n">
        <v>0</v>
      </c>
      <c r="CE90" s="1100" t="n">
        <v>0</v>
      </c>
      <c r="CF90" s="852" t="n">
        <v>0</v>
      </c>
      <c r="CG90" s="852" t="n">
        <v>0</v>
      </c>
      <c r="CH90" s="852" t="n">
        <v>0</v>
      </c>
      <c r="CI90" s="852" t="n">
        <v>0</v>
      </c>
      <c r="CJ90" s="1101" t="n">
        <v>0</v>
      </c>
      <c r="CK90" s="852" t="n">
        <v>0</v>
      </c>
      <c r="CL90" s="852" t="n">
        <v>0</v>
      </c>
      <c r="CM90" s="852" t="n">
        <v>0</v>
      </c>
      <c r="CN90" s="852" t="n">
        <v>0</v>
      </c>
      <c r="CO90" s="852" t="n">
        <v>0</v>
      </c>
      <c r="CP90" s="852" t="n">
        <v>0</v>
      </c>
      <c r="CQ90" s="1102" t="n">
        <v>0</v>
      </c>
      <c r="CR90" s="1103" t="n">
        <v>0</v>
      </c>
      <c r="CS90" s="1103" t="n">
        <v>0</v>
      </c>
      <c r="CT90" s="1103" t="n">
        <v>0</v>
      </c>
      <c r="CU90" s="1103" t="n">
        <v>0</v>
      </c>
      <c r="CV90" s="1103" t="n">
        <v>0</v>
      </c>
      <c r="CW90" s="1103" t="n">
        <v>0</v>
      </c>
      <c r="CX90" s="1104" t="n">
        <v>0</v>
      </c>
      <c r="CY90" s="1105" t="n">
        <v>7751.52288</v>
      </c>
      <c r="CZ90" s="1099" t="n">
        <v>0</v>
      </c>
      <c r="DA90" s="852" t="n">
        <v>0</v>
      </c>
      <c r="DB90" s="852" t="n">
        <v>0</v>
      </c>
      <c r="DC90" s="852" t="n">
        <v>0</v>
      </c>
      <c r="DD90" s="852" t="n">
        <v>0</v>
      </c>
      <c r="DE90" s="1113" t="n">
        <v>0</v>
      </c>
      <c r="DF90" s="1109" t="n">
        <v>0</v>
      </c>
      <c r="DG90" s="1110" t="n">
        <v>0</v>
      </c>
      <c r="DH90" s="1111" t="n">
        <v>0</v>
      </c>
      <c r="DI90" s="1112" t="n">
        <v>0</v>
      </c>
      <c r="DJ90" s="1112" t="n">
        <v>0</v>
      </c>
      <c r="DK90" s="1112" t="n">
        <v>0</v>
      </c>
      <c r="DL90" s="1113" t="n">
        <v>0</v>
      </c>
      <c r="DM90" s="1114" t="n">
        <v>0</v>
      </c>
      <c r="DN90" s="1114" t="n">
        <v>0</v>
      </c>
      <c r="DO90" s="1114" t="n">
        <v>0</v>
      </c>
      <c r="DP90" s="1114" t="n">
        <v>0</v>
      </c>
      <c r="DQ90" s="1114" t="n">
        <v>0</v>
      </c>
      <c r="DR90" s="1109" t="n">
        <v>0</v>
      </c>
      <c r="DS90" s="852" t="n">
        <v>0</v>
      </c>
      <c r="DT90" s="852" t="n">
        <v>0</v>
      </c>
      <c r="DU90" s="852" t="n">
        <v>0</v>
      </c>
      <c r="DV90" s="852" t="n">
        <v>0</v>
      </c>
      <c r="DW90" s="852" t="n">
        <v>0</v>
      </c>
      <c r="DX90" s="852" t="n">
        <v>0</v>
      </c>
      <c r="DY90" s="852" t="n">
        <v>0</v>
      </c>
      <c r="DZ90" s="852" t="n">
        <v>0</v>
      </c>
      <c r="EA90" s="852" t="n">
        <v>0</v>
      </c>
      <c r="EB90" s="1113" t="n">
        <v>0</v>
      </c>
      <c r="EC90" s="1115" t="n">
        <f aca="false">DS90*BD90</f>
        <v>0</v>
      </c>
      <c r="ED90" s="1115" t="n">
        <f aca="false">DT90*BE90</f>
        <v>0</v>
      </c>
      <c r="EE90" s="1115" t="n">
        <f aca="false">DU90*BF90</f>
        <v>0</v>
      </c>
      <c r="EF90" s="1115" t="n">
        <f aca="false">DV90*BG90</f>
        <v>0</v>
      </c>
      <c r="EG90" s="1115" t="n">
        <f aca="false">DS90*BD90+DT90*BE90+DU90*BF90+DV90*BG90</f>
        <v>0</v>
      </c>
      <c r="EH90" s="1116" t="n">
        <v>0</v>
      </c>
      <c r="EI90" s="1117" t="n">
        <v>0</v>
      </c>
      <c r="EJ90" s="1117" t="n">
        <v>0</v>
      </c>
      <c r="EK90" s="1117" t="n">
        <v>0</v>
      </c>
      <c r="EL90" s="1118" t="n">
        <f aca="false">IF(C90&gt;=Summary!$E$26,MAX(0,SUM(EH90:EK90)),0)</f>
        <v>0</v>
      </c>
      <c r="EM90" s="1115" t="n">
        <f aca="false">IF(C90&gt;=Summary!$E$26,DX90*BL90,0)</f>
        <v>0</v>
      </c>
      <c r="EN90" s="1115" t="n">
        <f aca="false">IF(C90&gt;=Summary!$E$26,DY90*BM90,0)</f>
        <v>0</v>
      </c>
      <c r="EO90" s="1115" t="n">
        <f aca="false">IF(C90&gt;=Summary!$E$26,DZ90*BN90,0)</f>
        <v>0</v>
      </c>
      <c r="EP90" s="1115" t="n">
        <f aca="false">IF(C90&gt;=Summary!$E$26,EA90*BO90,0)</f>
        <v>0</v>
      </c>
      <c r="EQ90" s="1115" t="n">
        <f aca="false">IF(C90&gt;=Summary!$E$26,DX90*BL90+DY90*BM90+DZ90*BN90+EA90*BO90,0)</f>
        <v>0</v>
      </c>
      <c r="ER90" s="1119" t="n">
        <v>0</v>
      </c>
      <c r="ES90" s="1120" t="n">
        <v>0</v>
      </c>
      <c r="ET90" s="1120" t="n">
        <v>0</v>
      </c>
      <c r="EU90" s="1120" t="n">
        <v>0</v>
      </c>
      <c r="EV90" s="1143" t="n">
        <f aca="false">IF(C90&gt;=Summary!$E$26,MAX(0,SUM(ER90:EU90)),0)</f>
        <v>0</v>
      </c>
      <c r="EW90" s="1115"/>
      <c r="EX90" s="1165" t="n">
        <f aca="false">(EQ90-EV90)+IF(EZ90="Yes",(EG90-EL90),0)</f>
        <v>0</v>
      </c>
      <c r="EY90" s="1166" t="str">
        <f aca="false">IF(EX90,EX90/EQ90,"")</f>
        <v/>
      </c>
      <c r="EZ90" s="1122" t="s">
        <v>37</v>
      </c>
      <c r="FA90" s="1096" t="n">
        <f aca="false">FA89</f>
        <v>45</v>
      </c>
      <c r="FB90" s="1167" t="n">
        <f aca="false">IF(EZ90="No",IF((OR(MONTH(C90)=5,MONTH(C90)=6,MONTH(C90)=7,MONTH(C90)=8,MONTH(C90)=9)),$FA90*12*AX90*(1-$BC90),$FA90*10*AX90*(1-$BC90)),0)</f>
        <v>8865</v>
      </c>
      <c r="FC90" s="1129" t="n">
        <f aca="false">IF(EZ90="No",IF((OR(MONTH(C90)=5,MONTH(C90)=6,MONTH(C90)=7,MONTH(C90)=8,MONTH(C90)=9)),0,$FA90*3*AX90*(1-$BC90)),0)</f>
        <v>2659.5</v>
      </c>
      <c r="FD90" s="1129" t="n">
        <f aca="false">IF(EZ90="No",IF((OR(MONTH(C90)=5,MONTH(C90)=6,MONTH(C90)=7,MONTH(C90)=8,MONTH(C90)=9)),$FA90*12*AY90*(1-$BC90),$FA90*10*AY90*(1-$BC90)),0)</f>
        <v>1773</v>
      </c>
      <c r="FE90" s="1129" t="n">
        <f aca="false">IF(EZ90="No",IF((OR(MONTH(C90)=5,MONTH(C90)=6,MONTH(C90)=7,MONTH(C90)=8,MONTH(C90)=9)),0,$FA90*3*AY90*(1-$BC90)),0)</f>
        <v>531.9</v>
      </c>
      <c r="FF90" s="1129" t="n">
        <f aca="false">IF(EZ90="No",IF((OR(MONTH(C90)=5,MONTH(C90)=6,MONTH(C90)=7,MONTH(C90)=8,MONTH(C90)=9)),$FA90*12*(AZ90+BA90)*(1-$BC90),$FA90*10*(AZ90+BA90)*(1-$BC90)),0)</f>
        <v>1773</v>
      </c>
      <c r="FG90" s="1129" t="n">
        <f aca="false">IF(EZ90="No",IF((OR(MONTH(C90)=5,MONTH(C90)=6,MONTH(C90)=7,MONTH(C90)=8,MONTH(C90)=9)),0,$FA90*3*(AZ90+BA90)*(1-$BC90)),0)</f>
        <v>531.9</v>
      </c>
      <c r="FH90" s="1170" t="n">
        <f aca="false">IF(EZ90="No",IF((OR(MONTH(C90)=5,MONTH(C90)=6,MONTH(C90)=7,MONTH(C90)=8,MONTH(C90)=9)),Summary!$O$15*12*(AX90+AY90+AZ90+BA90)*(1-$BC90),Summary!$O$15*13*(AX90+AY90+AZ90+BA90)*(1-$BC90)+IF(Summary!$O$16="Yes",(CALC!FA90+Summary!$O$15)*6*(AX90+AY90+AZ90+BA90)*(1-$BC90),0)),0)</f>
        <v>0</v>
      </c>
      <c r="FI90" s="1126" t="n">
        <f aca="false">IF(MONTH(C90)=5,FI89*(IF(Summary!$E$70="no",(1+(Summary!$E$71*0.8)),1+HLOOKUP(YEAR(C90)-1,CCFMODEL!$I$127:$AF$128,2)*0.8)),+FI89)</f>
        <v>30.6706804535374</v>
      </c>
      <c r="FJ90" s="1127" t="n">
        <f aca="false">IF(MONTH(C90)=5,FJ89*(IF(Summary!$E$70="no",(1+(Summary!$E$71*0.8)),1+HLOOKUP(YEAR(CALC!C90)-1,CCFMODEL!$I$127:$AF$128,2)*0.8)),FJ89)</f>
        <v>26.8066577192335</v>
      </c>
      <c r="FK90" s="1128" t="n">
        <f aca="false">SUM(FB90:FG90)*FI90+FH90*FJ90</f>
        <v>494849.959641509</v>
      </c>
      <c r="FL90" s="1126" t="n">
        <f aca="false">IF(MONTH(C90)=5,FL89*(IF(Summary!$E$70="no",(1+(Summary!$E$71*0.8)),1+HLOOKUP(YEAR(CALC!C90)-1,CCFMODEL!$I$127:$AF$128,2)*0.8)),+FL89)</f>
        <v>64.50387951402</v>
      </c>
      <c r="FM90" s="1127" t="n">
        <f aca="false">IF(MONTH(C90)=5,FM89*(IF(Summary!$E$70="no",(1+(Summary!$E$71*0.8)),1+HLOOKUP(YEAR(CALC!C90)-1,CCFMODEL!$I$127:$AF$128,2)*0.8)),+FM89)</f>
        <v>30.7856811301536</v>
      </c>
      <c r="FN90" s="1128" t="n">
        <f aca="false">IF((OR(MONTH(C90)=5,MONTH(C90)=6,MONTH(C90)=7,MONTH(C90)=8,MONTH(C90)=9)),SUM(FB90:FG90)/(1-BC90)*FL90,SUM(FB90:FG90)/(1-BC90)*FM90)</f>
        <v>504269.456911916</v>
      </c>
      <c r="FO90" s="1129" t="n">
        <f aca="false">FK90+FN90</f>
        <v>999119.416553424</v>
      </c>
      <c r="FP90" s="1169" t="n">
        <f aca="false">FB90</f>
        <v>8865</v>
      </c>
      <c r="FQ90" s="1129" t="n">
        <f aca="false">FC90</f>
        <v>2659.5</v>
      </c>
      <c r="FR90" s="1129" t="n">
        <f aca="false">FD90</f>
        <v>1773</v>
      </c>
      <c r="FS90" s="1129" t="n">
        <f aca="false">FE90</f>
        <v>531.9</v>
      </c>
      <c r="FT90" s="1129" t="n">
        <f aca="false">FF90</f>
        <v>1773</v>
      </c>
      <c r="FU90" s="1129" t="n">
        <f aca="false">FG90</f>
        <v>531.9</v>
      </c>
      <c r="FV90" s="1170" t="n">
        <f aca="false">FH90</f>
        <v>0</v>
      </c>
      <c r="FW90" s="1115" t="n">
        <f aca="false">IF(ER90&gt;0,MIN(FB90-FP90,BL90),0)</f>
        <v>0</v>
      </c>
      <c r="FX90" s="1115" t="n">
        <f aca="false">IF(ES90&gt;0,MIN(FD90-FR90,BM90),0)</f>
        <v>0</v>
      </c>
      <c r="FY90" s="1115" t="n">
        <f aca="false">IF(ET90&gt;0,MIN(FF90-FT90,BN90),0)</f>
        <v>0</v>
      </c>
      <c r="FZ90" s="1143" t="n">
        <f aca="false">IF(EU90&gt;0,MIN(FH90-FV90,BO90),0)</f>
        <v>0</v>
      </c>
      <c r="GA90" s="1132" t="n">
        <f aca="false">(SUM(FP90:FV90)+SUM(GU90:HB90)/(1-Summary!$O$25))*CY90/1000</f>
        <v>213573.21402937</v>
      </c>
      <c r="GB90" s="1133" t="n">
        <f aca="false">IF($C90&lt;Summary!$M$81,+Summary!$O$81,VLOOKUP(C90,GasTable,19))</f>
        <v>2.4</v>
      </c>
      <c r="GC90" s="1134" t="n">
        <f aca="false">IF(H90&lt;=Summary!$N$84,MIN(GA90,Summary!$O$75*(H90-G90+1)),0)</f>
        <v>140000</v>
      </c>
      <c r="GD90" s="1135" t="n">
        <f aca="false">IF(Summary!$O$75*(H90-G90+1)*0.8&gt;GC90,1,0)</f>
        <v>0</v>
      </c>
      <c r="GE90" s="1136" t="n">
        <v>0</v>
      </c>
      <c r="GF90" s="1134" t="n">
        <f aca="false">ABS(MIN(0,GC90-$GA90))</f>
        <v>73573.2140293696</v>
      </c>
      <c r="GG90" s="1135" t="n">
        <f aca="false">GF90*(IF(Summary!$O$74=1,VLOOKUP($C90,GasTable,16)+Summary!$O$92+Summary!$O$93,VLOOKUP($C90,GasTable,19)+Summary!$O$92+Summary!$O$93))</f>
        <v>217733.693313263</v>
      </c>
      <c r="GH90" s="1137" t="n">
        <v>17976</v>
      </c>
      <c r="GI90" s="1138" t="n">
        <v>0</v>
      </c>
      <c r="GJ90" s="1139" t="n">
        <f aca="false">+GB90*GC90+GE90+GG90+GH90-GI90</f>
        <v>571709.693313263</v>
      </c>
      <c r="GK90" s="1115" t="n">
        <f aca="false">SUM(FP90:FV90,GU90:GX90,GY90:HB90)</f>
        <v>27152.7858</v>
      </c>
      <c r="GL90" s="1140" t="n">
        <v>0.761199546816</v>
      </c>
      <c r="GM90" s="1141" t="n">
        <f aca="false">IF(GK90&gt;GC90/(CY90/1000),GC90/(CY90/1000),+GK90)*GL90</f>
        <v>13748</v>
      </c>
      <c r="GN90" s="1115" t="n">
        <f aca="false">IF(SUM(GU90:HB90)=0,0,IF(Summary!$O$16="Yes",SUM(GX90:HB90),IF(Summary!$O$17="Yes",SUM(GY90:HB90),SUM(GU90:HB90))))</f>
        <v>11018.4858</v>
      </c>
      <c r="GO90" s="1142" t="n">
        <v>2.84127794457643</v>
      </c>
      <c r="GP90" s="1143" t="n">
        <f aca="false">GN90*GO90</f>
        <v>31306.5806861686</v>
      </c>
      <c r="GQ90" s="1115"/>
      <c r="GR90" s="1115"/>
      <c r="GS90" s="1115"/>
      <c r="GT90" s="1115"/>
      <c r="GU90" s="1150" t="n">
        <v>5132.835</v>
      </c>
      <c r="GV90" s="1115" t="n">
        <v>1026.567</v>
      </c>
      <c r="GW90" s="1115" t="n">
        <v>1026.567</v>
      </c>
      <c r="GX90" s="1115"/>
      <c r="GY90" s="1151" t="n">
        <v>2737.512</v>
      </c>
      <c r="GZ90" s="1115" t="n">
        <v>547.5024</v>
      </c>
      <c r="HA90" s="1115" t="n">
        <v>547.5024</v>
      </c>
      <c r="HB90" s="1141"/>
      <c r="HC90" s="1115" t="n">
        <v>11018.4858</v>
      </c>
      <c r="HD90" s="1115"/>
      <c r="HE90" s="1115" t="n">
        <v>18923.0517</v>
      </c>
      <c r="HF90" s="1115" t="n">
        <v>350844.603972151</v>
      </c>
      <c r="HG90" s="1115"/>
      <c r="HH90" s="1142" t="n">
        <v>31.6037281519509</v>
      </c>
      <c r="HI90" s="1115" t="n">
        <v>598038.981732111</v>
      </c>
      <c r="HJ90" s="1150" t="n">
        <f aca="false">MAX(FB90-FP90-FW90,0)</f>
        <v>0</v>
      </c>
      <c r="HK90" s="1115" t="n">
        <f aca="false">MAX(FD90-FR90-FX90,0)</f>
        <v>0</v>
      </c>
      <c r="HL90" s="1115" t="n">
        <f aca="false">MAX(FF90-FT90-FY90,0)</f>
        <v>0</v>
      </c>
      <c r="HM90" s="1141" t="n">
        <f aca="false">MAX(FH90-FV90-FZ90,0)</f>
        <v>0</v>
      </c>
      <c r="HN90" s="1115" t="n">
        <f aca="false">SUM(HJ90:HM90)</f>
        <v>0</v>
      </c>
      <c r="HO90" s="1142" t="n">
        <f aca="false">IF(ISERROR(+HP90/HN90),0,+HP90/HN90)</f>
        <v>0</v>
      </c>
      <c r="HP90" s="1143" t="n">
        <f aca="false">(HJ90*CE90+HK90*CF90+HL90*CG90+HM90*CH90)</f>
        <v>0</v>
      </c>
      <c r="HQ90" s="1146"/>
      <c r="HR90" s="1150"/>
      <c r="HS90" s="1110"/>
      <c r="HT90" s="1141"/>
      <c r="HU90" s="1151"/>
      <c r="HV90" s="1142"/>
      <c r="HW90" s="1115"/>
      <c r="HX90" s="1149"/>
      <c r="HY90" s="1143"/>
      <c r="HZ90" s="1150"/>
      <c r="IA90" s="1142"/>
      <c r="IB90" s="1141"/>
      <c r="IC90" s="1151"/>
      <c r="ID90" s="1142"/>
      <c r="IE90" s="1141"/>
      <c r="IF90" s="1115"/>
      <c r="IG90" s="1142"/>
      <c r="IH90" s="1141"/>
      <c r="II90" s="1115"/>
      <c r="IJ90" s="1142"/>
      <c r="IK90" s="1115"/>
      <c r="IL90" s="1152"/>
      <c r="IM90" s="1192"/>
      <c r="IN90" s="1151"/>
      <c r="IO90" s="1151"/>
      <c r="IP90" s="1151"/>
      <c r="IQ90" s="1151"/>
      <c r="IR90" s="844"/>
    </row>
    <row r="91" customFormat="false" ht="13.5" hidden="false" customHeight="false" outlineLevel="0" collapsed="false">
      <c r="A91" s="0" t="str">
        <f aca="false">+D91&amp;"Q"&amp;ROUNDUP(E91/3,0)</f>
        <v>2006Q1</v>
      </c>
      <c r="B91" s="0" t="n">
        <f aca="false">YEAR(C91)</f>
        <v>2006</v>
      </c>
      <c r="C91" s="1153" t="n">
        <f aca="false">EOMONTH(C90,0)+1</f>
        <v>38777</v>
      </c>
      <c r="D91" s="841" t="n">
        <f aca="false">+YEAR(C91)</f>
        <v>2006</v>
      </c>
      <c r="E91" s="807" t="n">
        <f aca="false">MONTH(C91)</f>
        <v>3</v>
      </c>
      <c r="F91" s="1154" t="e">
        <f aca="false">IF(G91="","",Holiday(D91,E91))</f>
        <v>#VALUE!</v>
      </c>
      <c r="G91" s="1155" t="n">
        <v>38777</v>
      </c>
      <c r="H91" s="1156" t="n">
        <v>38807</v>
      </c>
      <c r="I91" s="1157" t="n">
        <f aca="false">I90</f>
        <v>0.0715</v>
      </c>
      <c r="J91" s="1158" t="n">
        <f aca="false">(1+I91/2)^(-2*(DATE(D92,E92,20)-$H$7)/365.25)</f>
        <v>0.640285932758663</v>
      </c>
      <c r="K91" s="1159"/>
      <c r="L91" s="1158"/>
      <c r="M91" s="1082" t="n">
        <v>0</v>
      </c>
      <c r="N91" s="1110" t="n">
        <f aca="false">M91</f>
        <v>0</v>
      </c>
      <c r="O91" s="1174" t="n">
        <f aca="false">N91</f>
        <v>0</v>
      </c>
      <c r="P91" s="1175" t="n">
        <f aca="false">M91</f>
        <v>0</v>
      </c>
      <c r="Q91" s="1110" t="n">
        <f aca="false">P91</f>
        <v>0</v>
      </c>
      <c r="R91" s="1174" t="n">
        <f aca="false">Q91</f>
        <v>0</v>
      </c>
      <c r="S91" s="1110" t="n">
        <f aca="false">R91</f>
        <v>0</v>
      </c>
      <c r="T91" s="1110" t="n">
        <f aca="false">S91</f>
        <v>0</v>
      </c>
      <c r="U91" s="1110" t="n">
        <f aca="false">T91</f>
        <v>0</v>
      </c>
      <c r="V91" s="1175" t="n">
        <f aca="false">U91</f>
        <v>0</v>
      </c>
      <c r="W91" s="1110" t="n">
        <f aca="false">V91</f>
        <v>0</v>
      </c>
      <c r="X91" s="1176" t="n">
        <f aca="false">W91</f>
        <v>0</v>
      </c>
      <c r="Y91" s="1086" t="n">
        <v>0</v>
      </c>
      <c r="Z91" s="1086" t="n">
        <v>0</v>
      </c>
      <c r="AA91" s="1087" t="n">
        <v>0</v>
      </c>
      <c r="AB91" s="1086" t="n">
        <v>0</v>
      </c>
      <c r="AC91" s="1086" t="n">
        <v>0</v>
      </c>
      <c r="AD91" s="1087" t="n">
        <v>0</v>
      </c>
      <c r="AE91" s="1086" t="n">
        <v>0</v>
      </c>
      <c r="AF91" s="1086" t="n">
        <v>0</v>
      </c>
      <c r="AG91" s="1087" t="n">
        <v>0</v>
      </c>
      <c r="AH91" s="1086" t="n">
        <v>0</v>
      </c>
      <c r="AI91" s="1086" t="n">
        <v>0</v>
      </c>
      <c r="AJ91" s="1087" t="n">
        <v>0</v>
      </c>
      <c r="AK91" s="1086" t="n">
        <v>0</v>
      </c>
      <c r="AL91" s="1086" t="n">
        <v>0</v>
      </c>
      <c r="AM91" s="1087" t="n">
        <v>0</v>
      </c>
      <c r="AN91" s="1086" t="n">
        <v>0</v>
      </c>
      <c r="AO91" s="1086" t="n">
        <v>0</v>
      </c>
      <c r="AP91" s="1087" t="n">
        <v>0</v>
      </c>
      <c r="AQ91" s="1086" t="n">
        <v>0</v>
      </c>
      <c r="AR91" s="1086" t="n">
        <v>0</v>
      </c>
      <c r="AS91" s="1087" t="n">
        <v>0</v>
      </c>
      <c r="AT91" s="1086" t="n">
        <v>0</v>
      </c>
      <c r="AU91" s="1086" t="n">
        <v>0</v>
      </c>
      <c r="AV91" s="1086" t="n">
        <v>0</v>
      </c>
      <c r="AW91" s="1172" t="n">
        <v>0</v>
      </c>
      <c r="AX91" s="807" t="n">
        <f aca="false">BB91-SUM(AY91:BA91)</f>
        <v>23</v>
      </c>
      <c r="AY91" s="807" t="n">
        <f aca="false">IF(AND($E91=MONTH(Summary!$E$24),$D91=YEAR(Summary!$E$24)),Summary!$E$25,1)*IF(G91="",0,INT((H91-MOD(H91,7)-G91)/7)+1-IF(BA91,IF(WEEKDAY(F91)=7,1,0),0))</f>
        <v>4</v>
      </c>
      <c r="AZ91" s="807" t="n">
        <f aca="false">IF(AND($E91=MONTH(Summary!$E$24),$D91=YEAR(Summary!$E$24)),Summary!$E$25,1)*IF(G91="",0,INT((H91-MOD(H91-1,7)-G91)/7)+1-IF(BA91,IF(WEEKDAY(F91)=1,1,0),0))</f>
        <v>4</v>
      </c>
      <c r="BA91" s="807" t="n">
        <v>0</v>
      </c>
      <c r="BB91" s="807" t="n">
        <f aca="false">IF(AND($E91=MONTH(Summary!$E$24),$D91=YEAR(Summary!$E$24)),Summary!$E$25,1)*IF(G91="",0,H91-G91+1)</f>
        <v>31</v>
      </c>
      <c r="BC91" s="1089" t="n">
        <f aca="false">Summary!$E$19</f>
        <v>0.015</v>
      </c>
      <c r="BD91" s="1090" t="n">
        <v>16311.6</v>
      </c>
      <c r="BE91" s="1091" t="n">
        <v>2836.8</v>
      </c>
      <c r="BF91" s="1091" t="n">
        <v>2836.8</v>
      </c>
      <c r="BG91" s="842"/>
      <c r="BH91" s="1092" t="n">
        <v>1</v>
      </c>
      <c r="BI91" s="1092" t="n">
        <v>1</v>
      </c>
      <c r="BJ91" s="1092" t="n">
        <v>1</v>
      </c>
      <c r="BK91" s="1092" t="n">
        <v>1</v>
      </c>
      <c r="BL91" s="1093" t="n">
        <v>3262.32</v>
      </c>
      <c r="BM91" s="1091" t="n">
        <v>567.36</v>
      </c>
      <c r="BN91" s="1091" t="n">
        <v>567.36</v>
      </c>
      <c r="BO91" s="842"/>
      <c r="BP91" s="1092" t="n">
        <v>1</v>
      </c>
      <c r="BQ91" s="1094" t="n">
        <v>1</v>
      </c>
      <c r="BR91" s="1094" t="n">
        <v>1</v>
      </c>
      <c r="BS91" s="1095" t="n">
        <v>1</v>
      </c>
      <c r="BT91" s="1093" t="n">
        <f aca="false">SUM(BD91:BF91)</f>
        <v>21985.2</v>
      </c>
      <c r="BU91" s="1098" t="n">
        <f aca="false">SUM(BD91:BG91)</f>
        <v>21985.2</v>
      </c>
      <c r="BV91" s="1090" t="n">
        <f aca="false">SUM(BL91:BN91)</f>
        <v>4397.04</v>
      </c>
      <c r="BW91" s="1098" t="n">
        <f aca="false">SUM(BL91:BO91)</f>
        <v>4397.04</v>
      </c>
      <c r="BX91" s="852" t="n">
        <v>6.20944558521561</v>
      </c>
      <c r="BY91" s="1099" t="n">
        <v>0</v>
      </c>
      <c r="BZ91" s="852" t="n">
        <v>0</v>
      </c>
      <c r="CA91" s="852" t="n">
        <v>0</v>
      </c>
      <c r="CB91" s="852" t="n">
        <v>0</v>
      </c>
      <c r="CC91" s="852" t="n">
        <v>0</v>
      </c>
      <c r="CD91" s="852" t="n">
        <v>0</v>
      </c>
      <c r="CE91" s="1100" t="n">
        <v>0</v>
      </c>
      <c r="CF91" s="852" t="n">
        <v>0</v>
      </c>
      <c r="CG91" s="852" t="n">
        <v>0</v>
      </c>
      <c r="CH91" s="852" t="n">
        <v>0</v>
      </c>
      <c r="CI91" s="852" t="n">
        <v>0</v>
      </c>
      <c r="CJ91" s="1101" t="n">
        <v>0</v>
      </c>
      <c r="CK91" s="852" t="n">
        <v>0</v>
      </c>
      <c r="CL91" s="852" t="n">
        <v>0</v>
      </c>
      <c r="CM91" s="852" t="n">
        <v>0</v>
      </c>
      <c r="CN91" s="852" t="n">
        <v>0</v>
      </c>
      <c r="CO91" s="852" t="n">
        <v>0</v>
      </c>
      <c r="CP91" s="852" t="n">
        <v>0</v>
      </c>
      <c r="CQ91" s="1102" t="n">
        <v>0</v>
      </c>
      <c r="CR91" s="1103" t="n">
        <v>0</v>
      </c>
      <c r="CS91" s="1103" t="n">
        <v>0</v>
      </c>
      <c r="CT91" s="1103" t="n">
        <v>0</v>
      </c>
      <c r="CU91" s="1103" t="n">
        <v>0</v>
      </c>
      <c r="CV91" s="1103" t="n">
        <v>0</v>
      </c>
      <c r="CW91" s="1103" t="n">
        <v>0</v>
      </c>
      <c r="CX91" s="1104" t="n">
        <v>0</v>
      </c>
      <c r="CY91" s="1105" t="n">
        <v>7752.82576</v>
      </c>
      <c r="CZ91" s="1099" t="n">
        <v>0</v>
      </c>
      <c r="DA91" s="852" t="n">
        <v>0</v>
      </c>
      <c r="DB91" s="852" t="n">
        <v>0</v>
      </c>
      <c r="DC91" s="852" t="n">
        <v>0</v>
      </c>
      <c r="DD91" s="852" t="n">
        <v>0</v>
      </c>
      <c r="DE91" s="1113" t="n">
        <v>0</v>
      </c>
      <c r="DF91" s="1109" t="n">
        <v>0</v>
      </c>
      <c r="DG91" s="1110" t="n">
        <v>0</v>
      </c>
      <c r="DH91" s="1111" t="n">
        <v>0</v>
      </c>
      <c r="DI91" s="1112" t="n">
        <v>0</v>
      </c>
      <c r="DJ91" s="1112" t="n">
        <v>0</v>
      </c>
      <c r="DK91" s="1112" t="n">
        <v>0</v>
      </c>
      <c r="DL91" s="1113" t="n">
        <v>0</v>
      </c>
      <c r="DM91" s="1114" t="n">
        <v>0</v>
      </c>
      <c r="DN91" s="1114" t="n">
        <v>0</v>
      </c>
      <c r="DO91" s="1114" t="n">
        <v>0</v>
      </c>
      <c r="DP91" s="1114" t="n">
        <v>0</v>
      </c>
      <c r="DQ91" s="1114" t="n">
        <v>0</v>
      </c>
      <c r="DR91" s="1109" t="n">
        <v>0</v>
      </c>
      <c r="DS91" s="852" t="n">
        <v>0</v>
      </c>
      <c r="DT91" s="852" t="n">
        <v>0</v>
      </c>
      <c r="DU91" s="852" t="n">
        <v>0</v>
      </c>
      <c r="DV91" s="852" t="n">
        <v>0</v>
      </c>
      <c r="DW91" s="852" t="n">
        <v>0</v>
      </c>
      <c r="DX91" s="852" t="n">
        <v>0</v>
      </c>
      <c r="DY91" s="852" t="n">
        <v>0</v>
      </c>
      <c r="DZ91" s="852" t="n">
        <v>0</v>
      </c>
      <c r="EA91" s="852" t="n">
        <v>0</v>
      </c>
      <c r="EB91" s="1113" t="n">
        <v>0</v>
      </c>
      <c r="EC91" s="1115" t="n">
        <f aca="false">DS91*BD91</f>
        <v>0</v>
      </c>
      <c r="ED91" s="1115" t="n">
        <f aca="false">DT91*BE91</f>
        <v>0</v>
      </c>
      <c r="EE91" s="1115" t="n">
        <f aca="false">DU91*BF91</f>
        <v>0</v>
      </c>
      <c r="EF91" s="1115" t="n">
        <f aca="false">DV91*BG91</f>
        <v>0</v>
      </c>
      <c r="EG91" s="1115" t="n">
        <f aca="false">DS91*BD91+DT91*BE91+DU91*BF91+DV91*BG91</f>
        <v>0</v>
      </c>
      <c r="EH91" s="1116" t="n">
        <v>0</v>
      </c>
      <c r="EI91" s="1117" t="n">
        <v>0</v>
      </c>
      <c r="EJ91" s="1117" t="n">
        <v>0</v>
      </c>
      <c r="EK91" s="1117" t="n">
        <v>0</v>
      </c>
      <c r="EL91" s="1118" t="n">
        <f aca="false">IF(C91&gt;=Summary!$E$26,MAX(0,SUM(EH91:EK91)),0)</f>
        <v>0</v>
      </c>
      <c r="EM91" s="1115" t="n">
        <f aca="false">IF(C91&gt;=Summary!$E$26,DX91*BL91,0)</f>
        <v>0</v>
      </c>
      <c r="EN91" s="1115" t="n">
        <f aca="false">IF(C91&gt;=Summary!$E$26,DY91*BM91,0)</f>
        <v>0</v>
      </c>
      <c r="EO91" s="1115" t="n">
        <f aca="false">IF(C91&gt;=Summary!$E$26,DZ91*BN91,0)</f>
        <v>0</v>
      </c>
      <c r="EP91" s="1115" t="n">
        <f aca="false">IF(C91&gt;=Summary!$E$26,EA91*BO91,0)</f>
        <v>0</v>
      </c>
      <c r="EQ91" s="1115" t="n">
        <f aca="false">IF(C91&gt;=Summary!$E$26,DX91*BL91+DY91*BM91+DZ91*BN91+EA91*BO91,0)</f>
        <v>0</v>
      </c>
      <c r="ER91" s="1119" t="n">
        <v>0</v>
      </c>
      <c r="ES91" s="1120" t="n">
        <v>0</v>
      </c>
      <c r="ET91" s="1120" t="n">
        <v>0</v>
      </c>
      <c r="EU91" s="1120" t="n">
        <v>0</v>
      </c>
      <c r="EV91" s="1143" t="n">
        <f aca="false">IF(C91&gt;=Summary!$E$26,MAX(0,SUM(ER91:EU91)),0)</f>
        <v>0</v>
      </c>
      <c r="EW91" s="1115"/>
      <c r="EX91" s="1165" t="n">
        <f aca="false">(EQ91-EV91)+IF(EZ91="Yes",(EG91-EL91),0)</f>
        <v>0</v>
      </c>
      <c r="EY91" s="1166" t="str">
        <f aca="false">IF(EX91,EX91/EQ91,"")</f>
        <v/>
      </c>
      <c r="EZ91" s="1122" t="s">
        <v>37</v>
      </c>
      <c r="FA91" s="1096" t="n">
        <f aca="false">FA90</f>
        <v>45</v>
      </c>
      <c r="FB91" s="1167" t="n">
        <f aca="false">IF(EZ91="No",IF((OR(MONTH(C91)=5,MONTH(C91)=6,MONTH(C91)=7,MONTH(C91)=8,MONTH(C91)=9)),$FA91*12*AX91*(1-$BC91),$FA91*10*AX91*(1-$BC91)),0)</f>
        <v>10194.75</v>
      </c>
      <c r="FC91" s="1129" t="n">
        <f aca="false">IF(EZ91="No",IF((OR(MONTH(C91)=5,MONTH(C91)=6,MONTH(C91)=7,MONTH(C91)=8,MONTH(C91)=9)),0,$FA91*3*AX91*(1-$BC91)),0)</f>
        <v>3058.425</v>
      </c>
      <c r="FD91" s="1129" t="n">
        <f aca="false">IF(EZ91="No",IF((OR(MONTH(C91)=5,MONTH(C91)=6,MONTH(C91)=7,MONTH(C91)=8,MONTH(C91)=9)),$FA91*12*AY91*(1-$BC91),$FA91*10*AY91*(1-$BC91)),0)</f>
        <v>1773</v>
      </c>
      <c r="FE91" s="1129" t="n">
        <f aca="false">IF(EZ91="No",IF((OR(MONTH(C91)=5,MONTH(C91)=6,MONTH(C91)=7,MONTH(C91)=8,MONTH(C91)=9)),0,$FA91*3*AY91*(1-$BC91)),0)</f>
        <v>531.9</v>
      </c>
      <c r="FF91" s="1129" t="n">
        <f aca="false">IF(EZ91="No",IF((OR(MONTH(C91)=5,MONTH(C91)=6,MONTH(C91)=7,MONTH(C91)=8,MONTH(C91)=9)),$FA91*12*(AZ91+BA91)*(1-$BC91),$FA91*10*(AZ91+BA91)*(1-$BC91)),0)</f>
        <v>1773</v>
      </c>
      <c r="FG91" s="1129" t="n">
        <f aca="false">IF(EZ91="No",IF((OR(MONTH(C91)=5,MONTH(C91)=6,MONTH(C91)=7,MONTH(C91)=8,MONTH(C91)=9)),0,$FA91*3*(AZ91+BA91)*(1-$BC91)),0)</f>
        <v>531.9</v>
      </c>
      <c r="FH91" s="1170" t="n">
        <f aca="false">IF(EZ91="No",IF((OR(MONTH(C91)=5,MONTH(C91)=6,MONTH(C91)=7,MONTH(C91)=8,MONTH(C91)=9)),Summary!$O$15*12*(AX91+AY91+AZ91+BA91)*(1-$BC91),Summary!$O$15*13*(AX91+AY91+AZ91+BA91)*(1-$BC91)+IF(Summary!$O$16="Yes",(CALC!FA91+Summary!$O$15)*6*(AX91+AY91+AZ91+BA91)*(1-$BC91),0)),0)</f>
        <v>0</v>
      </c>
      <c r="FI91" s="1126" t="n">
        <f aca="false">IF(MONTH(C91)=5,FI90*(IF(Summary!$E$70="no",(1+(Summary!$E$71*0.8)),1+HLOOKUP(YEAR(C91)-1,CCFMODEL!$I$127:$AF$128,2)*0.8)),+FI90)</f>
        <v>30.6706804535374</v>
      </c>
      <c r="FJ91" s="1127" t="n">
        <f aca="false">IF(MONTH(C91)=5,FJ90*(IF(Summary!$E$70="no",(1+(Summary!$E$71*0.8)),1+HLOOKUP(YEAR(CALC!C91)-1,CCFMODEL!$I$127:$AF$128,2)*0.8)),FJ90)</f>
        <v>26.8066577192335</v>
      </c>
      <c r="FK91" s="1128" t="n">
        <f aca="false">SUM(FB91:FG91)*FI91+FH91*FJ91</f>
        <v>547869.598174527</v>
      </c>
      <c r="FL91" s="1126" t="n">
        <f aca="false">IF(MONTH(C91)=5,FL90*(IF(Summary!$E$70="no",(1+(Summary!$E$71*0.8)),1+HLOOKUP(YEAR(CALC!C91)-1,CCFMODEL!$I$127:$AF$128,2)*0.8)),+FL90)</f>
        <v>64.50387951402</v>
      </c>
      <c r="FM91" s="1127" t="n">
        <f aca="false">IF(MONTH(C91)=5,FM90*(IF(Summary!$E$70="no",(1+(Summary!$E$71*0.8)),1+HLOOKUP(YEAR(CALC!C91)-1,CCFMODEL!$I$127:$AF$128,2)*0.8)),+FM90)</f>
        <v>30.7856811301536</v>
      </c>
      <c r="FN91" s="1128" t="n">
        <f aca="false">IF((OR(MONTH(C91)=5,MONTH(C91)=6,MONTH(C91)=7,MONTH(C91)=8,MONTH(C91)=9)),SUM(FB91:FG91)/(1-BC91)*FL91,SUM(FB91:FG91)/(1-BC91)*FM91)</f>
        <v>558298.327295336</v>
      </c>
      <c r="FO91" s="1129" t="n">
        <f aca="false">FK91+FN91</f>
        <v>1106167.92546986</v>
      </c>
      <c r="FP91" s="1169" t="n">
        <f aca="false">FB91</f>
        <v>10194.75</v>
      </c>
      <c r="FQ91" s="1129" t="n">
        <f aca="false">FC91</f>
        <v>3058.425</v>
      </c>
      <c r="FR91" s="1129" t="n">
        <f aca="false">FD91</f>
        <v>1773</v>
      </c>
      <c r="FS91" s="1129" t="n">
        <f aca="false">FE91</f>
        <v>531.9</v>
      </c>
      <c r="FT91" s="1129" t="n">
        <f aca="false">FF91</f>
        <v>1773</v>
      </c>
      <c r="FU91" s="1129" t="n">
        <f aca="false">FG91</f>
        <v>531.9</v>
      </c>
      <c r="FV91" s="1170" t="n">
        <f aca="false">FH91</f>
        <v>0</v>
      </c>
      <c r="FW91" s="1115" t="n">
        <f aca="false">IF(ER91&gt;0,MIN(FB91-FP91,BL91),0)</f>
        <v>0</v>
      </c>
      <c r="FX91" s="1115" t="n">
        <f aca="false">IF(ES91&gt;0,MIN(FD91-FR91,BM91),0)</f>
        <v>0</v>
      </c>
      <c r="FY91" s="1115" t="n">
        <f aca="false">IF(ET91&gt;0,MIN(FF91-FT91,BN91),0)</f>
        <v>0</v>
      </c>
      <c r="FZ91" s="1143" t="n">
        <f aca="false">IF(EU91&gt;0,MIN(FH91-FV91,BO91),0)</f>
        <v>0</v>
      </c>
      <c r="GA91" s="1132" t="n">
        <f aca="false">(SUM(FP91:FV91)+SUM(GU91:HB91)/(1-Summary!$O$25))*CY91/1000</f>
        <v>236495.802047018</v>
      </c>
      <c r="GB91" s="1133" t="n">
        <f aca="false">IF($C91&lt;Summary!$M$81,+Summary!$O$81,VLOOKUP(C91,GasTable,19))</f>
        <v>2.4</v>
      </c>
      <c r="GC91" s="1134" t="n">
        <f aca="false">IF(H91&lt;=Summary!$N$84,MIN(GA91,Summary!$O$75*(H91-G91+1)),0)</f>
        <v>155000</v>
      </c>
      <c r="GD91" s="1135" t="n">
        <f aca="false">IF(Summary!$O$75*(H91-G91+1)*0.8&gt;GC91,1,0)</f>
        <v>0</v>
      </c>
      <c r="GE91" s="1136" t="n">
        <v>0</v>
      </c>
      <c r="GF91" s="1134" t="n">
        <f aca="false">ABS(MIN(0,GC91-$GA91))</f>
        <v>81495.8020470184</v>
      </c>
      <c r="GG91" s="1135" t="n">
        <f aca="false">GF91*(IF(Summary!$O$74=1,VLOOKUP($C91,GasTable,16)+Summary!$O$92+Summary!$O$93,VLOOKUP($C91,GasTable,19)+Summary!$O$92+Summary!$O$93))</f>
        <v>228460.488836114</v>
      </c>
      <c r="GH91" s="1137" t="n">
        <v>19089.8</v>
      </c>
      <c r="GI91" s="1138" t="n">
        <v>0</v>
      </c>
      <c r="GJ91" s="1139" t="n">
        <f aca="false">+GB91*GC91+GE91+GG91+GH91-GI91</f>
        <v>619550.288836114</v>
      </c>
      <c r="GK91" s="1115" t="n">
        <f aca="false">SUM(FP91:FV91,GU91:GX91,GY91:HB91)</f>
        <v>30062.01285</v>
      </c>
      <c r="GL91" s="1140" t="n">
        <v>0.761327489632</v>
      </c>
      <c r="GM91" s="1141" t="n">
        <f aca="false">IF(GK91&gt;GC91/(CY91/1000),GC91/(CY91/1000),+GK91)*GL91</f>
        <v>15221</v>
      </c>
      <c r="GN91" s="1115" t="n">
        <f aca="false">IF(SUM(GU91:HB91)=0,0,IF(Summary!$O$16="Yes",SUM(GX91:HB91),IF(Summary!$O$17="Yes",SUM(GY91:HB91),SUM(GU91:HB91))))</f>
        <v>12199.03785</v>
      </c>
      <c r="GO91" s="1142" t="n">
        <v>2.84127794457643</v>
      </c>
      <c r="GP91" s="1143" t="n">
        <f aca="false">GN91*GO91</f>
        <v>34660.8571882581</v>
      </c>
      <c r="GQ91" s="1115"/>
      <c r="GR91" s="1115"/>
      <c r="GS91" s="1115"/>
      <c r="GT91" s="1115"/>
      <c r="GU91" s="1150" t="n">
        <v>5902.76025</v>
      </c>
      <c r="GV91" s="1115" t="n">
        <v>1026.567</v>
      </c>
      <c r="GW91" s="1115" t="n">
        <v>1026.567</v>
      </c>
      <c r="GX91" s="1115"/>
      <c r="GY91" s="1151" t="n">
        <v>3148.1388</v>
      </c>
      <c r="GZ91" s="1115" t="n">
        <v>547.5024</v>
      </c>
      <c r="HA91" s="1115" t="n">
        <v>547.5024</v>
      </c>
      <c r="HB91" s="1141"/>
      <c r="HC91" s="1115" t="n">
        <v>12199.03785</v>
      </c>
      <c r="HD91" s="1115"/>
      <c r="HE91" s="1115" t="n">
        <v>14320.60965</v>
      </c>
      <c r="HF91" s="1115" t="n">
        <v>374798.242968874</v>
      </c>
      <c r="HG91" s="1115"/>
      <c r="HH91" s="1142" t="n">
        <v>30.7408230719013</v>
      </c>
      <c r="HI91" s="1115" t="n">
        <v>440227.327532412</v>
      </c>
      <c r="HJ91" s="1150" t="n">
        <f aca="false">MAX(FB91-FP91-FW91,0)</f>
        <v>0</v>
      </c>
      <c r="HK91" s="1115" t="n">
        <f aca="false">MAX(FD91-FR91-FX91,0)</f>
        <v>0</v>
      </c>
      <c r="HL91" s="1115" t="n">
        <f aca="false">MAX(FF91-FT91-FY91,0)</f>
        <v>0</v>
      </c>
      <c r="HM91" s="1141" t="n">
        <f aca="false">MAX(FH91-FV91-FZ91,0)</f>
        <v>0</v>
      </c>
      <c r="HN91" s="1115" t="n">
        <f aca="false">SUM(HJ91:HM91)</f>
        <v>0</v>
      </c>
      <c r="HO91" s="1142" t="n">
        <f aca="false">IF(ISERROR(+HP91/HN91),0,+HP91/HN91)</f>
        <v>0</v>
      </c>
      <c r="HP91" s="1143" t="n">
        <f aca="false">(HJ91*CE91+HK91*CF91+HL91*CG91+HM91*CH91)</f>
        <v>0</v>
      </c>
      <c r="HQ91" s="1146"/>
      <c r="HR91" s="1150"/>
      <c r="HS91" s="1110"/>
      <c r="HT91" s="1141"/>
      <c r="HU91" s="1151"/>
      <c r="HV91" s="1142"/>
      <c r="HW91" s="1115"/>
      <c r="HX91" s="1149"/>
      <c r="HY91" s="1143"/>
      <c r="HZ91" s="1150"/>
      <c r="IA91" s="1142"/>
      <c r="IB91" s="1141"/>
      <c r="IC91" s="1151"/>
      <c r="ID91" s="1142"/>
      <c r="IE91" s="1141"/>
      <c r="IF91" s="1115"/>
      <c r="IG91" s="1142"/>
      <c r="IH91" s="1141"/>
      <c r="II91" s="1115"/>
      <c r="IJ91" s="1142"/>
      <c r="IK91" s="1115"/>
      <c r="IL91" s="1152"/>
      <c r="IM91" s="1192"/>
      <c r="IN91" s="1151"/>
      <c r="IO91" s="1151"/>
      <c r="IP91" s="1151"/>
      <c r="IQ91" s="1151"/>
      <c r="IR91" s="844"/>
    </row>
    <row r="92" customFormat="false" ht="13.5" hidden="false" customHeight="false" outlineLevel="0" collapsed="false">
      <c r="A92" s="0" t="str">
        <f aca="false">+D92&amp;"Q"&amp;ROUNDUP(E92/3,0)</f>
        <v>2006Q2</v>
      </c>
      <c r="B92" s="0" t="n">
        <f aca="false">YEAR(C92)</f>
        <v>2006</v>
      </c>
      <c r="C92" s="1153" t="n">
        <f aca="false">EOMONTH(C91,0)+1</f>
        <v>38808</v>
      </c>
      <c r="D92" s="841" t="n">
        <f aca="false">+YEAR(C92)</f>
        <v>2006</v>
      </c>
      <c r="E92" s="807" t="n">
        <f aca="false">MONTH(C92)</f>
        <v>4</v>
      </c>
      <c r="F92" s="1154" t="e">
        <f aca="false">IF(G92="","",Holiday(D92,E92))</f>
        <v>#VALUE!</v>
      </c>
      <c r="G92" s="1155" t="n">
        <v>38808</v>
      </c>
      <c r="H92" s="1156" t="n">
        <v>38837</v>
      </c>
      <c r="I92" s="1157" t="n">
        <f aca="false">I91</f>
        <v>0.0715</v>
      </c>
      <c r="J92" s="1158" t="n">
        <f aca="false">(1+I92/2)^(-2*(DATE(D93,E93,20)-$H$7)/365.25)</f>
        <v>0.636602024005405</v>
      </c>
      <c r="K92" s="1159"/>
      <c r="L92" s="1158"/>
      <c r="M92" s="1082" t="n">
        <v>0</v>
      </c>
      <c r="N92" s="1110" t="n">
        <f aca="false">M92</f>
        <v>0</v>
      </c>
      <c r="O92" s="1174" t="n">
        <f aca="false">N92</f>
        <v>0</v>
      </c>
      <c r="P92" s="1175" t="n">
        <f aca="false">M92</f>
        <v>0</v>
      </c>
      <c r="Q92" s="1110" t="n">
        <f aca="false">P92</f>
        <v>0</v>
      </c>
      <c r="R92" s="1174" t="n">
        <f aca="false">Q92</f>
        <v>0</v>
      </c>
      <c r="S92" s="1110" t="n">
        <f aca="false">R92</f>
        <v>0</v>
      </c>
      <c r="T92" s="1110" t="n">
        <f aca="false">S92</f>
        <v>0</v>
      </c>
      <c r="U92" s="1110" t="n">
        <f aca="false">T92</f>
        <v>0</v>
      </c>
      <c r="V92" s="1175" t="n">
        <f aca="false">U92</f>
        <v>0</v>
      </c>
      <c r="W92" s="1110" t="n">
        <f aca="false">V92</f>
        <v>0</v>
      </c>
      <c r="X92" s="1176" t="n">
        <f aca="false">W92</f>
        <v>0</v>
      </c>
      <c r="Y92" s="1086" t="n">
        <v>0</v>
      </c>
      <c r="Z92" s="1086" t="n">
        <v>0</v>
      </c>
      <c r="AA92" s="1087" t="n">
        <v>0</v>
      </c>
      <c r="AB92" s="1086" t="n">
        <v>0</v>
      </c>
      <c r="AC92" s="1086" t="n">
        <v>0</v>
      </c>
      <c r="AD92" s="1087" t="n">
        <v>0</v>
      </c>
      <c r="AE92" s="1086" t="n">
        <v>0</v>
      </c>
      <c r="AF92" s="1086" t="n">
        <v>0</v>
      </c>
      <c r="AG92" s="1087" t="n">
        <v>0</v>
      </c>
      <c r="AH92" s="1086" t="n">
        <v>0</v>
      </c>
      <c r="AI92" s="1086" t="n">
        <v>0</v>
      </c>
      <c r="AJ92" s="1087" t="n">
        <v>0</v>
      </c>
      <c r="AK92" s="1086" t="n">
        <v>0</v>
      </c>
      <c r="AL92" s="1086" t="n">
        <v>0</v>
      </c>
      <c r="AM92" s="1087" t="n">
        <v>0</v>
      </c>
      <c r="AN92" s="1086" t="n">
        <v>0</v>
      </c>
      <c r="AO92" s="1086" t="n">
        <v>0</v>
      </c>
      <c r="AP92" s="1087" t="n">
        <v>0</v>
      </c>
      <c r="AQ92" s="1086" t="n">
        <v>0</v>
      </c>
      <c r="AR92" s="1086" t="n">
        <v>0</v>
      </c>
      <c r="AS92" s="1087" t="n">
        <v>0</v>
      </c>
      <c r="AT92" s="1086" t="n">
        <v>0</v>
      </c>
      <c r="AU92" s="1086" t="n">
        <v>0</v>
      </c>
      <c r="AV92" s="1086" t="n">
        <v>0</v>
      </c>
      <c r="AW92" s="1172" t="n">
        <v>0</v>
      </c>
      <c r="AX92" s="807" t="n">
        <f aca="false">BB92-SUM(AY92:BA92)</f>
        <v>20</v>
      </c>
      <c r="AY92" s="807" t="n">
        <f aca="false">IF(AND($E92=MONTH(Summary!$E$24),$D92=YEAR(Summary!$E$24)),Summary!$E$25,1)*IF(G92="",0,INT((H92-MOD(H92,7)-G92)/7)+1-IF(BA92,IF(WEEKDAY(F92)=7,1,0),0))</f>
        <v>5</v>
      </c>
      <c r="AZ92" s="807" t="n">
        <f aca="false">IF(AND($E92=MONTH(Summary!$E$24),$D92=YEAR(Summary!$E$24)),Summary!$E$25,1)*IF(G92="",0,INT((H92-MOD(H92-1,7)-G92)/7)+1-IF(BA92,IF(WEEKDAY(F92)=1,1,0),0))</f>
        <v>5</v>
      </c>
      <c r="BA92" s="807" t="n">
        <v>0</v>
      </c>
      <c r="BB92" s="807" t="n">
        <f aca="false">IF(AND($E92=MONTH(Summary!$E$24),$D92=YEAR(Summary!$E$24)),Summary!$E$25,1)*IF(G92="",0,H92-G92+1)</f>
        <v>30</v>
      </c>
      <c r="BC92" s="1089" t="n">
        <f aca="false">Summary!$E$19</f>
        <v>0.015</v>
      </c>
      <c r="BD92" s="1090" t="n">
        <v>14184</v>
      </c>
      <c r="BE92" s="1091" t="n">
        <v>3546</v>
      </c>
      <c r="BF92" s="1091" t="n">
        <v>3546</v>
      </c>
      <c r="BG92" s="842"/>
      <c r="BH92" s="1092" t="n">
        <v>1</v>
      </c>
      <c r="BI92" s="1092" t="n">
        <v>1</v>
      </c>
      <c r="BJ92" s="1092" t="n">
        <v>1</v>
      </c>
      <c r="BK92" s="1092" t="n">
        <v>1</v>
      </c>
      <c r="BL92" s="1093" t="n">
        <v>2836.8</v>
      </c>
      <c r="BM92" s="1091" t="n">
        <v>709.2</v>
      </c>
      <c r="BN92" s="1091" t="n">
        <v>709.2</v>
      </c>
      <c r="BO92" s="842"/>
      <c r="BP92" s="1092" t="n">
        <v>1</v>
      </c>
      <c r="BQ92" s="1094" t="n">
        <v>1</v>
      </c>
      <c r="BR92" s="1094" t="n">
        <v>1</v>
      </c>
      <c r="BS92" s="1095" t="n">
        <v>1</v>
      </c>
      <c r="BT92" s="1093" t="n">
        <f aca="false">SUM(BD92:BF92)</f>
        <v>21276</v>
      </c>
      <c r="BU92" s="1098" t="n">
        <f aca="false">SUM(BD92:BG92)</f>
        <v>21276</v>
      </c>
      <c r="BV92" s="1090" t="n">
        <f aca="false">SUM(BL92:BN92)</f>
        <v>4255.2</v>
      </c>
      <c r="BW92" s="1098" t="n">
        <f aca="false">SUM(BL92:BO92)</f>
        <v>4255.2</v>
      </c>
      <c r="BX92" s="852" t="n">
        <v>6.2943189596167</v>
      </c>
      <c r="BY92" s="1099" t="n">
        <v>0</v>
      </c>
      <c r="BZ92" s="852" t="n">
        <v>0</v>
      </c>
      <c r="CA92" s="852" t="n">
        <v>0</v>
      </c>
      <c r="CB92" s="852" t="n">
        <v>0</v>
      </c>
      <c r="CC92" s="852" t="n">
        <v>0</v>
      </c>
      <c r="CD92" s="852" t="n">
        <v>0</v>
      </c>
      <c r="CE92" s="1100" t="n">
        <v>0</v>
      </c>
      <c r="CF92" s="852" t="n">
        <v>0</v>
      </c>
      <c r="CG92" s="852" t="n">
        <v>0</v>
      </c>
      <c r="CH92" s="852" t="n">
        <v>0</v>
      </c>
      <c r="CI92" s="852" t="n">
        <v>0</v>
      </c>
      <c r="CJ92" s="1101" t="n">
        <v>0</v>
      </c>
      <c r="CK92" s="852" t="n">
        <v>0</v>
      </c>
      <c r="CL92" s="852" t="n">
        <v>0</v>
      </c>
      <c r="CM92" s="852" t="n">
        <v>0</v>
      </c>
      <c r="CN92" s="852" t="n">
        <v>0</v>
      </c>
      <c r="CO92" s="852" t="n">
        <v>0</v>
      </c>
      <c r="CP92" s="852" t="n">
        <v>0</v>
      </c>
      <c r="CQ92" s="1102" t="n">
        <v>0</v>
      </c>
      <c r="CR92" s="1103" t="n">
        <v>0</v>
      </c>
      <c r="CS92" s="1103" t="n">
        <v>0</v>
      </c>
      <c r="CT92" s="1103" t="n">
        <v>0</v>
      </c>
      <c r="CU92" s="1103" t="n">
        <v>0</v>
      </c>
      <c r="CV92" s="1103" t="n">
        <v>0</v>
      </c>
      <c r="CW92" s="1103" t="n">
        <v>0</v>
      </c>
      <c r="CX92" s="1104" t="n">
        <v>0</v>
      </c>
      <c r="CY92" s="1105" t="n">
        <v>7754.12864</v>
      </c>
      <c r="CZ92" s="1099" t="n">
        <v>0</v>
      </c>
      <c r="DA92" s="852" t="n">
        <v>0</v>
      </c>
      <c r="DB92" s="852" t="n">
        <v>0</v>
      </c>
      <c r="DC92" s="852" t="n">
        <v>0</v>
      </c>
      <c r="DD92" s="852" t="n">
        <v>0</v>
      </c>
      <c r="DE92" s="1113" t="n">
        <v>0</v>
      </c>
      <c r="DF92" s="1109" t="n">
        <v>0</v>
      </c>
      <c r="DG92" s="1110" t="n">
        <v>0</v>
      </c>
      <c r="DH92" s="1111" t="n">
        <v>0</v>
      </c>
      <c r="DI92" s="1112" t="n">
        <v>0</v>
      </c>
      <c r="DJ92" s="1112" t="n">
        <v>0</v>
      </c>
      <c r="DK92" s="1112" t="n">
        <v>0</v>
      </c>
      <c r="DL92" s="1113" t="n">
        <v>0</v>
      </c>
      <c r="DM92" s="1114" t="n">
        <v>0</v>
      </c>
      <c r="DN92" s="1114" t="n">
        <v>0</v>
      </c>
      <c r="DO92" s="1114" t="n">
        <v>0</v>
      </c>
      <c r="DP92" s="1114" t="n">
        <v>0</v>
      </c>
      <c r="DQ92" s="1114" t="n">
        <v>0</v>
      </c>
      <c r="DR92" s="1109" t="n">
        <v>0</v>
      </c>
      <c r="DS92" s="852" t="n">
        <v>0</v>
      </c>
      <c r="DT92" s="852" t="n">
        <v>0</v>
      </c>
      <c r="DU92" s="852" t="n">
        <v>0</v>
      </c>
      <c r="DV92" s="852" t="n">
        <v>0</v>
      </c>
      <c r="DW92" s="852" t="n">
        <v>0</v>
      </c>
      <c r="DX92" s="852" t="n">
        <v>0</v>
      </c>
      <c r="DY92" s="852" t="n">
        <v>0</v>
      </c>
      <c r="DZ92" s="852" t="n">
        <v>0</v>
      </c>
      <c r="EA92" s="852" t="n">
        <v>0</v>
      </c>
      <c r="EB92" s="1113" t="n">
        <v>0</v>
      </c>
      <c r="EC92" s="1115" t="n">
        <f aca="false">DS92*BD92</f>
        <v>0</v>
      </c>
      <c r="ED92" s="1115" t="n">
        <f aca="false">DT92*BE92</f>
        <v>0</v>
      </c>
      <c r="EE92" s="1115" t="n">
        <f aca="false">DU92*BF92</f>
        <v>0</v>
      </c>
      <c r="EF92" s="1115" t="n">
        <f aca="false">DV92*BG92</f>
        <v>0</v>
      </c>
      <c r="EG92" s="1115" t="n">
        <f aca="false">DS92*BD92+DT92*BE92+DU92*BF92+DV92*BG92</f>
        <v>0</v>
      </c>
      <c r="EH92" s="1116" t="n">
        <v>0</v>
      </c>
      <c r="EI92" s="1117" t="n">
        <v>0</v>
      </c>
      <c r="EJ92" s="1117" t="n">
        <v>0</v>
      </c>
      <c r="EK92" s="1117" t="n">
        <v>0</v>
      </c>
      <c r="EL92" s="1118" t="n">
        <f aca="false">IF(C92&gt;=Summary!$E$26,MAX(0,SUM(EH92:EK92)),0)</f>
        <v>0</v>
      </c>
      <c r="EM92" s="1115" t="n">
        <f aca="false">IF(C92&gt;=Summary!$E$26,DX92*BL92,0)</f>
        <v>0</v>
      </c>
      <c r="EN92" s="1115" t="n">
        <f aca="false">IF(C92&gt;=Summary!$E$26,DY92*BM92,0)</f>
        <v>0</v>
      </c>
      <c r="EO92" s="1115" t="n">
        <f aca="false">IF(C92&gt;=Summary!$E$26,DZ92*BN92,0)</f>
        <v>0</v>
      </c>
      <c r="EP92" s="1115" t="n">
        <f aca="false">IF(C92&gt;=Summary!$E$26,EA92*BO92,0)</f>
        <v>0</v>
      </c>
      <c r="EQ92" s="1115" t="n">
        <f aca="false">IF(C92&gt;=Summary!$E$26,DX92*BL92+DY92*BM92+DZ92*BN92+EA92*BO92,0)</f>
        <v>0</v>
      </c>
      <c r="ER92" s="1119" t="n">
        <v>0</v>
      </c>
      <c r="ES92" s="1120" t="n">
        <v>0</v>
      </c>
      <c r="ET92" s="1120" t="n">
        <v>0</v>
      </c>
      <c r="EU92" s="1120" t="n">
        <v>0</v>
      </c>
      <c r="EV92" s="1143" t="n">
        <f aca="false">IF(C92&gt;=Summary!$E$26,MAX(0,SUM(ER92:EU92)),0)</f>
        <v>0</v>
      </c>
      <c r="EW92" s="1115"/>
      <c r="EX92" s="1165" t="n">
        <f aca="false">(EQ92-EV92)+IF(EZ92="Yes",(EG92-EL92),0)</f>
        <v>0</v>
      </c>
      <c r="EY92" s="1166" t="str">
        <f aca="false">IF(EX92,EX92/EQ92,"")</f>
        <v/>
      </c>
      <c r="EZ92" s="1122" t="s">
        <v>37</v>
      </c>
      <c r="FA92" s="1096" t="n">
        <f aca="false">FA91</f>
        <v>45</v>
      </c>
      <c r="FB92" s="1167" t="n">
        <f aca="false">IF(EZ92="No",IF((OR(MONTH(C92)=5,MONTH(C92)=6,MONTH(C92)=7,MONTH(C92)=8,MONTH(C92)=9)),$FA92*12*AX92*(1-$BC92),$FA92*10*AX92*(1-$BC92)),0)</f>
        <v>8865</v>
      </c>
      <c r="FC92" s="1129" t="n">
        <f aca="false">IF(EZ92="No",IF((OR(MONTH(C92)=5,MONTH(C92)=6,MONTH(C92)=7,MONTH(C92)=8,MONTH(C92)=9)),0,$FA92*3*AX92*(1-$BC92)),0)</f>
        <v>2659.5</v>
      </c>
      <c r="FD92" s="1129" t="n">
        <f aca="false">IF(EZ92="No",IF((OR(MONTH(C92)=5,MONTH(C92)=6,MONTH(C92)=7,MONTH(C92)=8,MONTH(C92)=9)),$FA92*12*AY92*(1-$BC92),$FA92*10*AY92*(1-$BC92)),0)</f>
        <v>2216.25</v>
      </c>
      <c r="FE92" s="1129" t="n">
        <f aca="false">IF(EZ92="No",IF((OR(MONTH(C92)=5,MONTH(C92)=6,MONTH(C92)=7,MONTH(C92)=8,MONTH(C92)=9)),0,$FA92*3*AY92*(1-$BC92)),0)</f>
        <v>664.875</v>
      </c>
      <c r="FF92" s="1129" t="n">
        <f aca="false">IF(EZ92="No",IF((OR(MONTH(C92)=5,MONTH(C92)=6,MONTH(C92)=7,MONTH(C92)=8,MONTH(C92)=9)),$FA92*12*(AZ92+BA92)*(1-$BC92),$FA92*10*(AZ92+BA92)*(1-$BC92)),0)</f>
        <v>2216.25</v>
      </c>
      <c r="FG92" s="1129" t="n">
        <f aca="false">IF(EZ92="No",IF((OR(MONTH(C92)=5,MONTH(C92)=6,MONTH(C92)=7,MONTH(C92)=8,MONTH(C92)=9)),0,$FA92*3*(AZ92+BA92)*(1-$BC92)),0)</f>
        <v>664.875</v>
      </c>
      <c r="FH92" s="1170" t="n">
        <f aca="false">IF(EZ92="No",IF((OR(MONTH(C92)=5,MONTH(C92)=6,MONTH(C92)=7,MONTH(C92)=8,MONTH(C92)=9)),Summary!$O$15*12*(AX92+AY92+AZ92+BA92)*(1-$BC92),Summary!$O$15*13*(AX92+AY92+AZ92+BA92)*(1-$BC92)+IF(Summary!$O$16="Yes",(CALC!FA92+Summary!$O$15)*6*(AX92+AY92+AZ92+BA92)*(1-$BC92),0)),0)</f>
        <v>0</v>
      </c>
      <c r="FI92" s="1126" t="n">
        <f aca="false">IF(MONTH(C92)=5,FI91*(IF(Summary!$E$70="no",(1+(Summary!$E$71*0.8)),1+HLOOKUP(YEAR(C92)-1,CCFMODEL!$I$127:$AF$128,2)*0.8)),+FI91)</f>
        <v>30.6706804535374</v>
      </c>
      <c r="FJ92" s="1127" t="n">
        <f aca="false">IF(MONTH(C92)=5,FJ91*(IF(Summary!$E$70="no",(1+(Summary!$E$71*0.8)),1+HLOOKUP(YEAR(CALC!C92)-1,CCFMODEL!$I$127:$AF$128,2)*0.8)),FJ91)</f>
        <v>26.8066577192335</v>
      </c>
      <c r="FK92" s="1128" t="n">
        <f aca="false">SUM(FB92:FG92)*FI92+FH92*FJ92</f>
        <v>530196.385330188</v>
      </c>
      <c r="FL92" s="1126" t="n">
        <f aca="false">IF(MONTH(C92)=5,FL91*(IF(Summary!$E$70="no",(1+(Summary!$E$71*0.8)),1+HLOOKUP(YEAR(CALC!C92)-1,CCFMODEL!$I$127:$AF$128,2)*0.8)),+FL91)</f>
        <v>64.50387951402</v>
      </c>
      <c r="FM92" s="1127" t="n">
        <f aca="false">IF(MONTH(C92)=5,FM91*(IF(Summary!$E$70="no",(1+(Summary!$E$71*0.8)),1+HLOOKUP(YEAR(CALC!C92)-1,CCFMODEL!$I$127:$AF$128,2)*0.8)),+FM91)</f>
        <v>30.7856811301536</v>
      </c>
      <c r="FN92" s="1128" t="n">
        <f aca="false">IF((OR(MONTH(C92)=5,MONTH(C92)=6,MONTH(C92)=7,MONTH(C92)=8,MONTH(C92)=9)),SUM(FB92:FG92)/(1-BC92)*FL92,SUM(FB92:FG92)/(1-BC92)*FM92)</f>
        <v>540288.703834196</v>
      </c>
      <c r="FO92" s="1129" t="n">
        <f aca="false">FK92+FN92</f>
        <v>1070485.08916438</v>
      </c>
      <c r="FP92" s="1169" t="n">
        <f aca="false">FB92</f>
        <v>8865</v>
      </c>
      <c r="FQ92" s="1129" t="n">
        <f aca="false">FC92</f>
        <v>2659.5</v>
      </c>
      <c r="FR92" s="1129" t="n">
        <f aca="false">FD92</f>
        <v>2216.25</v>
      </c>
      <c r="FS92" s="1129" t="n">
        <f aca="false">FE92</f>
        <v>664.875</v>
      </c>
      <c r="FT92" s="1129" t="n">
        <f aca="false">FF92</f>
        <v>2216.25</v>
      </c>
      <c r="FU92" s="1129" t="n">
        <f aca="false">FG92</f>
        <v>664.875</v>
      </c>
      <c r="FV92" s="1170" t="n">
        <f aca="false">FH92</f>
        <v>0</v>
      </c>
      <c r="FW92" s="1115" t="n">
        <f aca="false">IF(ER92&gt;0,MIN(FB92-FP92,BL92),0)</f>
        <v>0</v>
      </c>
      <c r="FX92" s="1115" t="n">
        <f aca="false">IF(ES92&gt;0,MIN(FD92-FR92,BM92),0)</f>
        <v>0</v>
      </c>
      <c r="FY92" s="1115" t="n">
        <f aca="false">IF(ET92&gt;0,MIN(FF92-FT92,BN92),0)</f>
        <v>0</v>
      </c>
      <c r="FZ92" s="1143" t="n">
        <f aca="false">IF(EU92&gt;0,MIN(FH92-FV92,BO92),0)</f>
        <v>0</v>
      </c>
      <c r="GA92" s="1132" t="n">
        <f aca="false">(SUM(FP92:FV92)+SUM(GU92:HB92)/(1-Summary!$O$25))*CY92/1000</f>
        <v>228905.366810688</v>
      </c>
      <c r="GB92" s="1133" t="n">
        <f aca="false">IF($C92&lt;Summary!$M$81,+Summary!$O$81,VLOOKUP(C92,GasTable,19))</f>
        <v>2.4</v>
      </c>
      <c r="GC92" s="1134" t="n">
        <f aca="false">IF(H92&lt;=Summary!$N$84,MIN(GA92,Summary!$O$75*(H92-G92+1)),0)</f>
        <v>150000</v>
      </c>
      <c r="GD92" s="1135" t="n">
        <f aca="false">IF(Summary!$O$75*(H92-G92+1)*0.8&gt;GC92,1,0)</f>
        <v>0</v>
      </c>
      <c r="GE92" s="1136" t="n">
        <v>0</v>
      </c>
      <c r="GF92" s="1134" t="n">
        <f aca="false">ABS(MIN(0,GC92-$GA92))</f>
        <v>78905.366810688</v>
      </c>
      <c r="GG92" s="1135" t="n">
        <f aca="false">GF92*(IF(Summary!$O$74=1,VLOOKUP($C92,GasTable,16)+Summary!$O$92+Summary!$O$93,VLOOKUP($C92,GasTable,19)+Summary!$O$92+Summary!$O$93))</f>
        <v>214685.832239529</v>
      </c>
      <c r="GH92" s="1137" t="n">
        <v>17688</v>
      </c>
      <c r="GI92" s="1138" t="n">
        <v>0</v>
      </c>
      <c r="GJ92" s="1139" t="n">
        <f aca="false">+GB92*GC92+GE92+GG92+GH92-GI92</f>
        <v>592373.832239529</v>
      </c>
      <c r="GK92" s="1115" t="n">
        <f aca="false">SUM(FP92:FV92,GU92:GX92,GY92:HB92)</f>
        <v>29092.2705</v>
      </c>
      <c r="GL92" s="1140" t="n">
        <v>0.761455432448</v>
      </c>
      <c r="GM92" s="1141" t="n">
        <f aca="false">IF(GK92&gt;GC92/(CY92/1000),GC92/(CY92/1000),+GK92)*GL92</f>
        <v>14730</v>
      </c>
      <c r="GN92" s="1115" t="n">
        <f aca="false">IF(SUM(GU92:HB92)=0,0,IF(Summary!$O$16="Yes",SUM(GX92:HB92),IF(Summary!$O$17="Yes",SUM(GY92:HB92),SUM(GU92:HB92))))</f>
        <v>11805.5205</v>
      </c>
      <c r="GO92" s="1142" t="n">
        <v>2.84127794457643</v>
      </c>
      <c r="GP92" s="1143" t="n">
        <f aca="false">GN92*GO92</f>
        <v>33542.765020895</v>
      </c>
      <c r="GQ92" s="1115"/>
      <c r="GR92" s="1115"/>
      <c r="GS92" s="1115"/>
      <c r="GT92" s="1115"/>
      <c r="GU92" s="1150" t="n">
        <v>5132.835</v>
      </c>
      <c r="GV92" s="1115" t="n">
        <v>1283.20875</v>
      </c>
      <c r="GW92" s="1115" t="n">
        <v>1283.20875</v>
      </c>
      <c r="GX92" s="1115"/>
      <c r="GY92" s="1151" t="n">
        <v>2737.512</v>
      </c>
      <c r="GZ92" s="1115" t="n">
        <v>684.378</v>
      </c>
      <c r="HA92" s="1115" t="n">
        <v>684.378</v>
      </c>
      <c r="HB92" s="1141"/>
      <c r="HC92" s="1115" t="n">
        <v>11805.5205</v>
      </c>
      <c r="HD92" s="1115"/>
      <c r="HE92" s="1115" t="n">
        <v>20274.69825</v>
      </c>
      <c r="HF92" s="1115" t="n">
        <v>358925.211029294</v>
      </c>
      <c r="HG92" s="1115"/>
      <c r="HH92" s="1142" t="n">
        <v>29.8537932966791</v>
      </c>
      <c r="HI92" s="1115" t="n">
        <v>605276.650708041</v>
      </c>
      <c r="HJ92" s="1150" t="n">
        <f aca="false">MAX(FB92-FP92-FW92,0)</f>
        <v>0</v>
      </c>
      <c r="HK92" s="1115" t="n">
        <f aca="false">MAX(FD92-FR92-FX92,0)</f>
        <v>0</v>
      </c>
      <c r="HL92" s="1115" t="n">
        <f aca="false">MAX(FF92-FT92-FY92,0)</f>
        <v>0</v>
      </c>
      <c r="HM92" s="1141" t="n">
        <f aca="false">MAX(FH92-FV92-FZ92,0)</f>
        <v>0</v>
      </c>
      <c r="HN92" s="1115" t="n">
        <f aca="false">SUM(HJ92:HM92)</f>
        <v>0</v>
      </c>
      <c r="HO92" s="1142" t="n">
        <f aca="false">IF(ISERROR(+HP92/HN92),0,+HP92/HN92)</f>
        <v>0</v>
      </c>
      <c r="HP92" s="1143" t="n">
        <f aca="false">(HJ92*CE92+HK92*CF92+HL92*CG92+HM92*CH92)</f>
        <v>0</v>
      </c>
      <c r="HQ92" s="1146"/>
      <c r="HR92" s="1150"/>
      <c r="HS92" s="1110"/>
      <c r="HT92" s="1141"/>
      <c r="HU92" s="1151"/>
      <c r="HV92" s="1142"/>
      <c r="HW92" s="1115"/>
      <c r="HX92" s="1149"/>
      <c r="HY92" s="1143"/>
      <c r="HZ92" s="1150"/>
      <c r="IA92" s="1142"/>
      <c r="IB92" s="1141"/>
      <c r="IC92" s="1151"/>
      <c r="ID92" s="1142"/>
      <c r="IE92" s="1141"/>
      <c r="IF92" s="1115"/>
      <c r="IG92" s="1142"/>
      <c r="IH92" s="1141"/>
      <c r="II92" s="1115"/>
      <c r="IJ92" s="1142"/>
      <c r="IK92" s="1115"/>
      <c r="IL92" s="1152"/>
      <c r="IM92" s="1192"/>
      <c r="IN92" s="1151"/>
      <c r="IO92" s="1151"/>
      <c r="IP92" s="1151"/>
      <c r="IQ92" s="1151"/>
      <c r="IR92" s="844"/>
    </row>
    <row r="93" customFormat="false" ht="13.5" hidden="false" customHeight="false" outlineLevel="0" collapsed="false">
      <c r="A93" s="0" t="str">
        <f aca="false">+D93&amp;"Q"&amp;ROUNDUP(E93/3,0)</f>
        <v>2006Q2</v>
      </c>
      <c r="B93" s="0" t="n">
        <f aca="false">YEAR(C93)</f>
        <v>2006</v>
      </c>
      <c r="C93" s="1153" t="n">
        <f aca="false">EOMONTH(C92,0)+1</f>
        <v>38838</v>
      </c>
      <c r="D93" s="841" t="n">
        <f aca="false">+YEAR(C93)</f>
        <v>2006</v>
      </c>
      <c r="E93" s="807" t="n">
        <f aca="false">MONTH(C93)</f>
        <v>5</v>
      </c>
      <c r="F93" s="1154" t="e">
        <f aca="false">IF(G93="","",Holiday(D93,E93))</f>
        <v>#VALUE!</v>
      </c>
      <c r="G93" s="1155" t="n">
        <v>38838</v>
      </c>
      <c r="H93" s="1156" t="n">
        <v>38868</v>
      </c>
      <c r="I93" s="1157" t="n">
        <f aca="false">I92</f>
        <v>0.0715</v>
      </c>
      <c r="J93" s="1158" t="n">
        <f aca="false">(1+I93/2)^(-2*(DATE(D94,E94,20)-$H$7)/365.25)</f>
        <v>0.632817583923781</v>
      </c>
      <c r="K93" s="1159"/>
      <c r="L93" s="1158"/>
      <c r="M93" s="1082" t="n">
        <v>0</v>
      </c>
      <c r="N93" s="1110" t="n">
        <f aca="false">M93</f>
        <v>0</v>
      </c>
      <c r="O93" s="1174" t="n">
        <f aca="false">N93</f>
        <v>0</v>
      </c>
      <c r="P93" s="1175" t="n">
        <f aca="false">M93</f>
        <v>0</v>
      </c>
      <c r="Q93" s="1110" t="n">
        <f aca="false">P93</f>
        <v>0</v>
      </c>
      <c r="R93" s="1174" t="n">
        <f aca="false">Q93</f>
        <v>0</v>
      </c>
      <c r="S93" s="1110" t="n">
        <f aca="false">R93</f>
        <v>0</v>
      </c>
      <c r="T93" s="1110" t="n">
        <f aca="false">S93</f>
        <v>0</v>
      </c>
      <c r="U93" s="1110" t="n">
        <f aca="false">T93</f>
        <v>0</v>
      </c>
      <c r="V93" s="1175" t="n">
        <f aca="false">U93</f>
        <v>0</v>
      </c>
      <c r="W93" s="1110" t="n">
        <f aca="false">V93</f>
        <v>0</v>
      </c>
      <c r="X93" s="1176" t="n">
        <f aca="false">W93</f>
        <v>0</v>
      </c>
      <c r="Y93" s="1086" t="n">
        <v>0</v>
      </c>
      <c r="Z93" s="1086" t="n">
        <v>0</v>
      </c>
      <c r="AA93" s="1087" t="n">
        <v>0</v>
      </c>
      <c r="AB93" s="1086" t="n">
        <v>0</v>
      </c>
      <c r="AC93" s="1086" t="n">
        <v>0</v>
      </c>
      <c r="AD93" s="1087" t="n">
        <v>0</v>
      </c>
      <c r="AE93" s="1086" t="n">
        <v>0</v>
      </c>
      <c r="AF93" s="1086" t="n">
        <v>0</v>
      </c>
      <c r="AG93" s="1087" t="n">
        <v>0</v>
      </c>
      <c r="AH93" s="1086" t="n">
        <v>0</v>
      </c>
      <c r="AI93" s="1086" t="n">
        <v>0</v>
      </c>
      <c r="AJ93" s="1087" t="n">
        <v>0</v>
      </c>
      <c r="AK93" s="1086" t="n">
        <v>0</v>
      </c>
      <c r="AL93" s="1086" t="n">
        <v>0</v>
      </c>
      <c r="AM93" s="1087" t="n">
        <v>0</v>
      </c>
      <c r="AN93" s="1086" t="n">
        <v>0</v>
      </c>
      <c r="AO93" s="1086" t="n">
        <v>0</v>
      </c>
      <c r="AP93" s="1087" t="n">
        <v>0</v>
      </c>
      <c r="AQ93" s="1086" t="n">
        <v>0</v>
      </c>
      <c r="AR93" s="1086" t="n">
        <v>0</v>
      </c>
      <c r="AS93" s="1087" t="n">
        <v>0</v>
      </c>
      <c r="AT93" s="1086" t="n">
        <v>0</v>
      </c>
      <c r="AU93" s="1086" t="n">
        <v>0</v>
      </c>
      <c r="AV93" s="1086" t="n">
        <v>0</v>
      </c>
      <c r="AW93" s="1172" t="n">
        <v>0</v>
      </c>
      <c r="AX93" s="807" t="e">
        <f aca="false">BB93-SUM(AY93:BA93)</f>
        <v>#VALUE!</v>
      </c>
      <c r="AY93" s="807" t="e">
        <f aca="false">IF(AND($E93=MONTH(Summary!$E$24),$D93=YEAR(Summary!$E$24)),Summary!$E$25,1)*IF(G93="",0,INT((H93-MOD(H93,7)-G93)/7)+1-IF(BA93,IF(WEEKDAY(F93)=7,1,0),0))</f>
        <v>#VALUE!</v>
      </c>
      <c r="AZ93" s="807" t="e">
        <f aca="false">IF(AND($E93=MONTH(Summary!$E$24),$D93=YEAR(Summary!$E$24)),Summary!$E$25,1)*IF(G93="",0,INT((H93-MOD(H93-1,7)-G93)/7)+1-IF(BA93,IF(WEEKDAY(F93)=1,1,0),0))</f>
        <v>#VALUE!</v>
      </c>
      <c r="BA93" s="807" t="n">
        <v>1</v>
      </c>
      <c r="BB93" s="807" t="n">
        <f aca="false">IF(AND($E93=MONTH(Summary!$E$24),$D93=YEAR(Summary!$E$24)),Summary!$E$25,1)*IF(G93="",0,H93-G93+1)</f>
        <v>31</v>
      </c>
      <c r="BC93" s="1089" t="n">
        <f aca="false">Summary!$E$19</f>
        <v>0.015</v>
      </c>
      <c r="BD93" s="1090" t="n">
        <v>15602.4</v>
      </c>
      <c r="BE93" s="1091" t="n">
        <v>2836.8</v>
      </c>
      <c r="BF93" s="1091" t="n">
        <v>3546</v>
      </c>
      <c r="BG93" s="842"/>
      <c r="BH93" s="1092" t="n">
        <v>1</v>
      </c>
      <c r="BI93" s="1092" t="n">
        <v>1</v>
      </c>
      <c r="BJ93" s="1092" t="n">
        <v>1</v>
      </c>
      <c r="BK93" s="1092" t="n">
        <v>1</v>
      </c>
      <c r="BL93" s="1093" t="n">
        <v>3120.48</v>
      </c>
      <c r="BM93" s="1091" t="n">
        <v>567.36</v>
      </c>
      <c r="BN93" s="1091" t="n">
        <v>709.2</v>
      </c>
      <c r="BO93" s="842"/>
      <c r="BP93" s="1092" t="n">
        <v>1</v>
      </c>
      <c r="BQ93" s="1094" t="n">
        <v>1</v>
      </c>
      <c r="BR93" s="1094" t="n">
        <v>1</v>
      </c>
      <c r="BS93" s="1095" t="n">
        <v>1</v>
      </c>
      <c r="BT93" s="1093" t="n">
        <f aca="false">SUM(BD93:BF93)</f>
        <v>21985.2</v>
      </c>
      <c r="BU93" s="1098" t="n">
        <f aca="false">SUM(BD93:BG93)</f>
        <v>21985.2</v>
      </c>
      <c r="BV93" s="1090" t="n">
        <f aca="false">SUM(BL93:BN93)</f>
        <v>4397.04</v>
      </c>
      <c r="BW93" s="1098" t="n">
        <f aca="false">SUM(BL93:BO93)</f>
        <v>4397.04</v>
      </c>
      <c r="BX93" s="852" t="n">
        <v>6.37645448323066</v>
      </c>
      <c r="BY93" s="1099" t="n">
        <v>0</v>
      </c>
      <c r="BZ93" s="852" t="n">
        <v>0</v>
      </c>
      <c r="CA93" s="852" t="n">
        <v>0</v>
      </c>
      <c r="CB93" s="852" t="n">
        <v>0</v>
      </c>
      <c r="CC93" s="852" t="n">
        <v>0</v>
      </c>
      <c r="CD93" s="852" t="n">
        <v>0</v>
      </c>
      <c r="CE93" s="1100" t="n">
        <v>0</v>
      </c>
      <c r="CF93" s="852" t="n">
        <v>0</v>
      </c>
      <c r="CG93" s="852" t="n">
        <v>0</v>
      </c>
      <c r="CH93" s="852" t="n">
        <v>0</v>
      </c>
      <c r="CI93" s="852" t="n">
        <v>0</v>
      </c>
      <c r="CJ93" s="1101" t="n">
        <v>0</v>
      </c>
      <c r="CK93" s="852" t="n">
        <v>0</v>
      </c>
      <c r="CL93" s="852" t="n">
        <v>0</v>
      </c>
      <c r="CM93" s="852" t="n">
        <v>0</v>
      </c>
      <c r="CN93" s="852" t="n">
        <v>0</v>
      </c>
      <c r="CO93" s="852" t="n">
        <v>0</v>
      </c>
      <c r="CP93" s="852" t="n">
        <v>0</v>
      </c>
      <c r="CQ93" s="1102" t="n">
        <v>0</v>
      </c>
      <c r="CR93" s="1103" t="n">
        <v>0</v>
      </c>
      <c r="CS93" s="1103" t="n">
        <v>0</v>
      </c>
      <c r="CT93" s="1103" t="n">
        <v>0</v>
      </c>
      <c r="CU93" s="1103" t="n">
        <v>0</v>
      </c>
      <c r="CV93" s="1103" t="n">
        <v>0</v>
      </c>
      <c r="CW93" s="1103" t="n">
        <v>0</v>
      </c>
      <c r="CX93" s="1104" t="n">
        <v>0</v>
      </c>
      <c r="CY93" s="1105" t="n">
        <v>7755.43152</v>
      </c>
      <c r="CZ93" s="1099" t="n">
        <v>0</v>
      </c>
      <c r="DA93" s="852" t="n">
        <v>0</v>
      </c>
      <c r="DB93" s="852" t="n">
        <v>0</v>
      </c>
      <c r="DC93" s="852" t="n">
        <v>0</v>
      </c>
      <c r="DD93" s="852" t="n">
        <v>0</v>
      </c>
      <c r="DE93" s="1113" t="n">
        <v>0</v>
      </c>
      <c r="DF93" s="1109" t="n">
        <v>0</v>
      </c>
      <c r="DG93" s="1110" t="n">
        <v>0</v>
      </c>
      <c r="DH93" s="1111" t="n">
        <v>0</v>
      </c>
      <c r="DI93" s="1112" t="n">
        <v>0</v>
      </c>
      <c r="DJ93" s="1112" t="n">
        <v>0</v>
      </c>
      <c r="DK93" s="1112" t="n">
        <v>0</v>
      </c>
      <c r="DL93" s="1113" t="n">
        <v>0</v>
      </c>
      <c r="DM93" s="1114" t="n">
        <v>0</v>
      </c>
      <c r="DN93" s="1114" t="n">
        <v>0</v>
      </c>
      <c r="DO93" s="1114" t="n">
        <v>0</v>
      </c>
      <c r="DP93" s="1114" t="n">
        <v>0</v>
      </c>
      <c r="DQ93" s="1114" t="n">
        <v>0</v>
      </c>
      <c r="DR93" s="1109" t="n">
        <v>0</v>
      </c>
      <c r="DS93" s="852" t="n">
        <v>0</v>
      </c>
      <c r="DT93" s="852" t="n">
        <v>0</v>
      </c>
      <c r="DU93" s="852" t="n">
        <v>0</v>
      </c>
      <c r="DV93" s="852" t="n">
        <v>0</v>
      </c>
      <c r="DW93" s="852" t="n">
        <v>0</v>
      </c>
      <c r="DX93" s="852" t="n">
        <v>0</v>
      </c>
      <c r="DY93" s="852" t="n">
        <v>0</v>
      </c>
      <c r="DZ93" s="852" t="n">
        <v>0</v>
      </c>
      <c r="EA93" s="852" t="n">
        <v>0</v>
      </c>
      <c r="EB93" s="1113" t="n">
        <v>0</v>
      </c>
      <c r="EC93" s="1115" t="n">
        <f aca="false">DS93*BD93</f>
        <v>0</v>
      </c>
      <c r="ED93" s="1115" t="n">
        <f aca="false">DT93*BE93</f>
        <v>0</v>
      </c>
      <c r="EE93" s="1115" t="n">
        <f aca="false">DU93*BF93</f>
        <v>0</v>
      </c>
      <c r="EF93" s="1115" t="n">
        <f aca="false">DV93*BG93</f>
        <v>0</v>
      </c>
      <c r="EG93" s="1115" t="n">
        <f aca="false">DS93*BD93+DT93*BE93+DU93*BF93+DV93*BG93</f>
        <v>0</v>
      </c>
      <c r="EH93" s="1116" t="n">
        <v>0</v>
      </c>
      <c r="EI93" s="1117" t="n">
        <v>0</v>
      </c>
      <c r="EJ93" s="1117" t="n">
        <v>0</v>
      </c>
      <c r="EK93" s="1117" t="n">
        <v>0</v>
      </c>
      <c r="EL93" s="1118" t="n">
        <f aca="false">IF(C93&gt;=Summary!$E$26,MAX(0,SUM(EH93:EK93)),0)</f>
        <v>0</v>
      </c>
      <c r="EM93" s="1115" t="n">
        <f aca="false">IF(C93&gt;=Summary!$E$26,DX93*BL93,0)</f>
        <v>0</v>
      </c>
      <c r="EN93" s="1115" t="n">
        <f aca="false">IF(C93&gt;=Summary!$E$26,DY93*BM93,0)</f>
        <v>0</v>
      </c>
      <c r="EO93" s="1115" t="n">
        <f aca="false">IF(C93&gt;=Summary!$E$26,DZ93*BN93,0)</f>
        <v>0</v>
      </c>
      <c r="EP93" s="1115" t="n">
        <f aca="false">IF(C93&gt;=Summary!$E$26,EA93*BO93,0)</f>
        <v>0</v>
      </c>
      <c r="EQ93" s="1115" t="n">
        <f aca="false">IF(C93&gt;=Summary!$E$26,DX93*BL93+DY93*BM93+DZ93*BN93+EA93*BO93,0)</f>
        <v>0</v>
      </c>
      <c r="ER93" s="1119" t="n">
        <v>0</v>
      </c>
      <c r="ES93" s="1120" t="n">
        <v>0</v>
      </c>
      <c r="ET93" s="1120" t="n">
        <v>0</v>
      </c>
      <c r="EU93" s="1120" t="n">
        <v>0</v>
      </c>
      <c r="EV93" s="1143" t="n">
        <f aca="false">IF(C93&gt;=Summary!$E$26,MAX(0,SUM(ER93:EU93)),0)</f>
        <v>0</v>
      </c>
      <c r="EW93" s="1115"/>
      <c r="EX93" s="1165" t="n">
        <f aca="false">(EQ93-EV93)+IF(EZ93="Yes",(EG93-EL93),0)</f>
        <v>0</v>
      </c>
      <c r="EY93" s="1166" t="str">
        <f aca="false">IF(EX93,EX93/EQ93,"")</f>
        <v/>
      </c>
      <c r="EZ93" s="1122" t="s">
        <v>37</v>
      </c>
      <c r="FA93" s="1096" t="n">
        <f aca="false">FA92</f>
        <v>45</v>
      </c>
      <c r="FB93" s="1167" t="e">
        <f aca="false">IF(EZ93="No",IF((OR(MONTH(C93)=5,MONTH(C93)=6,MONTH(C93)=7,MONTH(C93)=8,MONTH(C93)=9)),$FA93*12*AX93*(1-$BC93),$FA93*10*AX93*(1-$BC93)),0)</f>
        <v>#VALUE!</v>
      </c>
      <c r="FC93" s="1129" t="n">
        <f aca="false">IF(EZ93="No",IF((OR(MONTH(C93)=5,MONTH(C93)=6,MONTH(C93)=7,MONTH(C93)=8,MONTH(C93)=9)),0,$FA93*3*AX93*(1-$BC93)),0)</f>
        <v>0</v>
      </c>
      <c r="FD93" s="1129" t="e">
        <f aca="false">IF(EZ93="No",IF((OR(MONTH(C93)=5,MONTH(C93)=6,MONTH(C93)=7,MONTH(C93)=8,MONTH(C93)=9)),$FA93*12*AY93*(1-$BC93),$FA93*10*AY93*(1-$BC93)),0)</f>
        <v>#VALUE!</v>
      </c>
      <c r="FE93" s="1129" t="n">
        <f aca="false">IF(EZ93="No",IF((OR(MONTH(C93)=5,MONTH(C93)=6,MONTH(C93)=7,MONTH(C93)=8,MONTH(C93)=9)),0,$FA93*3*AY93*(1-$BC93)),0)</f>
        <v>0</v>
      </c>
      <c r="FF93" s="1129" t="e">
        <f aca="false">IF(EZ93="No",IF((OR(MONTH(C93)=5,MONTH(C93)=6,MONTH(C93)=7,MONTH(C93)=8,MONTH(C93)=9)),$FA93*12*(AZ93+BA93)*(1-$BC93),$FA93*10*(AZ93+BA93)*(1-$BC93)),0)</f>
        <v>#VALUE!</v>
      </c>
      <c r="FG93" s="1129" t="n">
        <f aca="false">IF(EZ93="No",IF((OR(MONTH(C93)=5,MONTH(C93)=6,MONTH(C93)=7,MONTH(C93)=8,MONTH(C93)=9)),0,$FA93*3*(AZ93+BA93)*(1-$BC93)),0)</f>
        <v>0</v>
      </c>
      <c r="FH93" s="1170" t="e">
        <f aca="false">IF(EZ93="No",IF((OR(MONTH(C93)=5,MONTH(C93)=6,MONTH(C93)=7,MONTH(C93)=8,MONTH(C93)=9)),Summary!$O$15*12*(AX93+AY93+AZ93+BA93)*(1-$BC93),Summary!$O$15*13*(AX93+AY93+AZ93+BA93)*(1-$BC93)+IF(Summary!$O$16="Yes",(CALC!FA93+Summary!$O$15)*6*(AX93+AY93+AZ93+BA93)*(1-$BC93),0)),0)</f>
        <v>#VALUE!</v>
      </c>
      <c r="FI93" s="1126" t="n">
        <f aca="false">IF(MONTH(C93)=5,FI92*(IF(Summary!$E$70="no",(1+(Summary!$E$71*0.8)),1+HLOOKUP(YEAR(C93)-1,CCFMODEL!$I$127:$AF$128,2)*0.8)),+FI92)</f>
        <v>31.4067767844223</v>
      </c>
      <c r="FJ93" s="1127" t="n">
        <f aca="false">IF(MONTH(C93)=5,FJ92*(IF(Summary!$E$70="no",(1+(Summary!$E$71*0.8)),1+HLOOKUP(YEAR(CALC!C93)-1,CCFMODEL!$I$127:$AF$128,2)*0.8)),FJ92)</f>
        <v>27.4500175044951</v>
      </c>
      <c r="FK93" s="1128" t="e">
        <f aca="false">SUM(FB93:FG93)*FI93+FH93*FJ93</f>
        <v>#VALUE!</v>
      </c>
      <c r="FL93" s="1126" t="n">
        <f aca="false">IF(MONTH(C93)=5,FL92*(IF(Summary!$E$70="no",(1+(Summary!$E$71*0.8)),1+HLOOKUP(YEAR(CALC!C93)-1,CCFMODEL!$I$127:$AF$128,2)*0.8)),+FL92)</f>
        <v>66.0519726223564</v>
      </c>
      <c r="FM93" s="1127" t="n">
        <f aca="false">IF(MONTH(C93)=5,FM92*(IF(Summary!$E$70="no",(1+(Summary!$E$71*0.8)),1+HLOOKUP(YEAR(CALC!C93)-1,CCFMODEL!$I$127:$AF$128,2)*0.8)),+FM92)</f>
        <v>31.5245374772773</v>
      </c>
      <c r="FN93" s="1128" t="e">
        <f aca="false">IF((OR(MONTH(C93)=5,MONTH(C93)=6,MONTH(C93)=7,MONTH(C93)=8,MONTH(C93)=9)),SUM(FB93:FG93)/(1-BC93)*FL93,SUM(FB93:FG93)/(1-BC93)*FM93)</f>
        <v>#VALUE!</v>
      </c>
      <c r="FO93" s="1129" t="e">
        <f aca="false">FK93+FN93</f>
        <v>#VALUE!</v>
      </c>
      <c r="FP93" s="1169" t="e">
        <f aca="false">FB93</f>
        <v>#VALUE!</v>
      </c>
      <c r="FQ93" s="1129" t="n">
        <f aca="false">FC93</f>
        <v>0</v>
      </c>
      <c r="FR93" s="1129" t="e">
        <f aca="false">FD93</f>
        <v>#VALUE!</v>
      </c>
      <c r="FS93" s="1129" t="n">
        <f aca="false">FE93</f>
        <v>0</v>
      </c>
      <c r="FT93" s="1129" t="e">
        <f aca="false">FF93</f>
        <v>#VALUE!</v>
      </c>
      <c r="FU93" s="1129" t="n">
        <f aca="false">FG93</f>
        <v>0</v>
      </c>
      <c r="FV93" s="1170" t="e">
        <f aca="false">FH93</f>
        <v>#VALUE!</v>
      </c>
      <c r="FW93" s="1115" t="n">
        <f aca="false">IF(ER93&gt;0,MIN(FB93-FP93,BL93),0)</f>
        <v>0</v>
      </c>
      <c r="FX93" s="1115" t="n">
        <f aca="false">IF(ES93&gt;0,MIN(FD93-FR93,BM93),0)</f>
        <v>0</v>
      </c>
      <c r="FY93" s="1115" t="n">
        <f aca="false">IF(ET93&gt;0,MIN(FF93-FT93,BN93),0)</f>
        <v>0</v>
      </c>
      <c r="FZ93" s="1143" t="n">
        <f aca="false">IF(EU93&gt;0,MIN(FH93-FV93,BO93),0)</f>
        <v>0</v>
      </c>
      <c r="GA93" s="1132" t="e">
        <f aca="false">(SUM(FP93:FV93)+SUM(GU93:HB93)/(1-Summary!$O$25))*CY93/1000</f>
        <v>#VALUE!</v>
      </c>
      <c r="GB93" s="1133" t="n">
        <f aca="false">IF($C93&lt;Summary!$M$81,+Summary!$O$81,VLOOKUP(C93,GasTable,19))</f>
        <v>2.4</v>
      </c>
      <c r="GC93" s="1134" t="e">
        <f aca="false">IF(H93&lt;=Summary!$N$84,MIN(GA93,Summary!$O$75*(H93-G93+1)),0)</f>
        <v>#VALUE!</v>
      </c>
      <c r="GD93" s="1135" t="e">
        <f aca="false">IF(Summary!$O$75*(H93-G93+1)*0.8&gt;GC93,1,0)</f>
        <v>#VALUE!</v>
      </c>
      <c r="GE93" s="1136" t="n">
        <v>0</v>
      </c>
      <c r="GF93" s="1134" t="e">
        <f aca="false">ABS(MIN(0,GC93-$GA93))</f>
        <v>#VALUE!</v>
      </c>
      <c r="GG93" s="1135" t="e">
        <f aca="false">GF93*(IF(Summary!$O$74=1,VLOOKUP($C93,GasTable,16)+Summary!$O$92+Summary!$O$93,VLOOKUP($C93,GasTable,19)+Summary!$O$92+Summary!$O$93))</f>
        <v>#VALUE!</v>
      </c>
      <c r="GH93" s="1137" t="n">
        <v>18203.2</v>
      </c>
      <c r="GI93" s="1138" t="n">
        <v>0</v>
      </c>
      <c r="GJ93" s="1139" t="e">
        <f aca="false">+GB93*GC93+GE93+GG93+GH93-GI93</f>
        <v>#VALUE!</v>
      </c>
      <c r="GK93" s="1115" t="e">
        <f aca="false">SUM(FP93:FV93,GU93:GX93,GY93:HB93)</f>
        <v>#VALUE!</v>
      </c>
      <c r="GL93" s="1140" t="n">
        <v>0.761583375264</v>
      </c>
      <c r="GM93" s="1141" t="e">
        <f aca="false">IF(GK93&gt;GC93/(CY93/1000),GC93/(CY93/1000),+GK93)*GL93</f>
        <v>#VALUE!</v>
      </c>
      <c r="GN93" s="1115" t="n">
        <f aca="false">IF(SUM(GU93:HB93)=0,0,IF(Summary!$O$16="Yes",SUM(GX93:HB93),IF(Summary!$O$17="Yes",SUM(GY93:HB93),SUM(GU93:HB93))))</f>
        <v>9547.0731</v>
      </c>
      <c r="GO93" s="1142" t="n">
        <v>2.84127794457643</v>
      </c>
      <c r="GP93" s="1143" t="n">
        <f aca="false">GN93*GO93</f>
        <v>27125.888234289</v>
      </c>
      <c r="GQ93" s="1115"/>
      <c r="GR93" s="1115"/>
      <c r="GS93" s="1115"/>
      <c r="GT93" s="1115"/>
      <c r="GU93" s="1150" t="n">
        <v>3764.079</v>
      </c>
      <c r="GV93" s="1115" t="n">
        <v>684.378</v>
      </c>
      <c r="GW93" s="1115" t="n">
        <v>855.4725</v>
      </c>
      <c r="GX93" s="1115"/>
      <c r="GY93" s="1151" t="n">
        <v>3011.2632</v>
      </c>
      <c r="GZ93" s="1115" t="n">
        <v>547.5024</v>
      </c>
      <c r="HA93" s="1115" t="n">
        <v>684.378</v>
      </c>
      <c r="HB93" s="1141"/>
      <c r="HC93" s="1115" t="n">
        <v>9547.0731</v>
      </c>
      <c r="HD93" s="1115"/>
      <c r="HE93" s="1115" t="n">
        <v>22276.5039</v>
      </c>
      <c r="HF93" s="1115" t="n">
        <v>283840.814591158</v>
      </c>
      <c r="HG93" s="1115"/>
      <c r="HH93" s="1142" t="n">
        <v>30.1229479918821</v>
      </c>
      <c r="HI93" s="1115" t="n">
        <v>671033.968420659</v>
      </c>
      <c r="HJ93" s="1150" t="e">
        <f aca="false">MAX(FB93-FP93-FW93,0)</f>
        <v>#VALUE!</v>
      </c>
      <c r="HK93" s="1115" t="e">
        <f aca="false">MAX(FD93-FR93-FX93,0)</f>
        <v>#VALUE!</v>
      </c>
      <c r="HL93" s="1115" t="e">
        <f aca="false">MAX(FF93-FT93-FY93,0)</f>
        <v>#VALUE!</v>
      </c>
      <c r="HM93" s="1141" t="e">
        <f aca="false">MAX(FH93-FV93-FZ93,0)</f>
        <v>#VALUE!</v>
      </c>
      <c r="HN93" s="1115" t="e">
        <f aca="false">SUM(HJ93:HM93)</f>
        <v>#VALUE!</v>
      </c>
      <c r="HO93" s="1142" t="n">
        <f aca="false">IF(ISERROR(+HP93/HN93),0,+HP93/HN93)</f>
        <v>0</v>
      </c>
      <c r="HP93" s="1143" t="e">
        <f aca="false">(HJ93*CE93+HK93*CF93+HL93*CG93+HM93*CH93)</f>
        <v>#VALUE!</v>
      </c>
      <c r="HQ93" s="1146"/>
      <c r="HR93" s="1150"/>
      <c r="HS93" s="1110"/>
      <c r="HT93" s="1141"/>
      <c r="HU93" s="1151"/>
      <c r="HV93" s="1142"/>
      <c r="HW93" s="1115"/>
      <c r="HX93" s="1149"/>
      <c r="HY93" s="1143"/>
      <c r="HZ93" s="1150"/>
      <c r="IA93" s="1142"/>
      <c r="IB93" s="1141"/>
      <c r="IC93" s="1151"/>
      <c r="ID93" s="1142"/>
      <c r="IE93" s="1141"/>
      <c r="IF93" s="1115"/>
      <c r="IG93" s="1142"/>
      <c r="IH93" s="1141"/>
      <c r="II93" s="1115"/>
      <c r="IJ93" s="1142"/>
      <c r="IK93" s="1115"/>
      <c r="IL93" s="1152"/>
      <c r="IM93" s="1192"/>
      <c r="IN93" s="1151"/>
      <c r="IO93" s="1151"/>
      <c r="IP93" s="1151"/>
      <c r="IQ93" s="1151"/>
      <c r="IR93" s="844"/>
    </row>
    <row r="94" customFormat="false" ht="13.5" hidden="false" customHeight="false" outlineLevel="0" collapsed="false">
      <c r="A94" s="0" t="str">
        <f aca="false">+D94&amp;"Q"&amp;ROUNDUP(E94/3,0)</f>
        <v>2006Q2</v>
      </c>
      <c r="B94" s="0" t="n">
        <f aca="false">YEAR(C94)</f>
        <v>2006</v>
      </c>
      <c r="C94" s="1153" t="n">
        <f aca="false">EOMONTH(C93,0)+1</f>
        <v>38869</v>
      </c>
      <c r="D94" s="841" t="n">
        <f aca="false">+YEAR(C94)</f>
        <v>2006</v>
      </c>
      <c r="E94" s="807" t="n">
        <f aca="false">MONTH(C94)</f>
        <v>6</v>
      </c>
      <c r="F94" s="1154" t="e">
        <f aca="false">IF(G94="","",Holiday(D94,E94))</f>
        <v>#VALUE!</v>
      </c>
      <c r="G94" s="1155" t="n">
        <v>38869</v>
      </c>
      <c r="H94" s="1156" t="n">
        <v>38898</v>
      </c>
      <c r="I94" s="1157" t="n">
        <f aca="false">I93</f>
        <v>0.0715</v>
      </c>
      <c r="J94" s="1158" t="n">
        <f aca="false">(1+I94/2)^(-2*(DATE(D95,E95,20)-$H$7)/365.25)</f>
        <v>0.629176644591274</v>
      </c>
      <c r="K94" s="1159"/>
      <c r="L94" s="1158"/>
      <c r="M94" s="1082" t="n">
        <v>0</v>
      </c>
      <c r="N94" s="1110" t="n">
        <f aca="false">M94</f>
        <v>0</v>
      </c>
      <c r="O94" s="1174" t="n">
        <f aca="false">N94</f>
        <v>0</v>
      </c>
      <c r="P94" s="1175" t="n">
        <f aca="false">M94</f>
        <v>0</v>
      </c>
      <c r="Q94" s="1110" t="n">
        <f aca="false">P94</f>
        <v>0</v>
      </c>
      <c r="R94" s="1174" t="n">
        <f aca="false">Q94</f>
        <v>0</v>
      </c>
      <c r="S94" s="1110" t="n">
        <f aca="false">R94</f>
        <v>0</v>
      </c>
      <c r="T94" s="1110" t="n">
        <f aca="false">S94</f>
        <v>0</v>
      </c>
      <c r="U94" s="1110" t="n">
        <f aca="false">T94</f>
        <v>0</v>
      </c>
      <c r="V94" s="1175" t="n">
        <f aca="false">U94</f>
        <v>0</v>
      </c>
      <c r="W94" s="1110" t="n">
        <f aca="false">V94</f>
        <v>0</v>
      </c>
      <c r="X94" s="1176" t="n">
        <f aca="false">W94</f>
        <v>0</v>
      </c>
      <c r="Y94" s="1086" t="n">
        <v>0</v>
      </c>
      <c r="Z94" s="1086" t="n">
        <v>0</v>
      </c>
      <c r="AA94" s="1087" t="n">
        <v>0</v>
      </c>
      <c r="AB94" s="1086" t="n">
        <v>0</v>
      </c>
      <c r="AC94" s="1086" t="n">
        <v>0</v>
      </c>
      <c r="AD94" s="1087" t="n">
        <v>0</v>
      </c>
      <c r="AE94" s="1086" t="n">
        <v>0</v>
      </c>
      <c r="AF94" s="1086" t="n">
        <v>0</v>
      </c>
      <c r="AG94" s="1087" t="n">
        <v>0</v>
      </c>
      <c r="AH94" s="1086" t="n">
        <v>0</v>
      </c>
      <c r="AI94" s="1086" t="n">
        <v>0</v>
      </c>
      <c r="AJ94" s="1087" t="n">
        <v>0</v>
      </c>
      <c r="AK94" s="1086" t="n">
        <v>0</v>
      </c>
      <c r="AL94" s="1086" t="n">
        <v>0</v>
      </c>
      <c r="AM94" s="1087" t="n">
        <v>0</v>
      </c>
      <c r="AN94" s="1086" t="n">
        <v>0</v>
      </c>
      <c r="AO94" s="1086" t="n">
        <v>0</v>
      </c>
      <c r="AP94" s="1087" t="n">
        <v>0</v>
      </c>
      <c r="AQ94" s="1086" t="n">
        <v>0</v>
      </c>
      <c r="AR94" s="1086" t="n">
        <v>0</v>
      </c>
      <c r="AS94" s="1087" t="n">
        <v>0</v>
      </c>
      <c r="AT94" s="1086" t="n">
        <v>0</v>
      </c>
      <c r="AU94" s="1086" t="n">
        <v>0</v>
      </c>
      <c r="AV94" s="1086" t="n">
        <v>0</v>
      </c>
      <c r="AW94" s="1172" t="n">
        <v>0</v>
      </c>
      <c r="AX94" s="807" t="n">
        <f aca="false">BB94-SUM(AY94:BA94)</f>
        <v>22</v>
      </c>
      <c r="AY94" s="807" t="n">
        <f aca="false">IF(AND($E94=MONTH(Summary!$E$24),$D94=YEAR(Summary!$E$24)),Summary!$E$25,1)*IF(G94="",0,INT((H94-MOD(H94,7)-G94)/7)+1-IF(BA94,IF(WEEKDAY(F94)=7,1,0),0))</f>
        <v>4</v>
      </c>
      <c r="AZ94" s="807" t="n">
        <f aca="false">IF(AND($E94=MONTH(Summary!$E$24),$D94=YEAR(Summary!$E$24)),Summary!$E$25,1)*IF(G94="",0,INT((H94-MOD(H94-1,7)-G94)/7)+1-IF(BA94,IF(WEEKDAY(F94)=1,1,0),0))</f>
        <v>4</v>
      </c>
      <c r="BA94" s="807" t="n">
        <v>0</v>
      </c>
      <c r="BB94" s="807" t="n">
        <f aca="false">IF(AND($E94=MONTH(Summary!$E$24),$D94=YEAR(Summary!$E$24)),Summary!$E$25,1)*IF(G94="",0,H94-G94+1)</f>
        <v>30</v>
      </c>
      <c r="BC94" s="1089" t="n">
        <f aca="false">Summary!$E$19</f>
        <v>0.015</v>
      </c>
      <c r="BD94" s="1090" t="n">
        <v>15602.4</v>
      </c>
      <c r="BE94" s="1091" t="n">
        <v>2836.8</v>
      </c>
      <c r="BF94" s="1091" t="n">
        <v>2836.8</v>
      </c>
      <c r="BG94" s="842"/>
      <c r="BH94" s="1092" t="n">
        <v>1</v>
      </c>
      <c r="BI94" s="1092" t="n">
        <v>1</v>
      </c>
      <c r="BJ94" s="1092" t="n">
        <v>1</v>
      </c>
      <c r="BK94" s="1092" t="n">
        <v>1</v>
      </c>
      <c r="BL94" s="1093" t="n">
        <v>3120.48</v>
      </c>
      <c r="BM94" s="1091" t="n">
        <v>567.36</v>
      </c>
      <c r="BN94" s="1091" t="n">
        <v>567.36</v>
      </c>
      <c r="BO94" s="842"/>
      <c r="BP94" s="1092" t="n">
        <v>1</v>
      </c>
      <c r="BQ94" s="1094" t="n">
        <v>1</v>
      </c>
      <c r="BR94" s="1094" t="n">
        <v>1</v>
      </c>
      <c r="BS94" s="1095" t="n">
        <v>1</v>
      </c>
      <c r="BT94" s="1093" t="n">
        <f aca="false">SUM(BD94:BF94)</f>
        <v>21276</v>
      </c>
      <c r="BU94" s="1098" t="n">
        <f aca="false">SUM(BD94:BG94)</f>
        <v>21276</v>
      </c>
      <c r="BV94" s="1090" t="n">
        <f aca="false">SUM(BL94:BN94)</f>
        <v>4255.2</v>
      </c>
      <c r="BW94" s="1098" t="n">
        <f aca="false">SUM(BL94:BO94)</f>
        <v>4255.2</v>
      </c>
      <c r="BX94" s="852" t="n">
        <v>6.46132785763176</v>
      </c>
      <c r="BY94" s="1099" t="n">
        <v>0</v>
      </c>
      <c r="BZ94" s="852" t="n">
        <v>0</v>
      </c>
      <c r="CA94" s="852" t="n">
        <v>0</v>
      </c>
      <c r="CB94" s="852" t="n">
        <v>0</v>
      </c>
      <c r="CC94" s="852" t="n">
        <v>0</v>
      </c>
      <c r="CD94" s="852" t="n">
        <v>0</v>
      </c>
      <c r="CE94" s="1100" t="n">
        <v>0</v>
      </c>
      <c r="CF94" s="852" t="n">
        <v>0</v>
      </c>
      <c r="CG94" s="852" t="n">
        <v>0</v>
      </c>
      <c r="CH94" s="852" t="n">
        <v>0</v>
      </c>
      <c r="CI94" s="852" t="n">
        <v>0</v>
      </c>
      <c r="CJ94" s="1101" t="n">
        <v>0</v>
      </c>
      <c r="CK94" s="852" t="n">
        <v>0</v>
      </c>
      <c r="CL94" s="852" t="n">
        <v>0</v>
      </c>
      <c r="CM94" s="852" t="n">
        <v>0</v>
      </c>
      <c r="CN94" s="852" t="n">
        <v>0</v>
      </c>
      <c r="CO94" s="852" t="n">
        <v>0</v>
      </c>
      <c r="CP94" s="852" t="n">
        <v>0</v>
      </c>
      <c r="CQ94" s="1102" t="n">
        <v>0</v>
      </c>
      <c r="CR94" s="1103" t="n">
        <v>0</v>
      </c>
      <c r="CS94" s="1103" t="n">
        <v>0</v>
      </c>
      <c r="CT94" s="1103" t="n">
        <v>0</v>
      </c>
      <c r="CU94" s="1103" t="n">
        <v>0</v>
      </c>
      <c r="CV94" s="1103" t="n">
        <v>0</v>
      </c>
      <c r="CW94" s="1103" t="n">
        <v>0</v>
      </c>
      <c r="CX94" s="1104" t="n">
        <v>0</v>
      </c>
      <c r="CY94" s="1105" t="n">
        <v>7756.7344</v>
      </c>
      <c r="CZ94" s="1099" t="n">
        <v>0</v>
      </c>
      <c r="DA94" s="852" t="n">
        <v>0</v>
      </c>
      <c r="DB94" s="852" t="n">
        <v>0</v>
      </c>
      <c r="DC94" s="852" t="n">
        <v>0</v>
      </c>
      <c r="DD94" s="852" t="n">
        <v>0</v>
      </c>
      <c r="DE94" s="1113" t="n">
        <v>0</v>
      </c>
      <c r="DF94" s="1109" t="n">
        <v>0</v>
      </c>
      <c r="DG94" s="1110" t="n">
        <v>0</v>
      </c>
      <c r="DH94" s="1111" t="n">
        <v>0</v>
      </c>
      <c r="DI94" s="1112" t="n">
        <v>0</v>
      </c>
      <c r="DJ94" s="1112" t="n">
        <v>0</v>
      </c>
      <c r="DK94" s="1112" t="n">
        <v>0</v>
      </c>
      <c r="DL94" s="1113" t="n">
        <v>0</v>
      </c>
      <c r="DM94" s="1114" t="n">
        <v>0</v>
      </c>
      <c r="DN94" s="1114" t="n">
        <v>0</v>
      </c>
      <c r="DO94" s="1114" t="n">
        <v>0</v>
      </c>
      <c r="DP94" s="1114" t="n">
        <v>0</v>
      </c>
      <c r="DQ94" s="1114" t="n">
        <v>0</v>
      </c>
      <c r="DR94" s="1109" t="n">
        <v>0</v>
      </c>
      <c r="DS94" s="852" t="n">
        <v>0</v>
      </c>
      <c r="DT94" s="852" t="n">
        <v>0</v>
      </c>
      <c r="DU94" s="852" t="n">
        <v>0</v>
      </c>
      <c r="DV94" s="852" t="n">
        <v>0</v>
      </c>
      <c r="DW94" s="852" t="n">
        <v>0</v>
      </c>
      <c r="DX94" s="852" t="n">
        <v>0</v>
      </c>
      <c r="DY94" s="852" t="n">
        <v>0</v>
      </c>
      <c r="DZ94" s="852" t="n">
        <v>0</v>
      </c>
      <c r="EA94" s="852" t="n">
        <v>0</v>
      </c>
      <c r="EB94" s="1113" t="n">
        <v>0</v>
      </c>
      <c r="EC94" s="1115" t="n">
        <f aca="false">DS94*BD94</f>
        <v>0</v>
      </c>
      <c r="ED94" s="1115" t="n">
        <f aca="false">DT94*BE94</f>
        <v>0</v>
      </c>
      <c r="EE94" s="1115" t="n">
        <f aca="false">DU94*BF94</f>
        <v>0</v>
      </c>
      <c r="EF94" s="1115" t="n">
        <f aca="false">DV94*BG94</f>
        <v>0</v>
      </c>
      <c r="EG94" s="1115" t="n">
        <f aca="false">DS94*BD94+DT94*BE94+DU94*BF94+DV94*BG94</f>
        <v>0</v>
      </c>
      <c r="EH94" s="1116" t="n">
        <v>0</v>
      </c>
      <c r="EI94" s="1117" t="n">
        <v>0</v>
      </c>
      <c r="EJ94" s="1117" t="n">
        <v>0</v>
      </c>
      <c r="EK94" s="1117" t="n">
        <v>0</v>
      </c>
      <c r="EL94" s="1118" t="n">
        <f aca="false">IF(C94&gt;=Summary!$E$26,MAX(0,SUM(EH94:EK94)),0)</f>
        <v>0</v>
      </c>
      <c r="EM94" s="1115" t="n">
        <f aca="false">IF(C94&gt;=Summary!$E$26,DX94*BL94,0)</f>
        <v>0</v>
      </c>
      <c r="EN94" s="1115" t="n">
        <f aca="false">IF(C94&gt;=Summary!$E$26,DY94*BM94,0)</f>
        <v>0</v>
      </c>
      <c r="EO94" s="1115" t="n">
        <f aca="false">IF(C94&gt;=Summary!$E$26,DZ94*BN94,0)</f>
        <v>0</v>
      </c>
      <c r="EP94" s="1115" t="n">
        <f aca="false">IF(C94&gt;=Summary!$E$26,EA94*BO94,0)</f>
        <v>0</v>
      </c>
      <c r="EQ94" s="1115" t="n">
        <f aca="false">IF(C94&gt;=Summary!$E$26,DX94*BL94+DY94*BM94+DZ94*BN94+EA94*BO94,0)</f>
        <v>0</v>
      </c>
      <c r="ER94" s="1119" t="n">
        <v>0</v>
      </c>
      <c r="ES94" s="1120" t="n">
        <v>0</v>
      </c>
      <c r="ET94" s="1120" t="n">
        <v>0</v>
      </c>
      <c r="EU94" s="1120" t="n">
        <v>0</v>
      </c>
      <c r="EV94" s="1143" t="n">
        <f aca="false">IF(C94&gt;=Summary!$E$26,MAX(0,SUM(ER94:EU94)),0)</f>
        <v>0</v>
      </c>
      <c r="EW94" s="1115"/>
      <c r="EX94" s="1165" t="n">
        <f aca="false">(EQ94-EV94)+IF(EZ94="Yes",(EG94-EL94),0)</f>
        <v>0</v>
      </c>
      <c r="EY94" s="1166" t="str">
        <f aca="false">IF(EX94,EX94/EQ94,"")</f>
        <v/>
      </c>
      <c r="EZ94" s="1122" t="s">
        <v>37</v>
      </c>
      <c r="FA94" s="1096" t="n">
        <f aca="false">FA93</f>
        <v>45</v>
      </c>
      <c r="FB94" s="1167" t="n">
        <f aca="false">IF(EZ94="No",IF((OR(MONTH(C94)=5,MONTH(C94)=6,MONTH(C94)=7,MONTH(C94)=8,MONTH(C94)=9)),$FA94*12*AX94*(1-$BC94),$FA94*10*AX94*(1-$BC94)),0)</f>
        <v>11701.8</v>
      </c>
      <c r="FC94" s="1129" t="n">
        <f aca="false">IF(EZ94="No",IF((OR(MONTH(C94)=5,MONTH(C94)=6,MONTH(C94)=7,MONTH(C94)=8,MONTH(C94)=9)),0,$FA94*3*AX94*(1-$BC94)),0)</f>
        <v>0</v>
      </c>
      <c r="FD94" s="1129" t="n">
        <f aca="false">IF(EZ94="No",IF((OR(MONTH(C94)=5,MONTH(C94)=6,MONTH(C94)=7,MONTH(C94)=8,MONTH(C94)=9)),$FA94*12*AY94*(1-$BC94),$FA94*10*AY94*(1-$BC94)),0)</f>
        <v>2127.6</v>
      </c>
      <c r="FE94" s="1129" t="n">
        <f aca="false">IF(EZ94="No",IF((OR(MONTH(C94)=5,MONTH(C94)=6,MONTH(C94)=7,MONTH(C94)=8,MONTH(C94)=9)),0,$FA94*3*AY94*(1-$BC94)),0)</f>
        <v>0</v>
      </c>
      <c r="FF94" s="1129" t="n">
        <f aca="false">IF(EZ94="No",IF((OR(MONTH(C94)=5,MONTH(C94)=6,MONTH(C94)=7,MONTH(C94)=8,MONTH(C94)=9)),$FA94*12*(AZ94+BA94)*(1-$BC94),$FA94*10*(AZ94+BA94)*(1-$BC94)),0)</f>
        <v>2127.6</v>
      </c>
      <c r="FG94" s="1129" t="n">
        <f aca="false">IF(EZ94="No",IF((OR(MONTH(C94)=5,MONTH(C94)=6,MONTH(C94)=7,MONTH(C94)=8,MONTH(C94)=9)),0,$FA94*3*(AZ94+BA94)*(1-$BC94)),0)</f>
        <v>0</v>
      </c>
      <c r="FH94" s="1170" t="n">
        <f aca="false">IF(EZ94="No",IF((OR(MONTH(C94)=5,MONTH(C94)=6,MONTH(C94)=7,MONTH(C94)=8,MONTH(C94)=9)),Summary!$O$15*12*(AX94+AY94+AZ94+BA94)*(1-$BC94),Summary!$O$15*13*(AX94+AY94+AZ94+BA94)*(1-$BC94)+IF(Summary!$O$16="Yes",(CALC!FA94+Summary!$O$15)*6*(AX94+AY94+AZ94+BA94)*(1-$BC94),0)),0)</f>
        <v>0</v>
      </c>
      <c r="FI94" s="1126" t="n">
        <f aca="false">IF(MONTH(C94)=5,FI93*(IF(Summary!$E$70="no",(1+(Summary!$E$71*0.8)),1+HLOOKUP(YEAR(C94)-1,CCFMODEL!$I$127:$AF$128,2)*0.8)),+FI93)</f>
        <v>31.4067767844223</v>
      </c>
      <c r="FJ94" s="1127" t="n">
        <f aca="false">IF(MONTH(C94)=5,FJ93*(IF(Summary!$E$70="no",(1+(Summary!$E$71*0.8)),1+HLOOKUP(YEAR(CALC!C94)-1,CCFMODEL!$I$127:$AF$128,2)*0.8)),FJ93)</f>
        <v>27.4500175044951</v>
      </c>
      <c r="FK94" s="1128" t="n">
        <f aca="false">SUM(FB94:FG94)*FI94+FH94*FJ94</f>
        <v>501157.937149027</v>
      </c>
      <c r="FL94" s="1126" t="n">
        <f aca="false">IF(MONTH(C94)=5,FL93*(IF(Summary!$E$70="no",(1+(Summary!$E$71*0.8)),1+HLOOKUP(YEAR(CALC!C94)-1,CCFMODEL!$I$127:$AF$128,2)*0.8)),+FL93)</f>
        <v>66.0519726223564</v>
      </c>
      <c r="FM94" s="1127" t="n">
        <f aca="false">IF(MONTH(C94)=5,FM93*(IF(Summary!$E$70="no",(1+(Summary!$E$71*0.8)),1+HLOOKUP(YEAR(CALC!C94)-1,CCFMODEL!$I$127:$AF$128,2)*0.8)),+FM93)</f>
        <v>31.5245374772773</v>
      </c>
      <c r="FN94" s="1128" t="n">
        <f aca="false">IF((OR(MONTH(C94)=5,MONTH(C94)=6,MONTH(C94)=7,MONTH(C94)=8,MONTH(C94)=9)),SUM(FB94:FG94)/(1-BC94)*FL94,SUM(FB94:FG94)/(1-BC94)*FM94)</f>
        <v>1070041.95648217</v>
      </c>
      <c r="FO94" s="1129" t="n">
        <f aca="false">FK94+FN94</f>
        <v>1571199.8936312</v>
      </c>
      <c r="FP94" s="1169" t="n">
        <f aca="false">FB94</f>
        <v>11701.8</v>
      </c>
      <c r="FQ94" s="1129" t="n">
        <f aca="false">FC94</f>
        <v>0</v>
      </c>
      <c r="FR94" s="1129" t="n">
        <f aca="false">FD94</f>
        <v>2127.6</v>
      </c>
      <c r="FS94" s="1129" t="n">
        <f aca="false">FE94</f>
        <v>0</v>
      </c>
      <c r="FT94" s="1129" t="n">
        <f aca="false">FF94</f>
        <v>2127.6</v>
      </c>
      <c r="FU94" s="1129" t="n">
        <f aca="false">FG94</f>
        <v>0</v>
      </c>
      <c r="FV94" s="1170" t="n">
        <f aca="false">FH94</f>
        <v>0</v>
      </c>
      <c r="FW94" s="1115" t="n">
        <f aca="false">IF(ER94&gt;0,MIN(FB94-FP94,BL94),0)</f>
        <v>0</v>
      </c>
      <c r="FX94" s="1115" t="n">
        <f aca="false">IF(ES94&gt;0,MIN(FD94-FR94,BM94),0)</f>
        <v>0</v>
      </c>
      <c r="FY94" s="1115" t="n">
        <f aca="false">IF(ET94&gt;0,MIN(FF94-FT94,BN94),0)</f>
        <v>0</v>
      </c>
      <c r="FZ94" s="1143" t="n">
        <f aca="false">IF(EU94&gt;0,MIN(FH94-FV94,BO94),0)</f>
        <v>0</v>
      </c>
      <c r="GA94" s="1132" t="n">
        <f aca="false">(SUM(FP94:FV94)+SUM(GU94:HB94)/(1-Summary!$O$25))*CY94/1000</f>
        <v>156780.66703968</v>
      </c>
      <c r="GB94" s="1133" t="n">
        <f aca="false">IF($C94&lt;Summary!$M$81,+Summary!$O$81,VLOOKUP(C94,GasTable,19))</f>
        <v>2.4</v>
      </c>
      <c r="GC94" s="1134" t="n">
        <f aca="false">IF(H94&lt;=Summary!$N$84,MIN(GA94,Summary!$O$75*(H94-G94+1)),0)</f>
        <v>150000</v>
      </c>
      <c r="GD94" s="1135" t="n">
        <f aca="false">IF(Summary!$O$75*(H94-G94+1)*0.8&gt;GC94,1,0)</f>
        <v>0</v>
      </c>
      <c r="GE94" s="1136" t="n">
        <v>0</v>
      </c>
      <c r="GF94" s="1134" t="n">
        <f aca="false">ABS(MIN(0,GC94-$GA94))</f>
        <v>6780.66703968</v>
      </c>
      <c r="GG94" s="1135" t="n">
        <f aca="false">GF94*(IF(Summary!$O$74=1,VLOOKUP($C94,GasTable,16)+Summary!$O$92+Summary!$O$93,VLOOKUP($C94,GasTable,19)+Summary!$O$92+Summary!$O$93))</f>
        <v>18529.3127323218</v>
      </c>
      <c r="GH94" s="1137" t="n">
        <v>17826</v>
      </c>
      <c r="GI94" s="1138" t="n">
        <v>0</v>
      </c>
      <c r="GJ94" s="1139" t="n">
        <f aca="false">+GB94*GC94+GE94+GG94+GH94-GI94</f>
        <v>396355.312732322</v>
      </c>
      <c r="GK94" s="1115" t="n">
        <f aca="false">SUM(FP94:FV94,GU94:GX94,GY94:HB94)</f>
        <v>20063.268</v>
      </c>
      <c r="GL94" s="1140" t="n">
        <v>0.76171131808</v>
      </c>
      <c r="GM94" s="1141" t="n">
        <f aca="false">IF(GK94&gt;GC94/(CY94/1000),GC94/(CY94/1000),+GK94)*GL94</f>
        <v>14730</v>
      </c>
      <c r="GN94" s="1115" t="n">
        <f aca="false">IF(SUM(GU94:HB94)=0,0,IF(Summary!$O$16="Yes",SUM(GX94:HB94),IF(Summary!$O$17="Yes",SUM(GY94:HB94),SUM(GU94:HB94))))</f>
        <v>4106.268</v>
      </c>
      <c r="GO94" s="1142" t="n">
        <v>2.84127794457643</v>
      </c>
      <c r="GP94" s="1143" t="n">
        <f aca="false">GN94*GO94</f>
        <v>11667.04870292</v>
      </c>
      <c r="GQ94" s="1115"/>
      <c r="GR94" s="1115"/>
      <c r="GS94" s="1115"/>
      <c r="GT94" s="1115"/>
      <c r="GU94" s="1150" t="n">
        <v>0</v>
      </c>
      <c r="GV94" s="1115" t="n">
        <v>0</v>
      </c>
      <c r="GW94" s="1115" t="n">
        <v>0</v>
      </c>
      <c r="GX94" s="1115"/>
      <c r="GY94" s="1151" t="n">
        <v>3011.2632</v>
      </c>
      <c r="GZ94" s="1115" t="n">
        <v>547.5024</v>
      </c>
      <c r="HA94" s="1115" t="n">
        <v>547.5024</v>
      </c>
      <c r="HB94" s="1141"/>
      <c r="HC94" s="1115" t="n">
        <v>4106.268</v>
      </c>
      <c r="HD94" s="1115"/>
      <c r="HE94" s="1115" t="n">
        <v>16425.072</v>
      </c>
      <c r="HF94" s="1115" t="n">
        <v>122626.724808983</v>
      </c>
      <c r="HG94" s="1115"/>
      <c r="HH94" s="1142" t="n">
        <v>29.8633028358068</v>
      </c>
      <c r="HI94" s="1115" t="n">
        <v>490506.89923593</v>
      </c>
      <c r="HJ94" s="1150" t="n">
        <f aca="false">MAX(FB94-FP94-FW94,0)</f>
        <v>0</v>
      </c>
      <c r="HK94" s="1115" t="n">
        <f aca="false">MAX(FD94-FR94-FX94,0)</f>
        <v>0</v>
      </c>
      <c r="HL94" s="1115" t="n">
        <f aca="false">MAX(FF94-FT94-FY94,0)</f>
        <v>0</v>
      </c>
      <c r="HM94" s="1141" t="n">
        <f aca="false">MAX(FH94-FV94-FZ94,0)</f>
        <v>0</v>
      </c>
      <c r="HN94" s="1115" t="n">
        <f aca="false">SUM(HJ94:HM94)</f>
        <v>0</v>
      </c>
      <c r="HO94" s="1142" t="n">
        <f aca="false">IF(ISERROR(+HP94/HN94),0,+HP94/HN94)</f>
        <v>0</v>
      </c>
      <c r="HP94" s="1143" t="n">
        <f aca="false">(HJ94*CE94+HK94*CF94+HL94*CG94+HM94*CH94)</f>
        <v>0</v>
      </c>
      <c r="HQ94" s="1146"/>
      <c r="HR94" s="1150"/>
      <c r="HS94" s="1110"/>
      <c r="HT94" s="1141"/>
      <c r="HU94" s="1151"/>
      <c r="HV94" s="1142"/>
      <c r="HW94" s="1115"/>
      <c r="HX94" s="1149"/>
      <c r="HY94" s="1143"/>
      <c r="HZ94" s="1150"/>
      <c r="IA94" s="1142"/>
      <c r="IB94" s="1141"/>
      <c r="IC94" s="1151"/>
      <c r="ID94" s="1142"/>
      <c r="IE94" s="1141"/>
      <c r="IF94" s="1115"/>
      <c r="IG94" s="1142"/>
      <c r="IH94" s="1141"/>
      <c r="II94" s="1115"/>
      <c r="IJ94" s="1142"/>
      <c r="IK94" s="1115"/>
      <c r="IL94" s="1152"/>
      <c r="IM94" s="1192"/>
      <c r="IN94" s="1151"/>
      <c r="IO94" s="1151"/>
      <c r="IP94" s="1151"/>
      <c r="IQ94" s="1151"/>
      <c r="IR94" s="844"/>
    </row>
    <row r="95" customFormat="false" ht="13.5" hidden="false" customHeight="false" outlineLevel="0" collapsed="false">
      <c r="A95" s="0" t="str">
        <f aca="false">+D95&amp;"Q"&amp;ROUNDUP(E95/3,0)</f>
        <v>2006Q3</v>
      </c>
      <c r="B95" s="0" t="n">
        <f aca="false">YEAR(C95)</f>
        <v>2006</v>
      </c>
      <c r="C95" s="1153" t="n">
        <f aca="false">EOMONTH(C94,0)+1</f>
        <v>38899</v>
      </c>
      <c r="D95" s="841" t="n">
        <f aca="false">+YEAR(C95)</f>
        <v>2006</v>
      </c>
      <c r="E95" s="807" t="n">
        <f aca="false">MONTH(C95)</f>
        <v>7</v>
      </c>
      <c r="F95" s="1154" t="e">
        <f aca="false">IF(G95="","",Holiday(D95,E95))</f>
        <v>#VALUE!</v>
      </c>
      <c r="G95" s="1155" t="n">
        <v>38899</v>
      </c>
      <c r="H95" s="1156" t="n">
        <v>38929</v>
      </c>
      <c r="I95" s="1157" t="n">
        <f aca="false">I94</f>
        <v>0.0715</v>
      </c>
      <c r="J95" s="1158" t="n">
        <f aca="false">(1+I95/2)^(-2*(DATE(D96,E96,20)-$H$7)/365.25)</f>
        <v>0.625436346536248</v>
      </c>
      <c r="K95" s="1159"/>
      <c r="L95" s="1158"/>
      <c r="M95" s="1082" t="n">
        <v>0</v>
      </c>
      <c r="N95" s="1110" t="n">
        <f aca="false">M95</f>
        <v>0</v>
      </c>
      <c r="O95" s="1174" t="n">
        <f aca="false">N95</f>
        <v>0</v>
      </c>
      <c r="P95" s="1175" t="n">
        <f aca="false">M95</f>
        <v>0</v>
      </c>
      <c r="Q95" s="1110" t="n">
        <f aca="false">P95</f>
        <v>0</v>
      </c>
      <c r="R95" s="1174" t="n">
        <f aca="false">Q95</f>
        <v>0</v>
      </c>
      <c r="S95" s="1110" t="n">
        <f aca="false">R95</f>
        <v>0</v>
      </c>
      <c r="T95" s="1110" t="n">
        <f aca="false">S95</f>
        <v>0</v>
      </c>
      <c r="U95" s="1110" t="n">
        <f aca="false">T95</f>
        <v>0</v>
      </c>
      <c r="V95" s="1175" t="n">
        <f aca="false">U95</f>
        <v>0</v>
      </c>
      <c r="W95" s="1110" t="n">
        <f aca="false">V95</f>
        <v>0</v>
      </c>
      <c r="X95" s="1176" t="n">
        <f aca="false">W95</f>
        <v>0</v>
      </c>
      <c r="Y95" s="1086" t="n">
        <v>0</v>
      </c>
      <c r="Z95" s="1086" t="n">
        <v>0</v>
      </c>
      <c r="AA95" s="1087" t="n">
        <v>0</v>
      </c>
      <c r="AB95" s="1086" t="n">
        <v>0</v>
      </c>
      <c r="AC95" s="1086" t="n">
        <v>0</v>
      </c>
      <c r="AD95" s="1087" t="n">
        <v>0</v>
      </c>
      <c r="AE95" s="1086" t="n">
        <v>0</v>
      </c>
      <c r="AF95" s="1086" t="n">
        <v>0</v>
      </c>
      <c r="AG95" s="1087" t="n">
        <v>0</v>
      </c>
      <c r="AH95" s="1086" t="n">
        <v>0</v>
      </c>
      <c r="AI95" s="1086" t="n">
        <v>0</v>
      </c>
      <c r="AJ95" s="1087" t="n">
        <v>0</v>
      </c>
      <c r="AK95" s="1086" t="n">
        <v>0</v>
      </c>
      <c r="AL95" s="1086" t="n">
        <v>0</v>
      </c>
      <c r="AM95" s="1087" t="n">
        <v>0</v>
      </c>
      <c r="AN95" s="1086" t="n">
        <v>0</v>
      </c>
      <c r="AO95" s="1086" t="n">
        <v>0</v>
      </c>
      <c r="AP95" s="1087" t="n">
        <v>0</v>
      </c>
      <c r="AQ95" s="1086" t="n">
        <v>0</v>
      </c>
      <c r="AR95" s="1086" t="n">
        <v>0</v>
      </c>
      <c r="AS95" s="1087" t="n">
        <v>0</v>
      </c>
      <c r="AT95" s="1086" t="n">
        <v>0</v>
      </c>
      <c r="AU95" s="1086" t="n">
        <v>0</v>
      </c>
      <c r="AV95" s="1086" t="n">
        <v>0</v>
      </c>
      <c r="AW95" s="1172" t="n">
        <v>0</v>
      </c>
      <c r="AX95" s="807" t="e">
        <f aca="false">BB95-SUM(AY95:BA95)</f>
        <v>#VALUE!</v>
      </c>
      <c r="AY95" s="807" t="e">
        <f aca="false">IF(AND($E95=MONTH(Summary!$E$24),$D95=YEAR(Summary!$E$24)),Summary!$E$25,1)*IF(G95="",0,INT((H95-MOD(H95,7)-G95)/7)+1-IF(BA95,IF(WEEKDAY(F95)=7,1,0),0))</f>
        <v>#VALUE!</v>
      </c>
      <c r="AZ95" s="807" t="e">
        <f aca="false">IF(AND($E95=MONTH(Summary!$E$24),$D95=YEAR(Summary!$E$24)),Summary!$E$25,1)*IF(G95="",0,INT((H95-MOD(H95-1,7)-G95)/7)+1-IF(BA95,IF(WEEKDAY(F95)=1,1,0),0))</f>
        <v>#VALUE!</v>
      </c>
      <c r="BA95" s="807" t="n">
        <v>1</v>
      </c>
      <c r="BB95" s="807" t="n">
        <f aca="false">IF(AND($E95=MONTH(Summary!$E$24),$D95=YEAR(Summary!$E$24)),Summary!$E$25,1)*IF(G95="",0,H95-G95+1)</f>
        <v>31</v>
      </c>
      <c r="BC95" s="1089" t="n">
        <f aca="false">Summary!$E$19</f>
        <v>0.015</v>
      </c>
      <c r="BD95" s="1090" t="n">
        <v>14184</v>
      </c>
      <c r="BE95" s="1091" t="n">
        <v>3546</v>
      </c>
      <c r="BF95" s="1091" t="n">
        <v>4255.2</v>
      </c>
      <c r="BG95" s="842"/>
      <c r="BH95" s="1092" t="n">
        <v>1</v>
      </c>
      <c r="BI95" s="1092" t="n">
        <v>1</v>
      </c>
      <c r="BJ95" s="1092" t="n">
        <v>1</v>
      </c>
      <c r="BK95" s="1092" t="n">
        <v>1</v>
      </c>
      <c r="BL95" s="1093" t="n">
        <v>2836.8</v>
      </c>
      <c r="BM95" s="1091" t="n">
        <v>709.2</v>
      </c>
      <c r="BN95" s="1091" t="n">
        <v>851.04</v>
      </c>
      <c r="BO95" s="842"/>
      <c r="BP95" s="1092" t="n">
        <v>1</v>
      </c>
      <c r="BQ95" s="1094" t="n">
        <v>1</v>
      </c>
      <c r="BR95" s="1094" t="n">
        <v>1</v>
      </c>
      <c r="BS95" s="1095" t="n">
        <v>1</v>
      </c>
      <c r="BT95" s="1093" t="n">
        <f aca="false">SUM(BD95:BF95)</f>
        <v>21985.2</v>
      </c>
      <c r="BU95" s="1098" t="n">
        <f aca="false">SUM(BD95:BG95)</f>
        <v>21985.2</v>
      </c>
      <c r="BV95" s="1090" t="n">
        <f aca="false">SUM(BL95:BN95)</f>
        <v>4397.04</v>
      </c>
      <c r="BW95" s="1098" t="n">
        <f aca="false">SUM(BL95:BO95)</f>
        <v>4397.04</v>
      </c>
      <c r="BX95" s="852" t="n">
        <v>6.54346338124572</v>
      </c>
      <c r="BY95" s="1099" t="n">
        <v>0</v>
      </c>
      <c r="BZ95" s="852" t="n">
        <v>0</v>
      </c>
      <c r="CA95" s="852" t="n">
        <v>0</v>
      </c>
      <c r="CB95" s="852" t="n">
        <v>0</v>
      </c>
      <c r="CC95" s="852" t="n">
        <v>0</v>
      </c>
      <c r="CD95" s="852" t="n">
        <v>0</v>
      </c>
      <c r="CE95" s="1100" t="n">
        <v>0</v>
      </c>
      <c r="CF95" s="852" t="n">
        <v>0</v>
      </c>
      <c r="CG95" s="852" t="n">
        <v>0</v>
      </c>
      <c r="CH95" s="852" t="n">
        <v>0</v>
      </c>
      <c r="CI95" s="852" t="n">
        <v>0</v>
      </c>
      <c r="CJ95" s="1101" t="n">
        <v>0</v>
      </c>
      <c r="CK95" s="852" t="n">
        <v>0</v>
      </c>
      <c r="CL95" s="852" t="n">
        <v>0</v>
      </c>
      <c r="CM95" s="852" t="n">
        <v>0</v>
      </c>
      <c r="CN95" s="852" t="n">
        <v>0</v>
      </c>
      <c r="CO95" s="852" t="n">
        <v>0</v>
      </c>
      <c r="CP95" s="852" t="n">
        <v>0</v>
      </c>
      <c r="CQ95" s="1102" t="n">
        <v>0</v>
      </c>
      <c r="CR95" s="1103" t="n">
        <v>0</v>
      </c>
      <c r="CS95" s="1103" t="n">
        <v>0</v>
      </c>
      <c r="CT95" s="1103" t="n">
        <v>0</v>
      </c>
      <c r="CU95" s="1103" t="n">
        <v>0</v>
      </c>
      <c r="CV95" s="1103" t="n">
        <v>0</v>
      </c>
      <c r="CW95" s="1103" t="n">
        <v>0</v>
      </c>
      <c r="CX95" s="1104" t="n">
        <v>0</v>
      </c>
      <c r="CY95" s="1105" t="n">
        <v>7758.03728</v>
      </c>
      <c r="CZ95" s="1099" t="n">
        <v>0</v>
      </c>
      <c r="DA95" s="852" t="n">
        <v>0</v>
      </c>
      <c r="DB95" s="852" t="n">
        <v>0</v>
      </c>
      <c r="DC95" s="852" t="n">
        <v>0</v>
      </c>
      <c r="DD95" s="852" t="n">
        <v>0</v>
      </c>
      <c r="DE95" s="1113" t="n">
        <v>0</v>
      </c>
      <c r="DF95" s="1109" t="n">
        <v>0</v>
      </c>
      <c r="DG95" s="1110" t="n">
        <v>0</v>
      </c>
      <c r="DH95" s="1111" t="n">
        <v>0</v>
      </c>
      <c r="DI95" s="1112" t="n">
        <v>0</v>
      </c>
      <c r="DJ95" s="1112" t="n">
        <v>0</v>
      </c>
      <c r="DK95" s="1112" t="n">
        <v>0</v>
      </c>
      <c r="DL95" s="1113" t="n">
        <v>0</v>
      </c>
      <c r="DM95" s="1114" t="n">
        <v>0</v>
      </c>
      <c r="DN95" s="1114" t="n">
        <v>0</v>
      </c>
      <c r="DO95" s="1114" t="n">
        <v>0</v>
      </c>
      <c r="DP95" s="1114" t="n">
        <v>0</v>
      </c>
      <c r="DQ95" s="1114" t="n">
        <v>0</v>
      </c>
      <c r="DR95" s="1109" t="n">
        <v>0</v>
      </c>
      <c r="DS95" s="852" t="n">
        <v>0</v>
      </c>
      <c r="DT95" s="852" t="n">
        <v>0</v>
      </c>
      <c r="DU95" s="852" t="n">
        <v>0</v>
      </c>
      <c r="DV95" s="852" t="n">
        <v>0</v>
      </c>
      <c r="DW95" s="852" t="n">
        <v>0</v>
      </c>
      <c r="DX95" s="852" t="n">
        <v>0</v>
      </c>
      <c r="DY95" s="852" t="n">
        <v>0</v>
      </c>
      <c r="DZ95" s="852" t="n">
        <v>0</v>
      </c>
      <c r="EA95" s="852" t="n">
        <v>0</v>
      </c>
      <c r="EB95" s="1113" t="n">
        <v>0</v>
      </c>
      <c r="EC95" s="1115" t="n">
        <f aca="false">DS95*BD95</f>
        <v>0</v>
      </c>
      <c r="ED95" s="1115" t="n">
        <f aca="false">DT95*BE95</f>
        <v>0</v>
      </c>
      <c r="EE95" s="1115" t="n">
        <f aca="false">DU95*BF95</f>
        <v>0</v>
      </c>
      <c r="EF95" s="1115" t="n">
        <f aca="false">DV95*BG95</f>
        <v>0</v>
      </c>
      <c r="EG95" s="1115" t="n">
        <f aca="false">DS95*BD95+DT95*BE95+DU95*BF95+DV95*BG95</f>
        <v>0</v>
      </c>
      <c r="EH95" s="1116" t="n">
        <v>0</v>
      </c>
      <c r="EI95" s="1117" t="n">
        <v>0</v>
      </c>
      <c r="EJ95" s="1117" t="n">
        <v>0</v>
      </c>
      <c r="EK95" s="1117" t="n">
        <v>0</v>
      </c>
      <c r="EL95" s="1118" t="n">
        <f aca="false">IF(C95&gt;=Summary!$E$26,MAX(0,SUM(EH95:EK95)),0)</f>
        <v>0</v>
      </c>
      <c r="EM95" s="1115" t="n">
        <f aca="false">IF(C95&gt;=Summary!$E$26,DX95*BL95,0)</f>
        <v>0</v>
      </c>
      <c r="EN95" s="1115" t="n">
        <f aca="false">IF(C95&gt;=Summary!$E$26,DY95*BM95,0)</f>
        <v>0</v>
      </c>
      <c r="EO95" s="1115" t="n">
        <f aca="false">IF(C95&gt;=Summary!$E$26,DZ95*BN95,0)</f>
        <v>0</v>
      </c>
      <c r="EP95" s="1115" t="n">
        <f aca="false">IF(C95&gt;=Summary!$E$26,EA95*BO95,0)</f>
        <v>0</v>
      </c>
      <c r="EQ95" s="1115" t="n">
        <f aca="false">IF(C95&gt;=Summary!$E$26,DX95*BL95+DY95*BM95+DZ95*BN95+EA95*BO95,0)</f>
        <v>0</v>
      </c>
      <c r="ER95" s="1119" t="n">
        <v>0</v>
      </c>
      <c r="ES95" s="1120" t="n">
        <v>0</v>
      </c>
      <c r="ET95" s="1120" t="n">
        <v>0</v>
      </c>
      <c r="EU95" s="1120" t="n">
        <v>0</v>
      </c>
      <c r="EV95" s="1143" t="n">
        <f aca="false">IF(C95&gt;=Summary!$E$26,MAX(0,SUM(ER95:EU95)),0)</f>
        <v>0</v>
      </c>
      <c r="EW95" s="1115"/>
      <c r="EX95" s="1165" t="n">
        <f aca="false">(EQ95-EV95)+IF(EZ95="Yes",(EG95-EL95),0)</f>
        <v>0</v>
      </c>
      <c r="EY95" s="1166" t="str">
        <f aca="false">IF(EX95,EX95/EQ95,"")</f>
        <v/>
      </c>
      <c r="EZ95" s="1122" t="s">
        <v>37</v>
      </c>
      <c r="FA95" s="1096" t="n">
        <f aca="false">FA94</f>
        <v>45</v>
      </c>
      <c r="FB95" s="1167" t="e">
        <f aca="false">IF(EZ95="No",IF((OR(MONTH(C95)=5,MONTH(C95)=6,MONTH(C95)=7,MONTH(C95)=8,MONTH(C95)=9)),$FA95*12*AX95*(1-$BC95),$FA95*10*AX95*(1-$BC95)),0)</f>
        <v>#VALUE!</v>
      </c>
      <c r="FC95" s="1129" t="n">
        <f aca="false">IF(EZ95="No",IF((OR(MONTH(C95)=5,MONTH(C95)=6,MONTH(C95)=7,MONTH(C95)=8,MONTH(C95)=9)),0,$FA95*3*AX95*(1-$BC95)),0)</f>
        <v>0</v>
      </c>
      <c r="FD95" s="1129" t="e">
        <f aca="false">IF(EZ95="No",IF((OR(MONTH(C95)=5,MONTH(C95)=6,MONTH(C95)=7,MONTH(C95)=8,MONTH(C95)=9)),$FA95*12*AY95*(1-$BC95),$FA95*10*AY95*(1-$BC95)),0)</f>
        <v>#VALUE!</v>
      </c>
      <c r="FE95" s="1129" t="n">
        <f aca="false">IF(EZ95="No",IF((OR(MONTH(C95)=5,MONTH(C95)=6,MONTH(C95)=7,MONTH(C95)=8,MONTH(C95)=9)),0,$FA95*3*AY95*(1-$BC95)),0)</f>
        <v>0</v>
      </c>
      <c r="FF95" s="1129" t="e">
        <f aca="false">IF(EZ95="No",IF((OR(MONTH(C95)=5,MONTH(C95)=6,MONTH(C95)=7,MONTH(C95)=8,MONTH(C95)=9)),$FA95*12*(AZ95+BA95)*(1-$BC95),$FA95*10*(AZ95+BA95)*(1-$BC95)),0)</f>
        <v>#VALUE!</v>
      </c>
      <c r="FG95" s="1129" t="n">
        <f aca="false">IF(EZ95="No",IF((OR(MONTH(C95)=5,MONTH(C95)=6,MONTH(C95)=7,MONTH(C95)=8,MONTH(C95)=9)),0,$FA95*3*(AZ95+BA95)*(1-$BC95)),0)</f>
        <v>0</v>
      </c>
      <c r="FH95" s="1170" t="e">
        <f aca="false">IF(EZ95="No",IF((OR(MONTH(C95)=5,MONTH(C95)=6,MONTH(C95)=7,MONTH(C95)=8,MONTH(C95)=9)),Summary!$O$15*12*(AX95+AY95+AZ95+BA95)*(1-$BC95),Summary!$O$15*13*(AX95+AY95+AZ95+BA95)*(1-$BC95)+IF(Summary!$O$16="Yes",(CALC!FA95+Summary!$O$15)*6*(AX95+AY95+AZ95+BA95)*(1-$BC95),0)),0)</f>
        <v>#VALUE!</v>
      </c>
      <c r="FI95" s="1126" t="n">
        <f aca="false">IF(MONTH(C95)=5,FI94*(IF(Summary!$E$70="no",(1+(Summary!$E$71*0.8)),1+HLOOKUP(YEAR(C95)-1,CCFMODEL!$I$127:$AF$128,2)*0.8)),+FI94)</f>
        <v>31.4067767844223</v>
      </c>
      <c r="FJ95" s="1127" t="n">
        <f aca="false">IF(MONTH(C95)=5,FJ94*(IF(Summary!$E$70="no",(1+(Summary!$E$71*0.8)),1+HLOOKUP(YEAR(CALC!C95)-1,CCFMODEL!$I$127:$AF$128,2)*0.8)),FJ94)</f>
        <v>27.4500175044951</v>
      </c>
      <c r="FK95" s="1128" t="e">
        <f aca="false">SUM(FB95:FG95)*FI95+FH95*FJ95</f>
        <v>#VALUE!</v>
      </c>
      <c r="FL95" s="1126" t="n">
        <f aca="false">IF(MONTH(C95)=5,FL94*(IF(Summary!$E$70="no",(1+(Summary!$E$71*0.8)),1+HLOOKUP(YEAR(CALC!C95)-1,CCFMODEL!$I$127:$AF$128,2)*0.8)),+FL94)</f>
        <v>66.0519726223564</v>
      </c>
      <c r="FM95" s="1127" t="n">
        <f aca="false">IF(MONTH(C95)=5,FM94*(IF(Summary!$E$70="no",(1+(Summary!$E$71*0.8)),1+HLOOKUP(YEAR(CALC!C95)-1,CCFMODEL!$I$127:$AF$128,2)*0.8)),+FM94)</f>
        <v>31.5245374772773</v>
      </c>
      <c r="FN95" s="1128" t="e">
        <f aca="false">IF((OR(MONTH(C95)=5,MONTH(C95)=6,MONTH(C95)=7,MONTH(C95)=8,MONTH(C95)=9)),SUM(FB95:FG95)/(1-BC95)*FL95,SUM(FB95:FG95)/(1-BC95)*FM95)</f>
        <v>#VALUE!</v>
      </c>
      <c r="FO95" s="1129" t="e">
        <f aca="false">FK95+FN95</f>
        <v>#VALUE!</v>
      </c>
      <c r="FP95" s="1169" t="e">
        <f aca="false">FB95</f>
        <v>#VALUE!</v>
      </c>
      <c r="FQ95" s="1129" t="n">
        <f aca="false">FC95</f>
        <v>0</v>
      </c>
      <c r="FR95" s="1129" t="e">
        <f aca="false">FD95</f>
        <v>#VALUE!</v>
      </c>
      <c r="FS95" s="1129" t="n">
        <f aca="false">FE95</f>
        <v>0</v>
      </c>
      <c r="FT95" s="1129" t="e">
        <f aca="false">FF95</f>
        <v>#VALUE!</v>
      </c>
      <c r="FU95" s="1129" t="n">
        <f aca="false">FG95</f>
        <v>0</v>
      </c>
      <c r="FV95" s="1170" t="e">
        <f aca="false">FH95</f>
        <v>#VALUE!</v>
      </c>
      <c r="FW95" s="1115" t="n">
        <f aca="false">IF(ER95&gt;0,MIN(FB95-FP95,BL95),0)</f>
        <v>0</v>
      </c>
      <c r="FX95" s="1115" t="n">
        <f aca="false">IF(ES95&gt;0,MIN(FD95-FR95,BM95),0)</f>
        <v>0</v>
      </c>
      <c r="FY95" s="1115" t="n">
        <f aca="false">IF(ET95&gt;0,MIN(FF95-FT95,BN95),0)</f>
        <v>0</v>
      </c>
      <c r="FZ95" s="1143" t="n">
        <f aca="false">IF(EU95&gt;0,MIN(FH95-FV95,BO95),0)</f>
        <v>0</v>
      </c>
      <c r="GA95" s="1132" t="e">
        <f aca="false">(SUM(FP95:FV95)+SUM(GU95:HB95)/(1-Summary!$O$25))*CY95/1000</f>
        <v>#VALUE!</v>
      </c>
      <c r="GB95" s="1133" t="n">
        <f aca="false">IF($C95&lt;Summary!$M$81,+Summary!$O$81,VLOOKUP(C95,GasTable,19))</f>
        <v>2.4</v>
      </c>
      <c r="GC95" s="1134" t="e">
        <f aca="false">IF(H95&lt;=Summary!$N$84,MIN(GA95,Summary!$O$75*(H95-G95+1)),0)</f>
        <v>#VALUE!</v>
      </c>
      <c r="GD95" s="1135" t="e">
        <f aca="false">IF(Summary!$O$75*(H95-G95+1)*0.8&gt;GC95,1,0)</f>
        <v>#VALUE!</v>
      </c>
      <c r="GE95" s="1136" t="n">
        <v>0</v>
      </c>
      <c r="GF95" s="1134" t="e">
        <f aca="false">ABS(MIN(0,GC95-$GA95))</f>
        <v>#VALUE!</v>
      </c>
      <c r="GG95" s="1135" t="e">
        <f aca="false">GF95*(IF(Summary!$O$74=1,VLOOKUP($C95,GasTable,16)+Summary!$O$92+Summary!$O$93,VLOOKUP($C95,GasTable,19)+Summary!$O$92+Summary!$O$93))</f>
        <v>#VALUE!</v>
      </c>
      <c r="GH95" s="1137" t="n">
        <v>18494.6</v>
      </c>
      <c r="GI95" s="1138" t="n">
        <v>0</v>
      </c>
      <c r="GJ95" s="1139" t="e">
        <f aca="false">+GB95*GC95+GE95+GG95+GH95-GI95</f>
        <v>#VALUE!</v>
      </c>
      <c r="GK95" s="1115" t="e">
        <f aca="false">SUM(FP95:FV95,GU95:GX95,GY95:HB95)</f>
        <v>#VALUE!</v>
      </c>
      <c r="GL95" s="1140" t="n">
        <v>0.761839260896</v>
      </c>
      <c r="GM95" s="1141" t="e">
        <f aca="false">IF(GK95&gt;GC95/(CY95/1000),GC95/(CY95/1000),+GK95)*GL95</f>
        <v>#VALUE!</v>
      </c>
      <c r="GN95" s="1115" t="n">
        <f aca="false">IF(SUM(GU95:HB95)=0,0,IF(Summary!$O$16="Yes",SUM(GX95:HB95),IF(Summary!$O$17="Yes",SUM(GY95:HB95),SUM(GU95:HB95))))</f>
        <v>9547.0731</v>
      </c>
      <c r="GO95" s="1142" t="n">
        <v>2.84127794457643</v>
      </c>
      <c r="GP95" s="1143" t="n">
        <f aca="false">GN95*GO95</f>
        <v>27125.888234289</v>
      </c>
      <c r="GQ95" s="1115"/>
      <c r="GR95" s="1115"/>
      <c r="GS95" s="1115"/>
      <c r="GT95" s="1115"/>
      <c r="GU95" s="1150" t="n">
        <v>3421.89</v>
      </c>
      <c r="GV95" s="1115" t="n">
        <v>855.4725</v>
      </c>
      <c r="GW95" s="1115" t="n">
        <v>1026.567</v>
      </c>
      <c r="GX95" s="1115"/>
      <c r="GY95" s="1151" t="n">
        <v>2737.512</v>
      </c>
      <c r="GZ95" s="1115" t="n">
        <v>684.378</v>
      </c>
      <c r="HA95" s="1115" t="n">
        <v>821.2536</v>
      </c>
      <c r="HB95" s="1141"/>
      <c r="HC95" s="1115" t="n">
        <v>9547.0731</v>
      </c>
      <c r="HD95" s="1115"/>
      <c r="HE95" s="1115" t="n">
        <v>22276.5039</v>
      </c>
      <c r="HF95" s="1115" t="n">
        <v>373241.653321855</v>
      </c>
      <c r="HG95" s="1115"/>
      <c r="HH95" s="1142" t="n">
        <v>41.4004958781918</v>
      </c>
      <c r="HI95" s="1115" t="n">
        <v>922258.307892473</v>
      </c>
      <c r="HJ95" s="1150" t="e">
        <f aca="false">MAX(FB95-FP95-FW95,0)</f>
        <v>#VALUE!</v>
      </c>
      <c r="HK95" s="1115" t="e">
        <f aca="false">MAX(FD95-FR95-FX95,0)</f>
        <v>#VALUE!</v>
      </c>
      <c r="HL95" s="1115" t="e">
        <f aca="false">MAX(FF95-FT95-FY95,0)</f>
        <v>#VALUE!</v>
      </c>
      <c r="HM95" s="1141" t="e">
        <f aca="false">MAX(FH95-FV95-FZ95,0)</f>
        <v>#VALUE!</v>
      </c>
      <c r="HN95" s="1115" t="e">
        <f aca="false">SUM(HJ95:HM95)</f>
        <v>#VALUE!</v>
      </c>
      <c r="HO95" s="1142" t="n">
        <f aca="false">IF(ISERROR(+HP95/HN95),0,+HP95/HN95)</f>
        <v>0</v>
      </c>
      <c r="HP95" s="1143" t="e">
        <f aca="false">(HJ95*CE95+HK95*CF95+HL95*CG95+HM95*CH95)</f>
        <v>#VALUE!</v>
      </c>
      <c r="HQ95" s="1146"/>
      <c r="HR95" s="1150"/>
      <c r="HS95" s="1110"/>
      <c r="HT95" s="1141"/>
      <c r="HU95" s="1151"/>
      <c r="HV95" s="1142"/>
      <c r="HW95" s="1115"/>
      <c r="HX95" s="1149"/>
      <c r="HY95" s="1143"/>
      <c r="HZ95" s="1150"/>
      <c r="IA95" s="1142"/>
      <c r="IB95" s="1141"/>
      <c r="IC95" s="1151"/>
      <c r="ID95" s="1142"/>
      <c r="IE95" s="1141"/>
      <c r="IF95" s="1115"/>
      <c r="IG95" s="1142"/>
      <c r="IH95" s="1141"/>
      <c r="II95" s="1115"/>
      <c r="IJ95" s="1142"/>
      <c r="IK95" s="1115"/>
      <c r="IL95" s="1152"/>
      <c r="IM95" s="1192"/>
      <c r="IN95" s="1151"/>
      <c r="IO95" s="1151"/>
      <c r="IP95" s="1151"/>
      <c r="IQ95" s="1151"/>
      <c r="IR95" s="844"/>
    </row>
    <row r="96" customFormat="false" ht="13.5" hidden="false" customHeight="false" outlineLevel="0" collapsed="false">
      <c r="A96" s="0" t="str">
        <f aca="false">+D96&amp;"Q"&amp;ROUNDUP(E96/3,0)</f>
        <v>2006Q3</v>
      </c>
      <c r="B96" s="0" t="n">
        <f aca="false">YEAR(C96)</f>
        <v>2006</v>
      </c>
      <c r="C96" s="1153" t="n">
        <f aca="false">EOMONTH(C95,0)+1</f>
        <v>38930</v>
      </c>
      <c r="D96" s="841" t="n">
        <f aca="false">+YEAR(C96)</f>
        <v>2006</v>
      </c>
      <c r="E96" s="807" t="n">
        <f aca="false">MONTH(C96)</f>
        <v>8</v>
      </c>
      <c r="F96" s="1154" t="e">
        <f aca="false">IF(G96="","",Holiday(D96,E96))</f>
        <v>#VALUE!</v>
      </c>
      <c r="G96" s="1155" t="n">
        <v>38930</v>
      </c>
      <c r="H96" s="1156" t="n">
        <v>38960</v>
      </c>
      <c r="I96" s="1157" t="n">
        <f aca="false">I95</f>
        <v>0.0715</v>
      </c>
      <c r="J96" s="1158" t="n">
        <f aca="false">(1+I96/2)^(-2*(DATE(D97,E97,20)-$H$7)/365.25)</f>
        <v>0.621718283619257</v>
      </c>
      <c r="K96" s="1159"/>
      <c r="L96" s="1158"/>
      <c r="M96" s="1082" t="n">
        <v>0</v>
      </c>
      <c r="N96" s="1110" t="n">
        <f aca="false">M96</f>
        <v>0</v>
      </c>
      <c r="O96" s="1174" t="n">
        <f aca="false">N96</f>
        <v>0</v>
      </c>
      <c r="P96" s="1175" t="n">
        <f aca="false">M96</f>
        <v>0</v>
      </c>
      <c r="Q96" s="1110" t="n">
        <f aca="false">P96</f>
        <v>0</v>
      </c>
      <c r="R96" s="1174" t="n">
        <f aca="false">Q96</f>
        <v>0</v>
      </c>
      <c r="S96" s="1110" t="n">
        <f aca="false">R96</f>
        <v>0</v>
      </c>
      <c r="T96" s="1110" t="n">
        <f aca="false">S96</f>
        <v>0</v>
      </c>
      <c r="U96" s="1110" t="n">
        <f aca="false">T96</f>
        <v>0</v>
      </c>
      <c r="V96" s="1175" t="n">
        <f aca="false">U96</f>
        <v>0</v>
      </c>
      <c r="W96" s="1110" t="n">
        <f aca="false">V96</f>
        <v>0</v>
      </c>
      <c r="X96" s="1176" t="n">
        <f aca="false">W96</f>
        <v>0</v>
      </c>
      <c r="Y96" s="1086" t="n">
        <v>0</v>
      </c>
      <c r="Z96" s="1086" t="n">
        <v>0</v>
      </c>
      <c r="AA96" s="1087" t="n">
        <v>0</v>
      </c>
      <c r="AB96" s="1086" t="n">
        <v>0</v>
      </c>
      <c r="AC96" s="1086" t="n">
        <v>0</v>
      </c>
      <c r="AD96" s="1087" t="n">
        <v>0</v>
      </c>
      <c r="AE96" s="1086" t="n">
        <v>0</v>
      </c>
      <c r="AF96" s="1086" t="n">
        <v>0</v>
      </c>
      <c r="AG96" s="1087" t="n">
        <v>0</v>
      </c>
      <c r="AH96" s="1086" t="n">
        <v>0</v>
      </c>
      <c r="AI96" s="1086" t="n">
        <v>0</v>
      </c>
      <c r="AJ96" s="1087" t="n">
        <v>0</v>
      </c>
      <c r="AK96" s="1086" t="n">
        <v>0</v>
      </c>
      <c r="AL96" s="1086" t="n">
        <v>0</v>
      </c>
      <c r="AM96" s="1087" t="n">
        <v>0</v>
      </c>
      <c r="AN96" s="1086" t="n">
        <v>0</v>
      </c>
      <c r="AO96" s="1086" t="n">
        <v>0</v>
      </c>
      <c r="AP96" s="1087" t="n">
        <v>0</v>
      </c>
      <c r="AQ96" s="1086" t="n">
        <v>0</v>
      </c>
      <c r="AR96" s="1086" t="n">
        <v>0</v>
      </c>
      <c r="AS96" s="1087" t="n">
        <v>0</v>
      </c>
      <c r="AT96" s="1086" t="n">
        <v>0</v>
      </c>
      <c r="AU96" s="1086" t="n">
        <v>0</v>
      </c>
      <c r="AV96" s="1086" t="n">
        <v>0</v>
      </c>
      <c r="AW96" s="1172" t="n">
        <v>0</v>
      </c>
      <c r="AX96" s="807" t="n">
        <f aca="false">BB96-SUM(AY96:BA96)</f>
        <v>23</v>
      </c>
      <c r="AY96" s="807" t="n">
        <f aca="false">IF(AND($E96=MONTH(Summary!$E$24),$D96=YEAR(Summary!$E$24)),Summary!$E$25,1)*IF(G96="",0,INT((H96-MOD(H96,7)-G96)/7)+1-IF(BA96,IF(WEEKDAY(F96)=7,1,0),0))</f>
        <v>4</v>
      </c>
      <c r="AZ96" s="807" t="n">
        <f aca="false">IF(AND($E96=MONTH(Summary!$E$24),$D96=YEAR(Summary!$E$24)),Summary!$E$25,1)*IF(G96="",0,INT((H96-MOD(H96-1,7)-G96)/7)+1-IF(BA96,IF(WEEKDAY(F96)=1,1,0),0))</f>
        <v>4</v>
      </c>
      <c r="BA96" s="807" t="n">
        <v>0</v>
      </c>
      <c r="BB96" s="807" t="n">
        <f aca="false">IF(AND($E96=MONTH(Summary!$E$24),$D96=YEAR(Summary!$E$24)),Summary!$E$25,1)*IF(G96="",0,H96-G96+1)</f>
        <v>31</v>
      </c>
      <c r="BC96" s="1089" t="n">
        <f aca="false">Summary!$E$19</f>
        <v>0.015</v>
      </c>
      <c r="BD96" s="1090" t="n">
        <v>16311.6</v>
      </c>
      <c r="BE96" s="1091" t="n">
        <v>2836.8</v>
      </c>
      <c r="BF96" s="1091" t="n">
        <v>2836.8</v>
      </c>
      <c r="BG96" s="842"/>
      <c r="BH96" s="1092" t="n">
        <v>1</v>
      </c>
      <c r="BI96" s="1092" t="n">
        <v>1</v>
      </c>
      <c r="BJ96" s="1092" t="n">
        <v>1</v>
      </c>
      <c r="BK96" s="1092" t="n">
        <v>1</v>
      </c>
      <c r="BL96" s="1093" t="n">
        <v>3262.32</v>
      </c>
      <c r="BM96" s="1091" t="n">
        <v>567.36</v>
      </c>
      <c r="BN96" s="1091" t="n">
        <v>567.36</v>
      </c>
      <c r="BO96" s="842"/>
      <c r="BP96" s="1092" t="n">
        <v>1</v>
      </c>
      <c r="BQ96" s="1094" t="n">
        <v>1</v>
      </c>
      <c r="BR96" s="1094" t="n">
        <v>1</v>
      </c>
      <c r="BS96" s="1095" t="n">
        <v>1</v>
      </c>
      <c r="BT96" s="1093" t="n">
        <f aca="false">SUM(BD96:BF96)</f>
        <v>21985.2</v>
      </c>
      <c r="BU96" s="1098" t="n">
        <f aca="false">SUM(BD96:BG96)</f>
        <v>21985.2</v>
      </c>
      <c r="BV96" s="1090" t="n">
        <f aca="false">SUM(BL96:BN96)</f>
        <v>4397.04</v>
      </c>
      <c r="BW96" s="1098" t="n">
        <f aca="false">SUM(BL96:BO96)</f>
        <v>4397.04</v>
      </c>
      <c r="BX96" s="852" t="n">
        <v>6.62833675564682</v>
      </c>
      <c r="BY96" s="1099" t="n">
        <v>0</v>
      </c>
      <c r="BZ96" s="852" t="n">
        <v>0</v>
      </c>
      <c r="CA96" s="852" t="n">
        <v>0</v>
      </c>
      <c r="CB96" s="852" t="n">
        <v>0</v>
      </c>
      <c r="CC96" s="852" t="n">
        <v>0</v>
      </c>
      <c r="CD96" s="852" t="n">
        <v>0</v>
      </c>
      <c r="CE96" s="1100" t="n">
        <v>0</v>
      </c>
      <c r="CF96" s="852" t="n">
        <v>0</v>
      </c>
      <c r="CG96" s="852" t="n">
        <v>0</v>
      </c>
      <c r="CH96" s="852" t="n">
        <v>0</v>
      </c>
      <c r="CI96" s="852" t="n">
        <v>0</v>
      </c>
      <c r="CJ96" s="1101" t="n">
        <v>0</v>
      </c>
      <c r="CK96" s="852" t="n">
        <v>0</v>
      </c>
      <c r="CL96" s="852" t="n">
        <v>0</v>
      </c>
      <c r="CM96" s="852" t="n">
        <v>0</v>
      </c>
      <c r="CN96" s="852" t="n">
        <v>0</v>
      </c>
      <c r="CO96" s="852" t="n">
        <v>0</v>
      </c>
      <c r="CP96" s="852" t="n">
        <v>0</v>
      </c>
      <c r="CQ96" s="1102" t="n">
        <v>0</v>
      </c>
      <c r="CR96" s="1103" t="n">
        <v>0</v>
      </c>
      <c r="CS96" s="1103" t="n">
        <v>0</v>
      </c>
      <c r="CT96" s="1103" t="n">
        <v>0</v>
      </c>
      <c r="CU96" s="1103" t="n">
        <v>0</v>
      </c>
      <c r="CV96" s="1103" t="n">
        <v>0</v>
      </c>
      <c r="CW96" s="1103" t="n">
        <v>0</v>
      </c>
      <c r="CX96" s="1104" t="n">
        <v>0</v>
      </c>
      <c r="CY96" s="1105" t="n">
        <v>7759.34016</v>
      </c>
      <c r="CZ96" s="1099" t="n">
        <v>0</v>
      </c>
      <c r="DA96" s="852" t="n">
        <v>0</v>
      </c>
      <c r="DB96" s="852" t="n">
        <v>0</v>
      </c>
      <c r="DC96" s="852" t="n">
        <v>0</v>
      </c>
      <c r="DD96" s="852" t="n">
        <v>0</v>
      </c>
      <c r="DE96" s="1113" t="n">
        <v>0</v>
      </c>
      <c r="DF96" s="1109" t="n">
        <v>0</v>
      </c>
      <c r="DG96" s="1110" t="n">
        <v>0</v>
      </c>
      <c r="DH96" s="1111" t="n">
        <v>0</v>
      </c>
      <c r="DI96" s="1112" t="n">
        <v>0</v>
      </c>
      <c r="DJ96" s="1112" t="n">
        <v>0</v>
      </c>
      <c r="DK96" s="1112" t="n">
        <v>0</v>
      </c>
      <c r="DL96" s="1113" t="n">
        <v>0</v>
      </c>
      <c r="DM96" s="1114" t="n">
        <v>0</v>
      </c>
      <c r="DN96" s="1114" t="n">
        <v>0</v>
      </c>
      <c r="DO96" s="1114" t="n">
        <v>0</v>
      </c>
      <c r="DP96" s="1114" t="n">
        <v>0</v>
      </c>
      <c r="DQ96" s="1114" t="n">
        <v>0</v>
      </c>
      <c r="DR96" s="1109" t="n">
        <v>0</v>
      </c>
      <c r="DS96" s="852" t="n">
        <v>0</v>
      </c>
      <c r="DT96" s="852" t="n">
        <v>0</v>
      </c>
      <c r="DU96" s="852" t="n">
        <v>0</v>
      </c>
      <c r="DV96" s="852" t="n">
        <v>0</v>
      </c>
      <c r="DW96" s="852" t="n">
        <v>0</v>
      </c>
      <c r="DX96" s="852" t="n">
        <v>0</v>
      </c>
      <c r="DY96" s="852" t="n">
        <v>0</v>
      </c>
      <c r="DZ96" s="852" t="n">
        <v>0</v>
      </c>
      <c r="EA96" s="852" t="n">
        <v>0</v>
      </c>
      <c r="EB96" s="1113" t="n">
        <v>0</v>
      </c>
      <c r="EC96" s="1115" t="n">
        <f aca="false">DS96*BD96</f>
        <v>0</v>
      </c>
      <c r="ED96" s="1115" t="n">
        <f aca="false">DT96*BE96</f>
        <v>0</v>
      </c>
      <c r="EE96" s="1115" t="n">
        <f aca="false">DU96*BF96</f>
        <v>0</v>
      </c>
      <c r="EF96" s="1115" t="n">
        <f aca="false">DV96*BG96</f>
        <v>0</v>
      </c>
      <c r="EG96" s="1115" t="n">
        <f aca="false">DS96*BD96+DT96*BE96+DU96*BF96+DV96*BG96</f>
        <v>0</v>
      </c>
      <c r="EH96" s="1116" t="n">
        <v>0</v>
      </c>
      <c r="EI96" s="1117" t="n">
        <v>0</v>
      </c>
      <c r="EJ96" s="1117" t="n">
        <v>0</v>
      </c>
      <c r="EK96" s="1117" t="n">
        <v>0</v>
      </c>
      <c r="EL96" s="1118" t="n">
        <f aca="false">IF(C96&gt;=Summary!$E$26,MAX(0,SUM(EH96:EK96)),0)</f>
        <v>0</v>
      </c>
      <c r="EM96" s="1115" t="n">
        <f aca="false">IF(C96&gt;=Summary!$E$26,DX96*BL96,0)</f>
        <v>0</v>
      </c>
      <c r="EN96" s="1115" t="n">
        <f aca="false">IF(C96&gt;=Summary!$E$26,DY96*BM96,0)</f>
        <v>0</v>
      </c>
      <c r="EO96" s="1115" t="n">
        <f aca="false">IF(C96&gt;=Summary!$E$26,DZ96*BN96,0)</f>
        <v>0</v>
      </c>
      <c r="EP96" s="1115" t="n">
        <f aca="false">IF(C96&gt;=Summary!$E$26,EA96*BO96,0)</f>
        <v>0</v>
      </c>
      <c r="EQ96" s="1115" t="n">
        <f aca="false">IF(C96&gt;=Summary!$E$26,DX96*BL96+DY96*BM96+DZ96*BN96+EA96*BO96,0)</f>
        <v>0</v>
      </c>
      <c r="ER96" s="1119" t="n">
        <v>0</v>
      </c>
      <c r="ES96" s="1120" t="n">
        <v>0</v>
      </c>
      <c r="ET96" s="1120" t="n">
        <v>0</v>
      </c>
      <c r="EU96" s="1120" t="n">
        <v>0</v>
      </c>
      <c r="EV96" s="1143" t="n">
        <f aca="false">IF(C96&gt;=Summary!$E$26,MAX(0,SUM(ER96:EU96)),0)</f>
        <v>0</v>
      </c>
      <c r="EW96" s="1115"/>
      <c r="EX96" s="1165" t="n">
        <f aca="false">(EQ96-EV96)+IF(EZ96="Yes",(EG96-EL96),0)</f>
        <v>0</v>
      </c>
      <c r="EY96" s="1166" t="str">
        <f aca="false">IF(EX96,EX96/EQ96,"")</f>
        <v/>
      </c>
      <c r="EZ96" s="1122" t="s">
        <v>37</v>
      </c>
      <c r="FA96" s="1096" t="n">
        <f aca="false">FA95</f>
        <v>45</v>
      </c>
      <c r="FB96" s="1167" t="n">
        <f aca="false">IF(EZ96="No",IF((OR(MONTH(C96)=5,MONTH(C96)=6,MONTH(C96)=7,MONTH(C96)=8,MONTH(C96)=9)),$FA96*12*AX96*(1-$BC96),$FA96*10*AX96*(1-$BC96)),0)</f>
        <v>12233.7</v>
      </c>
      <c r="FC96" s="1129" t="n">
        <f aca="false">IF(EZ96="No",IF((OR(MONTH(C96)=5,MONTH(C96)=6,MONTH(C96)=7,MONTH(C96)=8,MONTH(C96)=9)),0,$FA96*3*AX96*(1-$BC96)),0)</f>
        <v>0</v>
      </c>
      <c r="FD96" s="1129" t="n">
        <f aca="false">IF(EZ96="No",IF((OR(MONTH(C96)=5,MONTH(C96)=6,MONTH(C96)=7,MONTH(C96)=8,MONTH(C96)=9)),$FA96*12*AY96*(1-$BC96),$FA96*10*AY96*(1-$BC96)),0)</f>
        <v>2127.6</v>
      </c>
      <c r="FE96" s="1129" t="n">
        <f aca="false">IF(EZ96="No",IF((OR(MONTH(C96)=5,MONTH(C96)=6,MONTH(C96)=7,MONTH(C96)=8,MONTH(C96)=9)),0,$FA96*3*AY96*(1-$BC96)),0)</f>
        <v>0</v>
      </c>
      <c r="FF96" s="1129" t="n">
        <f aca="false">IF(EZ96="No",IF((OR(MONTH(C96)=5,MONTH(C96)=6,MONTH(C96)=7,MONTH(C96)=8,MONTH(C96)=9)),$FA96*12*(AZ96+BA96)*(1-$BC96),$FA96*10*(AZ96+BA96)*(1-$BC96)),0)</f>
        <v>2127.6</v>
      </c>
      <c r="FG96" s="1129" t="n">
        <f aca="false">IF(EZ96="No",IF((OR(MONTH(C96)=5,MONTH(C96)=6,MONTH(C96)=7,MONTH(C96)=8,MONTH(C96)=9)),0,$FA96*3*(AZ96+BA96)*(1-$BC96)),0)</f>
        <v>0</v>
      </c>
      <c r="FH96" s="1170" t="n">
        <f aca="false">IF(EZ96="No",IF((OR(MONTH(C96)=5,MONTH(C96)=6,MONTH(C96)=7,MONTH(C96)=8,MONTH(C96)=9)),Summary!$O$15*12*(AX96+AY96+AZ96+BA96)*(1-$BC96),Summary!$O$15*13*(AX96+AY96+AZ96+BA96)*(1-$BC96)+IF(Summary!$O$16="Yes",(CALC!FA96+Summary!$O$15)*6*(AX96+AY96+AZ96+BA96)*(1-$BC96),0)),0)</f>
        <v>0</v>
      </c>
      <c r="FI96" s="1126" t="n">
        <f aca="false">IF(MONTH(C96)=5,FI95*(IF(Summary!$E$70="no",(1+(Summary!$E$71*0.8)),1+HLOOKUP(YEAR(C96)-1,CCFMODEL!$I$127:$AF$128,2)*0.8)),+FI95)</f>
        <v>31.4067767844223</v>
      </c>
      <c r="FJ96" s="1127" t="n">
        <f aca="false">IF(MONTH(C96)=5,FJ95*(IF(Summary!$E$70="no",(1+(Summary!$E$71*0.8)),1+HLOOKUP(YEAR(CALC!C96)-1,CCFMODEL!$I$127:$AF$128,2)*0.8)),FJ95)</f>
        <v>27.4500175044951</v>
      </c>
      <c r="FK96" s="1128" t="n">
        <f aca="false">SUM(FB96:FG96)*FI96+FH96*FJ96</f>
        <v>517863.201720661</v>
      </c>
      <c r="FL96" s="1126" t="n">
        <f aca="false">IF(MONTH(C96)=5,FL95*(IF(Summary!$E$70="no",(1+(Summary!$E$71*0.8)),1+HLOOKUP(YEAR(CALC!C96)-1,CCFMODEL!$I$127:$AF$128,2)*0.8)),+FL95)</f>
        <v>66.0519726223564</v>
      </c>
      <c r="FM96" s="1127" t="n">
        <f aca="false">IF(MONTH(C96)=5,FM95*(IF(Summary!$E$70="no",(1+(Summary!$E$71*0.8)),1+HLOOKUP(YEAR(CALC!C96)-1,CCFMODEL!$I$127:$AF$128,2)*0.8)),+FM95)</f>
        <v>31.5245374772773</v>
      </c>
      <c r="FN96" s="1128" t="n">
        <f aca="false">IF((OR(MONTH(C96)=5,MONTH(C96)=6,MONTH(C96)=7,MONTH(C96)=8,MONTH(C96)=9)),SUM(FB96:FG96)/(1-BC96)*FL96,SUM(FB96:FG96)/(1-BC96)*FM96)</f>
        <v>1105710.02169825</v>
      </c>
      <c r="FO96" s="1129" t="n">
        <f aca="false">FK96+FN96</f>
        <v>1623573.22341891</v>
      </c>
      <c r="FP96" s="1169" t="n">
        <f aca="false">FB96</f>
        <v>12233.7</v>
      </c>
      <c r="FQ96" s="1129" t="n">
        <f aca="false">FC96</f>
        <v>0</v>
      </c>
      <c r="FR96" s="1129" t="n">
        <f aca="false">FD96</f>
        <v>2127.6</v>
      </c>
      <c r="FS96" s="1129" t="n">
        <f aca="false">FE96</f>
        <v>0</v>
      </c>
      <c r="FT96" s="1129" t="n">
        <f aca="false">FF96</f>
        <v>2127.6</v>
      </c>
      <c r="FU96" s="1129" t="n">
        <f aca="false">FG96</f>
        <v>0</v>
      </c>
      <c r="FV96" s="1170" t="n">
        <f aca="false">FH96</f>
        <v>0</v>
      </c>
      <c r="FW96" s="1115" t="n">
        <f aca="false">IF(ER96&gt;0,MIN(FB96-FP96,BL96),0)</f>
        <v>0</v>
      </c>
      <c r="FX96" s="1115" t="n">
        <f aca="false">IF(ES96&gt;0,MIN(FD96-FR96,BM96),0)</f>
        <v>0</v>
      </c>
      <c r="FY96" s="1115" t="n">
        <f aca="false">IF(ET96&gt;0,MIN(FF96-FT96,BN96),0)</f>
        <v>0</v>
      </c>
      <c r="FZ96" s="1143" t="n">
        <f aca="false">IF(EU96&gt;0,MIN(FH96-FV96,BO96),0)</f>
        <v>0</v>
      </c>
      <c r="GA96" s="1132" t="n">
        <f aca="false">(SUM(FP96:FV96)+SUM(GU96:HB96)/(1-Summary!$O$25))*CY96/1000</f>
        <v>204708.774342758</v>
      </c>
      <c r="GB96" s="1133" t="n">
        <f aca="false">IF($C96&lt;Summary!$M$81,+Summary!$O$81,VLOOKUP(C96,GasTable,19))</f>
        <v>2.4</v>
      </c>
      <c r="GC96" s="1134" t="n">
        <f aca="false">IF(H96&lt;=Summary!$N$84,MIN(GA96,Summary!$O$75*(H96-G96+1)),0)</f>
        <v>155000</v>
      </c>
      <c r="GD96" s="1135" t="n">
        <f aca="false">IF(Summary!$O$75*(H96-G96+1)*0.8&gt;GC96,1,0)</f>
        <v>0</v>
      </c>
      <c r="GE96" s="1136" t="n">
        <v>0</v>
      </c>
      <c r="GF96" s="1134" t="n">
        <f aca="false">ABS(MIN(0,GC96-$GA96))</f>
        <v>49708.7743427584</v>
      </c>
      <c r="GG96" s="1135" t="n">
        <f aca="false">GF96*(IF(Summary!$O$74=1,VLOOKUP($C96,GasTable,16)+Summary!$O$92+Summary!$O$93,VLOOKUP($C96,GasTable,19)+Summary!$O$92+Summary!$O$93))</f>
        <v>144640.224492841</v>
      </c>
      <c r="GH96" s="1137" t="n">
        <v>18624.8</v>
      </c>
      <c r="GI96" s="1138" t="n">
        <v>0</v>
      </c>
      <c r="GJ96" s="1139" t="n">
        <f aca="false">+GB96*GC96+GE96+GG96+GH96-GI96</f>
        <v>535265.024492841</v>
      </c>
      <c r="GK96" s="1115" t="n">
        <f aca="false">SUM(FP96:FV96,GU96:GX96,GY96:HB96)</f>
        <v>26035.9731</v>
      </c>
      <c r="GL96" s="1140" t="n">
        <v>0.761967203712</v>
      </c>
      <c r="GM96" s="1141" t="n">
        <f aca="false">IF(GK96&gt;GC96/(CY96/1000),GC96/(CY96/1000),+GK96)*GL96</f>
        <v>15221</v>
      </c>
      <c r="GN96" s="1115" t="n">
        <f aca="false">IF(SUM(GU96:HB96)=0,0,IF(Summary!$O$16="Yes",SUM(GX96:HB96),IF(Summary!$O$17="Yes",SUM(GY96:HB96),SUM(GU96:HB96))))</f>
        <v>9547.0731</v>
      </c>
      <c r="GO96" s="1142" t="n">
        <v>2.84127794457643</v>
      </c>
      <c r="GP96" s="1143" t="n">
        <f aca="false">GN96*GO96</f>
        <v>27125.888234289</v>
      </c>
      <c r="GQ96" s="1115"/>
      <c r="GR96" s="1115"/>
      <c r="GS96" s="1115"/>
      <c r="GT96" s="1115"/>
      <c r="GU96" s="1150" t="n">
        <v>3935.1735</v>
      </c>
      <c r="GV96" s="1115" t="n">
        <v>684.378</v>
      </c>
      <c r="GW96" s="1115" t="n">
        <v>684.378</v>
      </c>
      <c r="GX96" s="1115"/>
      <c r="GY96" s="1151" t="n">
        <v>3148.1388</v>
      </c>
      <c r="GZ96" s="1115" t="n">
        <v>547.5024</v>
      </c>
      <c r="HA96" s="1115" t="n">
        <v>547.5024</v>
      </c>
      <c r="HB96" s="1141"/>
      <c r="HC96" s="1115" t="n">
        <v>9547.0731</v>
      </c>
      <c r="HD96" s="1115"/>
      <c r="HE96" s="1115" t="n">
        <v>22276.5039</v>
      </c>
      <c r="HF96" s="1115" t="n">
        <v>540652.804942487</v>
      </c>
      <c r="HG96" s="1115"/>
      <c r="HH96" s="1142" t="n">
        <v>59.6261501271985</v>
      </c>
      <c r="HI96" s="1115" t="n">
        <v>1328262.16585052</v>
      </c>
      <c r="HJ96" s="1150" t="n">
        <f aca="false">MAX(FB96-FP96-FW96,0)</f>
        <v>0</v>
      </c>
      <c r="HK96" s="1115" t="n">
        <f aca="false">MAX(FD96-FR96-FX96,0)</f>
        <v>0</v>
      </c>
      <c r="HL96" s="1115" t="n">
        <f aca="false">MAX(FF96-FT96-FY96,0)</f>
        <v>0</v>
      </c>
      <c r="HM96" s="1141" t="n">
        <f aca="false">MAX(FH96-FV96-FZ96,0)</f>
        <v>0</v>
      </c>
      <c r="HN96" s="1115" t="n">
        <f aca="false">SUM(HJ96:HM96)</f>
        <v>0</v>
      </c>
      <c r="HO96" s="1142" t="n">
        <f aca="false">IF(ISERROR(+HP96/HN96),0,+HP96/HN96)</f>
        <v>0</v>
      </c>
      <c r="HP96" s="1143" t="n">
        <f aca="false">(HJ96*CE96+HK96*CF96+HL96*CG96+HM96*CH96)</f>
        <v>0</v>
      </c>
      <c r="HQ96" s="1146"/>
      <c r="HR96" s="1150"/>
      <c r="HS96" s="1110"/>
      <c r="HT96" s="1141"/>
      <c r="HU96" s="1151"/>
      <c r="HV96" s="1142"/>
      <c r="HW96" s="1115"/>
      <c r="HX96" s="1149"/>
      <c r="HY96" s="1143"/>
      <c r="HZ96" s="1150"/>
      <c r="IA96" s="1142"/>
      <c r="IB96" s="1141"/>
      <c r="IC96" s="1151"/>
      <c r="ID96" s="1142"/>
      <c r="IE96" s="1141"/>
      <c r="IF96" s="1115"/>
      <c r="IG96" s="1142"/>
      <c r="IH96" s="1141"/>
      <c r="II96" s="1115"/>
      <c r="IJ96" s="1142"/>
      <c r="IK96" s="1115"/>
      <c r="IL96" s="1152"/>
      <c r="IM96" s="1192"/>
      <c r="IN96" s="1151"/>
      <c r="IO96" s="1151"/>
      <c r="IP96" s="1151"/>
      <c r="IQ96" s="1151"/>
      <c r="IR96" s="844"/>
    </row>
    <row r="97" customFormat="false" ht="13.5" hidden="false" customHeight="false" outlineLevel="0" collapsed="false">
      <c r="A97" s="0" t="str">
        <f aca="false">+D97&amp;"Q"&amp;ROUNDUP(E97/3,0)</f>
        <v>2006Q3</v>
      </c>
      <c r="B97" s="0" t="n">
        <f aca="false">YEAR(C97)</f>
        <v>2006</v>
      </c>
      <c r="C97" s="1153" t="n">
        <f aca="false">EOMONTH(C96,0)+1</f>
        <v>38961</v>
      </c>
      <c r="D97" s="841" t="n">
        <f aca="false">+YEAR(C97)</f>
        <v>2006</v>
      </c>
      <c r="E97" s="807" t="n">
        <f aca="false">MONTH(C97)</f>
        <v>9</v>
      </c>
      <c r="F97" s="1154" t="e">
        <f aca="false">IF(G97="","",Holiday(D97,E97))</f>
        <v>#VALUE!</v>
      </c>
      <c r="G97" s="1155" t="n">
        <v>38961</v>
      </c>
      <c r="H97" s="1156" t="n">
        <v>38990</v>
      </c>
      <c r="I97" s="1157" t="n">
        <f aca="false">I96</f>
        <v>0.0715</v>
      </c>
      <c r="J97" s="1158" t="n">
        <f aca="false">(1+I97/2)^(-2*(DATE(D98,E98,20)-$H$7)/365.25)</f>
        <v>0.618141204520833</v>
      </c>
      <c r="K97" s="1159"/>
      <c r="L97" s="1158"/>
      <c r="M97" s="1082" t="n">
        <v>0</v>
      </c>
      <c r="N97" s="1110" t="n">
        <f aca="false">M97</f>
        <v>0</v>
      </c>
      <c r="O97" s="1174" t="n">
        <f aca="false">N97</f>
        <v>0</v>
      </c>
      <c r="P97" s="1175" t="n">
        <f aca="false">M97</f>
        <v>0</v>
      </c>
      <c r="Q97" s="1110" t="n">
        <f aca="false">P97</f>
        <v>0</v>
      </c>
      <c r="R97" s="1174" t="n">
        <f aca="false">Q97</f>
        <v>0</v>
      </c>
      <c r="S97" s="1110" t="n">
        <f aca="false">R97</f>
        <v>0</v>
      </c>
      <c r="T97" s="1110" t="n">
        <f aca="false">S97</f>
        <v>0</v>
      </c>
      <c r="U97" s="1110" t="n">
        <f aca="false">T97</f>
        <v>0</v>
      </c>
      <c r="V97" s="1175" t="n">
        <f aca="false">U97</f>
        <v>0</v>
      </c>
      <c r="W97" s="1110" t="n">
        <f aca="false">V97</f>
        <v>0</v>
      </c>
      <c r="X97" s="1176" t="n">
        <f aca="false">W97</f>
        <v>0</v>
      </c>
      <c r="Y97" s="1086" t="n">
        <v>0</v>
      </c>
      <c r="Z97" s="1086" t="n">
        <v>0</v>
      </c>
      <c r="AA97" s="1087" t="n">
        <v>0</v>
      </c>
      <c r="AB97" s="1086" t="n">
        <v>0</v>
      </c>
      <c r="AC97" s="1086" t="n">
        <v>0</v>
      </c>
      <c r="AD97" s="1087" t="n">
        <v>0</v>
      </c>
      <c r="AE97" s="1086" t="n">
        <v>0</v>
      </c>
      <c r="AF97" s="1086" t="n">
        <v>0</v>
      </c>
      <c r="AG97" s="1087" t="n">
        <v>0</v>
      </c>
      <c r="AH97" s="1086" t="n">
        <v>0</v>
      </c>
      <c r="AI97" s="1086" t="n">
        <v>0</v>
      </c>
      <c r="AJ97" s="1087" t="n">
        <v>0</v>
      </c>
      <c r="AK97" s="1086" t="n">
        <v>0</v>
      </c>
      <c r="AL97" s="1086" t="n">
        <v>0</v>
      </c>
      <c r="AM97" s="1087" t="n">
        <v>0</v>
      </c>
      <c r="AN97" s="1086" t="n">
        <v>0</v>
      </c>
      <c r="AO97" s="1086" t="n">
        <v>0</v>
      </c>
      <c r="AP97" s="1087" t="n">
        <v>0</v>
      </c>
      <c r="AQ97" s="1086" t="n">
        <v>0</v>
      </c>
      <c r="AR97" s="1086" t="n">
        <v>0</v>
      </c>
      <c r="AS97" s="1087" t="n">
        <v>0</v>
      </c>
      <c r="AT97" s="1086" t="n">
        <v>0</v>
      </c>
      <c r="AU97" s="1086" t="n">
        <v>0</v>
      </c>
      <c r="AV97" s="1086" t="n">
        <v>0</v>
      </c>
      <c r="AW97" s="1172" t="n">
        <v>0</v>
      </c>
      <c r="AX97" s="807" t="e">
        <f aca="false">BB97-SUM(AY97:BA97)</f>
        <v>#VALUE!</v>
      </c>
      <c r="AY97" s="807" t="e">
        <f aca="false">IF(AND($E97=MONTH(Summary!$E$24),$D97=YEAR(Summary!$E$24)),Summary!$E$25,1)*IF(G97="",0,INT((H97-MOD(H97,7)-G97)/7)+1-IF(BA97,IF(WEEKDAY(F97)=7,1,0),0))</f>
        <v>#VALUE!</v>
      </c>
      <c r="AZ97" s="807" t="e">
        <f aca="false">IF(AND($E97=MONTH(Summary!$E$24),$D97=YEAR(Summary!$E$24)),Summary!$E$25,1)*IF(G97="",0,INT((H97-MOD(H97-1,7)-G97)/7)+1-IF(BA97,IF(WEEKDAY(F97)=1,1,0),0))</f>
        <v>#VALUE!</v>
      </c>
      <c r="BA97" s="807" t="n">
        <v>1</v>
      </c>
      <c r="BB97" s="807" t="n">
        <f aca="false">IF(AND($E97=MONTH(Summary!$E$24),$D97=YEAR(Summary!$E$24)),Summary!$E$25,1)*IF(G97="",0,H97-G97+1)</f>
        <v>30</v>
      </c>
      <c r="BC97" s="1089" t="n">
        <f aca="false">Summary!$E$19</f>
        <v>0.015</v>
      </c>
      <c r="BD97" s="1090" t="n">
        <v>14184</v>
      </c>
      <c r="BE97" s="1091" t="n">
        <v>3546</v>
      </c>
      <c r="BF97" s="1091" t="n">
        <v>3546</v>
      </c>
      <c r="BG97" s="842"/>
      <c r="BH97" s="1092" t="n">
        <v>1</v>
      </c>
      <c r="BI97" s="1092" t="n">
        <v>1</v>
      </c>
      <c r="BJ97" s="1092" t="n">
        <v>1</v>
      </c>
      <c r="BK97" s="1092" t="n">
        <v>1</v>
      </c>
      <c r="BL97" s="1093" t="n">
        <v>2836.8</v>
      </c>
      <c r="BM97" s="1091" t="n">
        <v>709.2</v>
      </c>
      <c r="BN97" s="1091" t="n">
        <v>709.2</v>
      </c>
      <c r="BO97" s="842"/>
      <c r="BP97" s="1092" t="n">
        <v>1</v>
      </c>
      <c r="BQ97" s="1094" t="n">
        <v>1</v>
      </c>
      <c r="BR97" s="1094" t="n">
        <v>1</v>
      </c>
      <c r="BS97" s="1095" t="n">
        <v>1</v>
      </c>
      <c r="BT97" s="1093" t="n">
        <f aca="false">SUM(BD97:BF97)</f>
        <v>21276</v>
      </c>
      <c r="BU97" s="1098" t="n">
        <f aca="false">SUM(BD97:BG97)</f>
        <v>21276</v>
      </c>
      <c r="BV97" s="1090" t="n">
        <f aca="false">SUM(BL97:BN97)</f>
        <v>4255.2</v>
      </c>
      <c r="BW97" s="1098" t="n">
        <f aca="false">SUM(BL97:BO97)</f>
        <v>4255.2</v>
      </c>
      <c r="BX97" s="852" t="n">
        <v>6.71321013004791</v>
      </c>
      <c r="BY97" s="1099" t="n">
        <v>0</v>
      </c>
      <c r="BZ97" s="852" t="n">
        <v>0</v>
      </c>
      <c r="CA97" s="852" t="n">
        <v>0</v>
      </c>
      <c r="CB97" s="852" t="n">
        <v>0</v>
      </c>
      <c r="CC97" s="852" t="n">
        <v>0</v>
      </c>
      <c r="CD97" s="852" t="n">
        <v>0</v>
      </c>
      <c r="CE97" s="1100" t="n">
        <v>0</v>
      </c>
      <c r="CF97" s="852" t="n">
        <v>0</v>
      </c>
      <c r="CG97" s="852" t="n">
        <v>0</v>
      </c>
      <c r="CH97" s="852" t="n">
        <v>0</v>
      </c>
      <c r="CI97" s="852" t="n">
        <v>0</v>
      </c>
      <c r="CJ97" s="1101" t="n">
        <v>0</v>
      </c>
      <c r="CK97" s="852" t="n">
        <v>0</v>
      </c>
      <c r="CL97" s="852" t="n">
        <v>0</v>
      </c>
      <c r="CM97" s="852" t="n">
        <v>0</v>
      </c>
      <c r="CN97" s="852" t="n">
        <v>0</v>
      </c>
      <c r="CO97" s="852" t="n">
        <v>0</v>
      </c>
      <c r="CP97" s="852" t="n">
        <v>0</v>
      </c>
      <c r="CQ97" s="1102" t="n">
        <v>0</v>
      </c>
      <c r="CR97" s="1103" t="n">
        <v>0</v>
      </c>
      <c r="CS97" s="1103" t="n">
        <v>0</v>
      </c>
      <c r="CT97" s="1103" t="n">
        <v>0</v>
      </c>
      <c r="CU97" s="1103" t="n">
        <v>0</v>
      </c>
      <c r="CV97" s="1103" t="n">
        <v>0</v>
      </c>
      <c r="CW97" s="1103" t="n">
        <v>0</v>
      </c>
      <c r="CX97" s="1104" t="n">
        <v>0</v>
      </c>
      <c r="CY97" s="1105" t="n">
        <v>7760.64304</v>
      </c>
      <c r="CZ97" s="1099" t="n">
        <v>0</v>
      </c>
      <c r="DA97" s="852" t="n">
        <v>0</v>
      </c>
      <c r="DB97" s="852" t="n">
        <v>0</v>
      </c>
      <c r="DC97" s="852" t="n">
        <v>0</v>
      </c>
      <c r="DD97" s="852" t="n">
        <v>0</v>
      </c>
      <c r="DE97" s="1113" t="n">
        <v>0</v>
      </c>
      <c r="DF97" s="1109" t="n">
        <v>0</v>
      </c>
      <c r="DG97" s="1110" t="n">
        <v>0</v>
      </c>
      <c r="DH97" s="1111" t="n">
        <v>0</v>
      </c>
      <c r="DI97" s="1112" t="n">
        <v>0</v>
      </c>
      <c r="DJ97" s="1112" t="n">
        <v>0</v>
      </c>
      <c r="DK97" s="1112" t="n">
        <v>0</v>
      </c>
      <c r="DL97" s="1113" t="n">
        <v>0</v>
      </c>
      <c r="DM97" s="1114" t="n">
        <v>0</v>
      </c>
      <c r="DN97" s="1114" t="n">
        <v>0</v>
      </c>
      <c r="DO97" s="1114" t="n">
        <v>0</v>
      </c>
      <c r="DP97" s="1114" t="n">
        <v>0</v>
      </c>
      <c r="DQ97" s="1114" t="n">
        <v>0</v>
      </c>
      <c r="DR97" s="1109" t="n">
        <v>0</v>
      </c>
      <c r="DS97" s="852" t="n">
        <v>0</v>
      </c>
      <c r="DT97" s="852" t="n">
        <v>0</v>
      </c>
      <c r="DU97" s="852" t="n">
        <v>0</v>
      </c>
      <c r="DV97" s="852" t="n">
        <v>0</v>
      </c>
      <c r="DW97" s="852" t="n">
        <v>0</v>
      </c>
      <c r="DX97" s="852" t="n">
        <v>0</v>
      </c>
      <c r="DY97" s="852" t="n">
        <v>0</v>
      </c>
      <c r="DZ97" s="852" t="n">
        <v>0</v>
      </c>
      <c r="EA97" s="852" t="n">
        <v>0</v>
      </c>
      <c r="EB97" s="1113" t="n">
        <v>0</v>
      </c>
      <c r="EC97" s="1115" t="n">
        <f aca="false">DS97*BD97</f>
        <v>0</v>
      </c>
      <c r="ED97" s="1115" t="n">
        <f aca="false">DT97*BE97</f>
        <v>0</v>
      </c>
      <c r="EE97" s="1115" t="n">
        <f aca="false">DU97*BF97</f>
        <v>0</v>
      </c>
      <c r="EF97" s="1115" t="n">
        <f aca="false">DV97*BG97</f>
        <v>0</v>
      </c>
      <c r="EG97" s="1115" t="n">
        <f aca="false">DS97*BD97+DT97*BE97+DU97*BF97+DV97*BG97</f>
        <v>0</v>
      </c>
      <c r="EH97" s="1116" t="n">
        <v>0</v>
      </c>
      <c r="EI97" s="1117" t="n">
        <v>0</v>
      </c>
      <c r="EJ97" s="1117" t="n">
        <v>0</v>
      </c>
      <c r="EK97" s="1117" t="n">
        <v>0</v>
      </c>
      <c r="EL97" s="1118" t="n">
        <f aca="false">IF(C97&gt;=Summary!$E$26,MAX(0,SUM(EH97:EK97)),0)</f>
        <v>0</v>
      </c>
      <c r="EM97" s="1115" t="n">
        <f aca="false">IF(C97&gt;=Summary!$E$26,DX97*BL97,0)</f>
        <v>0</v>
      </c>
      <c r="EN97" s="1115" t="n">
        <f aca="false">IF(C97&gt;=Summary!$E$26,DY97*BM97,0)</f>
        <v>0</v>
      </c>
      <c r="EO97" s="1115" t="n">
        <f aca="false">IF(C97&gt;=Summary!$E$26,DZ97*BN97,0)</f>
        <v>0</v>
      </c>
      <c r="EP97" s="1115" t="n">
        <f aca="false">IF(C97&gt;=Summary!$E$26,EA97*BO97,0)</f>
        <v>0</v>
      </c>
      <c r="EQ97" s="1115" t="n">
        <f aca="false">IF(C97&gt;=Summary!$E$26,DX97*BL97+DY97*BM97+DZ97*BN97+EA97*BO97,0)</f>
        <v>0</v>
      </c>
      <c r="ER97" s="1119" t="n">
        <v>0</v>
      </c>
      <c r="ES97" s="1120" t="n">
        <v>0</v>
      </c>
      <c r="ET97" s="1120" t="n">
        <v>0</v>
      </c>
      <c r="EU97" s="1120" t="n">
        <v>0</v>
      </c>
      <c r="EV97" s="1143" t="n">
        <f aca="false">IF(C97&gt;=Summary!$E$26,MAX(0,SUM(ER97:EU97)),0)</f>
        <v>0</v>
      </c>
      <c r="EW97" s="1115"/>
      <c r="EX97" s="1165" t="n">
        <f aca="false">(EQ97-EV97)+IF(EZ97="Yes",(EG97-EL97),0)</f>
        <v>0</v>
      </c>
      <c r="EY97" s="1166" t="str">
        <f aca="false">IF(EX97,EX97/EQ97,"")</f>
        <v/>
      </c>
      <c r="EZ97" s="1122" t="s">
        <v>37</v>
      </c>
      <c r="FA97" s="1096" t="n">
        <f aca="false">FA96</f>
        <v>45</v>
      </c>
      <c r="FB97" s="1167" t="e">
        <f aca="false">IF(EZ97="No",IF((OR(MONTH(C97)=5,MONTH(C97)=6,MONTH(C97)=7,MONTH(C97)=8,MONTH(C97)=9)),$FA97*12*AX97*(1-$BC97),$FA97*10*AX97*(1-$BC97)),0)</f>
        <v>#VALUE!</v>
      </c>
      <c r="FC97" s="1129" t="n">
        <f aca="false">IF(EZ97="No",IF((OR(MONTH(C97)=5,MONTH(C97)=6,MONTH(C97)=7,MONTH(C97)=8,MONTH(C97)=9)),0,$FA97*3*AX97*(1-$BC97)),0)</f>
        <v>0</v>
      </c>
      <c r="FD97" s="1129" t="e">
        <f aca="false">IF(EZ97="No",IF((OR(MONTH(C97)=5,MONTH(C97)=6,MONTH(C97)=7,MONTH(C97)=8,MONTH(C97)=9)),$FA97*12*AY97*(1-$BC97),$FA97*10*AY97*(1-$BC97)),0)</f>
        <v>#VALUE!</v>
      </c>
      <c r="FE97" s="1129" t="n">
        <f aca="false">IF(EZ97="No",IF((OR(MONTH(C97)=5,MONTH(C97)=6,MONTH(C97)=7,MONTH(C97)=8,MONTH(C97)=9)),0,$FA97*3*AY97*(1-$BC97)),0)</f>
        <v>0</v>
      </c>
      <c r="FF97" s="1129" t="e">
        <f aca="false">IF(EZ97="No",IF((OR(MONTH(C97)=5,MONTH(C97)=6,MONTH(C97)=7,MONTH(C97)=8,MONTH(C97)=9)),$FA97*12*(AZ97+BA97)*(1-$BC97),$FA97*10*(AZ97+BA97)*(1-$BC97)),0)</f>
        <v>#VALUE!</v>
      </c>
      <c r="FG97" s="1129" t="n">
        <f aca="false">IF(EZ97="No",IF((OR(MONTH(C97)=5,MONTH(C97)=6,MONTH(C97)=7,MONTH(C97)=8,MONTH(C97)=9)),0,$FA97*3*(AZ97+BA97)*(1-$BC97)),0)</f>
        <v>0</v>
      </c>
      <c r="FH97" s="1170" t="e">
        <f aca="false">IF(EZ97="No",IF((OR(MONTH(C97)=5,MONTH(C97)=6,MONTH(C97)=7,MONTH(C97)=8,MONTH(C97)=9)),Summary!$O$15*12*(AX97+AY97+AZ97+BA97)*(1-$BC97),Summary!$O$15*13*(AX97+AY97+AZ97+BA97)*(1-$BC97)+IF(Summary!$O$16="Yes",(CALC!FA97+Summary!$O$15)*6*(AX97+AY97+AZ97+BA97)*(1-$BC97),0)),0)</f>
        <v>#VALUE!</v>
      </c>
      <c r="FI97" s="1126" t="n">
        <f aca="false">IF(MONTH(C97)=5,FI96*(IF(Summary!$E$70="no",(1+(Summary!$E$71*0.8)),1+HLOOKUP(YEAR(C97)-1,CCFMODEL!$I$127:$AF$128,2)*0.8)),+FI96)</f>
        <v>31.4067767844223</v>
      </c>
      <c r="FJ97" s="1127" t="n">
        <f aca="false">IF(MONTH(C97)=5,FJ96*(IF(Summary!$E$70="no",(1+(Summary!$E$71*0.8)),1+HLOOKUP(YEAR(CALC!C97)-1,CCFMODEL!$I$127:$AF$128,2)*0.8)),FJ96)</f>
        <v>27.4500175044951</v>
      </c>
      <c r="FK97" s="1128" t="e">
        <f aca="false">SUM(FB97:FG97)*FI97+FH97*FJ97</f>
        <v>#VALUE!</v>
      </c>
      <c r="FL97" s="1126" t="n">
        <f aca="false">IF(MONTH(C97)=5,FL96*(IF(Summary!$E$70="no",(1+(Summary!$E$71*0.8)),1+HLOOKUP(YEAR(CALC!C97)-1,CCFMODEL!$I$127:$AF$128,2)*0.8)),+FL96)</f>
        <v>66.0519726223564</v>
      </c>
      <c r="FM97" s="1127" t="n">
        <f aca="false">IF(MONTH(C97)=5,FM96*(IF(Summary!$E$70="no",(1+(Summary!$E$71*0.8)),1+HLOOKUP(YEAR(CALC!C97)-1,CCFMODEL!$I$127:$AF$128,2)*0.8)),+FM96)</f>
        <v>31.5245374772773</v>
      </c>
      <c r="FN97" s="1128" t="e">
        <f aca="false">IF((OR(MONTH(C97)=5,MONTH(C97)=6,MONTH(C97)=7,MONTH(C97)=8,MONTH(C97)=9)),SUM(FB97:FG97)/(1-BC97)*FL97,SUM(FB97:FG97)/(1-BC97)*FM97)</f>
        <v>#VALUE!</v>
      </c>
      <c r="FO97" s="1129" t="e">
        <f aca="false">FK97+FN97</f>
        <v>#VALUE!</v>
      </c>
      <c r="FP97" s="1169" t="e">
        <f aca="false">FB97</f>
        <v>#VALUE!</v>
      </c>
      <c r="FQ97" s="1129" t="n">
        <f aca="false">FC97</f>
        <v>0</v>
      </c>
      <c r="FR97" s="1129" t="e">
        <f aca="false">FD97</f>
        <v>#VALUE!</v>
      </c>
      <c r="FS97" s="1129" t="n">
        <f aca="false">FE97</f>
        <v>0</v>
      </c>
      <c r="FT97" s="1129" t="e">
        <f aca="false">FF97</f>
        <v>#VALUE!</v>
      </c>
      <c r="FU97" s="1129" t="n">
        <f aca="false">FG97</f>
        <v>0</v>
      </c>
      <c r="FV97" s="1170" t="e">
        <f aca="false">FH97</f>
        <v>#VALUE!</v>
      </c>
      <c r="FW97" s="1115" t="n">
        <f aca="false">IF(ER97&gt;0,MIN(FB97-FP97,BL97),0)</f>
        <v>0</v>
      </c>
      <c r="FX97" s="1115" t="n">
        <f aca="false">IF(ES97&gt;0,MIN(FD97-FR97,BM97),0)</f>
        <v>0</v>
      </c>
      <c r="FY97" s="1115" t="n">
        <f aca="false">IF(ET97&gt;0,MIN(FF97-FT97,BN97),0)</f>
        <v>0</v>
      </c>
      <c r="FZ97" s="1143" t="n">
        <f aca="false">IF(EU97&gt;0,MIN(FH97-FV97,BO97),0)</f>
        <v>0</v>
      </c>
      <c r="GA97" s="1132" t="e">
        <f aca="false">(SUM(FP97:FV97)+SUM(GU97:HB97)/(1-Summary!$O$25))*CY97/1000</f>
        <v>#VALUE!</v>
      </c>
      <c r="GB97" s="1133" t="n">
        <f aca="false">IF($C97&lt;Summary!$M$81,+Summary!$O$81,VLOOKUP(C97,GasTable,19))</f>
        <v>2.4</v>
      </c>
      <c r="GC97" s="1134" t="e">
        <f aca="false">IF(H97&lt;=Summary!$N$84,MIN(GA97,Summary!$O$75*(H97-G97+1)),0)</f>
        <v>#VALUE!</v>
      </c>
      <c r="GD97" s="1135" t="e">
        <f aca="false">IF(Summary!$O$75*(H97-G97+1)*0.8&gt;GC97,1,0)</f>
        <v>#VALUE!</v>
      </c>
      <c r="GE97" s="1136" t="n">
        <v>0</v>
      </c>
      <c r="GF97" s="1134" t="e">
        <f aca="false">ABS(MIN(0,GC97-$GA97))</f>
        <v>#VALUE!</v>
      </c>
      <c r="GG97" s="1135" t="e">
        <f aca="false">GF97*(IF(Summary!$O$74=1,VLOOKUP($C97,GasTable,16)+Summary!$O$92+Summary!$O$93,VLOOKUP($C97,GasTable,19)+Summary!$O$92+Summary!$O$93))</f>
        <v>#VALUE!</v>
      </c>
      <c r="GH97" s="1137" t="n">
        <v>18186</v>
      </c>
      <c r="GI97" s="1138" t="n">
        <v>0</v>
      </c>
      <c r="GJ97" s="1139" t="e">
        <f aca="false">+GB97*GC97+GE97+GG97+GH97-GI97</f>
        <v>#VALUE!</v>
      </c>
      <c r="GK97" s="1115" t="e">
        <f aca="false">SUM(FP97:FV97,GU97:GX97,GY97:HB97)</f>
        <v>#VALUE!</v>
      </c>
      <c r="GL97" s="1140" t="n">
        <v>0.762095146528</v>
      </c>
      <c r="GM97" s="1141" t="e">
        <f aca="false">IF(GK97&gt;GC97/(CY97/1000),GC97/(CY97/1000),+GK97)*GL97</f>
        <v>#VALUE!</v>
      </c>
      <c r="GN97" s="1115" t="n">
        <f aca="false">IF(SUM(GU97:HB97)=0,0,IF(Summary!$O$16="Yes",SUM(GX97:HB97),IF(Summary!$O$17="Yes",SUM(GY97:HB97),SUM(GU97:HB97))))</f>
        <v>9239.103</v>
      </c>
      <c r="GO97" s="1142" t="n">
        <v>2.84127794457643</v>
      </c>
      <c r="GP97" s="1143" t="n">
        <f aca="false">GN97*GO97</f>
        <v>26250.85958157</v>
      </c>
      <c r="GQ97" s="1115"/>
      <c r="GR97" s="1115"/>
      <c r="GS97" s="1115"/>
      <c r="GT97" s="1115"/>
      <c r="GU97" s="1150" t="n">
        <v>3421.89</v>
      </c>
      <c r="GV97" s="1115" t="n">
        <v>855.4725</v>
      </c>
      <c r="GW97" s="1115" t="n">
        <v>855.4725</v>
      </c>
      <c r="GX97" s="1115"/>
      <c r="GY97" s="1151" t="n">
        <v>2737.512</v>
      </c>
      <c r="GZ97" s="1115" t="n">
        <v>684.378</v>
      </c>
      <c r="HA97" s="1115" t="n">
        <v>684.378</v>
      </c>
      <c r="HB97" s="1141"/>
      <c r="HC97" s="1115" t="n">
        <v>9239.103</v>
      </c>
      <c r="HD97" s="1115"/>
      <c r="HE97" s="1115" t="n">
        <v>21557.907</v>
      </c>
      <c r="HF97" s="1115" t="n">
        <v>433814.413910969</v>
      </c>
      <c r="HG97" s="1115"/>
      <c r="HH97" s="1142" t="n">
        <v>48.7356942925328</v>
      </c>
      <c r="HI97" s="1115" t="n">
        <v>1050639.56513885</v>
      </c>
      <c r="HJ97" s="1150" t="e">
        <f aca="false">MAX(FB97-FP97-FW97,0)</f>
        <v>#VALUE!</v>
      </c>
      <c r="HK97" s="1115" t="e">
        <f aca="false">MAX(FD97-FR97-FX97,0)</f>
        <v>#VALUE!</v>
      </c>
      <c r="HL97" s="1115" t="e">
        <f aca="false">MAX(FF97-FT97-FY97,0)</f>
        <v>#VALUE!</v>
      </c>
      <c r="HM97" s="1141" t="e">
        <f aca="false">MAX(FH97-FV97-FZ97,0)</f>
        <v>#VALUE!</v>
      </c>
      <c r="HN97" s="1115" t="e">
        <f aca="false">SUM(HJ97:HM97)</f>
        <v>#VALUE!</v>
      </c>
      <c r="HO97" s="1142" t="n">
        <f aca="false">IF(ISERROR(+HP97/HN97),0,+HP97/HN97)</f>
        <v>0</v>
      </c>
      <c r="HP97" s="1143" t="e">
        <f aca="false">(HJ97*CE97+HK97*CF97+HL97*CG97+HM97*CH97)</f>
        <v>#VALUE!</v>
      </c>
      <c r="HQ97" s="1146"/>
      <c r="HR97" s="1150"/>
      <c r="HS97" s="1110"/>
      <c r="HT97" s="1141"/>
      <c r="HU97" s="1151"/>
      <c r="HV97" s="1142"/>
      <c r="HW97" s="1115"/>
      <c r="HX97" s="1149"/>
      <c r="HY97" s="1143"/>
      <c r="HZ97" s="1150"/>
      <c r="IA97" s="1142"/>
      <c r="IB97" s="1141"/>
      <c r="IC97" s="1151"/>
      <c r="ID97" s="1142"/>
      <c r="IE97" s="1141"/>
      <c r="IF97" s="1115"/>
      <c r="IG97" s="1142"/>
      <c r="IH97" s="1141"/>
      <c r="II97" s="1115"/>
      <c r="IJ97" s="1142"/>
      <c r="IK97" s="1115"/>
      <c r="IL97" s="1152"/>
      <c r="IM97" s="1192"/>
      <c r="IN97" s="1151"/>
      <c r="IO97" s="1151"/>
      <c r="IP97" s="1151"/>
      <c r="IQ97" s="1151"/>
      <c r="IR97" s="844"/>
    </row>
    <row r="98" customFormat="false" ht="13.5" hidden="false" customHeight="false" outlineLevel="0" collapsed="false">
      <c r="A98" s="0" t="str">
        <f aca="false">+D98&amp;"Q"&amp;ROUNDUP(E98/3,0)</f>
        <v>2006Q4</v>
      </c>
      <c r="B98" s="0" t="n">
        <f aca="false">YEAR(C98)</f>
        <v>2006</v>
      </c>
      <c r="C98" s="1153" t="n">
        <f aca="false">EOMONTH(C97,0)+1</f>
        <v>38991</v>
      </c>
      <c r="D98" s="841" t="n">
        <f aca="false">+YEAR(C98)</f>
        <v>2006</v>
      </c>
      <c r="E98" s="807" t="n">
        <f aca="false">MONTH(C98)</f>
        <v>10</v>
      </c>
      <c r="F98" s="1154" t="e">
        <f aca="false">IF(G98="","",Holiday(D98,E98))</f>
        <v>#VALUE!</v>
      </c>
      <c r="G98" s="1155" t="n">
        <v>38991</v>
      </c>
      <c r="H98" s="1156" t="n">
        <v>39021</v>
      </c>
      <c r="I98" s="1157" t="n">
        <f aca="false">I97</f>
        <v>0.0715</v>
      </c>
      <c r="J98" s="1158" t="n">
        <f aca="false">(1+I98/2)^(-2*(DATE(D99,E99,20)-$H$7)/365.25)</f>
        <v>0.614466509401623</v>
      </c>
      <c r="K98" s="1159"/>
      <c r="L98" s="1158"/>
      <c r="M98" s="1082" t="n">
        <v>0</v>
      </c>
      <c r="N98" s="1110" t="n">
        <f aca="false">M98</f>
        <v>0</v>
      </c>
      <c r="O98" s="1174" t="n">
        <f aca="false">N98</f>
        <v>0</v>
      </c>
      <c r="P98" s="1175" t="n">
        <f aca="false">M98</f>
        <v>0</v>
      </c>
      <c r="Q98" s="1110" t="n">
        <f aca="false">P98</f>
        <v>0</v>
      </c>
      <c r="R98" s="1174" t="n">
        <f aca="false">Q98</f>
        <v>0</v>
      </c>
      <c r="S98" s="1110" t="n">
        <f aca="false">R98</f>
        <v>0</v>
      </c>
      <c r="T98" s="1110" t="n">
        <f aca="false">S98</f>
        <v>0</v>
      </c>
      <c r="U98" s="1110" t="n">
        <f aca="false">T98</f>
        <v>0</v>
      </c>
      <c r="V98" s="1175" t="n">
        <f aca="false">U98</f>
        <v>0</v>
      </c>
      <c r="W98" s="1110" t="n">
        <f aca="false">V98</f>
        <v>0</v>
      </c>
      <c r="X98" s="1176" t="n">
        <f aca="false">W98</f>
        <v>0</v>
      </c>
      <c r="Y98" s="1086" t="n">
        <v>0</v>
      </c>
      <c r="Z98" s="1086" t="n">
        <v>0</v>
      </c>
      <c r="AA98" s="1087" t="n">
        <v>0</v>
      </c>
      <c r="AB98" s="1086" t="n">
        <v>0</v>
      </c>
      <c r="AC98" s="1086" t="n">
        <v>0</v>
      </c>
      <c r="AD98" s="1087" t="n">
        <v>0</v>
      </c>
      <c r="AE98" s="1086" t="n">
        <v>0</v>
      </c>
      <c r="AF98" s="1086" t="n">
        <v>0</v>
      </c>
      <c r="AG98" s="1087" t="n">
        <v>0</v>
      </c>
      <c r="AH98" s="1086" t="n">
        <v>0</v>
      </c>
      <c r="AI98" s="1086" t="n">
        <v>0</v>
      </c>
      <c r="AJ98" s="1087" t="n">
        <v>0</v>
      </c>
      <c r="AK98" s="1086" t="n">
        <v>0</v>
      </c>
      <c r="AL98" s="1086" t="n">
        <v>0</v>
      </c>
      <c r="AM98" s="1087" t="n">
        <v>0</v>
      </c>
      <c r="AN98" s="1086" t="n">
        <v>0</v>
      </c>
      <c r="AO98" s="1086" t="n">
        <v>0</v>
      </c>
      <c r="AP98" s="1087" t="n">
        <v>0</v>
      </c>
      <c r="AQ98" s="1086" t="n">
        <v>0</v>
      </c>
      <c r="AR98" s="1086" t="n">
        <v>0</v>
      </c>
      <c r="AS98" s="1087" t="n">
        <v>0</v>
      </c>
      <c r="AT98" s="1086" t="n">
        <v>0</v>
      </c>
      <c r="AU98" s="1086" t="n">
        <v>0</v>
      </c>
      <c r="AV98" s="1086" t="n">
        <v>0</v>
      </c>
      <c r="AW98" s="1172" t="n">
        <v>0</v>
      </c>
      <c r="AX98" s="807" t="n">
        <f aca="false">BB98-SUM(AY98:BA98)</f>
        <v>22</v>
      </c>
      <c r="AY98" s="807" t="n">
        <f aca="false">IF(AND($E98=MONTH(Summary!$E$24),$D98=YEAR(Summary!$E$24)),Summary!$E$25,1)*IF(G98="",0,INT((H98-MOD(H98,7)-G98)/7)+1-IF(BA98,IF(WEEKDAY(F98)=7,1,0),0))</f>
        <v>4</v>
      </c>
      <c r="AZ98" s="807" t="n">
        <f aca="false">IF(AND($E98=MONTH(Summary!$E$24),$D98=YEAR(Summary!$E$24)),Summary!$E$25,1)*IF(G98="",0,INT((H98-MOD(H98-1,7)-G98)/7)+1-IF(BA98,IF(WEEKDAY(F98)=1,1,0),0))</f>
        <v>5</v>
      </c>
      <c r="BA98" s="807" t="n">
        <v>0</v>
      </c>
      <c r="BB98" s="807" t="n">
        <f aca="false">IF(AND($E98=MONTH(Summary!$E$24),$D98=YEAR(Summary!$E$24)),Summary!$E$25,1)*IF(G98="",0,H98-G98+1)</f>
        <v>31</v>
      </c>
      <c r="BC98" s="1089" t="n">
        <f aca="false">Summary!$E$19</f>
        <v>0.015</v>
      </c>
      <c r="BD98" s="1090" t="n">
        <v>15602.4</v>
      </c>
      <c r="BE98" s="1091" t="n">
        <v>2836.8</v>
      </c>
      <c r="BF98" s="1091" t="n">
        <v>3546</v>
      </c>
      <c r="BG98" s="842"/>
      <c r="BH98" s="1092" t="n">
        <v>1</v>
      </c>
      <c r="BI98" s="1092" t="n">
        <v>1</v>
      </c>
      <c r="BJ98" s="1092" t="n">
        <v>1</v>
      </c>
      <c r="BK98" s="1092" t="n">
        <v>1</v>
      </c>
      <c r="BL98" s="1093" t="n">
        <v>3120.48</v>
      </c>
      <c r="BM98" s="1091" t="n">
        <v>567.36</v>
      </c>
      <c r="BN98" s="1091" t="n">
        <v>709.2</v>
      </c>
      <c r="BO98" s="842"/>
      <c r="BP98" s="1092" t="n">
        <v>1</v>
      </c>
      <c r="BQ98" s="1094" t="n">
        <v>1</v>
      </c>
      <c r="BR98" s="1094" t="n">
        <v>1</v>
      </c>
      <c r="BS98" s="1095" t="n">
        <v>1</v>
      </c>
      <c r="BT98" s="1093" t="n">
        <f aca="false">SUM(BD98:BF98)</f>
        <v>21985.2</v>
      </c>
      <c r="BU98" s="1098" t="n">
        <f aca="false">SUM(BD98:BG98)</f>
        <v>21985.2</v>
      </c>
      <c r="BV98" s="1090" t="n">
        <f aca="false">SUM(BL98:BN98)</f>
        <v>4397.04</v>
      </c>
      <c r="BW98" s="1098" t="n">
        <f aca="false">SUM(BL98:BO98)</f>
        <v>4397.04</v>
      </c>
      <c r="BX98" s="852" t="n">
        <v>6.79534565366188</v>
      </c>
      <c r="BY98" s="1099" t="n">
        <v>0</v>
      </c>
      <c r="BZ98" s="852" t="n">
        <v>0</v>
      </c>
      <c r="CA98" s="852" t="n">
        <v>0</v>
      </c>
      <c r="CB98" s="852" t="n">
        <v>0</v>
      </c>
      <c r="CC98" s="852" t="n">
        <v>0</v>
      </c>
      <c r="CD98" s="852" t="n">
        <v>0</v>
      </c>
      <c r="CE98" s="1100" t="n">
        <v>0</v>
      </c>
      <c r="CF98" s="852" t="n">
        <v>0</v>
      </c>
      <c r="CG98" s="852" t="n">
        <v>0</v>
      </c>
      <c r="CH98" s="852" t="n">
        <v>0</v>
      </c>
      <c r="CI98" s="852" t="n">
        <v>0</v>
      </c>
      <c r="CJ98" s="1101" t="n">
        <v>0</v>
      </c>
      <c r="CK98" s="852" t="n">
        <v>0</v>
      </c>
      <c r="CL98" s="852" t="n">
        <v>0</v>
      </c>
      <c r="CM98" s="852" t="n">
        <v>0</v>
      </c>
      <c r="CN98" s="852" t="n">
        <v>0</v>
      </c>
      <c r="CO98" s="852" t="n">
        <v>0</v>
      </c>
      <c r="CP98" s="852" t="n">
        <v>0</v>
      </c>
      <c r="CQ98" s="1102" t="n">
        <v>0</v>
      </c>
      <c r="CR98" s="1103" t="n">
        <v>0</v>
      </c>
      <c r="CS98" s="1103" t="n">
        <v>0</v>
      </c>
      <c r="CT98" s="1103" t="n">
        <v>0</v>
      </c>
      <c r="CU98" s="1103" t="n">
        <v>0</v>
      </c>
      <c r="CV98" s="1103" t="n">
        <v>0</v>
      </c>
      <c r="CW98" s="1103" t="n">
        <v>0</v>
      </c>
      <c r="CX98" s="1104" t="n">
        <v>0</v>
      </c>
      <c r="CY98" s="1105" t="n">
        <v>7761.94592</v>
      </c>
      <c r="CZ98" s="1099" t="n">
        <v>0</v>
      </c>
      <c r="DA98" s="852" t="n">
        <v>0</v>
      </c>
      <c r="DB98" s="852" t="n">
        <v>0</v>
      </c>
      <c r="DC98" s="852" t="n">
        <v>0</v>
      </c>
      <c r="DD98" s="852" t="n">
        <v>0</v>
      </c>
      <c r="DE98" s="1113" t="n">
        <v>0</v>
      </c>
      <c r="DF98" s="1109" t="n">
        <v>0</v>
      </c>
      <c r="DG98" s="1110" t="n">
        <v>0</v>
      </c>
      <c r="DH98" s="1111" t="n">
        <v>0</v>
      </c>
      <c r="DI98" s="1112" t="n">
        <v>0</v>
      </c>
      <c r="DJ98" s="1112" t="n">
        <v>0</v>
      </c>
      <c r="DK98" s="1112" t="n">
        <v>0</v>
      </c>
      <c r="DL98" s="1113" t="n">
        <v>0</v>
      </c>
      <c r="DM98" s="1114" t="n">
        <v>0</v>
      </c>
      <c r="DN98" s="1114" t="n">
        <v>0</v>
      </c>
      <c r="DO98" s="1114" t="n">
        <v>0</v>
      </c>
      <c r="DP98" s="1114" t="n">
        <v>0</v>
      </c>
      <c r="DQ98" s="1114" t="n">
        <v>0</v>
      </c>
      <c r="DR98" s="1109" t="n">
        <v>0</v>
      </c>
      <c r="DS98" s="852" t="n">
        <v>0</v>
      </c>
      <c r="DT98" s="852" t="n">
        <v>0</v>
      </c>
      <c r="DU98" s="852" t="n">
        <v>0</v>
      </c>
      <c r="DV98" s="852" t="n">
        <v>0</v>
      </c>
      <c r="DW98" s="852" t="n">
        <v>0</v>
      </c>
      <c r="DX98" s="852" t="n">
        <v>0</v>
      </c>
      <c r="DY98" s="852" t="n">
        <v>0</v>
      </c>
      <c r="DZ98" s="852" t="n">
        <v>0</v>
      </c>
      <c r="EA98" s="852" t="n">
        <v>0</v>
      </c>
      <c r="EB98" s="1113" t="n">
        <v>0</v>
      </c>
      <c r="EC98" s="1115" t="n">
        <f aca="false">DS98*BD98</f>
        <v>0</v>
      </c>
      <c r="ED98" s="1115" t="n">
        <f aca="false">DT98*BE98</f>
        <v>0</v>
      </c>
      <c r="EE98" s="1115" t="n">
        <f aca="false">DU98*BF98</f>
        <v>0</v>
      </c>
      <c r="EF98" s="1115" t="n">
        <f aca="false">DV98*BG98</f>
        <v>0</v>
      </c>
      <c r="EG98" s="1115" t="n">
        <f aca="false">DS98*BD98+DT98*BE98+DU98*BF98+DV98*BG98</f>
        <v>0</v>
      </c>
      <c r="EH98" s="1116" t="n">
        <v>0</v>
      </c>
      <c r="EI98" s="1117" t="n">
        <v>0</v>
      </c>
      <c r="EJ98" s="1117" t="n">
        <v>0</v>
      </c>
      <c r="EK98" s="1117" t="n">
        <v>0</v>
      </c>
      <c r="EL98" s="1118" t="n">
        <f aca="false">IF(C98&gt;=Summary!$E$26,MAX(0,SUM(EH98:EK98)),0)</f>
        <v>0</v>
      </c>
      <c r="EM98" s="1115" t="n">
        <f aca="false">IF(C98&gt;=Summary!$E$26,DX98*BL98,0)</f>
        <v>0</v>
      </c>
      <c r="EN98" s="1115" t="n">
        <f aca="false">IF(C98&gt;=Summary!$E$26,DY98*BM98,0)</f>
        <v>0</v>
      </c>
      <c r="EO98" s="1115" t="n">
        <f aca="false">IF(C98&gt;=Summary!$E$26,DZ98*BN98,0)</f>
        <v>0</v>
      </c>
      <c r="EP98" s="1115" t="n">
        <f aca="false">IF(C98&gt;=Summary!$E$26,EA98*BO98,0)</f>
        <v>0</v>
      </c>
      <c r="EQ98" s="1115" t="n">
        <f aca="false">IF(C98&gt;=Summary!$E$26,DX98*BL98+DY98*BM98+DZ98*BN98+EA98*BO98,0)</f>
        <v>0</v>
      </c>
      <c r="ER98" s="1119" t="n">
        <v>0</v>
      </c>
      <c r="ES98" s="1120" t="n">
        <v>0</v>
      </c>
      <c r="ET98" s="1120" t="n">
        <v>0</v>
      </c>
      <c r="EU98" s="1120" t="n">
        <v>0</v>
      </c>
      <c r="EV98" s="1143" t="n">
        <f aca="false">IF(C98&gt;=Summary!$E$26,MAX(0,SUM(ER98:EU98)),0)</f>
        <v>0</v>
      </c>
      <c r="EW98" s="1115"/>
      <c r="EX98" s="1165" t="n">
        <f aca="false">(EQ98-EV98)+IF(EZ98="Yes",(EG98-EL98),0)</f>
        <v>0</v>
      </c>
      <c r="EY98" s="1166" t="str">
        <f aca="false">IF(EX98,EX98/EQ98,"")</f>
        <v/>
      </c>
      <c r="EZ98" s="1122" t="s">
        <v>37</v>
      </c>
      <c r="FA98" s="1096" t="n">
        <f aca="false">FA97</f>
        <v>45</v>
      </c>
      <c r="FB98" s="1167" t="n">
        <f aca="false">IF(EZ98="No",IF((OR(MONTH(C98)=5,MONTH(C98)=6,MONTH(C98)=7,MONTH(C98)=8,MONTH(C98)=9)),$FA98*12*AX98*(1-$BC98),$FA98*10*AX98*(1-$BC98)),0)</f>
        <v>9751.5</v>
      </c>
      <c r="FC98" s="1129" t="n">
        <f aca="false">IF(EZ98="No",IF((OR(MONTH(C98)=5,MONTH(C98)=6,MONTH(C98)=7,MONTH(C98)=8,MONTH(C98)=9)),0,$FA98*3*AX98*(1-$BC98)),0)</f>
        <v>2925.45</v>
      </c>
      <c r="FD98" s="1129" t="n">
        <f aca="false">IF(EZ98="No",IF((OR(MONTH(C98)=5,MONTH(C98)=6,MONTH(C98)=7,MONTH(C98)=8,MONTH(C98)=9)),$FA98*12*AY98*(1-$BC98),$FA98*10*AY98*(1-$BC98)),0)</f>
        <v>1773</v>
      </c>
      <c r="FE98" s="1129" t="n">
        <f aca="false">IF(EZ98="No",IF((OR(MONTH(C98)=5,MONTH(C98)=6,MONTH(C98)=7,MONTH(C98)=8,MONTH(C98)=9)),0,$FA98*3*AY98*(1-$BC98)),0)</f>
        <v>531.9</v>
      </c>
      <c r="FF98" s="1129" t="n">
        <f aca="false">IF(EZ98="No",IF((OR(MONTH(C98)=5,MONTH(C98)=6,MONTH(C98)=7,MONTH(C98)=8,MONTH(C98)=9)),$FA98*12*(AZ98+BA98)*(1-$BC98),$FA98*10*(AZ98+BA98)*(1-$BC98)),0)</f>
        <v>2216.25</v>
      </c>
      <c r="FG98" s="1129" t="n">
        <f aca="false">IF(EZ98="No",IF((OR(MONTH(C98)=5,MONTH(C98)=6,MONTH(C98)=7,MONTH(C98)=8,MONTH(C98)=9)),0,$FA98*3*(AZ98+BA98)*(1-$BC98)),0)</f>
        <v>664.875</v>
      </c>
      <c r="FH98" s="1170" t="n">
        <f aca="false">IF(EZ98="No",IF((OR(MONTH(C98)=5,MONTH(C98)=6,MONTH(C98)=7,MONTH(C98)=8,MONTH(C98)=9)),Summary!$O$15*12*(AX98+AY98+AZ98+BA98)*(1-$BC98),Summary!$O$15*13*(AX98+AY98+AZ98+BA98)*(1-$BC98)+IF(Summary!$O$16="Yes",(CALC!FA98+Summary!$O$15)*6*(AX98+AY98+AZ98+BA98)*(1-$BC98),0)),0)</f>
        <v>0</v>
      </c>
      <c r="FI98" s="1126" t="n">
        <f aca="false">IF(MONTH(C98)=5,FI97*(IF(Summary!$E$70="no",(1+(Summary!$E$71*0.8)),1+HLOOKUP(YEAR(C98)-1,CCFMODEL!$I$127:$AF$128,2)*0.8)),+FI97)</f>
        <v>31.4067767844223</v>
      </c>
      <c r="FJ98" s="1127" t="n">
        <f aca="false">IF(MONTH(C98)=5,FJ97*(IF(Summary!$E$70="no",(1+(Summary!$E$71*0.8)),1+HLOOKUP(YEAR(CALC!C98)-1,CCFMODEL!$I$127:$AF$128,2)*0.8)),FJ97)</f>
        <v>27.4500175044951</v>
      </c>
      <c r="FK98" s="1128" t="n">
        <f aca="false">SUM(FB98:FG98)*FI98+FH98*FJ98</f>
        <v>561018.468530716</v>
      </c>
      <c r="FL98" s="1126" t="n">
        <f aca="false">IF(MONTH(C98)=5,FL97*(IF(Summary!$E$70="no",(1+(Summary!$E$71*0.8)),1+HLOOKUP(YEAR(CALC!C98)-1,CCFMODEL!$I$127:$AF$128,2)*0.8)),+FL97)</f>
        <v>66.0519726223564</v>
      </c>
      <c r="FM98" s="1127" t="n">
        <f aca="false">IF(MONTH(C98)=5,FM97*(IF(Summary!$E$70="no",(1+(Summary!$E$71*0.8)),1+HLOOKUP(YEAR(CALC!C98)-1,CCFMODEL!$I$127:$AF$128,2)*0.8)),+FM97)</f>
        <v>31.5245374772773</v>
      </c>
      <c r="FN98" s="1128" t="n">
        <f aca="false">IF((OR(MONTH(C98)=5,MONTH(C98)=6,MONTH(C98)=7,MONTH(C98)=8,MONTH(C98)=9)),SUM(FB98:FG98)/(1-BC98)*FL98,SUM(FB98:FG98)/(1-BC98)*FM98)</f>
        <v>571697.487150423</v>
      </c>
      <c r="FO98" s="1129" t="n">
        <f aca="false">FK98+FN98</f>
        <v>1132715.95568114</v>
      </c>
      <c r="FP98" s="1169" t="n">
        <f aca="false">FB98</f>
        <v>9751.5</v>
      </c>
      <c r="FQ98" s="1129" t="n">
        <f aca="false">FC98</f>
        <v>2925.45</v>
      </c>
      <c r="FR98" s="1129" t="n">
        <f aca="false">FD98</f>
        <v>1773</v>
      </c>
      <c r="FS98" s="1129" t="n">
        <f aca="false">FE98</f>
        <v>531.9</v>
      </c>
      <c r="FT98" s="1129" t="n">
        <f aca="false">FF98</f>
        <v>2216.25</v>
      </c>
      <c r="FU98" s="1129" t="n">
        <f aca="false">FG98</f>
        <v>664.875</v>
      </c>
      <c r="FV98" s="1170" t="n">
        <f aca="false">FH98</f>
        <v>0</v>
      </c>
      <c r="FW98" s="1115" t="n">
        <f aca="false">IF(ER98&gt;0,MIN(FB98-FP98,BL98),0)</f>
        <v>0</v>
      </c>
      <c r="FX98" s="1115" t="n">
        <f aca="false">IF(ES98&gt;0,MIN(FD98-FR98,BM98),0)</f>
        <v>0</v>
      </c>
      <c r="FY98" s="1115" t="n">
        <f aca="false">IF(ET98&gt;0,MIN(FF98-FT98,BN98),0)</f>
        <v>0</v>
      </c>
      <c r="FZ98" s="1143" t="n">
        <f aca="false">IF(EU98&gt;0,MIN(FH98-FV98,BO98),0)</f>
        <v>0</v>
      </c>
      <c r="GA98" s="1132" t="n">
        <f aca="false">(SUM(FP98:FV98)+SUM(GU98:HB98)/(1-Summary!$O$25))*CY98/1000</f>
        <v>236774.007648533</v>
      </c>
      <c r="GB98" s="1133" t="n">
        <f aca="false">IF($C98&lt;Summary!$M$81,+Summary!$O$81,VLOOKUP(C98,GasTable,19))</f>
        <v>2.4</v>
      </c>
      <c r="GC98" s="1134" t="n">
        <f aca="false">IF(H98&lt;=Summary!$N$84,MIN(GA98,Summary!$O$75*(H98-G98+1)),0)</f>
        <v>155000</v>
      </c>
      <c r="GD98" s="1135" t="n">
        <f aca="false">IF(Summary!$O$75*(H98-G98+1)*0.8&gt;GC98,1,0)</f>
        <v>0</v>
      </c>
      <c r="GE98" s="1136" t="n">
        <v>0</v>
      </c>
      <c r="GF98" s="1134" t="n">
        <f aca="false">ABS(MIN(0,GC98-$GA98))</f>
        <v>81774.0076485328</v>
      </c>
      <c r="GG98" s="1135" t="n">
        <f aca="false">GF98*(IF(Summary!$O$74=1,VLOOKUP($C98,GasTable,16)+Summary!$O$92+Summary!$O$93,VLOOKUP($C98,GasTable,19)+Summary!$O$92+Summary!$O$93))</f>
        <v>258893.57647475</v>
      </c>
      <c r="GH98" s="1137" t="n">
        <v>18866.6</v>
      </c>
      <c r="GI98" s="1138" t="n">
        <v>0</v>
      </c>
      <c r="GJ98" s="1139" t="n">
        <f aca="false">+GB98*GC98+GE98+GG98+GH98-GI98</f>
        <v>649760.17647475</v>
      </c>
      <c r="GK98" s="1115" t="n">
        <f aca="false">SUM(FP98:FV98,GU98:GX98,GY98:HB98)</f>
        <v>30062.01285</v>
      </c>
      <c r="GL98" s="1140" t="n">
        <v>0.762223089344</v>
      </c>
      <c r="GM98" s="1141" t="n">
        <f aca="false">IF(GK98&gt;GC98/(CY98/1000),GC98/(CY98/1000),+GK98)*GL98</f>
        <v>15221</v>
      </c>
      <c r="GN98" s="1115" t="n">
        <f aca="false">IF(SUM(GU98:HB98)=0,0,IF(Summary!$O$16="Yes",SUM(GX98:HB98),IF(Summary!$O$17="Yes",SUM(GY98:HB98),SUM(GU98:HB98))))</f>
        <v>12199.03785</v>
      </c>
      <c r="GO98" s="1142" t="n">
        <v>2.84127794457643</v>
      </c>
      <c r="GP98" s="1143" t="n">
        <f aca="false">GN98*GO98</f>
        <v>34660.8571882581</v>
      </c>
      <c r="GQ98" s="1115"/>
      <c r="GR98" s="1115"/>
      <c r="GS98" s="1115"/>
      <c r="GT98" s="1115"/>
      <c r="GU98" s="1150" t="n">
        <v>5646.1185</v>
      </c>
      <c r="GV98" s="1115" t="n">
        <v>1026.567</v>
      </c>
      <c r="GW98" s="1115" t="n">
        <v>1283.20875</v>
      </c>
      <c r="GX98" s="1115"/>
      <c r="GY98" s="1151" t="n">
        <v>3011.2632</v>
      </c>
      <c r="GZ98" s="1115" t="n">
        <v>547.5024</v>
      </c>
      <c r="HA98" s="1115" t="n">
        <v>684.378</v>
      </c>
      <c r="HB98" s="1141"/>
      <c r="HC98" s="1115" t="n">
        <v>12199.03785</v>
      </c>
      <c r="HD98" s="1115"/>
      <c r="HE98" s="1115" t="n">
        <v>20950.521525</v>
      </c>
      <c r="HF98" s="1115" t="n">
        <v>532340.816478811</v>
      </c>
      <c r="HG98" s="1115"/>
      <c r="HH98" s="1142" t="n">
        <v>42.9477371889369</v>
      </c>
      <c r="HI98" s="1115" t="n">
        <v>899777.492426865</v>
      </c>
      <c r="HJ98" s="1150" t="n">
        <f aca="false">MAX(FB98-FP98-FW98,0)</f>
        <v>0</v>
      </c>
      <c r="HK98" s="1115" t="n">
        <f aca="false">MAX(FD98-FR98-FX98,0)</f>
        <v>0</v>
      </c>
      <c r="HL98" s="1115" t="n">
        <f aca="false">MAX(FF98-FT98-FY98,0)</f>
        <v>0</v>
      </c>
      <c r="HM98" s="1141" t="n">
        <f aca="false">MAX(FH98-FV98-FZ98,0)</f>
        <v>0</v>
      </c>
      <c r="HN98" s="1115" t="n">
        <f aca="false">SUM(HJ98:HM98)</f>
        <v>0</v>
      </c>
      <c r="HO98" s="1142" t="n">
        <f aca="false">IF(ISERROR(+HP98/HN98),0,+HP98/HN98)</f>
        <v>0</v>
      </c>
      <c r="HP98" s="1143" t="n">
        <f aca="false">(HJ98*CE98+HK98*CF98+HL98*CG98+HM98*CH98)</f>
        <v>0</v>
      </c>
      <c r="HQ98" s="1146"/>
      <c r="HR98" s="1150"/>
      <c r="HS98" s="1110"/>
      <c r="HT98" s="1141"/>
      <c r="HU98" s="1151"/>
      <c r="HV98" s="1142"/>
      <c r="HW98" s="1115"/>
      <c r="HX98" s="1149"/>
      <c r="HY98" s="1143"/>
      <c r="HZ98" s="1150"/>
      <c r="IA98" s="1142"/>
      <c r="IB98" s="1141"/>
      <c r="IC98" s="1151"/>
      <c r="ID98" s="1142"/>
      <c r="IE98" s="1141"/>
      <c r="IF98" s="1115"/>
      <c r="IG98" s="1142"/>
      <c r="IH98" s="1141"/>
      <c r="II98" s="1115"/>
      <c r="IJ98" s="1142"/>
      <c r="IK98" s="1115"/>
      <c r="IL98" s="1152"/>
      <c r="IM98" s="1192"/>
      <c r="IN98" s="1151"/>
      <c r="IO98" s="1151"/>
      <c r="IP98" s="1151"/>
      <c r="IQ98" s="1151"/>
      <c r="IR98" s="844"/>
    </row>
    <row r="99" customFormat="false" ht="13.5" hidden="false" customHeight="false" outlineLevel="0" collapsed="false">
      <c r="A99" s="0" t="str">
        <f aca="false">+D99&amp;"Q"&amp;ROUNDUP(E99/3,0)</f>
        <v>2006Q4</v>
      </c>
      <c r="B99" s="0" t="n">
        <f aca="false">YEAR(C99)</f>
        <v>2006</v>
      </c>
      <c r="C99" s="1153" t="n">
        <f aca="false">EOMONTH(C98,0)+1</f>
        <v>39022</v>
      </c>
      <c r="D99" s="841" t="n">
        <f aca="false">+YEAR(C99)</f>
        <v>2006</v>
      </c>
      <c r="E99" s="807" t="n">
        <f aca="false">MONTH(C99)</f>
        <v>11</v>
      </c>
      <c r="F99" s="1154" t="e">
        <f aca="false">IF(G99="","",Holiday(D99,E99))</f>
        <v>#VALUE!</v>
      </c>
      <c r="G99" s="1155" t="n">
        <v>39022</v>
      </c>
      <c r="H99" s="1156" t="n">
        <v>39051</v>
      </c>
      <c r="I99" s="1157" t="n">
        <f aca="false">I98</f>
        <v>0.0715</v>
      </c>
      <c r="J99" s="1158" t="n">
        <f aca="false">(1+I99/2)^(-2*(DATE(D100,E100,20)-$H$7)/365.25)</f>
        <v>0.610931153653894</v>
      </c>
      <c r="K99" s="1159"/>
      <c r="L99" s="1158"/>
      <c r="M99" s="1082" t="n">
        <v>0</v>
      </c>
      <c r="N99" s="1110" t="n">
        <f aca="false">M99</f>
        <v>0</v>
      </c>
      <c r="O99" s="1174" t="n">
        <f aca="false">N99</f>
        <v>0</v>
      </c>
      <c r="P99" s="1175" t="n">
        <f aca="false">M99</f>
        <v>0</v>
      </c>
      <c r="Q99" s="1110" t="n">
        <f aca="false">P99</f>
        <v>0</v>
      </c>
      <c r="R99" s="1174" t="n">
        <f aca="false">Q99</f>
        <v>0</v>
      </c>
      <c r="S99" s="1110" t="n">
        <f aca="false">R99</f>
        <v>0</v>
      </c>
      <c r="T99" s="1110" t="n">
        <f aca="false">S99</f>
        <v>0</v>
      </c>
      <c r="U99" s="1110" t="n">
        <f aca="false">T99</f>
        <v>0</v>
      </c>
      <c r="V99" s="1175" t="n">
        <f aca="false">U99</f>
        <v>0</v>
      </c>
      <c r="W99" s="1110" t="n">
        <f aca="false">V99</f>
        <v>0</v>
      </c>
      <c r="X99" s="1176" t="n">
        <f aca="false">W99</f>
        <v>0</v>
      </c>
      <c r="Y99" s="1086" t="n">
        <v>0</v>
      </c>
      <c r="Z99" s="1086" t="n">
        <v>0</v>
      </c>
      <c r="AA99" s="1087" t="n">
        <v>0</v>
      </c>
      <c r="AB99" s="1086" t="n">
        <v>0</v>
      </c>
      <c r="AC99" s="1086" t="n">
        <v>0</v>
      </c>
      <c r="AD99" s="1087" t="n">
        <v>0</v>
      </c>
      <c r="AE99" s="1086" t="n">
        <v>0</v>
      </c>
      <c r="AF99" s="1086" t="n">
        <v>0</v>
      </c>
      <c r="AG99" s="1087" t="n">
        <v>0</v>
      </c>
      <c r="AH99" s="1086" t="n">
        <v>0</v>
      </c>
      <c r="AI99" s="1086" t="n">
        <v>0</v>
      </c>
      <c r="AJ99" s="1087" t="n">
        <v>0</v>
      </c>
      <c r="AK99" s="1086" t="n">
        <v>0</v>
      </c>
      <c r="AL99" s="1086" t="n">
        <v>0</v>
      </c>
      <c r="AM99" s="1087" t="n">
        <v>0</v>
      </c>
      <c r="AN99" s="1086" t="n">
        <v>0</v>
      </c>
      <c r="AO99" s="1086" t="n">
        <v>0</v>
      </c>
      <c r="AP99" s="1087" t="n">
        <v>0</v>
      </c>
      <c r="AQ99" s="1086" t="n">
        <v>0</v>
      </c>
      <c r="AR99" s="1086" t="n">
        <v>0</v>
      </c>
      <c r="AS99" s="1087" t="n">
        <v>0</v>
      </c>
      <c r="AT99" s="1086" t="n">
        <v>0</v>
      </c>
      <c r="AU99" s="1086" t="n">
        <v>0</v>
      </c>
      <c r="AV99" s="1086" t="n">
        <v>0</v>
      </c>
      <c r="AW99" s="1172" t="n">
        <v>0</v>
      </c>
      <c r="AX99" s="807" t="e">
        <f aca="false">BB99-SUM(AY99:BA99)</f>
        <v>#VALUE!</v>
      </c>
      <c r="AY99" s="807" t="e">
        <f aca="false">IF(AND($E99=MONTH(Summary!$E$24),$D99=YEAR(Summary!$E$24)),Summary!$E$25,1)*IF(G99="",0,INT((H99-MOD(H99,7)-G99)/7)+1-IF(BA99,IF(WEEKDAY(F99)=7,1,0),0))</f>
        <v>#VALUE!</v>
      </c>
      <c r="AZ99" s="807" t="e">
        <f aca="false">IF(AND($E99=MONTH(Summary!$E$24),$D99=YEAR(Summary!$E$24)),Summary!$E$25,1)*IF(G99="",0,INT((H99-MOD(H99-1,7)-G99)/7)+1-IF(BA99,IF(WEEKDAY(F99)=1,1,0),0))</f>
        <v>#VALUE!</v>
      </c>
      <c r="BA99" s="807" t="n">
        <v>1</v>
      </c>
      <c r="BB99" s="807" t="n">
        <f aca="false">IF(AND($E99=MONTH(Summary!$E$24),$D99=YEAR(Summary!$E$24)),Summary!$E$25,1)*IF(G99="",0,H99-G99+1)</f>
        <v>30</v>
      </c>
      <c r="BC99" s="1089" t="n">
        <f aca="false">Summary!$E$19</f>
        <v>0.015</v>
      </c>
      <c r="BD99" s="1090" t="n">
        <v>14893.2</v>
      </c>
      <c r="BE99" s="1091" t="n">
        <v>2836.8</v>
      </c>
      <c r="BF99" s="1091" t="n">
        <v>3546</v>
      </c>
      <c r="BG99" s="842"/>
      <c r="BH99" s="1092" t="n">
        <v>1</v>
      </c>
      <c r="BI99" s="1092" t="n">
        <v>1</v>
      </c>
      <c r="BJ99" s="1092" t="n">
        <v>1</v>
      </c>
      <c r="BK99" s="1092" t="n">
        <v>1</v>
      </c>
      <c r="BL99" s="1093" t="n">
        <v>2978.64</v>
      </c>
      <c r="BM99" s="1091" t="n">
        <v>567.36</v>
      </c>
      <c r="BN99" s="1091" t="n">
        <v>709.2</v>
      </c>
      <c r="BO99" s="842"/>
      <c r="BP99" s="1092" t="n">
        <v>1</v>
      </c>
      <c r="BQ99" s="1094" t="n">
        <v>1</v>
      </c>
      <c r="BR99" s="1094" t="n">
        <v>1</v>
      </c>
      <c r="BS99" s="1095" t="n">
        <v>1</v>
      </c>
      <c r="BT99" s="1093" t="n">
        <f aca="false">SUM(BD99:BF99)</f>
        <v>21276</v>
      </c>
      <c r="BU99" s="1098" t="n">
        <f aca="false">SUM(BD99:BG99)</f>
        <v>21276</v>
      </c>
      <c r="BV99" s="1090" t="n">
        <f aca="false">SUM(BL99:BN99)</f>
        <v>4255.2</v>
      </c>
      <c r="BW99" s="1098" t="n">
        <f aca="false">SUM(BL99:BO99)</f>
        <v>4255.2</v>
      </c>
      <c r="BX99" s="852" t="n">
        <v>6.88021902806297</v>
      </c>
      <c r="BY99" s="1099" t="n">
        <v>0</v>
      </c>
      <c r="BZ99" s="852" t="n">
        <v>0</v>
      </c>
      <c r="CA99" s="852" t="n">
        <v>0</v>
      </c>
      <c r="CB99" s="852" t="n">
        <v>0</v>
      </c>
      <c r="CC99" s="852" t="n">
        <v>0</v>
      </c>
      <c r="CD99" s="852" t="n">
        <v>0</v>
      </c>
      <c r="CE99" s="1100" t="n">
        <v>0</v>
      </c>
      <c r="CF99" s="852" t="n">
        <v>0</v>
      </c>
      <c r="CG99" s="852" t="n">
        <v>0</v>
      </c>
      <c r="CH99" s="852" t="n">
        <v>0</v>
      </c>
      <c r="CI99" s="852" t="n">
        <v>0</v>
      </c>
      <c r="CJ99" s="1101" t="n">
        <v>0</v>
      </c>
      <c r="CK99" s="852" t="n">
        <v>0</v>
      </c>
      <c r="CL99" s="852" t="n">
        <v>0</v>
      </c>
      <c r="CM99" s="852" t="n">
        <v>0</v>
      </c>
      <c r="CN99" s="852" t="n">
        <v>0</v>
      </c>
      <c r="CO99" s="852" t="n">
        <v>0</v>
      </c>
      <c r="CP99" s="852" t="n">
        <v>0</v>
      </c>
      <c r="CQ99" s="1102" t="n">
        <v>0</v>
      </c>
      <c r="CR99" s="1103" t="n">
        <v>0</v>
      </c>
      <c r="CS99" s="1103" t="n">
        <v>0</v>
      </c>
      <c r="CT99" s="1103" t="n">
        <v>0</v>
      </c>
      <c r="CU99" s="1103" t="n">
        <v>0</v>
      </c>
      <c r="CV99" s="1103" t="n">
        <v>0</v>
      </c>
      <c r="CW99" s="1103" t="n">
        <v>0</v>
      </c>
      <c r="CX99" s="1104" t="n">
        <v>0</v>
      </c>
      <c r="CY99" s="1105" t="n">
        <v>7763.2488</v>
      </c>
      <c r="CZ99" s="1099" t="n">
        <v>0</v>
      </c>
      <c r="DA99" s="852" t="n">
        <v>0</v>
      </c>
      <c r="DB99" s="852" t="n">
        <v>0</v>
      </c>
      <c r="DC99" s="852" t="n">
        <v>0</v>
      </c>
      <c r="DD99" s="852" t="n">
        <v>0</v>
      </c>
      <c r="DE99" s="1113" t="n">
        <v>0</v>
      </c>
      <c r="DF99" s="1109" t="n">
        <v>0</v>
      </c>
      <c r="DG99" s="1110" t="n">
        <v>0</v>
      </c>
      <c r="DH99" s="1111" t="n">
        <v>0</v>
      </c>
      <c r="DI99" s="1112" t="n">
        <v>0</v>
      </c>
      <c r="DJ99" s="1112" t="n">
        <v>0</v>
      </c>
      <c r="DK99" s="1112" t="n">
        <v>0</v>
      </c>
      <c r="DL99" s="1113" t="n">
        <v>0</v>
      </c>
      <c r="DM99" s="1114" t="n">
        <v>0</v>
      </c>
      <c r="DN99" s="1114" t="n">
        <v>0</v>
      </c>
      <c r="DO99" s="1114" t="n">
        <v>0</v>
      </c>
      <c r="DP99" s="1114" t="n">
        <v>0</v>
      </c>
      <c r="DQ99" s="1114" t="n">
        <v>0</v>
      </c>
      <c r="DR99" s="1109" t="n">
        <v>0</v>
      </c>
      <c r="DS99" s="852" t="n">
        <v>0</v>
      </c>
      <c r="DT99" s="852" t="n">
        <v>0</v>
      </c>
      <c r="DU99" s="852" t="n">
        <v>0</v>
      </c>
      <c r="DV99" s="852" t="n">
        <v>0</v>
      </c>
      <c r="DW99" s="852" t="n">
        <v>0</v>
      </c>
      <c r="DX99" s="852" t="n">
        <v>0</v>
      </c>
      <c r="DY99" s="852" t="n">
        <v>0</v>
      </c>
      <c r="DZ99" s="852" t="n">
        <v>0</v>
      </c>
      <c r="EA99" s="852" t="n">
        <v>0</v>
      </c>
      <c r="EB99" s="1113" t="n">
        <v>0</v>
      </c>
      <c r="EC99" s="1115" t="n">
        <f aca="false">DS99*BD99</f>
        <v>0</v>
      </c>
      <c r="ED99" s="1115" t="n">
        <f aca="false">DT99*BE99</f>
        <v>0</v>
      </c>
      <c r="EE99" s="1115" t="n">
        <f aca="false">DU99*BF99</f>
        <v>0</v>
      </c>
      <c r="EF99" s="1115" t="n">
        <f aca="false">DV99*BG99</f>
        <v>0</v>
      </c>
      <c r="EG99" s="1115" t="n">
        <f aca="false">DS99*BD99+DT99*BE99+DU99*BF99+DV99*BG99</f>
        <v>0</v>
      </c>
      <c r="EH99" s="1116" t="n">
        <v>0</v>
      </c>
      <c r="EI99" s="1117" t="n">
        <v>0</v>
      </c>
      <c r="EJ99" s="1117" t="n">
        <v>0</v>
      </c>
      <c r="EK99" s="1117" t="n">
        <v>0</v>
      </c>
      <c r="EL99" s="1118" t="n">
        <f aca="false">IF(C99&gt;=Summary!$E$26,MAX(0,SUM(EH99:EK99)),0)</f>
        <v>0</v>
      </c>
      <c r="EM99" s="1115" t="n">
        <f aca="false">IF(C99&gt;=Summary!$E$26,DX99*BL99,0)</f>
        <v>0</v>
      </c>
      <c r="EN99" s="1115" t="n">
        <f aca="false">IF(C99&gt;=Summary!$E$26,DY99*BM99,0)</f>
        <v>0</v>
      </c>
      <c r="EO99" s="1115" t="n">
        <f aca="false">IF(C99&gt;=Summary!$E$26,DZ99*BN99,0)</f>
        <v>0</v>
      </c>
      <c r="EP99" s="1115" t="n">
        <f aca="false">IF(C99&gt;=Summary!$E$26,EA99*BO99,0)</f>
        <v>0</v>
      </c>
      <c r="EQ99" s="1115" t="n">
        <f aca="false">IF(C99&gt;=Summary!$E$26,DX99*BL99+DY99*BM99+DZ99*BN99+EA99*BO99,0)</f>
        <v>0</v>
      </c>
      <c r="ER99" s="1119" t="n">
        <v>0</v>
      </c>
      <c r="ES99" s="1120" t="n">
        <v>0</v>
      </c>
      <c r="ET99" s="1120" t="n">
        <v>0</v>
      </c>
      <c r="EU99" s="1120" t="n">
        <v>0</v>
      </c>
      <c r="EV99" s="1143" t="n">
        <f aca="false">IF(C99&gt;=Summary!$E$26,MAX(0,SUM(ER99:EU99)),0)</f>
        <v>0</v>
      </c>
      <c r="EW99" s="1115"/>
      <c r="EX99" s="1165" t="n">
        <f aca="false">(EQ99-EV99)+IF(EZ99="Yes",(EG99-EL99),0)</f>
        <v>0</v>
      </c>
      <c r="EY99" s="1166" t="str">
        <f aca="false">IF(EX99,EX99/EQ99,"")</f>
        <v/>
      </c>
      <c r="EZ99" s="1122" t="s">
        <v>37</v>
      </c>
      <c r="FA99" s="1096" t="n">
        <f aca="false">FA98</f>
        <v>45</v>
      </c>
      <c r="FB99" s="1167" t="e">
        <f aca="false">IF(EZ99="No",IF((OR(MONTH(C99)=5,MONTH(C99)=6,MONTH(C99)=7,MONTH(C99)=8,MONTH(C99)=9)),$FA99*12*AX99*(1-$BC99),$FA99*10*AX99*(1-$BC99)),0)</f>
        <v>#VALUE!</v>
      </c>
      <c r="FC99" s="1129" t="e">
        <f aca="false">IF(EZ99="No",IF((OR(MONTH(C99)=5,MONTH(C99)=6,MONTH(C99)=7,MONTH(C99)=8,MONTH(C99)=9)),0,$FA99*3*AX99*(1-$BC99)),0)</f>
        <v>#VALUE!</v>
      </c>
      <c r="FD99" s="1129" t="e">
        <f aca="false">IF(EZ99="No",IF((OR(MONTH(C99)=5,MONTH(C99)=6,MONTH(C99)=7,MONTH(C99)=8,MONTH(C99)=9)),$FA99*12*AY99*(1-$BC99),$FA99*10*AY99*(1-$BC99)),0)</f>
        <v>#VALUE!</v>
      </c>
      <c r="FE99" s="1129" t="e">
        <f aca="false">IF(EZ99="No",IF((OR(MONTH(C99)=5,MONTH(C99)=6,MONTH(C99)=7,MONTH(C99)=8,MONTH(C99)=9)),0,$FA99*3*AY99*(1-$BC99)),0)</f>
        <v>#VALUE!</v>
      </c>
      <c r="FF99" s="1129" t="e">
        <f aca="false">IF(EZ99="No",IF((OR(MONTH(C99)=5,MONTH(C99)=6,MONTH(C99)=7,MONTH(C99)=8,MONTH(C99)=9)),$FA99*12*(AZ99+BA99)*(1-$BC99),$FA99*10*(AZ99+BA99)*(1-$BC99)),0)</f>
        <v>#VALUE!</v>
      </c>
      <c r="FG99" s="1129" t="e">
        <f aca="false">IF(EZ99="No",IF((OR(MONTH(C99)=5,MONTH(C99)=6,MONTH(C99)=7,MONTH(C99)=8,MONTH(C99)=9)),0,$FA99*3*(AZ99+BA99)*(1-$BC99)),0)</f>
        <v>#VALUE!</v>
      </c>
      <c r="FH99" s="1170" t="e">
        <f aca="false">IF(EZ99="No",IF((OR(MONTH(C99)=5,MONTH(C99)=6,MONTH(C99)=7,MONTH(C99)=8,MONTH(C99)=9)),Summary!$O$15*12*(AX99+AY99+AZ99+BA99)*(1-$BC99),Summary!$O$15*13*(AX99+AY99+AZ99+BA99)*(1-$BC99)+IF(Summary!$O$16="Yes",(CALC!FA99+Summary!$O$15)*6*(AX99+AY99+AZ99+BA99)*(1-$BC99),0)),0)</f>
        <v>#VALUE!</v>
      </c>
      <c r="FI99" s="1126" t="n">
        <f aca="false">IF(MONTH(C99)=5,FI98*(IF(Summary!$E$70="no",(1+(Summary!$E$71*0.8)),1+HLOOKUP(YEAR(C99)-1,CCFMODEL!$I$127:$AF$128,2)*0.8)),+FI98)</f>
        <v>31.4067767844223</v>
      </c>
      <c r="FJ99" s="1127" t="n">
        <f aca="false">IF(MONTH(C99)=5,FJ98*(IF(Summary!$E$70="no",(1+(Summary!$E$71*0.8)),1+HLOOKUP(YEAR(CALC!C99)-1,CCFMODEL!$I$127:$AF$128,2)*0.8)),FJ98)</f>
        <v>27.4500175044951</v>
      </c>
      <c r="FK99" s="1128" t="e">
        <f aca="false">SUM(FB99:FG99)*FI99+FH99*FJ99</f>
        <v>#VALUE!</v>
      </c>
      <c r="FL99" s="1126" t="n">
        <f aca="false">IF(MONTH(C99)=5,FL98*(IF(Summary!$E$70="no",(1+(Summary!$E$71*0.8)),1+HLOOKUP(YEAR(CALC!C99)-1,CCFMODEL!$I$127:$AF$128,2)*0.8)),+FL98)</f>
        <v>66.0519726223564</v>
      </c>
      <c r="FM99" s="1127" t="n">
        <f aca="false">IF(MONTH(C99)=5,FM98*(IF(Summary!$E$70="no",(1+(Summary!$E$71*0.8)),1+HLOOKUP(YEAR(CALC!C99)-1,CCFMODEL!$I$127:$AF$128,2)*0.8)),+FM98)</f>
        <v>31.5245374772773</v>
      </c>
      <c r="FN99" s="1128" t="e">
        <f aca="false">IF((OR(MONTH(C99)=5,MONTH(C99)=6,MONTH(C99)=7,MONTH(C99)=8,MONTH(C99)=9)),SUM(FB99:FG99)/(1-BC99)*FL99,SUM(FB99:FG99)/(1-BC99)*FM99)</f>
        <v>#VALUE!</v>
      </c>
      <c r="FO99" s="1129" t="e">
        <f aca="false">FK99+FN99</f>
        <v>#VALUE!</v>
      </c>
      <c r="FP99" s="1169" t="e">
        <f aca="false">FB99</f>
        <v>#VALUE!</v>
      </c>
      <c r="FQ99" s="1129" t="e">
        <f aca="false">FC99</f>
        <v>#VALUE!</v>
      </c>
      <c r="FR99" s="1129" t="e">
        <f aca="false">FD99</f>
        <v>#VALUE!</v>
      </c>
      <c r="FS99" s="1129" t="e">
        <f aca="false">FE99</f>
        <v>#VALUE!</v>
      </c>
      <c r="FT99" s="1129" t="e">
        <f aca="false">FF99</f>
        <v>#VALUE!</v>
      </c>
      <c r="FU99" s="1129" t="e">
        <f aca="false">FG99</f>
        <v>#VALUE!</v>
      </c>
      <c r="FV99" s="1170" t="e">
        <f aca="false">FH99</f>
        <v>#VALUE!</v>
      </c>
      <c r="FW99" s="1115" t="n">
        <f aca="false">IF(ER99&gt;0,MIN(FB99-FP99,BL99),0)</f>
        <v>0</v>
      </c>
      <c r="FX99" s="1115" t="n">
        <f aca="false">IF(ES99&gt;0,MIN(FD99-FR99,BM99),0)</f>
        <v>0</v>
      </c>
      <c r="FY99" s="1115" t="n">
        <f aca="false">IF(ET99&gt;0,MIN(FF99-FT99,BN99),0)</f>
        <v>0</v>
      </c>
      <c r="FZ99" s="1143" t="n">
        <f aca="false">IF(EU99&gt;0,MIN(FH99-FV99,BO99),0)</f>
        <v>0</v>
      </c>
      <c r="GA99" s="1132" t="e">
        <f aca="false">(SUM(FP99:FV99)+SUM(GU99:HB99)/(1-Summary!$O$25))*CY99/1000</f>
        <v>#VALUE!</v>
      </c>
      <c r="GB99" s="1133" t="n">
        <f aca="false">IF($C99&lt;Summary!$M$81,+Summary!$O$81,VLOOKUP(C99,GasTable,19))</f>
        <v>2.4</v>
      </c>
      <c r="GC99" s="1134" t="e">
        <f aca="false">IF(H99&lt;=Summary!$N$84,MIN(GA99,Summary!$O$75*(H99-G99+1)),0)</f>
        <v>#VALUE!</v>
      </c>
      <c r="GD99" s="1135" t="e">
        <f aca="false">IF(Summary!$O$75*(H99-G99+1)*0.8&gt;GC99,1,0)</f>
        <v>#VALUE!</v>
      </c>
      <c r="GE99" s="1136" t="n">
        <v>0</v>
      </c>
      <c r="GF99" s="1134" t="e">
        <f aca="false">ABS(MIN(0,GC99-$GA99))</f>
        <v>#VALUE!</v>
      </c>
      <c r="GG99" s="1135" t="e">
        <f aca="false">GF99*(IF(Summary!$O$74=1,VLOOKUP($C99,GasTable,16)+Summary!$O$92+Summary!$O$93,VLOOKUP($C99,GasTable,19)+Summary!$O$92+Summary!$O$93))</f>
        <v>#VALUE!</v>
      </c>
      <c r="GH99" s="1137" t="n">
        <v>18732</v>
      </c>
      <c r="GI99" s="1138" t="n">
        <v>0</v>
      </c>
      <c r="GJ99" s="1139" t="e">
        <f aca="false">+GB99*GC99+GE99+GG99+GH99-GI99</f>
        <v>#VALUE!</v>
      </c>
      <c r="GK99" s="1115" t="e">
        <f aca="false">SUM(FP99:FV99,GU99:GX99,GY99:HB99)</f>
        <v>#VALUE!</v>
      </c>
      <c r="GL99" s="1140" t="n">
        <v>0.76235103216</v>
      </c>
      <c r="GM99" s="1141" t="e">
        <f aca="false">IF(GK99&gt;GC99/(CY99/1000),GC99/(CY99/1000),+GK99)*GL99</f>
        <v>#VALUE!</v>
      </c>
      <c r="GN99" s="1115" t="n">
        <f aca="false">IF(SUM(GU99:HB99)=0,0,IF(Summary!$O$16="Yes",SUM(GX99:HB99),IF(Summary!$O$17="Yes",SUM(GY99:HB99),SUM(GU99:HB99))))</f>
        <v>11805.5205</v>
      </c>
      <c r="GO99" s="1142" t="n">
        <v>2.84127794457643</v>
      </c>
      <c r="GP99" s="1143" t="n">
        <f aca="false">GN99*GO99</f>
        <v>33542.765020895</v>
      </c>
      <c r="GQ99" s="1115"/>
      <c r="GR99" s="1115"/>
      <c r="GS99" s="1115"/>
      <c r="GT99" s="1115"/>
      <c r="GU99" s="1150" t="n">
        <v>5389.47675</v>
      </c>
      <c r="GV99" s="1115" t="n">
        <v>1026.567</v>
      </c>
      <c r="GW99" s="1115" t="n">
        <v>1283.20875</v>
      </c>
      <c r="GX99" s="1115"/>
      <c r="GY99" s="1151" t="n">
        <v>2874.3876</v>
      </c>
      <c r="GZ99" s="1115" t="n">
        <v>547.5024</v>
      </c>
      <c r="HA99" s="1115" t="n">
        <v>684.378</v>
      </c>
      <c r="HB99" s="1141"/>
      <c r="HC99" s="1115" t="n">
        <v>11805.5205</v>
      </c>
      <c r="HD99" s="1115"/>
      <c r="HE99" s="1115" t="n">
        <v>20274.69825</v>
      </c>
      <c r="HF99" s="1115" t="n">
        <v>534293.33661461</v>
      </c>
      <c r="HG99" s="1115"/>
      <c r="HH99" s="1142" t="n">
        <v>44.9915010972841</v>
      </c>
      <c r="HI99" s="1115" t="n">
        <v>912189.10856198</v>
      </c>
      <c r="HJ99" s="1150" t="e">
        <f aca="false">MAX(FB99-FP99-FW99,0)</f>
        <v>#VALUE!</v>
      </c>
      <c r="HK99" s="1115" t="e">
        <f aca="false">MAX(FD99-FR99-FX99,0)</f>
        <v>#VALUE!</v>
      </c>
      <c r="HL99" s="1115" t="e">
        <f aca="false">MAX(FF99-FT99-FY99,0)</f>
        <v>#VALUE!</v>
      </c>
      <c r="HM99" s="1141" t="e">
        <f aca="false">MAX(FH99-FV99-FZ99,0)</f>
        <v>#VALUE!</v>
      </c>
      <c r="HN99" s="1115" t="e">
        <f aca="false">SUM(HJ99:HM99)</f>
        <v>#VALUE!</v>
      </c>
      <c r="HO99" s="1142" t="n">
        <f aca="false">IF(ISERROR(+HP99/HN99),0,+HP99/HN99)</f>
        <v>0</v>
      </c>
      <c r="HP99" s="1143" t="e">
        <f aca="false">(HJ99*CE99+HK99*CF99+HL99*CG99+HM99*CH99)</f>
        <v>#VALUE!</v>
      </c>
      <c r="HQ99" s="1146"/>
      <c r="HR99" s="1150"/>
      <c r="HS99" s="1110"/>
      <c r="HT99" s="1141"/>
      <c r="HU99" s="1151"/>
      <c r="HV99" s="1142"/>
      <c r="HW99" s="1115"/>
      <c r="HX99" s="1149"/>
      <c r="HY99" s="1143"/>
      <c r="HZ99" s="1150"/>
      <c r="IA99" s="1142"/>
      <c r="IB99" s="1141"/>
      <c r="IC99" s="1151"/>
      <c r="ID99" s="1142"/>
      <c r="IE99" s="1141"/>
      <c r="IF99" s="1115"/>
      <c r="IG99" s="1142"/>
      <c r="IH99" s="1141"/>
      <c r="II99" s="1115"/>
      <c r="IJ99" s="1142"/>
      <c r="IK99" s="1115"/>
      <c r="IL99" s="1152"/>
      <c r="IM99" s="1192"/>
      <c r="IN99" s="1151"/>
      <c r="IO99" s="1151"/>
      <c r="IP99" s="1151"/>
      <c r="IQ99" s="1151"/>
      <c r="IR99" s="844"/>
    </row>
    <row r="100" customFormat="false" ht="13.5" hidden="false" customHeight="false" outlineLevel="0" collapsed="false">
      <c r="A100" s="0" t="str">
        <f aca="false">+D100&amp;"Q"&amp;ROUNDUP(E100/3,0)</f>
        <v>2006Q4</v>
      </c>
      <c r="B100" s="0" t="n">
        <f aca="false">YEAR(C100)</f>
        <v>2006</v>
      </c>
      <c r="C100" s="1153" t="n">
        <f aca="false">EOMONTH(C99,0)+1</f>
        <v>39052</v>
      </c>
      <c r="D100" s="841" t="n">
        <f aca="false">+YEAR(C100)</f>
        <v>2006</v>
      </c>
      <c r="E100" s="807" t="n">
        <f aca="false">MONTH(C100)</f>
        <v>12</v>
      </c>
      <c r="F100" s="1154" t="e">
        <f aca="false">IF(G100="","",Holiday(D100,E100))</f>
        <v>#VALUE!</v>
      </c>
      <c r="G100" s="1155" t="n">
        <v>39052</v>
      </c>
      <c r="H100" s="1156" t="n">
        <v>39082</v>
      </c>
      <c r="I100" s="1157" t="n">
        <f aca="false">I99</f>
        <v>0.0715</v>
      </c>
      <c r="J100" s="1158" t="n">
        <f aca="false">(1+I100/2)^(-2*(DATE(D101,E101,20)-$H$7)/365.25)</f>
        <v>0.607299320486834</v>
      </c>
      <c r="K100" s="1159"/>
      <c r="L100" s="1158"/>
      <c r="M100" s="1082" t="n">
        <v>0</v>
      </c>
      <c r="N100" s="1110" t="n">
        <f aca="false">M100</f>
        <v>0</v>
      </c>
      <c r="O100" s="1174" t="n">
        <f aca="false">N100</f>
        <v>0</v>
      </c>
      <c r="P100" s="1175" t="n">
        <f aca="false">M100</f>
        <v>0</v>
      </c>
      <c r="Q100" s="1110" t="n">
        <f aca="false">P100</f>
        <v>0</v>
      </c>
      <c r="R100" s="1174" t="n">
        <f aca="false">Q100</f>
        <v>0</v>
      </c>
      <c r="S100" s="1110" t="n">
        <f aca="false">R100</f>
        <v>0</v>
      </c>
      <c r="T100" s="1110" t="n">
        <f aca="false">S100</f>
        <v>0</v>
      </c>
      <c r="U100" s="1110" t="n">
        <f aca="false">T100</f>
        <v>0</v>
      </c>
      <c r="V100" s="1175" t="n">
        <f aca="false">U100</f>
        <v>0</v>
      </c>
      <c r="W100" s="1110" t="n">
        <f aca="false">V100</f>
        <v>0</v>
      </c>
      <c r="X100" s="1176" t="n">
        <f aca="false">W100</f>
        <v>0</v>
      </c>
      <c r="Y100" s="1086" t="n">
        <v>0</v>
      </c>
      <c r="Z100" s="1086" t="n">
        <v>0</v>
      </c>
      <c r="AA100" s="1087" t="n">
        <v>0</v>
      </c>
      <c r="AB100" s="1086" t="n">
        <v>0</v>
      </c>
      <c r="AC100" s="1086" t="n">
        <v>0</v>
      </c>
      <c r="AD100" s="1087" t="n">
        <v>0</v>
      </c>
      <c r="AE100" s="1086" t="n">
        <v>0</v>
      </c>
      <c r="AF100" s="1086" t="n">
        <v>0</v>
      </c>
      <c r="AG100" s="1087" t="n">
        <v>0</v>
      </c>
      <c r="AH100" s="1086" t="n">
        <v>0</v>
      </c>
      <c r="AI100" s="1086" t="n">
        <v>0</v>
      </c>
      <c r="AJ100" s="1087" t="n">
        <v>0</v>
      </c>
      <c r="AK100" s="1086" t="n">
        <v>0</v>
      </c>
      <c r="AL100" s="1086" t="n">
        <v>0</v>
      </c>
      <c r="AM100" s="1087" t="n">
        <v>0</v>
      </c>
      <c r="AN100" s="1086" t="n">
        <v>0</v>
      </c>
      <c r="AO100" s="1086" t="n">
        <v>0</v>
      </c>
      <c r="AP100" s="1087" t="n">
        <v>0</v>
      </c>
      <c r="AQ100" s="1086" t="n">
        <v>0</v>
      </c>
      <c r="AR100" s="1086" t="n">
        <v>0</v>
      </c>
      <c r="AS100" s="1087" t="n">
        <v>0</v>
      </c>
      <c r="AT100" s="1086" t="n">
        <v>0</v>
      </c>
      <c r="AU100" s="1086" t="n">
        <v>0</v>
      </c>
      <c r="AV100" s="1086" t="n">
        <v>0</v>
      </c>
      <c r="AW100" s="1172" t="n">
        <v>0</v>
      </c>
      <c r="AX100" s="807" t="e">
        <f aca="false">BB100-SUM(AY100:BA100)</f>
        <v>#VALUE!</v>
      </c>
      <c r="AY100" s="807" t="e">
        <f aca="false">IF(AND($E100=MONTH(Summary!$E$24),$D100=YEAR(Summary!$E$24)),Summary!$E$25,1)*IF(G100="",0,INT((H100-MOD(H100,7)-G100)/7)+1-IF(BA100,IF(WEEKDAY(F100)=7,1,0),0))</f>
        <v>#VALUE!</v>
      </c>
      <c r="AZ100" s="807" t="e">
        <f aca="false">IF(AND($E100=MONTH(Summary!$E$24),$D100=YEAR(Summary!$E$24)),Summary!$E$25,1)*IF(G100="",0,INT((H100-MOD(H100-1,7)-G100)/7)+1-IF(BA100,IF(WEEKDAY(F100)=1,1,0),0))</f>
        <v>#VALUE!</v>
      </c>
      <c r="BA100" s="807" t="n">
        <v>1</v>
      </c>
      <c r="BB100" s="807" t="n">
        <f aca="false">IF(AND($E100=MONTH(Summary!$E$24),$D100=YEAR(Summary!$E$24)),Summary!$E$25,1)*IF(G100="",0,H100-G100+1)</f>
        <v>31</v>
      </c>
      <c r="BC100" s="1089" t="n">
        <f aca="false">Summary!$E$19</f>
        <v>0.015</v>
      </c>
      <c r="BD100" s="1090" t="n">
        <v>14184</v>
      </c>
      <c r="BE100" s="1091" t="n">
        <v>3546</v>
      </c>
      <c r="BF100" s="1091" t="n">
        <v>4255.2</v>
      </c>
      <c r="BG100" s="842"/>
      <c r="BH100" s="1092" t="n">
        <v>1</v>
      </c>
      <c r="BI100" s="1092" t="n">
        <v>1</v>
      </c>
      <c r="BJ100" s="1092" t="n">
        <v>1</v>
      </c>
      <c r="BK100" s="1092" t="n">
        <v>1</v>
      </c>
      <c r="BL100" s="1093" t="n">
        <v>2836.8</v>
      </c>
      <c r="BM100" s="1091" t="n">
        <v>709.2</v>
      </c>
      <c r="BN100" s="1091" t="n">
        <v>851.04</v>
      </c>
      <c r="BO100" s="842"/>
      <c r="BP100" s="1092" t="n">
        <v>1</v>
      </c>
      <c r="BQ100" s="1094" t="n">
        <v>1</v>
      </c>
      <c r="BR100" s="1094" t="n">
        <v>1</v>
      </c>
      <c r="BS100" s="1095" t="n">
        <v>1</v>
      </c>
      <c r="BT100" s="1093" t="n">
        <f aca="false">SUM(BD100:BF100)</f>
        <v>21985.2</v>
      </c>
      <c r="BU100" s="1098" t="n">
        <f aca="false">SUM(BD100:BG100)</f>
        <v>21985.2</v>
      </c>
      <c r="BV100" s="1090" t="n">
        <f aca="false">SUM(BL100:BN100)</f>
        <v>4397.04</v>
      </c>
      <c r="BW100" s="1098" t="n">
        <f aca="false">SUM(BL100:BO100)</f>
        <v>4397.04</v>
      </c>
      <c r="BX100" s="852" t="n">
        <v>6.96235455167693</v>
      </c>
      <c r="BY100" s="1099" t="n">
        <v>0</v>
      </c>
      <c r="BZ100" s="852" t="n">
        <v>0</v>
      </c>
      <c r="CA100" s="852" t="n">
        <v>0</v>
      </c>
      <c r="CB100" s="852" t="n">
        <v>0</v>
      </c>
      <c r="CC100" s="852" t="n">
        <v>0</v>
      </c>
      <c r="CD100" s="852" t="n">
        <v>0</v>
      </c>
      <c r="CE100" s="1100" t="n">
        <v>0</v>
      </c>
      <c r="CF100" s="852" t="n">
        <v>0</v>
      </c>
      <c r="CG100" s="852" t="n">
        <v>0</v>
      </c>
      <c r="CH100" s="852" t="n">
        <v>0</v>
      </c>
      <c r="CI100" s="852" t="n">
        <v>0</v>
      </c>
      <c r="CJ100" s="1101" t="n">
        <v>0</v>
      </c>
      <c r="CK100" s="852" t="n">
        <v>0</v>
      </c>
      <c r="CL100" s="852" t="n">
        <v>0</v>
      </c>
      <c r="CM100" s="852" t="n">
        <v>0</v>
      </c>
      <c r="CN100" s="852" t="n">
        <v>0</v>
      </c>
      <c r="CO100" s="852" t="n">
        <v>0</v>
      </c>
      <c r="CP100" s="852" t="n">
        <v>0</v>
      </c>
      <c r="CQ100" s="1102" t="n">
        <v>0</v>
      </c>
      <c r="CR100" s="1103" t="n">
        <v>0</v>
      </c>
      <c r="CS100" s="1103" t="n">
        <v>0</v>
      </c>
      <c r="CT100" s="1103" t="n">
        <v>0</v>
      </c>
      <c r="CU100" s="1103" t="n">
        <v>0</v>
      </c>
      <c r="CV100" s="1103" t="n">
        <v>0</v>
      </c>
      <c r="CW100" s="1103" t="n">
        <v>0</v>
      </c>
      <c r="CX100" s="1104" t="n">
        <v>0</v>
      </c>
      <c r="CY100" s="1105" t="n">
        <v>7764.55168</v>
      </c>
      <c r="CZ100" s="1099" t="n">
        <v>0</v>
      </c>
      <c r="DA100" s="852" t="n">
        <v>0</v>
      </c>
      <c r="DB100" s="852" t="n">
        <v>0</v>
      </c>
      <c r="DC100" s="852" t="n">
        <v>0</v>
      </c>
      <c r="DD100" s="852" t="n">
        <v>0</v>
      </c>
      <c r="DE100" s="1113" t="n">
        <v>0</v>
      </c>
      <c r="DF100" s="1109" t="n">
        <v>0</v>
      </c>
      <c r="DG100" s="1110" t="n">
        <v>0</v>
      </c>
      <c r="DH100" s="1111" t="n">
        <v>0</v>
      </c>
      <c r="DI100" s="1112" t="n">
        <v>0</v>
      </c>
      <c r="DJ100" s="1112" t="n">
        <v>0</v>
      </c>
      <c r="DK100" s="1112" t="n">
        <v>0</v>
      </c>
      <c r="DL100" s="1113" t="n">
        <v>0</v>
      </c>
      <c r="DM100" s="1114" t="n">
        <v>0</v>
      </c>
      <c r="DN100" s="1114" t="n">
        <v>0</v>
      </c>
      <c r="DO100" s="1114" t="n">
        <v>0</v>
      </c>
      <c r="DP100" s="1114" t="n">
        <v>0</v>
      </c>
      <c r="DQ100" s="1114" t="n">
        <v>0</v>
      </c>
      <c r="DR100" s="1109" t="n">
        <v>0</v>
      </c>
      <c r="DS100" s="852" t="n">
        <v>0</v>
      </c>
      <c r="DT100" s="852" t="n">
        <v>0</v>
      </c>
      <c r="DU100" s="852" t="n">
        <v>0</v>
      </c>
      <c r="DV100" s="852" t="n">
        <v>0</v>
      </c>
      <c r="DW100" s="852" t="n">
        <v>0</v>
      </c>
      <c r="DX100" s="852" t="n">
        <v>0</v>
      </c>
      <c r="DY100" s="852" t="n">
        <v>0</v>
      </c>
      <c r="DZ100" s="852" t="n">
        <v>0</v>
      </c>
      <c r="EA100" s="852" t="n">
        <v>0</v>
      </c>
      <c r="EB100" s="1113" t="n">
        <v>0</v>
      </c>
      <c r="EC100" s="1115" t="n">
        <f aca="false">DS100*BD100</f>
        <v>0</v>
      </c>
      <c r="ED100" s="1115" t="n">
        <f aca="false">DT100*BE100</f>
        <v>0</v>
      </c>
      <c r="EE100" s="1115" t="n">
        <f aca="false">DU100*BF100</f>
        <v>0</v>
      </c>
      <c r="EF100" s="1115" t="n">
        <f aca="false">DV100*BG100</f>
        <v>0</v>
      </c>
      <c r="EG100" s="1115" t="n">
        <f aca="false">DS100*BD100+DT100*BE100+DU100*BF100+DV100*BG100</f>
        <v>0</v>
      </c>
      <c r="EH100" s="1116" t="n">
        <v>0</v>
      </c>
      <c r="EI100" s="1117" t="n">
        <v>0</v>
      </c>
      <c r="EJ100" s="1117" t="n">
        <v>0</v>
      </c>
      <c r="EK100" s="1117" t="n">
        <v>0</v>
      </c>
      <c r="EL100" s="1118" t="n">
        <f aca="false">IF(C100&gt;=Summary!$E$26,MAX(0,SUM(EH100:EK100)),0)</f>
        <v>0</v>
      </c>
      <c r="EM100" s="1115" t="n">
        <f aca="false">IF(C100&gt;=Summary!$E$26,DX100*BL100,0)</f>
        <v>0</v>
      </c>
      <c r="EN100" s="1115" t="n">
        <f aca="false">IF(C100&gt;=Summary!$E$26,DY100*BM100,0)</f>
        <v>0</v>
      </c>
      <c r="EO100" s="1115" t="n">
        <f aca="false">IF(C100&gt;=Summary!$E$26,DZ100*BN100,0)</f>
        <v>0</v>
      </c>
      <c r="EP100" s="1115" t="n">
        <f aca="false">IF(C100&gt;=Summary!$E$26,EA100*BO100,0)</f>
        <v>0</v>
      </c>
      <c r="EQ100" s="1115" t="n">
        <f aca="false">IF(C100&gt;=Summary!$E$26,DX100*BL100+DY100*BM100+DZ100*BN100+EA100*BO100,0)</f>
        <v>0</v>
      </c>
      <c r="ER100" s="1119" t="n">
        <v>0</v>
      </c>
      <c r="ES100" s="1120" t="n">
        <v>0</v>
      </c>
      <c r="ET100" s="1120" t="n">
        <v>0</v>
      </c>
      <c r="EU100" s="1120" t="n">
        <v>0</v>
      </c>
      <c r="EV100" s="1143" t="n">
        <f aca="false">IF(C100&gt;=Summary!$E$26,MAX(0,SUM(ER100:EU100)),0)</f>
        <v>0</v>
      </c>
      <c r="EW100" s="1115"/>
      <c r="EX100" s="1165" t="n">
        <f aca="false">(EQ100-EV100)+IF(EZ100="Yes",(EG100-EL100),0)</f>
        <v>0</v>
      </c>
      <c r="EY100" s="1166" t="str">
        <f aca="false">IF(EX100,EX100/EQ100,"")</f>
        <v/>
      </c>
      <c r="EZ100" s="1122" t="s">
        <v>37</v>
      </c>
      <c r="FA100" s="1096" t="n">
        <f aca="false">FA99</f>
        <v>45</v>
      </c>
      <c r="FB100" s="1167" t="e">
        <f aca="false">IF(EZ100="No",IF((OR(MONTH(C100)=5,MONTH(C100)=6,MONTH(C100)=7,MONTH(C100)=8,MONTH(C100)=9)),$FA100*12*AX100*(1-$BC100),$FA100*10*AX100*(1-$BC100)),0)</f>
        <v>#VALUE!</v>
      </c>
      <c r="FC100" s="1129" t="e">
        <f aca="false">IF(EZ100="No",IF((OR(MONTH(C100)=5,MONTH(C100)=6,MONTH(C100)=7,MONTH(C100)=8,MONTH(C100)=9)),0,$FA100*3*AX100*(1-$BC100)),0)</f>
        <v>#VALUE!</v>
      </c>
      <c r="FD100" s="1129" t="e">
        <f aca="false">IF(EZ100="No",IF((OR(MONTH(C100)=5,MONTH(C100)=6,MONTH(C100)=7,MONTH(C100)=8,MONTH(C100)=9)),$FA100*12*AY100*(1-$BC100),$FA100*10*AY100*(1-$BC100)),0)</f>
        <v>#VALUE!</v>
      </c>
      <c r="FE100" s="1129" t="e">
        <f aca="false">IF(EZ100="No",IF((OR(MONTH(C100)=5,MONTH(C100)=6,MONTH(C100)=7,MONTH(C100)=8,MONTH(C100)=9)),0,$FA100*3*AY100*(1-$BC100)),0)</f>
        <v>#VALUE!</v>
      </c>
      <c r="FF100" s="1129" t="e">
        <f aca="false">IF(EZ100="No",IF((OR(MONTH(C100)=5,MONTH(C100)=6,MONTH(C100)=7,MONTH(C100)=8,MONTH(C100)=9)),$FA100*12*(AZ100+BA100)*(1-$BC100),$FA100*10*(AZ100+BA100)*(1-$BC100)),0)</f>
        <v>#VALUE!</v>
      </c>
      <c r="FG100" s="1129" t="e">
        <f aca="false">IF(EZ100="No",IF((OR(MONTH(C100)=5,MONTH(C100)=6,MONTH(C100)=7,MONTH(C100)=8,MONTH(C100)=9)),0,$FA100*3*(AZ100+BA100)*(1-$BC100)),0)</f>
        <v>#VALUE!</v>
      </c>
      <c r="FH100" s="1170" t="e">
        <f aca="false">IF(EZ100="No",IF((OR(MONTH(C100)=5,MONTH(C100)=6,MONTH(C100)=7,MONTH(C100)=8,MONTH(C100)=9)),Summary!$O$15*12*(AX100+AY100+AZ100+BA100)*(1-$BC100),Summary!$O$15*13*(AX100+AY100+AZ100+BA100)*(1-$BC100)+IF(Summary!$O$16="Yes",(CALC!FA100+Summary!$O$15)*6*(AX100+AY100+AZ100+BA100)*(1-$BC100),0)),0)</f>
        <v>#VALUE!</v>
      </c>
      <c r="FI100" s="1126" t="n">
        <f aca="false">IF(MONTH(C100)=5,FI99*(IF(Summary!$E$70="no",(1+(Summary!$E$71*0.8)),1+HLOOKUP(YEAR(C100)-1,CCFMODEL!$I$127:$AF$128,2)*0.8)),+FI99)</f>
        <v>31.4067767844223</v>
      </c>
      <c r="FJ100" s="1127" t="n">
        <f aca="false">IF(MONTH(C100)=5,FJ99*(IF(Summary!$E$70="no",(1+(Summary!$E$71*0.8)),1+HLOOKUP(YEAR(CALC!C100)-1,CCFMODEL!$I$127:$AF$128,2)*0.8)),FJ99)</f>
        <v>27.4500175044951</v>
      </c>
      <c r="FK100" s="1128" t="e">
        <f aca="false">SUM(FB100:FG100)*FI100+FH100*FJ100</f>
        <v>#VALUE!</v>
      </c>
      <c r="FL100" s="1126" t="n">
        <f aca="false">IF(MONTH(C100)=5,FL99*(IF(Summary!$E$70="no",(1+(Summary!$E$71*0.8)),1+HLOOKUP(YEAR(CALC!C100)-1,CCFMODEL!$I$127:$AF$128,2)*0.8)),+FL99)</f>
        <v>66.0519726223564</v>
      </c>
      <c r="FM100" s="1127" t="n">
        <f aca="false">IF(MONTH(C100)=5,FM99*(IF(Summary!$E$70="no",(1+(Summary!$E$71*0.8)),1+HLOOKUP(YEAR(CALC!C100)-1,CCFMODEL!$I$127:$AF$128,2)*0.8)),+FM99)</f>
        <v>31.5245374772773</v>
      </c>
      <c r="FN100" s="1128" t="e">
        <f aca="false">IF((OR(MONTH(C100)=5,MONTH(C100)=6,MONTH(C100)=7,MONTH(C100)=8,MONTH(C100)=9)),SUM(FB100:FG100)/(1-BC100)*FL100,SUM(FB100:FG100)/(1-BC100)*FM100)</f>
        <v>#VALUE!</v>
      </c>
      <c r="FO100" s="1129" t="e">
        <f aca="false">FK100+FN100</f>
        <v>#VALUE!</v>
      </c>
      <c r="FP100" s="1169" t="e">
        <f aca="false">FB100</f>
        <v>#VALUE!</v>
      </c>
      <c r="FQ100" s="1129" t="e">
        <f aca="false">FC100</f>
        <v>#VALUE!</v>
      </c>
      <c r="FR100" s="1129" t="e">
        <f aca="false">FD100</f>
        <v>#VALUE!</v>
      </c>
      <c r="FS100" s="1129" t="e">
        <f aca="false">FE100</f>
        <v>#VALUE!</v>
      </c>
      <c r="FT100" s="1129" t="e">
        <f aca="false">FF100</f>
        <v>#VALUE!</v>
      </c>
      <c r="FU100" s="1129" t="e">
        <f aca="false">FG100</f>
        <v>#VALUE!</v>
      </c>
      <c r="FV100" s="1170" t="e">
        <f aca="false">FH100</f>
        <v>#VALUE!</v>
      </c>
      <c r="FW100" s="1115" t="n">
        <f aca="false">IF(ER100&gt;0,MIN(FB100-FP100,BL100),0)</f>
        <v>0</v>
      </c>
      <c r="FX100" s="1115" t="n">
        <f aca="false">IF(ES100&gt;0,MIN(FD100-FR100,BM100),0)</f>
        <v>0</v>
      </c>
      <c r="FY100" s="1115" t="n">
        <f aca="false">IF(ET100&gt;0,MIN(FF100-FT100,BN100),0)</f>
        <v>0</v>
      </c>
      <c r="FZ100" s="1143" t="n">
        <f aca="false">IF(EU100&gt;0,MIN(FH100-FV100,BO100),0)</f>
        <v>0</v>
      </c>
      <c r="GA100" s="1132" t="e">
        <f aca="false">(SUM(FP100:FV100)+SUM(GU100:HB100)/(1-Summary!$O$25))*CY100/1000</f>
        <v>#VALUE!</v>
      </c>
      <c r="GB100" s="1133" t="n">
        <f aca="false">IF($C100&lt;Summary!$M$81,+Summary!$O$81,VLOOKUP(C100,GasTable,19))</f>
        <v>2.4</v>
      </c>
      <c r="GC100" s="1134" t="e">
        <f aca="false">IF(H100&lt;=Summary!$N$84,MIN(GA100,Summary!$O$75*(H100-G100+1)),0)</f>
        <v>#VALUE!</v>
      </c>
      <c r="GD100" s="1135" t="e">
        <f aca="false">IF(Summary!$O$75*(H100-G100+1)*0.8&gt;GC100,1,0)</f>
        <v>#VALUE!</v>
      </c>
      <c r="GE100" s="1136" t="n">
        <v>0</v>
      </c>
      <c r="GF100" s="1134" t="e">
        <f aca="false">ABS(MIN(0,GC100-$GA100))</f>
        <v>#VALUE!</v>
      </c>
      <c r="GG100" s="1135" t="e">
        <f aca="false">GF100*(IF(Summary!$O$74=1,VLOOKUP($C100,GasTable,16)+Summary!$O$92+Summary!$O$93,VLOOKUP($C100,GasTable,19)+Summary!$O$92+Summary!$O$93))</f>
        <v>#VALUE!</v>
      </c>
      <c r="GH100" s="1137" t="n">
        <v>19864.8</v>
      </c>
      <c r="GI100" s="1138" t="n">
        <v>0</v>
      </c>
      <c r="GJ100" s="1139" t="e">
        <f aca="false">+GB100*GC100+GE100+GG100+GH100-GI100</f>
        <v>#VALUE!</v>
      </c>
      <c r="GK100" s="1115" t="e">
        <f aca="false">SUM(FP100:FV100,GU100:GX100,GY100:HB100)</f>
        <v>#VALUE!</v>
      </c>
      <c r="GL100" s="1140" t="n">
        <v>0.762478974976</v>
      </c>
      <c r="GM100" s="1141" t="e">
        <f aca="false">IF(GK100&gt;GC100/(CY100/1000),GC100/(CY100/1000),+GK100)*GL100</f>
        <v>#VALUE!</v>
      </c>
      <c r="GN100" s="1115" t="n">
        <f aca="false">IF(SUM(GU100:HB100)=0,0,IF(Summary!$O$16="Yes",SUM(GX100:HB100),IF(Summary!$O$17="Yes",SUM(GY100:HB100),SUM(GU100:HB100))))</f>
        <v>12199.03785</v>
      </c>
      <c r="GO100" s="1142" t="n">
        <v>2.84127794457643</v>
      </c>
      <c r="GP100" s="1143" t="n">
        <f aca="false">GN100*GO100</f>
        <v>34660.8571882581</v>
      </c>
      <c r="GQ100" s="1115"/>
      <c r="GR100" s="1115"/>
      <c r="GS100" s="1115"/>
      <c r="GT100" s="1115"/>
      <c r="GU100" s="1150" t="n">
        <v>5132.835</v>
      </c>
      <c r="GV100" s="1115" t="n">
        <v>1283.20875</v>
      </c>
      <c r="GW100" s="1115" t="n">
        <v>1539.8505</v>
      </c>
      <c r="GX100" s="1115"/>
      <c r="GY100" s="1151" t="n">
        <v>2737.512</v>
      </c>
      <c r="GZ100" s="1115" t="n">
        <v>684.378</v>
      </c>
      <c r="HA100" s="1115" t="n">
        <v>821.2536</v>
      </c>
      <c r="HB100" s="1141"/>
      <c r="HC100" s="1115" t="n">
        <v>12199.03785</v>
      </c>
      <c r="HD100" s="1115"/>
      <c r="HE100" s="1115" t="n">
        <v>20950.521525</v>
      </c>
      <c r="HF100" s="1115" t="n">
        <v>514034.126818055</v>
      </c>
      <c r="HG100" s="1115"/>
      <c r="HH100" s="1142" t="n">
        <v>41.8653663677139</v>
      </c>
      <c r="HI100" s="1115" t="n">
        <v>877101.259238802</v>
      </c>
      <c r="HJ100" s="1150" t="e">
        <f aca="false">MAX(FB100-FP100-FW100,0)</f>
        <v>#VALUE!</v>
      </c>
      <c r="HK100" s="1115" t="e">
        <f aca="false">MAX(FD100-FR100-FX100,0)</f>
        <v>#VALUE!</v>
      </c>
      <c r="HL100" s="1115" t="e">
        <f aca="false">MAX(FF100-FT100-FY100,0)</f>
        <v>#VALUE!</v>
      </c>
      <c r="HM100" s="1141" t="e">
        <f aca="false">MAX(FH100-FV100-FZ100,0)</f>
        <v>#VALUE!</v>
      </c>
      <c r="HN100" s="1115" t="e">
        <f aca="false">SUM(HJ100:HM100)</f>
        <v>#VALUE!</v>
      </c>
      <c r="HO100" s="1142" t="n">
        <f aca="false">IF(ISERROR(+HP100/HN100),0,+HP100/HN100)</f>
        <v>0</v>
      </c>
      <c r="HP100" s="1143" t="e">
        <f aca="false">(HJ100*CE100+HK100*CF100+HL100*CG100+HM100*CH100)</f>
        <v>#VALUE!</v>
      </c>
      <c r="HQ100" s="1146"/>
      <c r="HR100" s="1150"/>
      <c r="HS100" s="1110"/>
      <c r="HT100" s="1141"/>
      <c r="HU100" s="1151"/>
      <c r="HV100" s="1142"/>
      <c r="HW100" s="1115"/>
      <c r="HX100" s="1149"/>
      <c r="HY100" s="1143"/>
      <c r="HZ100" s="1150"/>
      <c r="IA100" s="1142"/>
      <c r="IB100" s="1141"/>
      <c r="IC100" s="1151"/>
      <c r="ID100" s="1142"/>
      <c r="IE100" s="1141"/>
      <c r="IF100" s="1115"/>
      <c r="IG100" s="1142"/>
      <c r="IH100" s="1141"/>
      <c r="II100" s="1115"/>
      <c r="IJ100" s="1142"/>
      <c r="IK100" s="1115"/>
      <c r="IL100" s="1152"/>
      <c r="IM100" s="1192"/>
      <c r="IN100" s="1151"/>
      <c r="IO100" s="1151"/>
      <c r="IP100" s="1151"/>
      <c r="IQ100" s="1151"/>
      <c r="IR100" s="844"/>
    </row>
    <row r="101" customFormat="false" ht="13.5" hidden="false" customHeight="false" outlineLevel="0" collapsed="false">
      <c r="A101" s="0" t="str">
        <f aca="false">+D101&amp;"Q"&amp;ROUNDUP(E101/3,0)</f>
        <v>2007Q1</v>
      </c>
      <c r="B101" s="0" t="n">
        <f aca="false">YEAR(C101)</f>
        <v>2007</v>
      </c>
      <c r="C101" s="1153" t="n">
        <f aca="false">EOMONTH(C100,0)+1</f>
        <v>39083</v>
      </c>
      <c r="D101" s="841" t="n">
        <f aca="false">+YEAR(C101)</f>
        <v>2007</v>
      </c>
      <c r="E101" s="807" t="n">
        <f aca="false">MONTH(C101)</f>
        <v>1</v>
      </c>
      <c r="F101" s="1154" t="e">
        <f aca="false">IF(G101="","",Holiday(D101,E101))</f>
        <v>#VALUE!</v>
      </c>
      <c r="G101" s="1155" t="n">
        <v>39083</v>
      </c>
      <c r="H101" s="1156" t="n">
        <v>39113</v>
      </c>
      <c r="I101" s="1157" t="n">
        <f aca="false">I100</f>
        <v>0.0715</v>
      </c>
      <c r="J101" s="1158" t="n">
        <f aca="false">(1+I101/2)^(-2*(DATE(D102,E102,20)-$H$7)/365.25)</f>
        <v>0.603689077661131</v>
      </c>
      <c r="K101" s="1159"/>
      <c r="L101" s="1158"/>
      <c r="M101" s="1082" t="n">
        <v>0</v>
      </c>
      <c r="N101" s="1110" t="n">
        <f aca="false">M101</f>
        <v>0</v>
      </c>
      <c r="O101" s="1174" t="n">
        <f aca="false">N101</f>
        <v>0</v>
      </c>
      <c r="P101" s="1175" t="n">
        <f aca="false">M101</f>
        <v>0</v>
      </c>
      <c r="Q101" s="1110" t="n">
        <f aca="false">P101</f>
        <v>0</v>
      </c>
      <c r="R101" s="1174" t="n">
        <f aca="false">Q101</f>
        <v>0</v>
      </c>
      <c r="S101" s="1110" t="n">
        <f aca="false">R101</f>
        <v>0</v>
      </c>
      <c r="T101" s="1110" t="n">
        <f aca="false">S101</f>
        <v>0</v>
      </c>
      <c r="U101" s="1110" t="n">
        <f aca="false">T101</f>
        <v>0</v>
      </c>
      <c r="V101" s="1175" t="n">
        <f aca="false">U101</f>
        <v>0</v>
      </c>
      <c r="W101" s="1110" t="n">
        <f aca="false">V101</f>
        <v>0</v>
      </c>
      <c r="X101" s="1176" t="n">
        <f aca="false">W101</f>
        <v>0</v>
      </c>
      <c r="Y101" s="1086" t="n">
        <v>0</v>
      </c>
      <c r="Z101" s="1086" t="n">
        <v>0</v>
      </c>
      <c r="AA101" s="1087" t="n">
        <v>0</v>
      </c>
      <c r="AB101" s="1086" t="n">
        <v>0</v>
      </c>
      <c r="AC101" s="1086" t="n">
        <v>0</v>
      </c>
      <c r="AD101" s="1087" t="n">
        <v>0</v>
      </c>
      <c r="AE101" s="1086" t="n">
        <v>0</v>
      </c>
      <c r="AF101" s="1086" t="n">
        <v>0</v>
      </c>
      <c r="AG101" s="1087" t="n">
        <v>0</v>
      </c>
      <c r="AH101" s="1086" t="n">
        <v>0</v>
      </c>
      <c r="AI101" s="1086" t="n">
        <v>0</v>
      </c>
      <c r="AJ101" s="1087" t="n">
        <v>0</v>
      </c>
      <c r="AK101" s="1086" t="n">
        <v>0</v>
      </c>
      <c r="AL101" s="1086" t="n">
        <v>0</v>
      </c>
      <c r="AM101" s="1087" t="n">
        <v>0</v>
      </c>
      <c r="AN101" s="1086" t="n">
        <v>0</v>
      </c>
      <c r="AO101" s="1086" t="n">
        <v>0</v>
      </c>
      <c r="AP101" s="1087" t="n">
        <v>0</v>
      </c>
      <c r="AQ101" s="1086" t="n">
        <v>0</v>
      </c>
      <c r="AR101" s="1086" t="n">
        <v>0</v>
      </c>
      <c r="AS101" s="1087" t="n">
        <v>0</v>
      </c>
      <c r="AT101" s="1086" t="n">
        <v>0</v>
      </c>
      <c r="AU101" s="1086" t="n">
        <v>0</v>
      </c>
      <c r="AV101" s="1086" t="n">
        <v>0</v>
      </c>
      <c r="AW101" s="1172" t="n">
        <v>0</v>
      </c>
      <c r="AX101" s="807" t="e">
        <f aca="false">BB101-SUM(AY101:BA101)</f>
        <v>#VALUE!</v>
      </c>
      <c r="AY101" s="807" t="e">
        <f aca="false">IF(AND($E101=MONTH(Summary!$E$24),$D101=YEAR(Summary!$E$24)),Summary!$E$25,1)*IF(G101="",0,INT((H101-MOD(H101,7)-G101)/7)+1-IF(BA101,IF(WEEKDAY(F101)=7,1,0),0))</f>
        <v>#VALUE!</v>
      </c>
      <c r="AZ101" s="807" t="e">
        <f aca="false">IF(AND($E101=MONTH(Summary!$E$24),$D101=YEAR(Summary!$E$24)),Summary!$E$25,1)*IF(G101="",0,INT((H101-MOD(H101-1,7)-G101)/7)+1-IF(BA101,IF(WEEKDAY(F101)=1,1,0),0))</f>
        <v>#VALUE!</v>
      </c>
      <c r="BA101" s="807" t="n">
        <v>1</v>
      </c>
      <c r="BB101" s="807" t="n">
        <f aca="false">IF(AND($E101=MONTH(Summary!$E$24),$D101=YEAR(Summary!$E$24)),Summary!$E$25,1)*IF(G101="",0,H101-G101+1)</f>
        <v>31</v>
      </c>
      <c r="BC101" s="1089" t="n">
        <f aca="false">Summary!$E$19</f>
        <v>0.015</v>
      </c>
      <c r="BD101" s="1090" t="n">
        <v>15602.4</v>
      </c>
      <c r="BE101" s="1091" t="n">
        <v>2836.8</v>
      </c>
      <c r="BF101" s="1091" t="n">
        <v>3546</v>
      </c>
      <c r="BG101" s="842"/>
      <c r="BH101" s="1092" t="n">
        <v>1</v>
      </c>
      <c r="BI101" s="1092" t="n">
        <v>1</v>
      </c>
      <c r="BJ101" s="1092" t="n">
        <v>1</v>
      </c>
      <c r="BK101" s="1092" t="n">
        <v>1</v>
      </c>
      <c r="BL101" s="1093" t="n">
        <v>3120.48</v>
      </c>
      <c r="BM101" s="1091" t="n">
        <v>567.36</v>
      </c>
      <c r="BN101" s="1091" t="n">
        <v>709.2</v>
      </c>
      <c r="BO101" s="842"/>
      <c r="BP101" s="1092" t="n">
        <v>1</v>
      </c>
      <c r="BQ101" s="1094" t="n">
        <v>1</v>
      </c>
      <c r="BR101" s="1094" t="n">
        <v>1</v>
      </c>
      <c r="BS101" s="1095" t="n">
        <v>1</v>
      </c>
      <c r="BT101" s="1093" t="n">
        <f aca="false">SUM(BD101:BF101)</f>
        <v>21985.2</v>
      </c>
      <c r="BU101" s="1098" t="n">
        <f aca="false">SUM(BD101:BG101)</f>
        <v>21985.2</v>
      </c>
      <c r="BV101" s="1090" t="n">
        <f aca="false">SUM(BL101:BN101)</f>
        <v>4397.04</v>
      </c>
      <c r="BW101" s="1098" t="n">
        <f aca="false">SUM(BL101:BO101)</f>
        <v>4397.04</v>
      </c>
      <c r="BX101" s="852" t="n">
        <v>7.04722792607803</v>
      </c>
      <c r="BY101" s="1099" t="n">
        <v>0</v>
      </c>
      <c r="BZ101" s="852" t="n">
        <v>0</v>
      </c>
      <c r="CA101" s="852" t="n">
        <v>0</v>
      </c>
      <c r="CB101" s="852" t="n">
        <v>0</v>
      </c>
      <c r="CC101" s="852" t="n">
        <v>0</v>
      </c>
      <c r="CD101" s="852" t="n">
        <v>0</v>
      </c>
      <c r="CE101" s="1100" t="n">
        <v>0</v>
      </c>
      <c r="CF101" s="852" t="n">
        <v>0</v>
      </c>
      <c r="CG101" s="852" t="n">
        <v>0</v>
      </c>
      <c r="CH101" s="852" t="n">
        <v>0</v>
      </c>
      <c r="CI101" s="852" t="n">
        <v>0</v>
      </c>
      <c r="CJ101" s="1101" t="n">
        <v>0</v>
      </c>
      <c r="CK101" s="852" t="n">
        <v>0</v>
      </c>
      <c r="CL101" s="852" t="n">
        <v>0</v>
      </c>
      <c r="CM101" s="852" t="n">
        <v>0</v>
      </c>
      <c r="CN101" s="852" t="n">
        <v>0</v>
      </c>
      <c r="CO101" s="852" t="n">
        <v>0</v>
      </c>
      <c r="CP101" s="852" t="n">
        <v>0</v>
      </c>
      <c r="CQ101" s="1102" t="n">
        <v>0</v>
      </c>
      <c r="CR101" s="1103" t="n">
        <v>0</v>
      </c>
      <c r="CS101" s="1103" t="n">
        <v>0</v>
      </c>
      <c r="CT101" s="1103" t="n">
        <v>0</v>
      </c>
      <c r="CU101" s="1103" t="n">
        <v>0</v>
      </c>
      <c r="CV101" s="1103" t="n">
        <v>0</v>
      </c>
      <c r="CW101" s="1103" t="n">
        <v>0</v>
      </c>
      <c r="CX101" s="1104" t="n">
        <v>0</v>
      </c>
      <c r="CY101" s="1105" t="n">
        <v>7765.85456</v>
      </c>
      <c r="CZ101" s="1099" t="n">
        <v>0</v>
      </c>
      <c r="DA101" s="852" t="n">
        <v>0</v>
      </c>
      <c r="DB101" s="852" t="n">
        <v>0</v>
      </c>
      <c r="DC101" s="852" t="n">
        <v>0</v>
      </c>
      <c r="DD101" s="852" t="n">
        <v>0</v>
      </c>
      <c r="DE101" s="1113" t="n">
        <v>0</v>
      </c>
      <c r="DF101" s="1109" t="n">
        <v>0</v>
      </c>
      <c r="DG101" s="1110" t="n">
        <v>0</v>
      </c>
      <c r="DH101" s="1111" t="n">
        <v>0</v>
      </c>
      <c r="DI101" s="1112" t="n">
        <v>0</v>
      </c>
      <c r="DJ101" s="1112" t="n">
        <v>0</v>
      </c>
      <c r="DK101" s="1112" t="n">
        <v>0</v>
      </c>
      <c r="DL101" s="1113" t="n">
        <v>0</v>
      </c>
      <c r="DM101" s="1114" t="n">
        <v>0</v>
      </c>
      <c r="DN101" s="1114" t="n">
        <v>0</v>
      </c>
      <c r="DO101" s="1114" t="n">
        <v>0</v>
      </c>
      <c r="DP101" s="1114" t="n">
        <v>0</v>
      </c>
      <c r="DQ101" s="1114" t="n">
        <v>0</v>
      </c>
      <c r="DR101" s="1109" t="n">
        <v>0</v>
      </c>
      <c r="DS101" s="852" t="n">
        <v>0</v>
      </c>
      <c r="DT101" s="852" t="n">
        <v>0</v>
      </c>
      <c r="DU101" s="852" t="n">
        <v>0</v>
      </c>
      <c r="DV101" s="852" t="n">
        <v>0</v>
      </c>
      <c r="DW101" s="852" t="n">
        <v>0</v>
      </c>
      <c r="DX101" s="852" t="n">
        <v>0</v>
      </c>
      <c r="DY101" s="852" t="n">
        <v>0</v>
      </c>
      <c r="DZ101" s="852" t="n">
        <v>0</v>
      </c>
      <c r="EA101" s="852" t="n">
        <v>0</v>
      </c>
      <c r="EB101" s="1113" t="n">
        <v>0</v>
      </c>
      <c r="EC101" s="1115" t="n">
        <f aca="false">DS101*BD101</f>
        <v>0</v>
      </c>
      <c r="ED101" s="1115" t="n">
        <f aca="false">DT101*BE101</f>
        <v>0</v>
      </c>
      <c r="EE101" s="1115" t="n">
        <f aca="false">DU101*BF101</f>
        <v>0</v>
      </c>
      <c r="EF101" s="1115" t="n">
        <f aca="false">DV101*BG101</f>
        <v>0</v>
      </c>
      <c r="EG101" s="1115" t="n">
        <f aca="false">DS101*BD101+DT101*BE101+DU101*BF101+DV101*BG101</f>
        <v>0</v>
      </c>
      <c r="EH101" s="1116" t="n">
        <v>0</v>
      </c>
      <c r="EI101" s="1117" t="n">
        <v>0</v>
      </c>
      <c r="EJ101" s="1117" t="n">
        <v>0</v>
      </c>
      <c r="EK101" s="1117" t="n">
        <v>0</v>
      </c>
      <c r="EL101" s="1118" t="n">
        <f aca="false">IF(C101&gt;=Summary!$E$26,MAX(0,SUM(EH101:EK101)),0)</f>
        <v>0</v>
      </c>
      <c r="EM101" s="1115" t="n">
        <f aca="false">IF(C101&gt;=Summary!$E$26,DX101*BL101,0)</f>
        <v>0</v>
      </c>
      <c r="EN101" s="1115" t="n">
        <f aca="false">IF(C101&gt;=Summary!$E$26,DY101*BM101,0)</f>
        <v>0</v>
      </c>
      <c r="EO101" s="1115" t="n">
        <f aca="false">IF(C101&gt;=Summary!$E$26,DZ101*BN101,0)</f>
        <v>0</v>
      </c>
      <c r="EP101" s="1115" t="n">
        <f aca="false">IF(C101&gt;=Summary!$E$26,EA101*BO101,0)</f>
        <v>0</v>
      </c>
      <c r="EQ101" s="1115" t="n">
        <f aca="false">IF(C101&gt;=Summary!$E$26,DX101*BL101+DY101*BM101+DZ101*BN101+EA101*BO101,0)</f>
        <v>0</v>
      </c>
      <c r="ER101" s="1119" t="n">
        <v>0</v>
      </c>
      <c r="ES101" s="1120" t="n">
        <v>0</v>
      </c>
      <c r="ET101" s="1120" t="n">
        <v>0</v>
      </c>
      <c r="EU101" s="1120" t="n">
        <v>0</v>
      </c>
      <c r="EV101" s="1143" t="n">
        <f aca="false">IF(C101&gt;=Summary!$E$26,MAX(0,SUM(ER101:EU101)),0)</f>
        <v>0</v>
      </c>
      <c r="EW101" s="1115"/>
      <c r="EX101" s="1165" t="n">
        <f aca="false">(EQ101-EV101)+IF(EZ101="Yes",(EG101-EL101),0)</f>
        <v>0</v>
      </c>
      <c r="EY101" s="1166" t="str">
        <f aca="false">IF(EX101,EX101/EQ101,"")</f>
        <v/>
      </c>
      <c r="EZ101" s="1122" t="s">
        <v>37</v>
      </c>
      <c r="FA101" s="1096" t="n">
        <f aca="false">FA100</f>
        <v>45</v>
      </c>
      <c r="FB101" s="1167" t="e">
        <f aca="false">IF(EZ101="No",IF((OR(MONTH(C101)=5,MONTH(C101)=6,MONTH(C101)=7,MONTH(C101)=8,MONTH(C101)=9)),$FA101*12*AX101*(1-$BC101),$FA101*10*AX101*(1-$BC101)),0)</f>
        <v>#VALUE!</v>
      </c>
      <c r="FC101" s="1129" t="e">
        <f aca="false">IF(EZ101="No",IF((OR(MONTH(C101)=5,MONTH(C101)=6,MONTH(C101)=7,MONTH(C101)=8,MONTH(C101)=9)),0,$FA101*3*AX101*(1-$BC101)),0)</f>
        <v>#VALUE!</v>
      </c>
      <c r="FD101" s="1129" t="e">
        <f aca="false">IF(EZ101="No",IF((OR(MONTH(C101)=5,MONTH(C101)=6,MONTH(C101)=7,MONTH(C101)=8,MONTH(C101)=9)),$FA101*12*AY101*(1-$BC101),$FA101*10*AY101*(1-$BC101)),0)</f>
        <v>#VALUE!</v>
      </c>
      <c r="FE101" s="1129" t="e">
        <f aca="false">IF(EZ101="No",IF((OR(MONTH(C101)=5,MONTH(C101)=6,MONTH(C101)=7,MONTH(C101)=8,MONTH(C101)=9)),0,$FA101*3*AY101*(1-$BC101)),0)</f>
        <v>#VALUE!</v>
      </c>
      <c r="FF101" s="1129" t="e">
        <f aca="false">IF(EZ101="No",IF((OR(MONTH(C101)=5,MONTH(C101)=6,MONTH(C101)=7,MONTH(C101)=8,MONTH(C101)=9)),$FA101*12*(AZ101+BA101)*(1-$BC101),$FA101*10*(AZ101+BA101)*(1-$BC101)),0)</f>
        <v>#VALUE!</v>
      </c>
      <c r="FG101" s="1129" t="e">
        <f aca="false">IF(EZ101="No",IF((OR(MONTH(C101)=5,MONTH(C101)=6,MONTH(C101)=7,MONTH(C101)=8,MONTH(C101)=9)),0,$FA101*3*(AZ101+BA101)*(1-$BC101)),0)</f>
        <v>#VALUE!</v>
      </c>
      <c r="FH101" s="1170" t="e">
        <f aca="false">IF(EZ101="No",IF((OR(MONTH(C101)=5,MONTH(C101)=6,MONTH(C101)=7,MONTH(C101)=8,MONTH(C101)=9)),Summary!$O$15*12*(AX101+AY101+AZ101+BA101)*(1-$BC101),Summary!$O$15*13*(AX101+AY101+AZ101+BA101)*(1-$BC101)+IF(Summary!$O$16="Yes",(CALC!FA101+Summary!$O$15)*6*(AX101+AY101+AZ101+BA101)*(1-$BC101),0)),0)</f>
        <v>#VALUE!</v>
      </c>
      <c r="FI101" s="1126" t="n">
        <f aca="false">IF(MONTH(C101)=5,FI100*(IF(Summary!$E$70="no",(1+(Summary!$E$71*0.8)),1+HLOOKUP(YEAR(C101)-1,CCFMODEL!$I$127:$AF$128,2)*0.8)),+FI100)</f>
        <v>31.4067767844223</v>
      </c>
      <c r="FJ101" s="1127" t="n">
        <f aca="false">IF(MONTH(C101)=5,FJ100*(IF(Summary!$E$70="no",(1+(Summary!$E$71*0.8)),1+HLOOKUP(YEAR(CALC!C101)-1,CCFMODEL!$I$127:$AF$128,2)*0.8)),FJ100)</f>
        <v>27.4500175044951</v>
      </c>
      <c r="FK101" s="1128" t="e">
        <f aca="false">SUM(FB101:FG101)*FI101+FH101*FJ101</f>
        <v>#VALUE!</v>
      </c>
      <c r="FL101" s="1126" t="n">
        <f aca="false">IF(MONTH(C101)=5,FL100*(IF(Summary!$E$70="no",(1+(Summary!$E$71*0.8)),1+HLOOKUP(YEAR(CALC!C101)-1,CCFMODEL!$I$127:$AF$128,2)*0.8)),+FL100)</f>
        <v>66.0519726223564</v>
      </c>
      <c r="FM101" s="1127" t="n">
        <f aca="false">IF(MONTH(C101)=5,FM100*(IF(Summary!$E$70="no",(1+(Summary!$E$71*0.8)),1+HLOOKUP(YEAR(CALC!C101)-1,CCFMODEL!$I$127:$AF$128,2)*0.8)),+FM100)</f>
        <v>31.5245374772773</v>
      </c>
      <c r="FN101" s="1128" t="e">
        <f aca="false">IF((OR(MONTH(C101)=5,MONTH(C101)=6,MONTH(C101)=7,MONTH(C101)=8,MONTH(C101)=9)),SUM(FB101:FG101)/(1-BC101)*FL101,SUM(FB101:FG101)/(1-BC101)*FM101)</f>
        <v>#VALUE!</v>
      </c>
      <c r="FO101" s="1129" t="e">
        <f aca="false">FK101+FN101</f>
        <v>#VALUE!</v>
      </c>
      <c r="FP101" s="1169" t="e">
        <f aca="false">FB101</f>
        <v>#VALUE!</v>
      </c>
      <c r="FQ101" s="1129" t="e">
        <f aca="false">FC101</f>
        <v>#VALUE!</v>
      </c>
      <c r="FR101" s="1129" t="e">
        <f aca="false">FD101</f>
        <v>#VALUE!</v>
      </c>
      <c r="FS101" s="1129" t="e">
        <f aca="false">FE101</f>
        <v>#VALUE!</v>
      </c>
      <c r="FT101" s="1129" t="e">
        <f aca="false">FF101</f>
        <v>#VALUE!</v>
      </c>
      <c r="FU101" s="1129" t="e">
        <f aca="false">FG101</f>
        <v>#VALUE!</v>
      </c>
      <c r="FV101" s="1170" t="e">
        <f aca="false">FH101</f>
        <v>#VALUE!</v>
      </c>
      <c r="FW101" s="1115" t="n">
        <f aca="false">IF(ER101&gt;0,MIN(FB101-FP101,BL101),0)</f>
        <v>0</v>
      </c>
      <c r="FX101" s="1115" t="n">
        <f aca="false">IF(ES101&gt;0,MIN(FD101-FR101,BM101),0)</f>
        <v>0</v>
      </c>
      <c r="FY101" s="1115" t="n">
        <f aca="false">IF(ET101&gt;0,MIN(FF101-FT101,BN101),0)</f>
        <v>0</v>
      </c>
      <c r="FZ101" s="1143" t="n">
        <f aca="false">IF(EU101&gt;0,MIN(FH101-FV101,BO101),0)</f>
        <v>0</v>
      </c>
      <c r="GA101" s="1132" t="e">
        <f aca="false">(SUM(FP101:FV101)+SUM(GU101:HB101)/(1-Summary!$O$25))*CY101/1000</f>
        <v>#VALUE!</v>
      </c>
      <c r="GB101" s="1133" t="n">
        <f aca="false">IF($C101&lt;Summary!$M$81,+Summary!$O$81,VLOOKUP(C101,GasTable,19))</f>
        <v>2.4</v>
      </c>
      <c r="GC101" s="1134" t="e">
        <f aca="false">IF(H101&lt;=Summary!$N$84,MIN(GA101,Summary!$O$75*(H101-G101+1)),0)</f>
        <v>#VALUE!</v>
      </c>
      <c r="GD101" s="1135" t="e">
        <f aca="false">IF(Summary!$O$75*(H101-G101+1)*0.8&gt;GC101,1,0)</f>
        <v>#VALUE!</v>
      </c>
      <c r="GE101" s="1136" t="n">
        <v>0</v>
      </c>
      <c r="GF101" s="1134" t="e">
        <f aca="false">ABS(MIN(0,GC101-$GA101))</f>
        <v>#VALUE!</v>
      </c>
      <c r="GG101" s="1135" t="e">
        <f aca="false">GF101*(IF(Summary!$O$74=1,VLOOKUP($C101,GasTable,16)+Summary!$O$92+Summary!$O$93,VLOOKUP($C101,GasTable,19)+Summary!$O$92+Summary!$O$93))</f>
        <v>#VALUE!</v>
      </c>
      <c r="GH101" s="1137" t="n">
        <v>20770</v>
      </c>
      <c r="GI101" s="1138" t="n">
        <v>0</v>
      </c>
      <c r="GJ101" s="1139" t="e">
        <f aca="false">+GB101*GC101+GE101+GG101+GH101-GI101</f>
        <v>#VALUE!</v>
      </c>
      <c r="GK101" s="1115" t="e">
        <f aca="false">SUM(FP101:FV101,GU101:GX101,GY101:HB101)</f>
        <v>#VALUE!</v>
      </c>
      <c r="GL101" s="1140" t="n">
        <v>0.762606917792</v>
      </c>
      <c r="GM101" s="1141" t="e">
        <f aca="false">IF(GK101&gt;GC101/(CY101/1000),GC101/(CY101/1000),+GK101)*GL101</f>
        <v>#VALUE!</v>
      </c>
      <c r="GN101" s="1115" t="n">
        <f aca="false">IF(SUM(GU101:HB101)=0,0,IF(Summary!$O$16="Yes",SUM(GX101:HB101),IF(Summary!$O$17="Yes",SUM(GY101:HB101),SUM(GU101:HB101))))</f>
        <v>12199.03785</v>
      </c>
      <c r="GO101" s="1142" t="n">
        <v>2.92651628291373</v>
      </c>
      <c r="GP101" s="1143" t="n">
        <f aca="false">GN101*GO101</f>
        <v>35700.6829039059</v>
      </c>
      <c r="GQ101" s="1115"/>
      <c r="GR101" s="1115"/>
      <c r="GS101" s="1115"/>
      <c r="GT101" s="1115"/>
      <c r="GU101" s="1150" t="n">
        <v>5646.1185</v>
      </c>
      <c r="GV101" s="1115" t="n">
        <v>1026.567</v>
      </c>
      <c r="GW101" s="1115" t="n">
        <v>1283.20875</v>
      </c>
      <c r="GX101" s="1115"/>
      <c r="GY101" s="1151" t="n">
        <v>3011.2632</v>
      </c>
      <c r="GZ101" s="1115" t="n">
        <v>547.5024</v>
      </c>
      <c r="HA101" s="1115" t="n">
        <v>684.378</v>
      </c>
      <c r="HB101" s="1141"/>
      <c r="HC101" s="1115" t="n">
        <v>12199.03785</v>
      </c>
      <c r="HD101" s="1115"/>
      <c r="HE101" s="1115" t="n">
        <v>20950.521525</v>
      </c>
      <c r="HF101" s="1115" t="n">
        <v>505571.431641981</v>
      </c>
      <c r="HG101" s="1115"/>
      <c r="HH101" s="1142" t="n">
        <v>41.1261904200783</v>
      </c>
      <c r="HI101" s="1115" t="n">
        <v>861615.1376371</v>
      </c>
      <c r="HJ101" s="1150" t="e">
        <f aca="false">MAX(FB101-FP101-FW101,0)</f>
        <v>#VALUE!</v>
      </c>
      <c r="HK101" s="1115" t="e">
        <f aca="false">MAX(FD101-FR101-FX101,0)</f>
        <v>#VALUE!</v>
      </c>
      <c r="HL101" s="1115" t="e">
        <f aca="false">MAX(FF101-FT101-FY101,0)</f>
        <v>#VALUE!</v>
      </c>
      <c r="HM101" s="1141" t="e">
        <f aca="false">MAX(FH101-FV101-FZ101,0)</f>
        <v>#VALUE!</v>
      </c>
      <c r="HN101" s="1115" t="e">
        <f aca="false">SUM(HJ101:HM101)</f>
        <v>#VALUE!</v>
      </c>
      <c r="HO101" s="1142" t="n">
        <f aca="false">IF(ISERROR(+HP101/HN101),0,+HP101/HN101)</f>
        <v>0</v>
      </c>
      <c r="HP101" s="1143" t="e">
        <f aca="false">(HJ101*CE101+HK101*CF101+HL101*CG101+HM101*CH101)</f>
        <v>#VALUE!</v>
      </c>
      <c r="HQ101" s="1146"/>
      <c r="HR101" s="1150"/>
      <c r="HS101" s="1110"/>
      <c r="HT101" s="1141"/>
      <c r="HU101" s="1151"/>
      <c r="HV101" s="1142"/>
      <c r="HW101" s="1115"/>
      <c r="HX101" s="1149"/>
      <c r="HY101" s="1143"/>
      <c r="HZ101" s="1150"/>
      <c r="IA101" s="1142"/>
      <c r="IB101" s="1141"/>
      <c r="IC101" s="1151"/>
      <c r="ID101" s="1142"/>
      <c r="IE101" s="1141"/>
      <c r="IF101" s="1115"/>
      <c r="IG101" s="1142"/>
      <c r="IH101" s="1141"/>
      <c r="II101" s="1115"/>
      <c r="IJ101" s="1142"/>
      <c r="IK101" s="1115"/>
      <c r="IL101" s="1152"/>
      <c r="IM101" s="1192"/>
      <c r="IN101" s="1151"/>
      <c r="IO101" s="1151"/>
      <c r="IP101" s="1151"/>
      <c r="IQ101" s="1151"/>
      <c r="IR101" s="844"/>
    </row>
    <row r="102" customFormat="false" ht="13.5" hidden="false" customHeight="false" outlineLevel="0" collapsed="false">
      <c r="A102" s="0" t="str">
        <f aca="false">+D102&amp;"Q"&amp;ROUNDUP(E102/3,0)</f>
        <v>2007Q1</v>
      </c>
      <c r="B102" s="0" t="n">
        <f aca="false">YEAR(C102)</f>
        <v>2007</v>
      </c>
      <c r="C102" s="1153" t="n">
        <f aca="false">EOMONTH(C101,0)+1</f>
        <v>39114</v>
      </c>
      <c r="D102" s="841" t="n">
        <f aca="false">+YEAR(C102)</f>
        <v>2007</v>
      </c>
      <c r="E102" s="807" t="n">
        <f aca="false">MONTH(C102)</f>
        <v>2</v>
      </c>
      <c r="F102" s="1154" t="e">
        <f aca="false">IF(G102="","",Holiday(D102,E102))</f>
        <v>#VALUE!</v>
      </c>
      <c r="G102" s="1155" t="n">
        <v>39114</v>
      </c>
      <c r="H102" s="1156" t="n">
        <v>39141</v>
      </c>
      <c r="I102" s="1157" t="n">
        <f aca="false">I101</f>
        <v>0.0715</v>
      </c>
      <c r="J102" s="1158" t="n">
        <f aca="false">(1+I102/2)^(-2*(DATE(D103,E103,20)-$H$7)/365.25)</f>
        <v>0.600446663756794</v>
      </c>
      <c r="K102" s="1159"/>
      <c r="L102" s="1158"/>
      <c r="M102" s="1082" t="n">
        <v>0</v>
      </c>
      <c r="N102" s="1110" t="n">
        <f aca="false">M102</f>
        <v>0</v>
      </c>
      <c r="O102" s="1174" t="n">
        <f aca="false">N102</f>
        <v>0</v>
      </c>
      <c r="P102" s="1175" t="n">
        <f aca="false">M102</f>
        <v>0</v>
      </c>
      <c r="Q102" s="1110" t="n">
        <f aca="false">P102</f>
        <v>0</v>
      </c>
      <c r="R102" s="1174" t="n">
        <f aca="false">Q102</f>
        <v>0</v>
      </c>
      <c r="S102" s="1110" t="n">
        <f aca="false">R102</f>
        <v>0</v>
      </c>
      <c r="T102" s="1110" t="n">
        <f aca="false">S102</f>
        <v>0</v>
      </c>
      <c r="U102" s="1110" t="n">
        <f aca="false">T102</f>
        <v>0</v>
      </c>
      <c r="V102" s="1175" t="n">
        <f aca="false">U102</f>
        <v>0</v>
      </c>
      <c r="W102" s="1110" t="n">
        <f aca="false">V102</f>
        <v>0</v>
      </c>
      <c r="X102" s="1176" t="n">
        <f aca="false">W102</f>
        <v>0</v>
      </c>
      <c r="Y102" s="1086" t="n">
        <v>0</v>
      </c>
      <c r="Z102" s="1086" t="n">
        <v>0</v>
      </c>
      <c r="AA102" s="1087" t="n">
        <v>0</v>
      </c>
      <c r="AB102" s="1086" t="n">
        <v>0</v>
      </c>
      <c r="AC102" s="1086" t="n">
        <v>0</v>
      </c>
      <c r="AD102" s="1087" t="n">
        <v>0</v>
      </c>
      <c r="AE102" s="1086" t="n">
        <v>0</v>
      </c>
      <c r="AF102" s="1086" t="n">
        <v>0</v>
      </c>
      <c r="AG102" s="1087" t="n">
        <v>0</v>
      </c>
      <c r="AH102" s="1086" t="n">
        <v>0</v>
      </c>
      <c r="AI102" s="1086" t="n">
        <v>0</v>
      </c>
      <c r="AJ102" s="1087" t="n">
        <v>0</v>
      </c>
      <c r="AK102" s="1086" t="n">
        <v>0</v>
      </c>
      <c r="AL102" s="1086" t="n">
        <v>0</v>
      </c>
      <c r="AM102" s="1087" t="n">
        <v>0</v>
      </c>
      <c r="AN102" s="1086" t="n">
        <v>0</v>
      </c>
      <c r="AO102" s="1086" t="n">
        <v>0</v>
      </c>
      <c r="AP102" s="1087" t="n">
        <v>0</v>
      </c>
      <c r="AQ102" s="1086" t="n">
        <v>0</v>
      </c>
      <c r="AR102" s="1086" t="n">
        <v>0</v>
      </c>
      <c r="AS102" s="1087" t="n">
        <v>0</v>
      </c>
      <c r="AT102" s="1086" t="n">
        <v>0</v>
      </c>
      <c r="AU102" s="1086" t="n">
        <v>0</v>
      </c>
      <c r="AV102" s="1086" t="n">
        <v>0</v>
      </c>
      <c r="AW102" s="1172" t="n">
        <v>0</v>
      </c>
      <c r="AX102" s="807" t="n">
        <f aca="false">BB102-SUM(AY102:BA102)</f>
        <v>20</v>
      </c>
      <c r="AY102" s="807" t="n">
        <f aca="false">IF(AND($E102=MONTH(Summary!$E$24),$D102=YEAR(Summary!$E$24)),Summary!$E$25,1)*IF(G102="",0,INT((H102-MOD(H102,7)-G102)/7)+1-IF(BA102,IF(WEEKDAY(F102)=7,1,0),0))</f>
        <v>4</v>
      </c>
      <c r="AZ102" s="807" t="n">
        <f aca="false">IF(AND($E102=MONTH(Summary!$E$24),$D102=YEAR(Summary!$E$24)),Summary!$E$25,1)*IF(G102="",0,INT((H102-MOD(H102-1,7)-G102)/7)+1-IF(BA102,IF(WEEKDAY(F102)=1,1,0),0))</f>
        <v>4</v>
      </c>
      <c r="BA102" s="807" t="n">
        <v>0</v>
      </c>
      <c r="BB102" s="807" t="n">
        <f aca="false">IF(AND($E102=MONTH(Summary!$E$24),$D102=YEAR(Summary!$E$24)),Summary!$E$25,1)*IF(G102="",0,H102-G102+1)</f>
        <v>28</v>
      </c>
      <c r="BC102" s="1089" t="n">
        <f aca="false">Summary!$E$19</f>
        <v>0.015</v>
      </c>
      <c r="BD102" s="1090" t="n">
        <v>14184</v>
      </c>
      <c r="BE102" s="1091" t="n">
        <v>2836.8</v>
      </c>
      <c r="BF102" s="1091" t="n">
        <v>2836.8</v>
      </c>
      <c r="BG102" s="842"/>
      <c r="BH102" s="1092" t="n">
        <v>1</v>
      </c>
      <c r="BI102" s="1092" t="n">
        <v>1</v>
      </c>
      <c r="BJ102" s="1092" t="n">
        <v>1</v>
      </c>
      <c r="BK102" s="1092" t="n">
        <v>1</v>
      </c>
      <c r="BL102" s="1093" t="n">
        <v>2836.8</v>
      </c>
      <c r="BM102" s="1091" t="n">
        <v>567.36</v>
      </c>
      <c r="BN102" s="1091" t="n">
        <v>567.36</v>
      </c>
      <c r="BO102" s="842"/>
      <c r="BP102" s="1092" t="n">
        <v>1</v>
      </c>
      <c r="BQ102" s="1094" t="n">
        <v>1</v>
      </c>
      <c r="BR102" s="1094" t="n">
        <v>1</v>
      </c>
      <c r="BS102" s="1095" t="n">
        <v>1</v>
      </c>
      <c r="BT102" s="1093" t="n">
        <f aca="false">SUM(BD102:BF102)</f>
        <v>19857.6</v>
      </c>
      <c r="BU102" s="1098" t="n">
        <f aca="false">SUM(BD102:BG102)</f>
        <v>19857.6</v>
      </c>
      <c r="BV102" s="1090" t="n">
        <f aca="false">SUM(BL102:BN102)</f>
        <v>3971.52</v>
      </c>
      <c r="BW102" s="1098" t="n">
        <f aca="false">SUM(BL102:BO102)</f>
        <v>3971.52</v>
      </c>
      <c r="BX102" s="852" t="n">
        <v>7.13210130047912</v>
      </c>
      <c r="BY102" s="1099" t="n">
        <v>0</v>
      </c>
      <c r="BZ102" s="852" t="n">
        <v>0</v>
      </c>
      <c r="CA102" s="852" t="n">
        <v>0</v>
      </c>
      <c r="CB102" s="852" t="n">
        <v>0</v>
      </c>
      <c r="CC102" s="852" t="n">
        <v>0</v>
      </c>
      <c r="CD102" s="852" t="n">
        <v>0</v>
      </c>
      <c r="CE102" s="1100" t="n">
        <v>0</v>
      </c>
      <c r="CF102" s="852" t="n">
        <v>0</v>
      </c>
      <c r="CG102" s="852" t="n">
        <v>0</v>
      </c>
      <c r="CH102" s="852" t="n">
        <v>0</v>
      </c>
      <c r="CI102" s="852" t="n">
        <v>0</v>
      </c>
      <c r="CJ102" s="1101" t="n">
        <v>0</v>
      </c>
      <c r="CK102" s="852" t="n">
        <v>0</v>
      </c>
      <c r="CL102" s="852" t="n">
        <v>0</v>
      </c>
      <c r="CM102" s="852" t="n">
        <v>0</v>
      </c>
      <c r="CN102" s="852" t="n">
        <v>0</v>
      </c>
      <c r="CO102" s="852" t="n">
        <v>0</v>
      </c>
      <c r="CP102" s="852" t="n">
        <v>0</v>
      </c>
      <c r="CQ102" s="1102" t="n">
        <v>0</v>
      </c>
      <c r="CR102" s="1103" t="n">
        <v>0</v>
      </c>
      <c r="CS102" s="1103" t="n">
        <v>0</v>
      </c>
      <c r="CT102" s="1103" t="n">
        <v>0</v>
      </c>
      <c r="CU102" s="1103" t="n">
        <v>0</v>
      </c>
      <c r="CV102" s="1103" t="n">
        <v>0</v>
      </c>
      <c r="CW102" s="1103" t="n">
        <v>0</v>
      </c>
      <c r="CX102" s="1104" t="n">
        <v>0</v>
      </c>
      <c r="CY102" s="1105" t="n">
        <v>7767.15744</v>
      </c>
      <c r="CZ102" s="1099" t="n">
        <v>0</v>
      </c>
      <c r="DA102" s="852" t="n">
        <v>0</v>
      </c>
      <c r="DB102" s="852" t="n">
        <v>0</v>
      </c>
      <c r="DC102" s="852" t="n">
        <v>0</v>
      </c>
      <c r="DD102" s="852" t="n">
        <v>0</v>
      </c>
      <c r="DE102" s="1113" t="n">
        <v>0</v>
      </c>
      <c r="DF102" s="1109" t="n">
        <v>0</v>
      </c>
      <c r="DG102" s="1110" t="n">
        <v>0</v>
      </c>
      <c r="DH102" s="1111" t="n">
        <v>0</v>
      </c>
      <c r="DI102" s="1112" t="n">
        <v>0</v>
      </c>
      <c r="DJ102" s="1112" t="n">
        <v>0</v>
      </c>
      <c r="DK102" s="1112" t="n">
        <v>0</v>
      </c>
      <c r="DL102" s="1113" t="n">
        <v>0</v>
      </c>
      <c r="DM102" s="1114" t="n">
        <v>0</v>
      </c>
      <c r="DN102" s="1114" t="n">
        <v>0</v>
      </c>
      <c r="DO102" s="1114" t="n">
        <v>0</v>
      </c>
      <c r="DP102" s="1114" t="n">
        <v>0</v>
      </c>
      <c r="DQ102" s="1114" t="n">
        <v>0</v>
      </c>
      <c r="DR102" s="1109" t="n">
        <v>0</v>
      </c>
      <c r="DS102" s="852" t="n">
        <v>0</v>
      </c>
      <c r="DT102" s="852" t="n">
        <v>0</v>
      </c>
      <c r="DU102" s="852" t="n">
        <v>0</v>
      </c>
      <c r="DV102" s="852" t="n">
        <v>0</v>
      </c>
      <c r="DW102" s="852" t="n">
        <v>0</v>
      </c>
      <c r="DX102" s="852" t="n">
        <v>0</v>
      </c>
      <c r="DY102" s="852" t="n">
        <v>0</v>
      </c>
      <c r="DZ102" s="852" t="n">
        <v>0</v>
      </c>
      <c r="EA102" s="852" t="n">
        <v>0</v>
      </c>
      <c r="EB102" s="1113" t="n">
        <v>0</v>
      </c>
      <c r="EC102" s="1115" t="n">
        <f aca="false">DS102*BD102</f>
        <v>0</v>
      </c>
      <c r="ED102" s="1115" t="n">
        <f aca="false">DT102*BE102</f>
        <v>0</v>
      </c>
      <c r="EE102" s="1115" t="n">
        <f aca="false">DU102*BF102</f>
        <v>0</v>
      </c>
      <c r="EF102" s="1115" t="n">
        <f aca="false">DV102*BG102</f>
        <v>0</v>
      </c>
      <c r="EG102" s="1115" t="n">
        <f aca="false">DS102*BD102+DT102*BE102+DU102*BF102+DV102*BG102</f>
        <v>0</v>
      </c>
      <c r="EH102" s="1116" t="n">
        <v>0</v>
      </c>
      <c r="EI102" s="1117" t="n">
        <v>0</v>
      </c>
      <c r="EJ102" s="1117" t="n">
        <v>0</v>
      </c>
      <c r="EK102" s="1117" t="n">
        <v>0</v>
      </c>
      <c r="EL102" s="1118" t="n">
        <f aca="false">IF(C102&gt;=Summary!$E$26,MAX(0,SUM(EH102:EK102)),0)</f>
        <v>0</v>
      </c>
      <c r="EM102" s="1115" t="n">
        <f aca="false">IF(C102&gt;=Summary!$E$26,DX102*BL102,0)</f>
        <v>0</v>
      </c>
      <c r="EN102" s="1115" t="n">
        <f aca="false">IF(C102&gt;=Summary!$E$26,DY102*BM102,0)</f>
        <v>0</v>
      </c>
      <c r="EO102" s="1115" t="n">
        <f aca="false">IF(C102&gt;=Summary!$E$26,DZ102*BN102,0)</f>
        <v>0</v>
      </c>
      <c r="EP102" s="1115" t="n">
        <f aca="false">IF(C102&gt;=Summary!$E$26,EA102*BO102,0)</f>
        <v>0</v>
      </c>
      <c r="EQ102" s="1115" t="n">
        <f aca="false">IF(C102&gt;=Summary!$E$26,DX102*BL102+DY102*BM102+DZ102*BN102+EA102*BO102,0)</f>
        <v>0</v>
      </c>
      <c r="ER102" s="1119" t="n">
        <v>0</v>
      </c>
      <c r="ES102" s="1120" t="n">
        <v>0</v>
      </c>
      <c r="ET102" s="1120" t="n">
        <v>0</v>
      </c>
      <c r="EU102" s="1120" t="n">
        <v>0</v>
      </c>
      <c r="EV102" s="1143" t="n">
        <f aca="false">IF(C102&gt;=Summary!$E$26,MAX(0,SUM(ER102:EU102)),0)</f>
        <v>0</v>
      </c>
      <c r="EW102" s="1115"/>
      <c r="EX102" s="1165" t="n">
        <f aca="false">(EQ102-EV102)+IF(EZ102="Yes",(EG102-EL102),0)</f>
        <v>0</v>
      </c>
      <c r="EY102" s="1166" t="str">
        <f aca="false">IF(EX102,EX102/EQ102,"")</f>
        <v/>
      </c>
      <c r="EZ102" s="1122" t="s">
        <v>37</v>
      </c>
      <c r="FA102" s="1096" t="n">
        <f aca="false">FA101</f>
        <v>45</v>
      </c>
      <c r="FB102" s="1167" t="n">
        <f aca="false">IF(EZ102="No",IF((OR(MONTH(C102)=5,MONTH(C102)=6,MONTH(C102)=7,MONTH(C102)=8,MONTH(C102)=9)),$FA102*12*AX102*(1-$BC102),$FA102*10*AX102*(1-$BC102)),0)</f>
        <v>8865</v>
      </c>
      <c r="FC102" s="1129" t="n">
        <f aca="false">IF(EZ102="No",IF((OR(MONTH(C102)=5,MONTH(C102)=6,MONTH(C102)=7,MONTH(C102)=8,MONTH(C102)=9)),0,$FA102*3*AX102*(1-$BC102)),0)</f>
        <v>2659.5</v>
      </c>
      <c r="FD102" s="1129" t="n">
        <f aca="false">IF(EZ102="No",IF((OR(MONTH(C102)=5,MONTH(C102)=6,MONTH(C102)=7,MONTH(C102)=8,MONTH(C102)=9)),$FA102*12*AY102*(1-$BC102),$FA102*10*AY102*(1-$BC102)),0)</f>
        <v>1773</v>
      </c>
      <c r="FE102" s="1129" t="n">
        <f aca="false">IF(EZ102="No",IF((OR(MONTH(C102)=5,MONTH(C102)=6,MONTH(C102)=7,MONTH(C102)=8,MONTH(C102)=9)),0,$FA102*3*AY102*(1-$BC102)),0)</f>
        <v>531.9</v>
      </c>
      <c r="FF102" s="1129" t="n">
        <f aca="false">IF(EZ102="No",IF((OR(MONTH(C102)=5,MONTH(C102)=6,MONTH(C102)=7,MONTH(C102)=8,MONTH(C102)=9)),$FA102*12*(AZ102+BA102)*(1-$BC102),$FA102*10*(AZ102+BA102)*(1-$BC102)),0)</f>
        <v>1773</v>
      </c>
      <c r="FG102" s="1129" t="n">
        <f aca="false">IF(EZ102="No",IF((OR(MONTH(C102)=5,MONTH(C102)=6,MONTH(C102)=7,MONTH(C102)=8,MONTH(C102)=9)),0,$FA102*3*(AZ102+BA102)*(1-$BC102)),0)</f>
        <v>531.9</v>
      </c>
      <c r="FH102" s="1170" t="n">
        <f aca="false">IF(EZ102="No",IF((OR(MONTH(C102)=5,MONTH(C102)=6,MONTH(C102)=7,MONTH(C102)=8,MONTH(C102)=9)),Summary!$O$15*12*(AX102+AY102+AZ102+BA102)*(1-$BC102),Summary!$O$15*13*(AX102+AY102+AZ102+BA102)*(1-$BC102)+IF(Summary!$O$16="Yes",(CALC!FA102+Summary!$O$15)*6*(AX102+AY102+AZ102+BA102)*(1-$BC102),0)),0)</f>
        <v>0</v>
      </c>
      <c r="FI102" s="1126" t="n">
        <f aca="false">IF(MONTH(C102)=5,FI101*(IF(Summary!$E$70="no",(1+(Summary!$E$71*0.8)),1+HLOOKUP(YEAR(C102)-1,CCFMODEL!$I$127:$AF$128,2)*0.8)),+FI101)</f>
        <v>31.4067767844223</v>
      </c>
      <c r="FJ102" s="1127" t="n">
        <f aca="false">IF(MONTH(C102)=5,FJ101*(IF(Summary!$E$70="no",(1+(Summary!$E$71*0.8)),1+HLOOKUP(YEAR(CALC!C102)-1,CCFMODEL!$I$127:$AF$128,2)*0.8)),FJ101)</f>
        <v>27.4500175044951</v>
      </c>
      <c r="FK102" s="1128" t="n">
        <f aca="false">SUM(FB102:FG102)*FI102+FH102*FJ102</f>
        <v>506726.358672905</v>
      </c>
      <c r="FL102" s="1126" t="n">
        <f aca="false">IF(MONTH(C102)=5,FL101*(IF(Summary!$E$70="no",(1+(Summary!$E$71*0.8)),1+HLOOKUP(YEAR(CALC!C102)-1,CCFMODEL!$I$127:$AF$128,2)*0.8)),+FL101)</f>
        <v>66.0519726223564</v>
      </c>
      <c r="FM102" s="1127" t="n">
        <f aca="false">IF(MONTH(C102)=5,FM101*(IF(Summary!$E$70="no",(1+(Summary!$E$71*0.8)),1+HLOOKUP(YEAR(CALC!C102)-1,CCFMODEL!$I$127:$AF$128,2)*0.8)),+FM101)</f>
        <v>31.5245374772773</v>
      </c>
      <c r="FN102" s="1128" t="n">
        <f aca="false">IF((OR(MONTH(C102)=5,MONTH(C102)=6,MONTH(C102)=7,MONTH(C102)=8,MONTH(C102)=9)),SUM(FB102:FG102)/(1-BC102)*FL102,SUM(FB102:FG102)/(1-BC102)*FM102)</f>
        <v>516371.923877802</v>
      </c>
      <c r="FO102" s="1129" t="n">
        <f aca="false">FK102+FN102</f>
        <v>1023098.28255071</v>
      </c>
      <c r="FP102" s="1169" t="n">
        <f aca="false">FB102</f>
        <v>8865</v>
      </c>
      <c r="FQ102" s="1129" t="n">
        <f aca="false">FC102</f>
        <v>2659.5</v>
      </c>
      <c r="FR102" s="1129" t="n">
        <f aca="false">FD102</f>
        <v>1773</v>
      </c>
      <c r="FS102" s="1129" t="n">
        <f aca="false">FE102</f>
        <v>531.9</v>
      </c>
      <c r="FT102" s="1129" t="n">
        <f aca="false">FF102</f>
        <v>1773</v>
      </c>
      <c r="FU102" s="1129" t="n">
        <f aca="false">FG102</f>
        <v>531.9</v>
      </c>
      <c r="FV102" s="1170" t="n">
        <f aca="false">FH102</f>
        <v>0</v>
      </c>
      <c r="FW102" s="1115" t="n">
        <f aca="false">IF(ER102&gt;0,MIN(FB102-FP102,BL102),0)</f>
        <v>0</v>
      </c>
      <c r="FX102" s="1115" t="n">
        <f aca="false">IF(ES102&gt;0,MIN(FD102-FR102,BM102),0)</f>
        <v>0</v>
      </c>
      <c r="FY102" s="1115" t="n">
        <f aca="false">IF(ET102&gt;0,MIN(FF102-FT102,BN102),0)</f>
        <v>0</v>
      </c>
      <c r="FZ102" s="1143" t="n">
        <f aca="false">IF(EU102&gt;0,MIN(FH102-FV102,BO102),0)</f>
        <v>0</v>
      </c>
      <c r="GA102" s="1132" t="n">
        <f aca="false">(SUM(FP102:FV102)+SUM(GU102:HB102)/(1-Summary!$O$25))*CY102/1000</f>
        <v>214003.983993005</v>
      </c>
      <c r="GB102" s="1133" t="n">
        <f aca="false">IF($C102&lt;Summary!$M$81,+Summary!$O$81,VLOOKUP(C102,GasTable,19))</f>
        <v>2.4</v>
      </c>
      <c r="GC102" s="1134" t="n">
        <f aca="false">IF(H102&lt;=Summary!$N$84,MIN(GA102,Summary!$O$75*(H102-G102+1)),0)</f>
        <v>140000</v>
      </c>
      <c r="GD102" s="1135" t="n">
        <f aca="false">IF(Summary!$O$75*(H102-G102+1)*0.8&gt;GC102,1,0)</f>
        <v>0</v>
      </c>
      <c r="GE102" s="1136" t="n">
        <v>0</v>
      </c>
      <c r="GF102" s="1134" t="n">
        <f aca="false">ABS(MIN(0,GC102-$GA102))</f>
        <v>74003.9839930048</v>
      </c>
      <c r="GG102" s="1135" t="n">
        <f aca="false">GF102*(IF(Summary!$O$74=1,VLOOKUP($C102,GasTable,16)+Summary!$O$92+Summary!$O$93,VLOOKUP($C102,GasTable,19)+Summary!$O$92+Summary!$O$93))</f>
        <v>225624.856609497</v>
      </c>
      <c r="GH102" s="1137" t="n">
        <v>18121.6</v>
      </c>
      <c r="GI102" s="1138" t="n">
        <v>0</v>
      </c>
      <c r="GJ102" s="1139" t="n">
        <f aca="false">+GB102*GC102+GE102+GG102+GH102-GI102</f>
        <v>579746.456609497</v>
      </c>
      <c r="GK102" s="1115" t="n">
        <f aca="false">SUM(FP102:FV102,GU102:GX102,GY102:HB102)</f>
        <v>27152.7858</v>
      </c>
      <c r="GL102" s="1140" t="n">
        <v>0.762734860608</v>
      </c>
      <c r="GM102" s="1141" t="n">
        <f aca="false">IF(GK102&gt;GC102/(CY102/1000),GC102/(CY102/1000),+GK102)*GL102</f>
        <v>13748</v>
      </c>
      <c r="GN102" s="1115" t="n">
        <f aca="false">IF(SUM(GU102:HB102)=0,0,IF(Summary!$O$16="Yes",SUM(GX102:HB102),IF(Summary!$O$17="Yes",SUM(GY102:HB102),SUM(GU102:HB102))))</f>
        <v>11018.4858</v>
      </c>
      <c r="GO102" s="1142" t="n">
        <v>2.92651628291373</v>
      </c>
      <c r="GP102" s="1143" t="n">
        <f aca="false">GN102*GO102</f>
        <v>32245.7781067537</v>
      </c>
      <c r="GQ102" s="1115"/>
      <c r="GR102" s="1115"/>
      <c r="GS102" s="1115"/>
      <c r="GT102" s="1115"/>
      <c r="GU102" s="1150" t="n">
        <v>5132.835</v>
      </c>
      <c r="GV102" s="1115" t="n">
        <v>1026.567</v>
      </c>
      <c r="GW102" s="1115" t="n">
        <v>1026.567</v>
      </c>
      <c r="GX102" s="1115"/>
      <c r="GY102" s="1151" t="n">
        <v>2737.512</v>
      </c>
      <c r="GZ102" s="1115" t="n">
        <v>547.5024</v>
      </c>
      <c r="HA102" s="1115" t="n">
        <v>547.5024</v>
      </c>
      <c r="HB102" s="1141"/>
      <c r="HC102" s="1115" t="n">
        <v>11018.4858</v>
      </c>
      <c r="HD102" s="1115"/>
      <c r="HE102" s="1115" t="n">
        <v>18923.0517</v>
      </c>
      <c r="HF102" s="1115" t="n">
        <v>386987.403510184</v>
      </c>
      <c r="HG102" s="1115"/>
      <c r="HH102" s="1142" t="n">
        <v>34.8594350897755</v>
      </c>
      <c r="HI102" s="1115" t="n">
        <v>659646.892436615</v>
      </c>
      <c r="HJ102" s="1150" t="n">
        <f aca="false">MAX(FB102-FP102-FW102,0)</f>
        <v>0</v>
      </c>
      <c r="HK102" s="1115" t="n">
        <f aca="false">MAX(FD102-FR102-FX102,0)</f>
        <v>0</v>
      </c>
      <c r="HL102" s="1115" t="n">
        <f aca="false">MAX(FF102-FT102-FY102,0)</f>
        <v>0</v>
      </c>
      <c r="HM102" s="1141" t="n">
        <f aca="false">MAX(FH102-FV102-FZ102,0)</f>
        <v>0</v>
      </c>
      <c r="HN102" s="1115" t="n">
        <f aca="false">SUM(HJ102:HM102)</f>
        <v>0</v>
      </c>
      <c r="HO102" s="1142" t="n">
        <f aca="false">IF(ISERROR(+HP102/HN102),0,+HP102/HN102)</f>
        <v>0</v>
      </c>
      <c r="HP102" s="1143" t="n">
        <f aca="false">(HJ102*CE102+HK102*CF102+HL102*CG102+HM102*CH102)</f>
        <v>0</v>
      </c>
      <c r="HQ102" s="1146"/>
      <c r="HR102" s="1150"/>
      <c r="HS102" s="1110"/>
      <c r="HT102" s="1141"/>
      <c r="HU102" s="1151"/>
      <c r="HV102" s="1142"/>
      <c r="HW102" s="1115"/>
      <c r="HX102" s="1149"/>
      <c r="HY102" s="1143"/>
      <c r="HZ102" s="1150"/>
      <c r="IA102" s="1142"/>
      <c r="IB102" s="1141"/>
      <c r="IC102" s="1151"/>
      <c r="ID102" s="1142"/>
      <c r="IE102" s="1141"/>
      <c r="IF102" s="1115"/>
      <c r="IG102" s="1142"/>
      <c r="IH102" s="1141"/>
      <c r="II102" s="1115"/>
      <c r="IJ102" s="1142"/>
      <c r="IK102" s="1115"/>
      <c r="IL102" s="1152"/>
      <c r="IM102" s="1192"/>
      <c r="IN102" s="1151"/>
      <c r="IO102" s="1151"/>
      <c r="IP102" s="1151"/>
      <c r="IQ102" s="1151"/>
      <c r="IR102" s="844"/>
    </row>
    <row r="103" customFormat="false" ht="13.5" hidden="false" customHeight="false" outlineLevel="0" collapsed="false">
      <c r="A103" s="0" t="str">
        <f aca="false">+D103&amp;"Q"&amp;ROUNDUP(E103/3,0)</f>
        <v>2007Q1</v>
      </c>
      <c r="B103" s="0" t="n">
        <f aca="false">YEAR(C103)</f>
        <v>2007</v>
      </c>
      <c r="C103" s="1153" t="n">
        <f aca="false">EOMONTH(C102,0)+1</f>
        <v>39142</v>
      </c>
      <c r="D103" s="841" t="n">
        <f aca="false">+YEAR(C103)</f>
        <v>2007</v>
      </c>
      <c r="E103" s="807" t="n">
        <f aca="false">MONTH(C103)</f>
        <v>3</v>
      </c>
      <c r="F103" s="1154" t="e">
        <f aca="false">IF(G103="","",Holiday(D103,E103))</f>
        <v>#VALUE!</v>
      </c>
      <c r="G103" s="1155" t="n">
        <v>39142</v>
      </c>
      <c r="H103" s="1156" t="n">
        <v>39172</v>
      </c>
      <c r="I103" s="1157" t="n">
        <f aca="false">I102</f>
        <v>0.0715</v>
      </c>
      <c r="J103" s="1158" t="n">
        <f aca="false">(1+I103/2)^(-2*(DATE(D104,E104,20)-$H$7)/365.25)</f>
        <v>0.596877158264333</v>
      </c>
      <c r="K103" s="1159"/>
      <c r="L103" s="1158"/>
      <c r="M103" s="1082" t="n">
        <v>0</v>
      </c>
      <c r="N103" s="1110" t="n">
        <f aca="false">M103</f>
        <v>0</v>
      </c>
      <c r="O103" s="1174" t="n">
        <f aca="false">N103</f>
        <v>0</v>
      </c>
      <c r="P103" s="1175" t="n">
        <f aca="false">M103</f>
        <v>0</v>
      </c>
      <c r="Q103" s="1110" t="n">
        <f aca="false">P103</f>
        <v>0</v>
      </c>
      <c r="R103" s="1174" t="n">
        <f aca="false">Q103</f>
        <v>0</v>
      </c>
      <c r="S103" s="1110" t="n">
        <f aca="false">R103</f>
        <v>0</v>
      </c>
      <c r="T103" s="1110" t="n">
        <f aca="false">S103</f>
        <v>0</v>
      </c>
      <c r="U103" s="1110" t="n">
        <f aca="false">T103</f>
        <v>0</v>
      </c>
      <c r="V103" s="1175" t="n">
        <f aca="false">U103</f>
        <v>0</v>
      </c>
      <c r="W103" s="1110" t="n">
        <f aca="false">V103</f>
        <v>0</v>
      </c>
      <c r="X103" s="1176" t="n">
        <f aca="false">W103</f>
        <v>0</v>
      </c>
      <c r="Y103" s="1086" t="n">
        <v>0</v>
      </c>
      <c r="Z103" s="1086" t="n">
        <v>0</v>
      </c>
      <c r="AA103" s="1087" t="n">
        <v>0</v>
      </c>
      <c r="AB103" s="1086" t="n">
        <v>0</v>
      </c>
      <c r="AC103" s="1086" t="n">
        <v>0</v>
      </c>
      <c r="AD103" s="1087" t="n">
        <v>0</v>
      </c>
      <c r="AE103" s="1086" t="n">
        <v>0</v>
      </c>
      <c r="AF103" s="1086" t="n">
        <v>0</v>
      </c>
      <c r="AG103" s="1087" t="n">
        <v>0</v>
      </c>
      <c r="AH103" s="1086" t="n">
        <v>0</v>
      </c>
      <c r="AI103" s="1086" t="n">
        <v>0</v>
      </c>
      <c r="AJ103" s="1087" t="n">
        <v>0</v>
      </c>
      <c r="AK103" s="1086" t="n">
        <v>0</v>
      </c>
      <c r="AL103" s="1086" t="n">
        <v>0</v>
      </c>
      <c r="AM103" s="1087" t="n">
        <v>0</v>
      </c>
      <c r="AN103" s="1086" t="n">
        <v>0</v>
      </c>
      <c r="AO103" s="1086" t="n">
        <v>0</v>
      </c>
      <c r="AP103" s="1087" t="n">
        <v>0</v>
      </c>
      <c r="AQ103" s="1086" t="n">
        <v>0</v>
      </c>
      <c r="AR103" s="1086" t="n">
        <v>0</v>
      </c>
      <c r="AS103" s="1087" t="n">
        <v>0</v>
      </c>
      <c r="AT103" s="1086" t="n">
        <v>0</v>
      </c>
      <c r="AU103" s="1086" t="n">
        <v>0</v>
      </c>
      <c r="AV103" s="1086" t="n">
        <v>0</v>
      </c>
      <c r="AW103" s="1172" t="n">
        <v>0</v>
      </c>
      <c r="AX103" s="807" t="n">
        <f aca="false">BB103-SUM(AY103:BA103)</f>
        <v>22</v>
      </c>
      <c r="AY103" s="807" t="n">
        <f aca="false">IF(AND($E103=MONTH(Summary!$E$24),$D103=YEAR(Summary!$E$24)),Summary!$E$25,1)*IF(G103="",0,INT((H103-MOD(H103,7)-G103)/7)+1-IF(BA103,IF(WEEKDAY(F103)=7,1,0),0))</f>
        <v>5</v>
      </c>
      <c r="AZ103" s="807" t="n">
        <f aca="false">IF(AND($E103=MONTH(Summary!$E$24),$D103=YEAR(Summary!$E$24)),Summary!$E$25,1)*IF(G103="",0,INT((H103-MOD(H103-1,7)-G103)/7)+1-IF(BA103,IF(WEEKDAY(F103)=1,1,0),0))</f>
        <v>4</v>
      </c>
      <c r="BA103" s="807" t="n">
        <v>0</v>
      </c>
      <c r="BB103" s="807" t="n">
        <f aca="false">IF(AND($E103=MONTH(Summary!$E$24),$D103=YEAR(Summary!$E$24)),Summary!$E$25,1)*IF(G103="",0,H103-G103+1)</f>
        <v>31</v>
      </c>
      <c r="BC103" s="1089" t="n">
        <f aca="false">Summary!$E$19</f>
        <v>0.015</v>
      </c>
      <c r="BD103" s="1090" t="n">
        <v>15602.4</v>
      </c>
      <c r="BE103" s="1091" t="n">
        <v>3546</v>
      </c>
      <c r="BF103" s="1091" t="n">
        <v>2836.8</v>
      </c>
      <c r="BG103" s="842"/>
      <c r="BH103" s="1092" t="n">
        <v>1</v>
      </c>
      <c r="BI103" s="1092" t="n">
        <v>1</v>
      </c>
      <c r="BJ103" s="1092" t="n">
        <v>1</v>
      </c>
      <c r="BK103" s="1092" t="n">
        <v>1</v>
      </c>
      <c r="BL103" s="1093" t="n">
        <v>3120.48</v>
      </c>
      <c r="BM103" s="1091" t="n">
        <v>709.2</v>
      </c>
      <c r="BN103" s="1091" t="n">
        <v>567.36</v>
      </c>
      <c r="BO103" s="842"/>
      <c r="BP103" s="1092" t="n">
        <v>1</v>
      </c>
      <c r="BQ103" s="1094" t="n">
        <v>1</v>
      </c>
      <c r="BR103" s="1094" t="n">
        <v>1</v>
      </c>
      <c r="BS103" s="1095" t="n">
        <v>1</v>
      </c>
      <c r="BT103" s="1093" t="n">
        <f aca="false">SUM(BD103:BF103)</f>
        <v>21985.2</v>
      </c>
      <c r="BU103" s="1098" t="n">
        <f aca="false">SUM(BD103:BG103)</f>
        <v>21985.2</v>
      </c>
      <c r="BV103" s="1090" t="n">
        <f aca="false">SUM(BL103:BN103)</f>
        <v>4397.04</v>
      </c>
      <c r="BW103" s="1098" t="n">
        <f aca="false">SUM(BL103:BO103)</f>
        <v>4397.04</v>
      </c>
      <c r="BX103" s="852" t="n">
        <v>7.20876112251882</v>
      </c>
      <c r="BY103" s="1099" t="n">
        <v>0</v>
      </c>
      <c r="BZ103" s="852" t="n">
        <v>0</v>
      </c>
      <c r="CA103" s="852" t="n">
        <v>0</v>
      </c>
      <c r="CB103" s="852" t="n">
        <v>0</v>
      </c>
      <c r="CC103" s="852" t="n">
        <v>0</v>
      </c>
      <c r="CD103" s="852" t="n">
        <v>0</v>
      </c>
      <c r="CE103" s="1100" t="n">
        <v>0</v>
      </c>
      <c r="CF103" s="852" t="n">
        <v>0</v>
      </c>
      <c r="CG103" s="852" t="n">
        <v>0</v>
      </c>
      <c r="CH103" s="852" t="n">
        <v>0</v>
      </c>
      <c r="CI103" s="852" t="n">
        <v>0</v>
      </c>
      <c r="CJ103" s="1101" t="n">
        <v>0</v>
      </c>
      <c r="CK103" s="852" t="n">
        <v>0</v>
      </c>
      <c r="CL103" s="852" t="n">
        <v>0</v>
      </c>
      <c r="CM103" s="852" t="n">
        <v>0</v>
      </c>
      <c r="CN103" s="852" t="n">
        <v>0</v>
      </c>
      <c r="CO103" s="852" t="n">
        <v>0</v>
      </c>
      <c r="CP103" s="852" t="n">
        <v>0</v>
      </c>
      <c r="CQ103" s="1102" t="n">
        <v>0</v>
      </c>
      <c r="CR103" s="1103" t="n">
        <v>0</v>
      </c>
      <c r="CS103" s="1103" t="n">
        <v>0</v>
      </c>
      <c r="CT103" s="1103" t="n">
        <v>0</v>
      </c>
      <c r="CU103" s="1103" t="n">
        <v>0</v>
      </c>
      <c r="CV103" s="1103" t="n">
        <v>0</v>
      </c>
      <c r="CW103" s="1103" t="n">
        <v>0</v>
      </c>
      <c r="CX103" s="1104" t="n">
        <v>0</v>
      </c>
      <c r="CY103" s="1105" t="n">
        <v>7768.46032</v>
      </c>
      <c r="CZ103" s="1099" t="n">
        <v>0</v>
      </c>
      <c r="DA103" s="852" t="n">
        <v>0</v>
      </c>
      <c r="DB103" s="852" t="n">
        <v>0</v>
      </c>
      <c r="DC103" s="852" t="n">
        <v>0</v>
      </c>
      <c r="DD103" s="852" t="n">
        <v>0</v>
      </c>
      <c r="DE103" s="1113" t="n">
        <v>0</v>
      </c>
      <c r="DF103" s="1109" t="n">
        <v>0</v>
      </c>
      <c r="DG103" s="1110" t="n">
        <v>0</v>
      </c>
      <c r="DH103" s="1111" t="n">
        <v>0</v>
      </c>
      <c r="DI103" s="1112" t="n">
        <v>0</v>
      </c>
      <c r="DJ103" s="1112" t="n">
        <v>0</v>
      </c>
      <c r="DK103" s="1112" t="n">
        <v>0</v>
      </c>
      <c r="DL103" s="1113" t="n">
        <v>0</v>
      </c>
      <c r="DM103" s="1114" t="n">
        <v>0</v>
      </c>
      <c r="DN103" s="1114" t="n">
        <v>0</v>
      </c>
      <c r="DO103" s="1114" t="n">
        <v>0</v>
      </c>
      <c r="DP103" s="1114" t="n">
        <v>0</v>
      </c>
      <c r="DQ103" s="1114" t="n">
        <v>0</v>
      </c>
      <c r="DR103" s="1109" t="n">
        <v>0</v>
      </c>
      <c r="DS103" s="852" t="n">
        <v>0</v>
      </c>
      <c r="DT103" s="852" t="n">
        <v>0</v>
      </c>
      <c r="DU103" s="852" t="n">
        <v>0</v>
      </c>
      <c r="DV103" s="852" t="n">
        <v>0</v>
      </c>
      <c r="DW103" s="852" t="n">
        <v>0</v>
      </c>
      <c r="DX103" s="852" t="n">
        <v>0</v>
      </c>
      <c r="DY103" s="852" t="n">
        <v>0</v>
      </c>
      <c r="DZ103" s="852" t="n">
        <v>0</v>
      </c>
      <c r="EA103" s="852" t="n">
        <v>0</v>
      </c>
      <c r="EB103" s="1113" t="n">
        <v>0</v>
      </c>
      <c r="EC103" s="1115" t="n">
        <f aca="false">DS103*BD103</f>
        <v>0</v>
      </c>
      <c r="ED103" s="1115" t="n">
        <f aca="false">DT103*BE103</f>
        <v>0</v>
      </c>
      <c r="EE103" s="1115" t="n">
        <f aca="false">DU103*BF103</f>
        <v>0</v>
      </c>
      <c r="EF103" s="1115" t="n">
        <f aca="false">DV103*BG103</f>
        <v>0</v>
      </c>
      <c r="EG103" s="1115" t="n">
        <f aca="false">DS103*BD103+DT103*BE103+DU103*BF103+DV103*BG103</f>
        <v>0</v>
      </c>
      <c r="EH103" s="1116" t="n">
        <v>0</v>
      </c>
      <c r="EI103" s="1117" t="n">
        <v>0</v>
      </c>
      <c r="EJ103" s="1117" t="n">
        <v>0</v>
      </c>
      <c r="EK103" s="1117" t="n">
        <v>0</v>
      </c>
      <c r="EL103" s="1118" t="n">
        <f aca="false">IF(C103&gt;=Summary!$E$26,MAX(0,SUM(EH103:EK103)),0)</f>
        <v>0</v>
      </c>
      <c r="EM103" s="1115" t="n">
        <f aca="false">IF(C103&gt;=Summary!$E$26,DX103*BL103,0)</f>
        <v>0</v>
      </c>
      <c r="EN103" s="1115" t="n">
        <f aca="false">IF(C103&gt;=Summary!$E$26,DY103*BM103,0)</f>
        <v>0</v>
      </c>
      <c r="EO103" s="1115" t="n">
        <f aca="false">IF(C103&gt;=Summary!$E$26,DZ103*BN103,0)</f>
        <v>0</v>
      </c>
      <c r="EP103" s="1115" t="n">
        <f aca="false">IF(C103&gt;=Summary!$E$26,EA103*BO103,0)</f>
        <v>0</v>
      </c>
      <c r="EQ103" s="1115" t="n">
        <f aca="false">IF(C103&gt;=Summary!$E$26,DX103*BL103+DY103*BM103+DZ103*BN103+EA103*BO103,0)</f>
        <v>0</v>
      </c>
      <c r="ER103" s="1119" t="n">
        <v>0</v>
      </c>
      <c r="ES103" s="1120" t="n">
        <v>0</v>
      </c>
      <c r="ET103" s="1120" t="n">
        <v>0</v>
      </c>
      <c r="EU103" s="1120" t="n">
        <v>0</v>
      </c>
      <c r="EV103" s="1143" t="n">
        <f aca="false">IF(C103&gt;=Summary!$E$26,MAX(0,SUM(ER103:EU103)),0)</f>
        <v>0</v>
      </c>
      <c r="EW103" s="1115"/>
      <c r="EX103" s="1165" t="n">
        <f aca="false">(EQ103-EV103)+IF(EZ103="Yes",(EG103-EL103),0)</f>
        <v>0</v>
      </c>
      <c r="EY103" s="1166" t="str">
        <f aca="false">IF(EX103,EX103/EQ103,"")</f>
        <v/>
      </c>
      <c r="EZ103" s="1122" t="s">
        <v>37</v>
      </c>
      <c r="FA103" s="1096" t="n">
        <f aca="false">FA102</f>
        <v>45</v>
      </c>
      <c r="FB103" s="1167" t="n">
        <f aca="false">IF(EZ103="No",IF((OR(MONTH(C103)=5,MONTH(C103)=6,MONTH(C103)=7,MONTH(C103)=8,MONTH(C103)=9)),$FA103*12*AX103*(1-$BC103),$FA103*10*AX103*(1-$BC103)),0)</f>
        <v>9751.5</v>
      </c>
      <c r="FC103" s="1129" t="n">
        <f aca="false">IF(EZ103="No",IF((OR(MONTH(C103)=5,MONTH(C103)=6,MONTH(C103)=7,MONTH(C103)=8,MONTH(C103)=9)),0,$FA103*3*AX103*(1-$BC103)),0)</f>
        <v>2925.45</v>
      </c>
      <c r="FD103" s="1129" t="n">
        <f aca="false">IF(EZ103="No",IF((OR(MONTH(C103)=5,MONTH(C103)=6,MONTH(C103)=7,MONTH(C103)=8,MONTH(C103)=9)),$FA103*12*AY103*(1-$BC103),$FA103*10*AY103*(1-$BC103)),0)</f>
        <v>2216.25</v>
      </c>
      <c r="FE103" s="1129" t="n">
        <f aca="false">IF(EZ103="No",IF((OR(MONTH(C103)=5,MONTH(C103)=6,MONTH(C103)=7,MONTH(C103)=8,MONTH(C103)=9)),0,$FA103*3*AY103*(1-$BC103)),0)</f>
        <v>664.875</v>
      </c>
      <c r="FF103" s="1129" t="n">
        <f aca="false">IF(EZ103="No",IF((OR(MONTH(C103)=5,MONTH(C103)=6,MONTH(C103)=7,MONTH(C103)=8,MONTH(C103)=9)),$FA103*12*(AZ103+BA103)*(1-$BC103),$FA103*10*(AZ103+BA103)*(1-$BC103)),0)</f>
        <v>1773</v>
      </c>
      <c r="FG103" s="1129" t="n">
        <f aca="false">IF(EZ103="No",IF((OR(MONTH(C103)=5,MONTH(C103)=6,MONTH(C103)=7,MONTH(C103)=8,MONTH(C103)=9)),0,$FA103*3*(AZ103+BA103)*(1-$BC103)),0)</f>
        <v>531.9</v>
      </c>
      <c r="FH103" s="1170" t="n">
        <f aca="false">IF(EZ103="No",IF((OR(MONTH(C103)=5,MONTH(C103)=6,MONTH(C103)=7,MONTH(C103)=8,MONTH(C103)=9)),Summary!$O$15*12*(AX103+AY103+AZ103+BA103)*(1-$BC103),Summary!$O$15*13*(AX103+AY103+AZ103+BA103)*(1-$BC103)+IF(Summary!$O$16="Yes",(CALC!FA103+Summary!$O$15)*6*(AX103+AY103+AZ103+BA103)*(1-$BC103),0)),0)</f>
        <v>0</v>
      </c>
      <c r="FI103" s="1126" t="n">
        <f aca="false">IF(MONTH(C103)=5,FI102*(IF(Summary!$E$70="no",(1+(Summary!$E$71*0.8)),1+HLOOKUP(YEAR(C103)-1,CCFMODEL!$I$127:$AF$128,2)*0.8)),+FI102)</f>
        <v>31.4067767844223</v>
      </c>
      <c r="FJ103" s="1127" t="n">
        <f aca="false">IF(MONTH(C103)=5,FJ102*(IF(Summary!$E$70="no",(1+(Summary!$E$71*0.8)),1+HLOOKUP(YEAR(CALC!C103)-1,CCFMODEL!$I$127:$AF$128,2)*0.8)),FJ102)</f>
        <v>27.4500175044951</v>
      </c>
      <c r="FK103" s="1128" t="n">
        <f aca="false">SUM(FB103:FG103)*FI103+FH103*FJ103</f>
        <v>561018.468530716</v>
      </c>
      <c r="FL103" s="1126" t="n">
        <f aca="false">IF(MONTH(C103)=5,FL102*(IF(Summary!$E$70="no",(1+(Summary!$E$71*0.8)),1+HLOOKUP(YEAR(CALC!C103)-1,CCFMODEL!$I$127:$AF$128,2)*0.8)),+FL102)</f>
        <v>66.0519726223564</v>
      </c>
      <c r="FM103" s="1127" t="n">
        <f aca="false">IF(MONTH(C103)=5,FM102*(IF(Summary!$E$70="no",(1+(Summary!$E$71*0.8)),1+HLOOKUP(YEAR(CALC!C103)-1,CCFMODEL!$I$127:$AF$128,2)*0.8)),+FM102)</f>
        <v>31.5245374772773</v>
      </c>
      <c r="FN103" s="1128" t="n">
        <f aca="false">IF((OR(MONTH(C103)=5,MONTH(C103)=6,MONTH(C103)=7,MONTH(C103)=8,MONTH(C103)=9)),SUM(FB103:FG103)/(1-BC103)*FL103,SUM(FB103:FG103)/(1-BC103)*FM103)</f>
        <v>571697.487150424</v>
      </c>
      <c r="FO103" s="1129" t="n">
        <f aca="false">FK103+FN103</f>
        <v>1132715.95568114</v>
      </c>
      <c r="FP103" s="1169" t="n">
        <f aca="false">FB103</f>
        <v>9751.5</v>
      </c>
      <c r="FQ103" s="1129" t="n">
        <f aca="false">FC103</f>
        <v>2925.45</v>
      </c>
      <c r="FR103" s="1129" t="n">
        <f aca="false">FD103</f>
        <v>2216.25</v>
      </c>
      <c r="FS103" s="1129" t="n">
        <f aca="false">FE103</f>
        <v>664.875</v>
      </c>
      <c r="FT103" s="1129" t="n">
        <f aca="false">FF103</f>
        <v>1773</v>
      </c>
      <c r="FU103" s="1129" t="n">
        <f aca="false">FG103</f>
        <v>531.9</v>
      </c>
      <c r="FV103" s="1170" t="n">
        <f aca="false">FH103</f>
        <v>0</v>
      </c>
      <c r="FW103" s="1115" t="n">
        <f aca="false">IF(ER103&gt;0,MIN(FB103-FP103,BL103),0)</f>
        <v>0</v>
      </c>
      <c r="FX103" s="1115" t="n">
        <f aca="false">IF(ES103&gt;0,MIN(FD103-FR103,BM103),0)</f>
        <v>0</v>
      </c>
      <c r="FY103" s="1115" t="n">
        <f aca="false">IF(ET103&gt;0,MIN(FF103-FT103,BN103),0)</f>
        <v>0</v>
      </c>
      <c r="FZ103" s="1143" t="n">
        <f aca="false">IF(EU103&gt;0,MIN(FH103-FV103,BO103),0)</f>
        <v>0</v>
      </c>
      <c r="GA103" s="1132" t="n">
        <f aca="false">(SUM(FP103:FV103)+SUM(GU103:HB103)/(1-Summary!$O$25))*CY103/1000</f>
        <v>236972.725935329</v>
      </c>
      <c r="GB103" s="1133" t="n">
        <f aca="false">IF($C103&lt;Summary!$M$81,+Summary!$O$81,VLOOKUP(C103,GasTable,19))</f>
        <v>2.4</v>
      </c>
      <c r="GC103" s="1134" t="n">
        <f aca="false">IF(H103&lt;=Summary!$N$84,MIN(GA103,Summary!$O$75*(H103-G103+1)),0)</f>
        <v>155000</v>
      </c>
      <c r="GD103" s="1135" t="n">
        <f aca="false">IF(Summary!$O$75*(H103-G103+1)*0.8&gt;GC103,1,0)</f>
        <v>0</v>
      </c>
      <c r="GE103" s="1136" t="n">
        <v>0</v>
      </c>
      <c r="GF103" s="1134" t="n">
        <f aca="false">ABS(MIN(0,GC103-$GA103))</f>
        <v>81972.7259353288</v>
      </c>
      <c r="GG103" s="1135" t="n">
        <f aca="false">GF103*(IF(Summary!$O$74=1,VLOOKUP($C103,GasTable,16)+Summary!$O$92+Summary!$O$93,VLOOKUP($C103,GasTable,19)+Summary!$O$92+Summary!$O$93))</f>
        <v>236732.8171681</v>
      </c>
      <c r="GH103" s="1137" t="n">
        <v>19269.6</v>
      </c>
      <c r="GI103" s="1138" t="n">
        <v>0</v>
      </c>
      <c r="GJ103" s="1139" t="n">
        <f aca="false">+GB103*GC103+GE103+GG103+GH103-GI103</f>
        <v>628002.4171681</v>
      </c>
      <c r="GK103" s="1115" t="n">
        <f aca="false">SUM(FP103:FV103,GU103:GX103,GY103:HB103)</f>
        <v>30062.01285</v>
      </c>
      <c r="GL103" s="1140" t="n">
        <v>0.762862803424</v>
      </c>
      <c r="GM103" s="1141" t="n">
        <f aca="false">IF(GK103&gt;GC103/(CY103/1000),GC103/(CY103/1000),+GK103)*GL103</f>
        <v>15221</v>
      </c>
      <c r="GN103" s="1115" t="n">
        <f aca="false">IF(SUM(GU103:HB103)=0,0,IF(Summary!$O$16="Yes",SUM(GX103:HB103),IF(Summary!$O$17="Yes",SUM(GY103:HB103),SUM(GU103:HB103))))</f>
        <v>12199.03785</v>
      </c>
      <c r="GO103" s="1142" t="n">
        <v>2.92651628291373</v>
      </c>
      <c r="GP103" s="1143" t="n">
        <f aca="false">GN103*GO103</f>
        <v>35700.6829039059</v>
      </c>
      <c r="GQ103" s="1115"/>
      <c r="GR103" s="1115"/>
      <c r="GS103" s="1115"/>
      <c r="GT103" s="1115"/>
      <c r="GU103" s="1150" t="n">
        <v>5646.1185</v>
      </c>
      <c r="GV103" s="1115" t="n">
        <v>1283.20875</v>
      </c>
      <c r="GW103" s="1115" t="n">
        <v>1026.567</v>
      </c>
      <c r="GX103" s="1115"/>
      <c r="GY103" s="1151" t="n">
        <v>3011.2632</v>
      </c>
      <c r="GZ103" s="1115" t="n">
        <v>684.378</v>
      </c>
      <c r="HA103" s="1115" t="n">
        <v>547.5024</v>
      </c>
      <c r="HB103" s="1141"/>
      <c r="HC103" s="1115" t="n">
        <v>12199.03785</v>
      </c>
      <c r="HD103" s="1115"/>
      <c r="HE103" s="1115" t="n">
        <v>20950.521525</v>
      </c>
      <c r="HF103" s="1115" t="n">
        <v>408564.363610496</v>
      </c>
      <c r="HG103" s="1115"/>
      <c r="HH103" s="1142" t="n">
        <v>32.9419139367795</v>
      </c>
      <c r="HI103" s="1115" t="n">
        <v>690150.277007197</v>
      </c>
      <c r="HJ103" s="1150" t="n">
        <f aca="false">MAX(FB103-FP103-FW103,0)</f>
        <v>0</v>
      </c>
      <c r="HK103" s="1115" t="n">
        <f aca="false">MAX(FD103-FR103-FX103,0)</f>
        <v>0</v>
      </c>
      <c r="HL103" s="1115" t="n">
        <f aca="false">MAX(FF103-FT103-FY103,0)</f>
        <v>0</v>
      </c>
      <c r="HM103" s="1141" t="n">
        <f aca="false">MAX(FH103-FV103-FZ103,0)</f>
        <v>0</v>
      </c>
      <c r="HN103" s="1115" t="n">
        <f aca="false">SUM(HJ103:HM103)</f>
        <v>0</v>
      </c>
      <c r="HO103" s="1142" t="n">
        <f aca="false">IF(ISERROR(+HP103/HN103),0,+HP103/HN103)</f>
        <v>0</v>
      </c>
      <c r="HP103" s="1143" t="n">
        <f aca="false">(HJ103*CE103+HK103*CF103+HL103*CG103+HM103*CH103)</f>
        <v>0</v>
      </c>
      <c r="HQ103" s="1146"/>
      <c r="HR103" s="1150"/>
      <c r="HS103" s="1110"/>
      <c r="HT103" s="1141"/>
      <c r="HU103" s="1151"/>
      <c r="HV103" s="1142"/>
      <c r="HW103" s="1115"/>
      <c r="HX103" s="1149"/>
      <c r="HY103" s="1143"/>
      <c r="HZ103" s="1150"/>
      <c r="IA103" s="1142"/>
      <c r="IB103" s="1141"/>
      <c r="IC103" s="1151"/>
      <c r="ID103" s="1142"/>
      <c r="IE103" s="1141"/>
      <c r="IF103" s="1115"/>
      <c r="IG103" s="1142"/>
      <c r="IH103" s="1141"/>
      <c r="II103" s="1115"/>
      <c r="IJ103" s="1142"/>
      <c r="IK103" s="1115"/>
      <c r="IL103" s="1152"/>
      <c r="IM103" s="1192"/>
      <c r="IN103" s="1151"/>
      <c r="IO103" s="1151"/>
      <c r="IP103" s="1151"/>
      <c r="IQ103" s="1151"/>
      <c r="IR103" s="844"/>
    </row>
    <row r="104" customFormat="false" ht="13.5" hidden="false" customHeight="false" outlineLevel="0" collapsed="false">
      <c r="A104" s="0" t="str">
        <f aca="false">+D104&amp;"Q"&amp;ROUNDUP(E104/3,0)</f>
        <v>2007Q2</v>
      </c>
      <c r="B104" s="0" t="n">
        <f aca="false">YEAR(C104)</f>
        <v>2007</v>
      </c>
      <c r="C104" s="1153" t="n">
        <f aca="false">EOMONTH(C103,0)+1</f>
        <v>39173</v>
      </c>
      <c r="D104" s="841" t="n">
        <f aca="false">+YEAR(C104)</f>
        <v>2007</v>
      </c>
      <c r="E104" s="807" t="n">
        <f aca="false">MONTH(C104)</f>
        <v>4</v>
      </c>
      <c r="F104" s="1154" t="e">
        <f aca="false">IF(G104="","",Holiday(D104,E104))</f>
        <v>#VALUE!</v>
      </c>
      <c r="G104" s="1155" t="n">
        <v>39173</v>
      </c>
      <c r="H104" s="1156" t="n">
        <v>39202</v>
      </c>
      <c r="I104" s="1157" t="n">
        <f aca="false">I103</f>
        <v>0.0715</v>
      </c>
      <c r="J104" s="1158" t="n">
        <f aca="false">(1+I104/2)^(-2*(DATE(D105,E105,20)-$H$7)/365.25)</f>
        <v>0.593443003497765</v>
      </c>
      <c r="K104" s="1159"/>
      <c r="L104" s="1158"/>
      <c r="M104" s="1082" t="n">
        <v>0</v>
      </c>
      <c r="N104" s="1110" t="n">
        <f aca="false">M104</f>
        <v>0</v>
      </c>
      <c r="O104" s="1174" t="n">
        <f aca="false">N104</f>
        <v>0</v>
      </c>
      <c r="P104" s="1175" t="n">
        <f aca="false">M104</f>
        <v>0</v>
      </c>
      <c r="Q104" s="1110" t="n">
        <f aca="false">P104</f>
        <v>0</v>
      </c>
      <c r="R104" s="1174" t="n">
        <f aca="false">Q104</f>
        <v>0</v>
      </c>
      <c r="S104" s="1110" t="n">
        <f aca="false">R104</f>
        <v>0</v>
      </c>
      <c r="T104" s="1110" t="n">
        <f aca="false">S104</f>
        <v>0</v>
      </c>
      <c r="U104" s="1110" t="n">
        <f aca="false">T104</f>
        <v>0</v>
      </c>
      <c r="V104" s="1175" t="n">
        <f aca="false">U104</f>
        <v>0</v>
      </c>
      <c r="W104" s="1110" t="n">
        <f aca="false">V104</f>
        <v>0</v>
      </c>
      <c r="X104" s="1176" t="n">
        <f aca="false">W104</f>
        <v>0</v>
      </c>
      <c r="Y104" s="1086" t="n">
        <v>0</v>
      </c>
      <c r="Z104" s="1086" t="n">
        <v>0</v>
      </c>
      <c r="AA104" s="1087" t="n">
        <v>0</v>
      </c>
      <c r="AB104" s="1086" t="n">
        <v>0</v>
      </c>
      <c r="AC104" s="1086" t="n">
        <v>0</v>
      </c>
      <c r="AD104" s="1087" t="n">
        <v>0</v>
      </c>
      <c r="AE104" s="1086" t="n">
        <v>0</v>
      </c>
      <c r="AF104" s="1086" t="n">
        <v>0</v>
      </c>
      <c r="AG104" s="1087" t="n">
        <v>0</v>
      </c>
      <c r="AH104" s="1086" t="n">
        <v>0</v>
      </c>
      <c r="AI104" s="1086" t="n">
        <v>0</v>
      </c>
      <c r="AJ104" s="1087" t="n">
        <v>0</v>
      </c>
      <c r="AK104" s="1086" t="n">
        <v>0</v>
      </c>
      <c r="AL104" s="1086" t="n">
        <v>0</v>
      </c>
      <c r="AM104" s="1087" t="n">
        <v>0</v>
      </c>
      <c r="AN104" s="1086" t="n">
        <v>0</v>
      </c>
      <c r="AO104" s="1086" t="n">
        <v>0</v>
      </c>
      <c r="AP104" s="1087" t="n">
        <v>0</v>
      </c>
      <c r="AQ104" s="1086" t="n">
        <v>0</v>
      </c>
      <c r="AR104" s="1086" t="n">
        <v>0</v>
      </c>
      <c r="AS104" s="1087" t="n">
        <v>0</v>
      </c>
      <c r="AT104" s="1086" t="n">
        <v>0</v>
      </c>
      <c r="AU104" s="1086" t="n">
        <v>0</v>
      </c>
      <c r="AV104" s="1086" t="n">
        <v>0</v>
      </c>
      <c r="AW104" s="1172" t="n">
        <v>0</v>
      </c>
      <c r="AX104" s="807" t="n">
        <f aca="false">BB104-SUM(AY104:BA104)</f>
        <v>21</v>
      </c>
      <c r="AY104" s="807" t="n">
        <f aca="false">IF(AND($E104=MONTH(Summary!$E$24),$D104=YEAR(Summary!$E$24)),Summary!$E$25,1)*IF(G104="",0,INT((H104-MOD(H104,7)-G104)/7)+1-IF(BA104,IF(WEEKDAY(F104)=7,1,0),0))</f>
        <v>4</v>
      </c>
      <c r="AZ104" s="807" t="n">
        <f aca="false">IF(AND($E104=MONTH(Summary!$E$24),$D104=YEAR(Summary!$E$24)),Summary!$E$25,1)*IF(G104="",0,INT((H104-MOD(H104-1,7)-G104)/7)+1-IF(BA104,IF(WEEKDAY(F104)=1,1,0),0))</f>
        <v>5</v>
      </c>
      <c r="BA104" s="807" t="n">
        <v>0</v>
      </c>
      <c r="BB104" s="807" t="n">
        <f aca="false">IF(AND($E104=MONTH(Summary!$E$24),$D104=YEAR(Summary!$E$24)),Summary!$E$25,1)*IF(G104="",0,H104-G104+1)</f>
        <v>30</v>
      </c>
      <c r="BC104" s="1089" t="n">
        <f aca="false">Summary!$E$19</f>
        <v>0.015</v>
      </c>
      <c r="BD104" s="1090" t="n">
        <v>14893.2</v>
      </c>
      <c r="BE104" s="1091" t="n">
        <v>2836.8</v>
      </c>
      <c r="BF104" s="1091" t="n">
        <v>3546</v>
      </c>
      <c r="BG104" s="842"/>
      <c r="BH104" s="1092" t="n">
        <v>1</v>
      </c>
      <c r="BI104" s="1092" t="n">
        <v>1</v>
      </c>
      <c r="BJ104" s="1092" t="n">
        <v>1</v>
      </c>
      <c r="BK104" s="1092" t="n">
        <v>1</v>
      </c>
      <c r="BL104" s="1093" t="n">
        <v>2978.64</v>
      </c>
      <c r="BM104" s="1091" t="n">
        <v>567.36</v>
      </c>
      <c r="BN104" s="1091" t="n">
        <v>709.2</v>
      </c>
      <c r="BO104" s="842"/>
      <c r="BP104" s="1092" t="n">
        <v>1</v>
      </c>
      <c r="BQ104" s="1094" t="n">
        <v>1</v>
      </c>
      <c r="BR104" s="1094" t="n">
        <v>1</v>
      </c>
      <c r="BS104" s="1095" t="n">
        <v>1</v>
      </c>
      <c r="BT104" s="1093" t="n">
        <f aca="false">SUM(BD104:BF104)</f>
        <v>21276</v>
      </c>
      <c r="BU104" s="1098" t="n">
        <f aca="false">SUM(BD104:BG104)</f>
        <v>21276</v>
      </c>
      <c r="BV104" s="1090" t="n">
        <f aca="false">SUM(BL104:BN104)</f>
        <v>4255.2</v>
      </c>
      <c r="BW104" s="1098" t="n">
        <f aca="false">SUM(BL104:BO104)</f>
        <v>4255.2</v>
      </c>
      <c r="BX104" s="852" t="n">
        <v>7.29363449691992</v>
      </c>
      <c r="BY104" s="1099" t="n">
        <v>0</v>
      </c>
      <c r="BZ104" s="852" t="n">
        <v>0</v>
      </c>
      <c r="CA104" s="852" t="n">
        <v>0</v>
      </c>
      <c r="CB104" s="852" t="n">
        <v>0</v>
      </c>
      <c r="CC104" s="852" t="n">
        <v>0</v>
      </c>
      <c r="CD104" s="852" t="n">
        <v>0</v>
      </c>
      <c r="CE104" s="1100" t="n">
        <v>0</v>
      </c>
      <c r="CF104" s="852" t="n">
        <v>0</v>
      </c>
      <c r="CG104" s="852" t="n">
        <v>0</v>
      </c>
      <c r="CH104" s="852" t="n">
        <v>0</v>
      </c>
      <c r="CI104" s="852" t="n">
        <v>0</v>
      </c>
      <c r="CJ104" s="1101" t="n">
        <v>0</v>
      </c>
      <c r="CK104" s="852" t="n">
        <v>0</v>
      </c>
      <c r="CL104" s="852" t="n">
        <v>0</v>
      </c>
      <c r="CM104" s="852" t="n">
        <v>0</v>
      </c>
      <c r="CN104" s="852" t="n">
        <v>0</v>
      </c>
      <c r="CO104" s="852" t="n">
        <v>0</v>
      </c>
      <c r="CP104" s="852" t="n">
        <v>0</v>
      </c>
      <c r="CQ104" s="1102" t="n">
        <v>0</v>
      </c>
      <c r="CR104" s="1103" t="n">
        <v>0</v>
      </c>
      <c r="CS104" s="1103" t="n">
        <v>0</v>
      </c>
      <c r="CT104" s="1103" t="n">
        <v>0</v>
      </c>
      <c r="CU104" s="1103" t="n">
        <v>0</v>
      </c>
      <c r="CV104" s="1103" t="n">
        <v>0</v>
      </c>
      <c r="CW104" s="1103" t="n">
        <v>0</v>
      </c>
      <c r="CX104" s="1104" t="n">
        <v>0</v>
      </c>
      <c r="CY104" s="1105" t="n">
        <v>7769.7632</v>
      </c>
      <c r="CZ104" s="1099" t="n">
        <v>0</v>
      </c>
      <c r="DA104" s="852" t="n">
        <v>0</v>
      </c>
      <c r="DB104" s="852" t="n">
        <v>0</v>
      </c>
      <c r="DC104" s="852" t="n">
        <v>0</v>
      </c>
      <c r="DD104" s="852" t="n">
        <v>0</v>
      </c>
      <c r="DE104" s="1113" t="n">
        <v>0</v>
      </c>
      <c r="DF104" s="1109" t="n">
        <v>0</v>
      </c>
      <c r="DG104" s="1110" t="n">
        <v>0</v>
      </c>
      <c r="DH104" s="1111" t="n">
        <v>0</v>
      </c>
      <c r="DI104" s="1112" t="n">
        <v>0</v>
      </c>
      <c r="DJ104" s="1112" t="n">
        <v>0</v>
      </c>
      <c r="DK104" s="1112" t="n">
        <v>0</v>
      </c>
      <c r="DL104" s="1113" t="n">
        <v>0</v>
      </c>
      <c r="DM104" s="1114" t="n">
        <v>0</v>
      </c>
      <c r="DN104" s="1114" t="n">
        <v>0</v>
      </c>
      <c r="DO104" s="1114" t="n">
        <v>0</v>
      </c>
      <c r="DP104" s="1114" t="n">
        <v>0</v>
      </c>
      <c r="DQ104" s="1114" t="n">
        <v>0</v>
      </c>
      <c r="DR104" s="1109" t="n">
        <v>0</v>
      </c>
      <c r="DS104" s="852" t="n">
        <v>0</v>
      </c>
      <c r="DT104" s="852" t="n">
        <v>0</v>
      </c>
      <c r="DU104" s="852" t="n">
        <v>0</v>
      </c>
      <c r="DV104" s="852" t="n">
        <v>0</v>
      </c>
      <c r="DW104" s="852" t="n">
        <v>0</v>
      </c>
      <c r="DX104" s="852" t="n">
        <v>0</v>
      </c>
      <c r="DY104" s="852" t="n">
        <v>0</v>
      </c>
      <c r="DZ104" s="852" t="n">
        <v>0</v>
      </c>
      <c r="EA104" s="852" t="n">
        <v>0</v>
      </c>
      <c r="EB104" s="1113" t="n">
        <v>0</v>
      </c>
      <c r="EC104" s="1115" t="n">
        <f aca="false">DS104*BD104</f>
        <v>0</v>
      </c>
      <c r="ED104" s="1115" t="n">
        <f aca="false">DT104*BE104</f>
        <v>0</v>
      </c>
      <c r="EE104" s="1115" t="n">
        <f aca="false">DU104*BF104</f>
        <v>0</v>
      </c>
      <c r="EF104" s="1115" t="n">
        <f aca="false">DV104*BG104</f>
        <v>0</v>
      </c>
      <c r="EG104" s="1115" t="n">
        <f aca="false">DS104*BD104+DT104*BE104+DU104*BF104+DV104*BG104</f>
        <v>0</v>
      </c>
      <c r="EH104" s="1116" t="n">
        <v>0</v>
      </c>
      <c r="EI104" s="1117" t="n">
        <v>0</v>
      </c>
      <c r="EJ104" s="1117" t="n">
        <v>0</v>
      </c>
      <c r="EK104" s="1117" t="n">
        <v>0</v>
      </c>
      <c r="EL104" s="1118" t="n">
        <f aca="false">IF(C104&gt;=Summary!$E$26,MAX(0,SUM(EH104:EK104)),0)</f>
        <v>0</v>
      </c>
      <c r="EM104" s="1115" t="n">
        <f aca="false">IF(C104&gt;=Summary!$E$26,DX104*BL104,0)</f>
        <v>0</v>
      </c>
      <c r="EN104" s="1115" t="n">
        <f aca="false">IF(C104&gt;=Summary!$E$26,DY104*BM104,0)</f>
        <v>0</v>
      </c>
      <c r="EO104" s="1115" t="n">
        <f aca="false">IF(C104&gt;=Summary!$E$26,DZ104*BN104,0)</f>
        <v>0</v>
      </c>
      <c r="EP104" s="1115" t="n">
        <f aca="false">IF(C104&gt;=Summary!$E$26,EA104*BO104,0)</f>
        <v>0</v>
      </c>
      <c r="EQ104" s="1115" t="n">
        <f aca="false">IF(C104&gt;=Summary!$E$26,DX104*BL104+DY104*BM104+DZ104*BN104+EA104*BO104,0)</f>
        <v>0</v>
      </c>
      <c r="ER104" s="1119" t="n">
        <v>0</v>
      </c>
      <c r="ES104" s="1120" t="n">
        <v>0</v>
      </c>
      <c r="ET104" s="1120" t="n">
        <v>0</v>
      </c>
      <c r="EU104" s="1120" t="n">
        <v>0</v>
      </c>
      <c r="EV104" s="1143" t="n">
        <f aca="false">IF(C104&gt;=Summary!$E$26,MAX(0,SUM(ER104:EU104)),0)</f>
        <v>0</v>
      </c>
      <c r="EW104" s="1115"/>
      <c r="EX104" s="1165" t="n">
        <f aca="false">(EQ104-EV104)+IF(EZ104="Yes",(EG104-EL104),0)</f>
        <v>0</v>
      </c>
      <c r="EY104" s="1166" t="str">
        <f aca="false">IF(EX104,EX104/EQ104,"")</f>
        <v/>
      </c>
      <c r="EZ104" s="1122" t="s">
        <v>37</v>
      </c>
      <c r="FA104" s="1096" t="n">
        <f aca="false">FA103</f>
        <v>45</v>
      </c>
      <c r="FB104" s="1167" t="n">
        <f aca="false">IF(EZ104="No",IF((OR(MONTH(C104)=5,MONTH(C104)=6,MONTH(C104)=7,MONTH(C104)=8,MONTH(C104)=9)),$FA104*12*AX104*(1-$BC104),$FA104*10*AX104*(1-$BC104)),0)</f>
        <v>9308.25</v>
      </c>
      <c r="FC104" s="1129" t="n">
        <f aca="false">IF(EZ104="No",IF((OR(MONTH(C104)=5,MONTH(C104)=6,MONTH(C104)=7,MONTH(C104)=8,MONTH(C104)=9)),0,$FA104*3*AX104*(1-$BC104)),0)</f>
        <v>2792.475</v>
      </c>
      <c r="FD104" s="1129" t="n">
        <f aca="false">IF(EZ104="No",IF((OR(MONTH(C104)=5,MONTH(C104)=6,MONTH(C104)=7,MONTH(C104)=8,MONTH(C104)=9)),$FA104*12*AY104*(1-$BC104),$FA104*10*AY104*(1-$BC104)),0)</f>
        <v>1773</v>
      </c>
      <c r="FE104" s="1129" t="n">
        <f aca="false">IF(EZ104="No",IF((OR(MONTH(C104)=5,MONTH(C104)=6,MONTH(C104)=7,MONTH(C104)=8,MONTH(C104)=9)),0,$FA104*3*AY104*(1-$BC104)),0)</f>
        <v>531.9</v>
      </c>
      <c r="FF104" s="1129" t="n">
        <f aca="false">IF(EZ104="No",IF((OR(MONTH(C104)=5,MONTH(C104)=6,MONTH(C104)=7,MONTH(C104)=8,MONTH(C104)=9)),$FA104*12*(AZ104+BA104)*(1-$BC104),$FA104*10*(AZ104+BA104)*(1-$BC104)),0)</f>
        <v>2216.25</v>
      </c>
      <c r="FG104" s="1129" t="n">
        <f aca="false">IF(EZ104="No",IF((OR(MONTH(C104)=5,MONTH(C104)=6,MONTH(C104)=7,MONTH(C104)=8,MONTH(C104)=9)),0,$FA104*3*(AZ104+BA104)*(1-$BC104)),0)</f>
        <v>664.875</v>
      </c>
      <c r="FH104" s="1170" t="n">
        <f aca="false">IF(EZ104="No",IF((OR(MONTH(C104)=5,MONTH(C104)=6,MONTH(C104)=7,MONTH(C104)=8,MONTH(C104)=9)),Summary!$O$15*12*(AX104+AY104+AZ104+BA104)*(1-$BC104),Summary!$O$15*13*(AX104+AY104+AZ104+BA104)*(1-$BC104)+IF(Summary!$O$16="Yes",(CALC!FA104+Summary!$O$15)*6*(AX104+AY104+AZ104+BA104)*(1-$BC104),0)),0)</f>
        <v>0</v>
      </c>
      <c r="FI104" s="1126" t="n">
        <f aca="false">IF(MONTH(C104)=5,FI103*(IF(Summary!$E$70="no",(1+(Summary!$E$71*0.8)),1+HLOOKUP(YEAR(C104)-1,CCFMODEL!$I$127:$AF$128,2)*0.8)),+FI103)</f>
        <v>31.4067767844223</v>
      </c>
      <c r="FJ104" s="1127" t="n">
        <f aca="false">IF(MONTH(C104)=5,FJ103*(IF(Summary!$E$70="no",(1+(Summary!$E$71*0.8)),1+HLOOKUP(YEAR(CALC!C104)-1,CCFMODEL!$I$127:$AF$128,2)*0.8)),FJ103)</f>
        <v>27.4500175044951</v>
      </c>
      <c r="FK104" s="1128" t="n">
        <f aca="false">SUM(FB104:FG104)*FI104+FH104*FJ104</f>
        <v>542921.098578112</v>
      </c>
      <c r="FL104" s="1126" t="n">
        <f aca="false">IF(MONTH(C104)=5,FL103*(IF(Summary!$E$70="no",(1+(Summary!$E$71*0.8)),1+HLOOKUP(YEAR(CALC!C104)-1,CCFMODEL!$I$127:$AF$128,2)*0.8)),+FL103)</f>
        <v>66.0519726223564</v>
      </c>
      <c r="FM104" s="1127" t="n">
        <f aca="false">IF(MONTH(C104)=5,FM103*(IF(Summary!$E$70="no",(1+(Summary!$E$71*0.8)),1+HLOOKUP(YEAR(CALC!C104)-1,CCFMODEL!$I$127:$AF$128,2)*0.8)),+FM103)</f>
        <v>31.5245374772773</v>
      </c>
      <c r="FN104" s="1128" t="n">
        <f aca="false">IF((OR(MONTH(C104)=5,MONTH(C104)=6,MONTH(C104)=7,MONTH(C104)=8,MONTH(C104)=9)),SUM(FB104:FG104)/(1-BC104)*FL104,SUM(FB104:FG104)/(1-BC104)*FM104)</f>
        <v>553255.632726216</v>
      </c>
      <c r="FO104" s="1129" t="n">
        <f aca="false">FK104+FN104</f>
        <v>1096176.73130433</v>
      </c>
      <c r="FP104" s="1169" t="n">
        <f aca="false">FB104</f>
        <v>9308.25</v>
      </c>
      <c r="FQ104" s="1129" t="n">
        <f aca="false">FC104</f>
        <v>2792.475</v>
      </c>
      <c r="FR104" s="1129" t="n">
        <f aca="false">FD104</f>
        <v>1773</v>
      </c>
      <c r="FS104" s="1129" t="n">
        <f aca="false">FE104</f>
        <v>531.9</v>
      </c>
      <c r="FT104" s="1129" t="n">
        <f aca="false">FF104</f>
        <v>2216.25</v>
      </c>
      <c r="FU104" s="1129" t="n">
        <f aca="false">FG104</f>
        <v>664.875</v>
      </c>
      <c r="FV104" s="1170" t="n">
        <f aca="false">FH104</f>
        <v>0</v>
      </c>
      <c r="FW104" s="1115" t="n">
        <f aca="false">IF(ER104&gt;0,MIN(FB104-FP104,BL104),0)</f>
        <v>0</v>
      </c>
      <c r="FX104" s="1115" t="n">
        <f aca="false">IF(ES104&gt;0,MIN(FD104-FR104,BM104),0)</f>
        <v>0</v>
      </c>
      <c r="FY104" s="1115" t="n">
        <f aca="false">IF(ET104&gt;0,MIN(FF104-FT104,BN104),0)</f>
        <v>0</v>
      </c>
      <c r="FZ104" s="1143" t="n">
        <f aca="false">IF(EU104&gt;0,MIN(FH104-FV104,BO104),0)</f>
        <v>0</v>
      </c>
      <c r="GA104" s="1132" t="n">
        <f aca="false">(SUM(FP104:FV104)+SUM(GU104:HB104)/(1-Summary!$O$25))*CY104/1000</f>
        <v>229366.90605744</v>
      </c>
      <c r="GB104" s="1133" t="n">
        <f aca="false">IF($C104&lt;Summary!$M$81,+Summary!$O$81,VLOOKUP(C104,GasTable,19))</f>
        <v>2.4</v>
      </c>
      <c r="GC104" s="1134" t="n">
        <f aca="false">IF(H104&lt;=Summary!$N$84,MIN(GA104,Summary!$O$75*(H104-G104+1)),0)</f>
        <v>150000</v>
      </c>
      <c r="GD104" s="1135" t="n">
        <f aca="false">IF(Summary!$O$75*(H104-G104+1)*0.8&gt;GC104,1,0)</f>
        <v>0</v>
      </c>
      <c r="GE104" s="1136" t="n">
        <v>0</v>
      </c>
      <c r="GF104" s="1134" t="n">
        <f aca="false">ABS(MIN(0,GC104-$GA104))</f>
        <v>79366.90605744</v>
      </c>
      <c r="GG104" s="1135" t="n">
        <f aca="false">GF104*(IF(Summary!$O$74=1,VLOOKUP($C104,GasTable,16)+Summary!$O$92+Summary!$O$93,VLOOKUP($C104,GasTable,19)+Summary!$O$92+Summary!$O$93))</f>
        <v>222455.019028857</v>
      </c>
      <c r="GH104" s="1137" t="n">
        <v>17880</v>
      </c>
      <c r="GI104" s="1138" t="n">
        <v>0</v>
      </c>
      <c r="GJ104" s="1139" t="n">
        <f aca="false">+GB104*GC104+GE104+GG104+GH104-GI104</f>
        <v>600335.019028857</v>
      </c>
      <c r="GK104" s="1115" t="n">
        <f aca="false">SUM(FP104:FV104,GU104:GX104,GY104:HB104)</f>
        <v>29092.2705</v>
      </c>
      <c r="GL104" s="1140" t="n">
        <v>0.76299074624</v>
      </c>
      <c r="GM104" s="1141" t="n">
        <f aca="false">IF(GK104&gt;GC104/(CY104/1000),GC104/(CY104/1000),+GK104)*GL104</f>
        <v>14730</v>
      </c>
      <c r="GN104" s="1115" t="n">
        <f aca="false">IF(SUM(GU104:HB104)=0,0,IF(Summary!$O$16="Yes",SUM(GX104:HB104),IF(Summary!$O$17="Yes",SUM(GY104:HB104),SUM(GU104:HB104))))</f>
        <v>11805.5205</v>
      </c>
      <c r="GO104" s="1142" t="n">
        <v>2.92651628291373</v>
      </c>
      <c r="GP104" s="1143" t="n">
        <f aca="false">GN104*GO104</f>
        <v>34549.0479715218</v>
      </c>
      <c r="GQ104" s="1115"/>
      <c r="GR104" s="1115"/>
      <c r="GS104" s="1115"/>
      <c r="GT104" s="1115"/>
      <c r="GU104" s="1150" t="n">
        <v>5389.47675</v>
      </c>
      <c r="GV104" s="1115" t="n">
        <v>1026.567</v>
      </c>
      <c r="GW104" s="1115" t="n">
        <v>1283.20875</v>
      </c>
      <c r="GX104" s="1115"/>
      <c r="GY104" s="1151" t="n">
        <v>2874.3876</v>
      </c>
      <c r="GZ104" s="1115" t="n">
        <v>547.5024</v>
      </c>
      <c r="HA104" s="1115" t="n">
        <v>684.378</v>
      </c>
      <c r="HB104" s="1141"/>
      <c r="HC104" s="1115" t="n">
        <v>11805.5205</v>
      </c>
      <c r="HD104" s="1115"/>
      <c r="HE104" s="1115" t="n">
        <v>20274.69825</v>
      </c>
      <c r="HF104" s="1115" t="n">
        <v>377938.88700872</v>
      </c>
      <c r="HG104" s="1115"/>
      <c r="HH104" s="1142" t="n">
        <v>31.4352658014163</v>
      </c>
      <c r="HI104" s="1115" t="n">
        <v>637340.528532259</v>
      </c>
      <c r="HJ104" s="1150" t="n">
        <f aca="false">MAX(FB104-FP104-FW104,0)</f>
        <v>0</v>
      </c>
      <c r="HK104" s="1115" t="n">
        <f aca="false">MAX(FD104-FR104-FX104,0)</f>
        <v>0</v>
      </c>
      <c r="HL104" s="1115" t="n">
        <f aca="false">MAX(FF104-FT104-FY104,0)</f>
        <v>0</v>
      </c>
      <c r="HM104" s="1141" t="n">
        <f aca="false">MAX(FH104-FV104-FZ104,0)</f>
        <v>0</v>
      </c>
      <c r="HN104" s="1115" t="n">
        <f aca="false">SUM(HJ104:HM104)</f>
        <v>0</v>
      </c>
      <c r="HO104" s="1142" t="n">
        <f aca="false">IF(ISERROR(+HP104/HN104),0,+HP104/HN104)</f>
        <v>0</v>
      </c>
      <c r="HP104" s="1143" t="n">
        <f aca="false">(HJ104*CE104+HK104*CF104+HL104*CG104+HM104*CH104)</f>
        <v>0</v>
      </c>
      <c r="HQ104" s="1146"/>
      <c r="HR104" s="1150"/>
      <c r="HS104" s="1110"/>
      <c r="HT104" s="1141"/>
      <c r="HU104" s="1151"/>
      <c r="HV104" s="1142"/>
      <c r="HW104" s="1115"/>
      <c r="HX104" s="1149"/>
      <c r="HY104" s="1143"/>
      <c r="HZ104" s="1150"/>
      <c r="IA104" s="1142"/>
      <c r="IB104" s="1141"/>
      <c r="IC104" s="1151"/>
      <c r="ID104" s="1142"/>
      <c r="IE104" s="1141"/>
      <c r="IF104" s="1115"/>
      <c r="IG104" s="1142"/>
      <c r="IH104" s="1141"/>
      <c r="II104" s="1115"/>
      <c r="IJ104" s="1142"/>
      <c r="IK104" s="1115"/>
      <c r="IL104" s="1152"/>
      <c r="IM104" s="1192"/>
      <c r="IN104" s="1151"/>
      <c r="IO104" s="1151"/>
      <c r="IP104" s="1151"/>
      <c r="IQ104" s="1151"/>
      <c r="IR104" s="844"/>
    </row>
    <row r="105" customFormat="false" ht="13.5" hidden="false" customHeight="false" outlineLevel="0" collapsed="false">
      <c r="A105" s="0" t="str">
        <f aca="false">+D105&amp;"Q"&amp;ROUNDUP(E105/3,0)</f>
        <v>2007Q2</v>
      </c>
      <c r="B105" s="0" t="n">
        <f aca="false">YEAR(C105)</f>
        <v>2007</v>
      </c>
      <c r="C105" s="1153" t="n">
        <f aca="false">EOMONTH(C104,0)+1</f>
        <v>39203</v>
      </c>
      <c r="D105" s="841" t="n">
        <f aca="false">+YEAR(C105)</f>
        <v>2007</v>
      </c>
      <c r="E105" s="807" t="n">
        <f aca="false">MONTH(C105)</f>
        <v>5</v>
      </c>
      <c r="F105" s="1154" t="e">
        <f aca="false">IF(G105="","",Holiday(D105,E105))</f>
        <v>#VALUE!</v>
      </c>
      <c r="G105" s="1155" t="n">
        <v>39203</v>
      </c>
      <c r="H105" s="1156" t="n">
        <v>39233</v>
      </c>
      <c r="I105" s="1157" t="n">
        <f aca="false">I104</f>
        <v>0.0715</v>
      </c>
      <c r="J105" s="1158" t="n">
        <f aca="false">(1+I105/2)^(-2*(DATE(D106,E106,20)-$H$7)/365.25)</f>
        <v>0.589915133016824</v>
      </c>
      <c r="K105" s="1159"/>
      <c r="L105" s="1158"/>
      <c r="M105" s="1082" t="n">
        <v>0</v>
      </c>
      <c r="N105" s="1110" t="n">
        <f aca="false">M105</f>
        <v>0</v>
      </c>
      <c r="O105" s="1174" t="n">
        <f aca="false">N105</f>
        <v>0</v>
      </c>
      <c r="P105" s="1175" t="n">
        <f aca="false">M105</f>
        <v>0</v>
      </c>
      <c r="Q105" s="1110" t="n">
        <f aca="false">P105</f>
        <v>0</v>
      </c>
      <c r="R105" s="1174" t="n">
        <f aca="false">Q105</f>
        <v>0</v>
      </c>
      <c r="S105" s="1110" t="n">
        <f aca="false">R105</f>
        <v>0</v>
      </c>
      <c r="T105" s="1110" t="n">
        <f aca="false">S105</f>
        <v>0</v>
      </c>
      <c r="U105" s="1110" t="n">
        <f aca="false">T105</f>
        <v>0</v>
      </c>
      <c r="V105" s="1175" t="n">
        <f aca="false">U105</f>
        <v>0</v>
      </c>
      <c r="W105" s="1110" t="n">
        <f aca="false">V105</f>
        <v>0</v>
      </c>
      <c r="X105" s="1176" t="n">
        <f aca="false">W105</f>
        <v>0</v>
      </c>
      <c r="Y105" s="1086" t="n">
        <v>0</v>
      </c>
      <c r="Z105" s="1086" t="n">
        <v>0</v>
      </c>
      <c r="AA105" s="1087" t="n">
        <v>0</v>
      </c>
      <c r="AB105" s="1086" t="n">
        <v>0</v>
      </c>
      <c r="AC105" s="1086" t="n">
        <v>0</v>
      </c>
      <c r="AD105" s="1087" t="n">
        <v>0</v>
      </c>
      <c r="AE105" s="1086" t="n">
        <v>0</v>
      </c>
      <c r="AF105" s="1086" t="n">
        <v>0</v>
      </c>
      <c r="AG105" s="1087" t="n">
        <v>0</v>
      </c>
      <c r="AH105" s="1086" t="n">
        <v>0</v>
      </c>
      <c r="AI105" s="1086" t="n">
        <v>0</v>
      </c>
      <c r="AJ105" s="1087" t="n">
        <v>0</v>
      </c>
      <c r="AK105" s="1086" t="n">
        <v>0</v>
      </c>
      <c r="AL105" s="1086" t="n">
        <v>0</v>
      </c>
      <c r="AM105" s="1087" t="n">
        <v>0</v>
      </c>
      <c r="AN105" s="1086" t="n">
        <v>0</v>
      </c>
      <c r="AO105" s="1086" t="n">
        <v>0</v>
      </c>
      <c r="AP105" s="1087" t="n">
        <v>0</v>
      </c>
      <c r="AQ105" s="1086" t="n">
        <v>0</v>
      </c>
      <c r="AR105" s="1086" t="n">
        <v>0</v>
      </c>
      <c r="AS105" s="1087" t="n">
        <v>0</v>
      </c>
      <c r="AT105" s="1086" t="n">
        <v>0</v>
      </c>
      <c r="AU105" s="1086" t="n">
        <v>0</v>
      </c>
      <c r="AV105" s="1086" t="n">
        <v>0</v>
      </c>
      <c r="AW105" s="1172" t="n">
        <v>0</v>
      </c>
      <c r="AX105" s="807" t="e">
        <f aca="false">BB105-SUM(AY105:BA105)</f>
        <v>#VALUE!</v>
      </c>
      <c r="AY105" s="807" t="e">
        <f aca="false">IF(AND($E105=MONTH(Summary!$E$24),$D105=YEAR(Summary!$E$24)),Summary!$E$25,1)*IF(G105="",0,INT((H105-MOD(H105,7)-G105)/7)+1-IF(BA105,IF(WEEKDAY(F105)=7,1,0),0))</f>
        <v>#VALUE!</v>
      </c>
      <c r="AZ105" s="807" t="e">
        <f aca="false">IF(AND($E105=MONTH(Summary!$E$24),$D105=YEAR(Summary!$E$24)),Summary!$E$25,1)*IF(G105="",0,INT((H105-MOD(H105-1,7)-G105)/7)+1-IF(BA105,IF(WEEKDAY(F105)=1,1,0),0))</f>
        <v>#VALUE!</v>
      </c>
      <c r="BA105" s="807" t="n">
        <v>1</v>
      </c>
      <c r="BB105" s="807" t="n">
        <f aca="false">IF(AND($E105=MONTH(Summary!$E$24),$D105=YEAR(Summary!$E$24)),Summary!$E$25,1)*IF(G105="",0,H105-G105+1)</f>
        <v>31</v>
      </c>
      <c r="BC105" s="1089" t="n">
        <f aca="false">Summary!$E$19</f>
        <v>0.015</v>
      </c>
      <c r="BD105" s="1090" t="n">
        <v>15602.4</v>
      </c>
      <c r="BE105" s="1091" t="n">
        <v>2836.8</v>
      </c>
      <c r="BF105" s="1091" t="n">
        <v>3546</v>
      </c>
      <c r="BG105" s="842"/>
      <c r="BH105" s="1092" t="n">
        <v>1</v>
      </c>
      <c r="BI105" s="1092" t="n">
        <v>1</v>
      </c>
      <c r="BJ105" s="1092" t="n">
        <v>1</v>
      </c>
      <c r="BK105" s="1092" t="n">
        <v>1</v>
      </c>
      <c r="BL105" s="1093" t="n">
        <v>3120.48</v>
      </c>
      <c r="BM105" s="1091" t="n">
        <v>567.36</v>
      </c>
      <c r="BN105" s="1091" t="n">
        <v>709.2</v>
      </c>
      <c r="BO105" s="842"/>
      <c r="BP105" s="1092" t="n">
        <v>1</v>
      </c>
      <c r="BQ105" s="1094" t="n">
        <v>1</v>
      </c>
      <c r="BR105" s="1094" t="n">
        <v>1</v>
      </c>
      <c r="BS105" s="1095" t="n">
        <v>1</v>
      </c>
      <c r="BT105" s="1093" t="n">
        <f aca="false">SUM(BD105:BF105)</f>
        <v>21985.2</v>
      </c>
      <c r="BU105" s="1098" t="n">
        <f aca="false">SUM(BD105:BG105)</f>
        <v>21985.2</v>
      </c>
      <c r="BV105" s="1090" t="n">
        <f aca="false">SUM(BL105:BN105)</f>
        <v>4397.04</v>
      </c>
      <c r="BW105" s="1098" t="n">
        <f aca="false">SUM(BL105:BO105)</f>
        <v>4397.04</v>
      </c>
      <c r="BX105" s="852" t="n">
        <v>7.37577002053388</v>
      </c>
      <c r="BY105" s="1099" t="n">
        <v>0</v>
      </c>
      <c r="BZ105" s="852" t="n">
        <v>0</v>
      </c>
      <c r="CA105" s="852" t="n">
        <v>0</v>
      </c>
      <c r="CB105" s="852" t="n">
        <v>0</v>
      </c>
      <c r="CC105" s="852" t="n">
        <v>0</v>
      </c>
      <c r="CD105" s="852" t="n">
        <v>0</v>
      </c>
      <c r="CE105" s="1100" t="n">
        <v>0</v>
      </c>
      <c r="CF105" s="852" t="n">
        <v>0</v>
      </c>
      <c r="CG105" s="852" t="n">
        <v>0</v>
      </c>
      <c r="CH105" s="852" t="n">
        <v>0</v>
      </c>
      <c r="CI105" s="852" t="n">
        <v>0</v>
      </c>
      <c r="CJ105" s="1101" t="n">
        <v>0</v>
      </c>
      <c r="CK105" s="852" t="n">
        <v>0</v>
      </c>
      <c r="CL105" s="852" t="n">
        <v>0</v>
      </c>
      <c r="CM105" s="852" t="n">
        <v>0</v>
      </c>
      <c r="CN105" s="852" t="n">
        <v>0</v>
      </c>
      <c r="CO105" s="852" t="n">
        <v>0</v>
      </c>
      <c r="CP105" s="852" t="n">
        <v>0</v>
      </c>
      <c r="CQ105" s="1102" t="n">
        <v>0</v>
      </c>
      <c r="CR105" s="1103" t="n">
        <v>0</v>
      </c>
      <c r="CS105" s="1103" t="n">
        <v>0</v>
      </c>
      <c r="CT105" s="1103" t="n">
        <v>0</v>
      </c>
      <c r="CU105" s="1103" t="n">
        <v>0</v>
      </c>
      <c r="CV105" s="1103" t="n">
        <v>0</v>
      </c>
      <c r="CW105" s="1103" t="n">
        <v>0</v>
      </c>
      <c r="CX105" s="1104" t="n">
        <v>0</v>
      </c>
      <c r="CY105" s="1105" t="n">
        <v>7771.06608</v>
      </c>
      <c r="CZ105" s="1099" t="n">
        <v>0</v>
      </c>
      <c r="DA105" s="852" t="n">
        <v>0</v>
      </c>
      <c r="DB105" s="852" t="n">
        <v>0</v>
      </c>
      <c r="DC105" s="852" t="n">
        <v>0</v>
      </c>
      <c r="DD105" s="852" t="n">
        <v>0</v>
      </c>
      <c r="DE105" s="1113" t="n">
        <v>0</v>
      </c>
      <c r="DF105" s="1109" t="n">
        <v>0</v>
      </c>
      <c r="DG105" s="1110" t="n">
        <v>0</v>
      </c>
      <c r="DH105" s="1111" t="n">
        <v>0</v>
      </c>
      <c r="DI105" s="1112" t="n">
        <v>0</v>
      </c>
      <c r="DJ105" s="1112" t="n">
        <v>0</v>
      </c>
      <c r="DK105" s="1112" t="n">
        <v>0</v>
      </c>
      <c r="DL105" s="1113" t="n">
        <v>0</v>
      </c>
      <c r="DM105" s="1114" t="n">
        <v>0</v>
      </c>
      <c r="DN105" s="1114" t="n">
        <v>0</v>
      </c>
      <c r="DO105" s="1114" t="n">
        <v>0</v>
      </c>
      <c r="DP105" s="1114" t="n">
        <v>0</v>
      </c>
      <c r="DQ105" s="1114" t="n">
        <v>0</v>
      </c>
      <c r="DR105" s="1109" t="n">
        <v>0</v>
      </c>
      <c r="DS105" s="852" t="n">
        <v>0</v>
      </c>
      <c r="DT105" s="852" t="n">
        <v>0</v>
      </c>
      <c r="DU105" s="852" t="n">
        <v>0</v>
      </c>
      <c r="DV105" s="852" t="n">
        <v>0</v>
      </c>
      <c r="DW105" s="852" t="n">
        <v>0</v>
      </c>
      <c r="DX105" s="852" t="n">
        <v>0</v>
      </c>
      <c r="DY105" s="852" t="n">
        <v>0</v>
      </c>
      <c r="DZ105" s="852" t="n">
        <v>0</v>
      </c>
      <c r="EA105" s="852" t="n">
        <v>0</v>
      </c>
      <c r="EB105" s="1113" t="n">
        <v>0</v>
      </c>
      <c r="EC105" s="1115" t="n">
        <f aca="false">DS105*BD105</f>
        <v>0</v>
      </c>
      <c r="ED105" s="1115" t="n">
        <f aca="false">DT105*BE105</f>
        <v>0</v>
      </c>
      <c r="EE105" s="1115" t="n">
        <f aca="false">DU105*BF105</f>
        <v>0</v>
      </c>
      <c r="EF105" s="1115" t="n">
        <f aca="false">DV105*BG105</f>
        <v>0</v>
      </c>
      <c r="EG105" s="1115" t="n">
        <f aca="false">DS105*BD105+DT105*BE105+DU105*BF105+DV105*BG105</f>
        <v>0</v>
      </c>
      <c r="EH105" s="1116" t="n">
        <v>0</v>
      </c>
      <c r="EI105" s="1117" t="n">
        <v>0</v>
      </c>
      <c r="EJ105" s="1117" t="n">
        <v>0</v>
      </c>
      <c r="EK105" s="1117" t="n">
        <v>0</v>
      </c>
      <c r="EL105" s="1118" t="n">
        <f aca="false">IF(C105&gt;=Summary!$E$26,MAX(0,SUM(EH105:EK105)),0)</f>
        <v>0</v>
      </c>
      <c r="EM105" s="1115" t="n">
        <f aca="false">IF(C105&gt;=Summary!$E$26,DX105*BL105,0)</f>
        <v>0</v>
      </c>
      <c r="EN105" s="1115" t="n">
        <f aca="false">IF(C105&gt;=Summary!$E$26,DY105*BM105,0)</f>
        <v>0</v>
      </c>
      <c r="EO105" s="1115" t="n">
        <f aca="false">IF(C105&gt;=Summary!$E$26,DZ105*BN105,0)</f>
        <v>0</v>
      </c>
      <c r="EP105" s="1115" t="n">
        <f aca="false">IF(C105&gt;=Summary!$E$26,EA105*BO105,0)</f>
        <v>0</v>
      </c>
      <c r="EQ105" s="1115" t="n">
        <f aca="false">IF(C105&gt;=Summary!$E$26,DX105*BL105+DY105*BM105+DZ105*BN105+EA105*BO105,0)</f>
        <v>0</v>
      </c>
      <c r="ER105" s="1119" t="n">
        <v>0</v>
      </c>
      <c r="ES105" s="1120" t="n">
        <v>0</v>
      </c>
      <c r="ET105" s="1120" t="n">
        <v>0</v>
      </c>
      <c r="EU105" s="1120" t="n">
        <v>0</v>
      </c>
      <c r="EV105" s="1143" t="n">
        <f aca="false">IF(C105&gt;=Summary!$E$26,MAX(0,SUM(ER105:EU105)),0)</f>
        <v>0</v>
      </c>
      <c r="EW105" s="1115"/>
      <c r="EX105" s="1165" t="n">
        <f aca="false">(EQ105-EV105)+IF(EZ105="Yes",(EG105-EL105),0)</f>
        <v>0</v>
      </c>
      <c r="EY105" s="1166" t="str">
        <f aca="false">IF(EX105,EX105/EQ105,"")</f>
        <v/>
      </c>
      <c r="EZ105" s="1122" t="s">
        <v>37</v>
      </c>
      <c r="FA105" s="1096" t="n">
        <f aca="false">FA104</f>
        <v>45</v>
      </c>
      <c r="FB105" s="1167" t="e">
        <f aca="false">IF(EZ105="No",IF((OR(MONTH(C105)=5,MONTH(C105)=6,MONTH(C105)=7,MONTH(C105)=8,MONTH(C105)=9)),$FA105*12*AX105*(1-$BC105),$FA105*10*AX105*(1-$BC105)),0)</f>
        <v>#VALUE!</v>
      </c>
      <c r="FC105" s="1129" t="n">
        <f aca="false">IF(EZ105="No",IF((OR(MONTH(C105)=5,MONTH(C105)=6,MONTH(C105)=7,MONTH(C105)=8,MONTH(C105)=9)),0,$FA105*3*AX105*(1-$BC105)),0)</f>
        <v>0</v>
      </c>
      <c r="FD105" s="1129" t="e">
        <f aca="false">IF(EZ105="No",IF((OR(MONTH(C105)=5,MONTH(C105)=6,MONTH(C105)=7,MONTH(C105)=8,MONTH(C105)=9)),$FA105*12*AY105*(1-$BC105),$FA105*10*AY105*(1-$BC105)),0)</f>
        <v>#VALUE!</v>
      </c>
      <c r="FE105" s="1129" t="n">
        <f aca="false">IF(EZ105="No",IF((OR(MONTH(C105)=5,MONTH(C105)=6,MONTH(C105)=7,MONTH(C105)=8,MONTH(C105)=9)),0,$FA105*3*AY105*(1-$BC105)),0)</f>
        <v>0</v>
      </c>
      <c r="FF105" s="1129" t="e">
        <f aca="false">IF(EZ105="No",IF((OR(MONTH(C105)=5,MONTH(C105)=6,MONTH(C105)=7,MONTH(C105)=8,MONTH(C105)=9)),$FA105*12*(AZ105+BA105)*(1-$BC105),$FA105*10*(AZ105+BA105)*(1-$BC105)),0)</f>
        <v>#VALUE!</v>
      </c>
      <c r="FG105" s="1129" t="n">
        <f aca="false">IF(EZ105="No",IF((OR(MONTH(C105)=5,MONTH(C105)=6,MONTH(C105)=7,MONTH(C105)=8,MONTH(C105)=9)),0,$FA105*3*(AZ105+BA105)*(1-$BC105)),0)</f>
        <v>0</v>
      </c>
      <c r="FH105" s="1170" t="e">
        <f aca="false">IF(EZ105="No",IF((OR(MONTH(C105)=5,MONTH(C105)=6,MONTH(C105)=7,MONTH(C105)=8,MONTH(C105)=9)),Summary!$O$15*12*(AX105+AY105+AZ105+BA105)*(1-$BC105),Summary!$O$15*13*(AX105+AY105+AZ105+BA105)*(1-$BC105)+IF(Summary!$O$16="Yes",(CALC!FA105+Summary!$O$15)*6*(AX105+AY105+AZ105+BA105)*(1-$BC105),0)),0)</f>
        <v>#VALUE!</v>
      </c>
      <c r="FI105" s="1126" t="n">
        <f aca="false">IF(MONTH(C105)=5,FI104*(IF(Summary!$E$70="no",(1+(Summary!$E$71*0.8)),1+HLOOKUP(YEAR(C105)-1,CCFMODEL!$I$127:$AF$128,2)*0.8)),+FI104)</f>
        <v>32.1605394272484</v>
      </c>
      <c r="FJ105" s="1127" t="n">
        <f aca="false">IF(MONTH(C105)=5,FJ104*(IF(Summary!$E$70="no",(1+(Summary!$E$71*0.8)),1+HLOOKUP(YEAR(CALC!C105)-1,CCFMODEL!$I$127:$AF$128,2)*0.8)),FJ104)</f>
        <v>28.108817924603</v>
      </c>
      <c r="FK105" s="1128" t="e">
        <f aca="false">SUM(FB105:FG105)*FI105+FH105*FJ105</f>
        <v>#VALUE!</v>
      </c>
      <c r="FL105" s="1126" t="n">
        <f aca="false">IF(MONTH(C105)=5,FL104*(IF(Summary!$E$70="no",(1+(Summary!$E$71*0.8)),1+HLOOKUP(YEAR(CALC!C105)-1,CCFMODEL!$I$127:$AF$128,2)*0.8)),+FL104)</f>
        <v>67.637219965293</v>
      </c>
      <c r="FM105" s="1127" t="n">
        <f aca="false">IF(MONTH(C105)=5,FM104*(IF(Summary!$E$70="no",(1+(Summary!$E$71*0.8)),1+HLOOKUP(YEAR(CALC!C105)-1,CCFMODEL!$I$127:$AF$128,2)*0.8)),+FM104)</f>
        <v>32.2811263767319</v>
      </c>
      <c r="FN105" s="1128" t="e">
        <f aca="false">IF((OR(MONTH(C105)=5,MONTH(C105)=6,MONTH(C105)=7,MONTH(C105)=8,MONTH(C105)=9)),SUM(FB105:FG105)/(1-BC105)*FL105,SUM(FB105:FG105)/(1-BC105)*FM105)</f>
        <v>#VALUE!</v>
      </c>
      <c r="FO105" s="1129" t="e">
        <f aca="false">FK105+FN105</f>
        <v>#VALUE!</v>
      </c>
      <c r="FP105" s="1169" t="e">
        <f aca="false">FB105</f>
        <v>#VALUE!</v>
      </c>
      <c r="FQ105" s="1129" t="n">
        <f aca="false">FC105</f>
        <v>0</v>
      </c>
      <c r="FR105" s="1129" t="e">
        <f aca="false">FD105</f>
        <v>#VALUE!</v>
      </c>
      <c r="FS105" s="1129" t="n">
        <f aca="false">FE105</f>
        <v>0</v>
      </c>
      <c r="FT105" s="1129" t="e">
        <f aca="false">FF105</f>
        <v>#VALUE!</v>
      </c>
      <c r="FU105" s="1129" t="n">
        <f aca="false">FG105</f>
        <v>0</v>
      </c>
      <c r="FV105" s="1170" t="e">
        <f aca="false">FH105</f>
        <v>#VALUE!</v>
      </c>
      <c r="FW105" s="1115" t="n">
        <f aca="false">IF(ER105&gt;0,MIN(FB105-FP105,BL105),0)</f>
        <v>0</v>
      </c>
      <c r="FX105" s="1115" t="n">
        <f aca="false">IF(ES105&gt;0,MIN(FD105-FR105,BM105),0)</f>
        <v>0</v>
      </c>
      <c r="FY105" s="1115" t="n">
        <f aca="false">IF(ET105&gt;0,MIN(FF105-FT105,BN105),0)</f>
        <v>0</v>
      </c>
      <c r="FZ105" s="1143" t="n">
        <f aca="false">IF(EU105&gt;0,MIN(FH105-FV105,BO105),0)</f>
        <v>0</v>
      </c>
      <c r="GA105" s="1132" t="e">
        <f aca="false">(SUM(FP105:FV105)+SUM(GU105:HB105)/(1-Summary!$O$25))*CY105/1000</f>
        <v>#VALUE!</v>
      </c>
      <c r="GB105" s="1133" t="n">
        <f aca="false">IF($C105&lt;Summary!$M$81,+Summary!$O$81,VLOOKUP(C105,GasTable,19))</f>
        <v>2.4</v>
      </c>
      <c r="GC105" s="1134" t="e">
        <f aca="false">IF(H105&lt;=Summary!$N$84,MIN(GA105,Summary!$O$75*(H105-G105+1)),0)</f>
        <v>#VALUE!</v>
      </c>
      <c r="GD105" s="1135" t="e">
        <f aca="false">IF(Summary!$O$75*(H105-G105+1)*0.8&gt;GC105,1,0)</f>
        <v>#VALUE!</v>
      </c>
      <c r="GE105" s="1136" t="n">
        <v>0</v>
      </c>
      <c r="GF105" s="1134" t="e">
        <f aca="false">ABS(MIN(0,GC105-$GA105))</f>
        <v>#VALUE!</v>
      </c>
      <c r="GG105" s="1135" t="e">
        <f aca="false">GF105*(IF(Summary!$O$74=1,VLOOKUP($C105,GasTable,16)+Summary!$O$92+Summary!$O$93,VLOOKUP($C105,GasTable,19)+Summary!$O$92+Summary!$O$93))</f>
        <v>#VALUE!</v>
      </c>
      <c r="GH105" s="1137" t="n">
        <v>18407.8</v>
      </c>
      <c r="GI105" s="1138" t="n">
        <v>0</v>
      </c>
      <c r="GJ105" s="1139" t="e">
        <f aca="false">+GB105*GC105+GE105+GG105+GH105-GI105</f>
        <v>#VALUE!</v>
      </c>
      <c r="GK105" s="1115" t="e">
        <f aca="false">SUM(FP105:FV105,GU105:GX105,GY105:HB105)</f>
        <v>#VALUE!</v>
      </c>
      <c r="GL105" s="1140" t="n">
        <v>0.763118689056</v>
      </c>
      <c r="GM105" s="1141" t="e">
        <f aca="false">IF(GK105&gt;GC105/(CY105/1000),GC105/(CY105/1000),+GK105)*GL105</f>
        <v>#VALUE!</v>
      </c>
      <c r="GN105" s="1115" t="n">
        <f aca="false">IF(SUM(GU105:HB105)=0,0,IF(Summary!$O$16="Yes",SUM(GX105:HB105),IF(Summary!$O$17="Yes",SUM(GY105:HB105),SUM(GU105:HB105))))</f>
        <v>9547.0731</v>
      </c>
      <c r="GO105" s="1142" t="n">
        <v>2.92651628291373</v>
      </c>
      <c r="GP105" s="1143" t="n">
        <f aca="false">GN105*GO105</f>
        <v>27939.6648813176</v>
      </c>
      <c r="GQ105" s="1115"/>
      <c r="GR105" s="1115"/>
      <c r="GS105" s="1115"/>
      <c r="GT105" s="1115"/>
      <c r="GU105" s="1150" t="n">
        <v>3764.079</v>
      </c>
      <c r="GV105" s="1115" t="n">
        <v>684.378</v>
      </c>
      <c r="GW105" s="1115" t="n">
        <v>855.4725</v>
      </c>
      <c r="GX105" s="1115"/>
      <c r="GY105" s="1151" t="n">
        <v>3011.2632</v>
      </c>
      <c r="GZ105" s="1115" t="n">
        <v>547.5024</v>
      </c>
      <c r="HA105" s="1115" t="n">
        <v>684.378</v>
      </c>
      <c r="HB105" s="1141"/>
      <c r="HC105" s="1115" t="n">
        <v>9547.0731</v>
      </c>
      <c r="HD105" s="1115"/>
      <c r="HE105" s="1115" t="n">
        <v>22276.5039</v>
      </c>
      <c r="HF105" s="1115" t="n">
        <v>307022.56197742</v>
      </c>
      <c r="HG105" s="1115"/>
      <c r="HH105" s="1142" t="n">
        <v>32.5831388276616</v>
      </c>
      <c r="HI105" s="1115" t="n">
        <v>725838.419168644</v>
      </c>
      <c r="HJ105" s="1150" t="e">
        <f aca="false">MAX(FB105-FP105-FW105,0)</f>
        <v>#VALUE!</v>
      </c>
      <c r="HK105" s="1115" t="e">
        <f aca="false">MAX(FD105-FR105-FX105,0)</f>
        <v>#VALUE!</v>
      </c>
      <c r="HL105" s="1115" t="e">
        <f aca="false">MAX(FF105-FT105-FY105,0)</f>
        <v>#VALUE!</v>
      </c>
      <c r="HM105" s="1141" t="e">
        <f aca="false">MAX(FH105-FV105-FZ105,0)</f>
        <v>#VALUE!</v>
      </c>
      <c r="HN105" s="1115" t="e">
        <f aca="false">SUM(HJ105:HM105)</f>
        <v>#VALUE!</v>
      </c>
      <c r="HO105" s="1142" t="n">
        <f aca="false">IF(ISERROR(+HP105/HN105),0,+HP105/HN105)</f>
        <v>0</v>
      </c>
      <c r="HP105" s="1143" t="e">
        <f aca="false">(HJ105*CE105+HK105*CF105+HL105*CG105+HM105*CH105)</f>
        <v>#VALUE!</v>
      </c>
      <c r="HQ105" s="1146"/>
      <c r="HR105" s="1150"/>
      <c r="HS105" s="1110"/>
      <c r="HT105" s="1141"/>
      <c r="HU105" s="1151"/>
      <c r="HV105" s="1142"/>
      <c r="HW105" s="1115"/>
      <c r="HX105" s="1149"/>
      <c r="HY105" s="1143"/>
      <c r="HZ105" s="1150"/>
      <c r="IA105" s="1142"/>
      <c r="IB105" s="1141"/>
      <c r="IC105" s="1151"/>
      <c r="ID105" s="1142"/>
      <c r="IE105" s="1141"/>
      <c r="IF105" s="1115"/>
      <c r="IG105" s="1142"/>
      <c r="IH105" s="1141"/>
      <c r="II105" s="1115"/>
      <c r="IJ105" s="1142"/>
      <c r="IK105" s="1115"/>
      <c r="IL105" s="1152"/>
      <c r="IM105" s="1192"/>
      <c r="IN105" s="1151"/>
      <c r="IO105" s="1151"/>
      <c r="IP105" s="1151"/>
      <c r="IQ105" s="1151"/>
      <c r="IR105" s="844"/>
    </row>
    <row r="106" customFormat="false" ht="13.5" hidden="false" customHeight="false" outlineLevel="0" collapsed="false">
      <c r="A106" s="0" t="str">
        <f aca="false">+D106&amp;"Q"&amp;ROUNDUP(E106/3,0)</f>
        <v>2007Q2</v>
      </c>
      <c r="B106" s="0" t="n">
        <f aca="false">YEAR(C106)</f>
        <v>2007</v>
      </c>
      <c r="C106" s="1153" t="n">
        <f aca="false">EOMONTH(C105,0)+1</f>
        <v>39234</v>
      </c>
      <c r="D106" s="841" t="n">
        <f aca="false">+YEAR(C106)</f>
        <v>2007</v>
      </c>
      <c r="E106" s="807" t="n">
        <f aca="false">MONTH(C106)</f>
        <v>6</v>
      </c>
      <c r="F106" s="1154" t="e">
        <f aca="false">IF(G106="","",Holiday(D106,E106))</f>
        <v>#VALUE!</v>
      </c>
      <c r="G106" s="1155" t="n">
        <v>39234</v>
      </c>
      <c r="H106" s="1156" t="n">
        <v>39263</v>
      </c>
      <c r="I106" s="1157" t="n">
        <f aca="false">I105</f>
        <v>0.0715</v>
      </c>
      <c r="J106" s="1158" t="n">
        <f aca="false">(1+I106/2)^(-2*(DATE(D107,E107,20)-$H$7)/365.25)</f>
        <v>0.586521034519553</v>
      </c>
      <c r="K106" s="1159"/>
      <c r="L106" s="1158"/>
      <c r="M106" s="1082" t="n">
        <v>0</v>
      </c>
      <c r="N106" s="1110" t="n">
        <f aca="false">M106</f>
        <v>0</v>
      </c>
      <c r="O106" s="1174" t="n">
        <f aca="false">N106</f>
        <v>0</v>
      </c>
      <c r="P106" s="1175" t="n">
        <f aca="false">M106</f>
        <v>0</v>
      </c>
      <c r="Q106" s="1110" t="n">
        <f aca="false">P106</f>
        <v>0</v>
      </c>
      <c r="R106" s="1174" t="n">
        <f aca="false">Q106</f>
        <v>0</v>
      </c>
      <c r="S106" s="1110" t="n">
        <f aca="false">R106</f>
        <v>0</v>
      </c>
      <c r="T106" s="1110" t="n">
        <f aca="false">S106</f>
        <v>0</v>
      </c>
      <c r="U106" s="1110" t="n">
        <f aca="false">T106</f>
        <v>0</v>
      </c>
      <c r="V106" s="1175" t="n">
        <f aca="false">U106</f>
        <v>0</v>
      </c>
      <c r="W106" s="1110" t="n">
        <f aca="false">V106</f>
        <v>0</v>
      </c>
      <c r="X106" s="1176" t="n">
        <f aca="false">W106</f>
        <v>0</v>
      </c>
      <c r="Y106" s="1086" t="n">
        <v>0</v>
      </c>
      <c r="Z106" s="1086" t="n">
        <v>0</v>
      </c>
      <c r="AA106" s="1087" t="n">
        <v>0</v>
      </c>
      <c r="AB106" s="1086" t="n">
        <v>0</v>
      </c>
      <c r="AC106" s="1086" t="n">
        <v>0</v>
      </c>
      <c r="AD106" s="1087" t="n">
        <v>0</v>
      </c>
      <c r="AE106" s="1086" t="n">
        <v>0</v>
      </c>
      <c r="AF106" s="1086" t="n">
        <v>0</v>
      </c>
      <c r="AG106" s="1087" t="n">
        <v>0</v>
      </c>
      <c r="AH106" s="1086" t="n">
        <v>0</v>
      </c>
      <c r="AI106" s="1086" t="n">
        <v>0</v>
      </c>
      <c r="AJ106" s="1087" t="n">
        <v>0</v>
      </c>
      <c r="AK106" s="1086" t="n">
        <v>0</v>
      </c>
      <c r="AL106" s="1086" t="n">
        <v>0</v>
      </c>
      <c r="AM106" s="1087" t="n">
        <v>0</v>
      </c>
      <c r="AN106" s="1086" t="n">
        <v>0</v>
      </c>
      <c r="AO106" s="1086" t="n">
        <v>0</v>
      </c>
      <c r="AP106" s="1087" t="n">
        <v>0</v>
      </c>
      <c r="AQ106" s="1086" t="n">
        <v>0</v>
      </c>
      <c r="AR106" s="1086" t="n">
        <v>0</v>
      </c>
      <c r="AS106" s="1087" t="n">
        <v>0</v>
      </c>
      <c r="AT106" s="1086" t="n">
        <v>0</v>
      </c>
      <c r="AU106" s="1086" t="n">
        <v>0</v>
      </c>
      <c r="AV106" s="1086" t="n">
        <v>0</v>
      </c>
      <c r="AW106" s="1172" t="n">
        <v>0</v>
      </c>
      <c r="AX106" s="807" t="n">
        <f aca="false">BB106-SUM(AY106:BA106)</f>
        <v>21</v>
      </c>
      <c r="AY106" s="807" t="n">
        <f aca="false">IF(AND($E106=MONTH(Summary!$E$24),$D106=YEAR(Summary!$E$24)),Summary!$E$25,1)*IF(G106="",0,INT((H106-MOD(H106,7)-G106)/7)+1-IF(BA106,IF(WEEKDAY(F106)=7,1,0),0))</f>
        <v>5</v>
      </c>
      <c r="AZ106" s="807" t="n">
        <f aca="false">IF(AND($E106=MONTH(Summary!$E$24),$D106=YEAR(Summary!$E$24)),Summary!$E$25,1)*IF(G106="",0,INT((H106-MOD(H106-1,7)-G106)/7)+1-IF(BA106,IF(WEEKDAY(F106)=1,1,0),0))</f>
        <v>4</v>
      </c>
      <c r="BA106" s="807" t="n">
        <v>0</v>
      </c>
      <c r="BB106" s="807" t="n">
        <f aca="false">IF(AND($E106=MONTH(Summary!$E$24),$D106=YEAR(Summary!$E$24)),Summary!$E$25,1)*IF(G106="",0,H106-G106+1)</f>
        <v>30</v>
      </c>
      <c r="BC106" s="1089" t="n">
        <f aca="false">Summary!$E$19</f>
        <v>0.015</v>
      </c>
      <c r="BD106" s="1090" t="n">
        <v>14893.2</v>
      </c>
      <c r="BE106" s="1091" t="n">
        <v>3546</v>
      </c>
      <c r="BF106" s="1091" t="n">
        <v>2836.8</v>
      </c>
      <c r="BG106" s="842"/>
      <c r="BH106" s="1092" t="n">
        <v>1</v>
      </c>
      <c r="BI106" s="1092" t="n">
        <v>1</v>
      </c>
      <c r="BJ106" s="1092" t="n">
        <v>1</v>
      </c>
      <c r="BK106" s="1092" t="n">
        <v>1</v>
      </c>
      <c r="BL106" s="1093" t="n">
        <v>2978.64</v>
      </c>
      <c r="BM106" s="1091" t="n">
        <v>709.2</v>
      </c>
      <c r="BN106" s="1091" t="n">
        <v>567.36</v>
      </c>
      <c r="BO106" s="842"/>
      <c r="BP106" s="1092" t="n">
        <v>1</v>
      </c>
      <c r="BQ106" s="1094" t="n">
        <v>1</v>
      </c>
      <c r="BR106" s="1094" t="n">
        <v>1</v>
      </c>
      <c r="BS106" s="1095" t="n">
        <v>1</v>
      </c>
      <c r="BT106" s="1093" t="n">
        <f aca="false">SUM(BD106:BF106)</f>
        <v>21276</v>
      </c>
      <c r="BU106" s="1098" t="n">
        <f aca="false">SUM(BD106:BG106)</f>
        <v>21276</v>
      </c>
      <c r="BV106" s="1090" t="n">
        <f aca="false">SUM(BL106:BN106)</f>
        <v>4255.2</v>
      </c>
      <c r="BW106" s="1098" t="n">
        <f aca="false">SUM(BL106:BO106)</f>
        <v>4255.2</v>
      </c>
      <c r="BX106" s="852" t="n">
        <v>7.46064339493498</v>
      </c>
      <c r="BY106" s="1099" t="n">
        <v>0</v>
      </c>
      <c r="BZ106" s="852" t="n">
        <v>0</v>
      </c>
      <c r="CA106" s="852" t="n">
        <v>0</v>
      </c>
      <c r="CB106" s="852" t="n">
        <v>0</v>
      </c>
      <c r="CC106" s="852" t="n">
        <v>0</v>
      </c>
      <c r="CD106" s="852" t="n">
        <v>0</v>
      </c>
      <c r="CE106" s="1100" t="n">
        <v>0</v>
      </c>
      <c r="CF106" s="852" t="n">
        <v>0</v>
      </c>
      <c r="CG106" s="852" t="n">
        <v>0</v>
      </c>
      <c r="CH106" s="852" t="n">
        <v>0</v>
      </c>
      <c r="CI106" s="852" t="n">
        <v>0</v>
      </c>
      <c r="CJ106" s="1101" t="n">
        <v>0</v>
      </c>
      <c r="CK106" s="852" t="n">
        <v>0</v>
      </c>
      <c r="CL106" s="852" t="n">
        <v>0</v>
      </c>
      <c r="CM106" s="852" t="n">
        <v>0</v>
      </c>
      <c r="CN106" s="852" t="n">
        <v>0</v>
      </c>
      <c r="CO106" s="852" t="n">
        <v>0</v>
      </c>
      <c r="CP106" s="852" t="n">
        <v>0</v>
      </c>
      <c r="CQ106" s="1102" t="n">
        <v>0</v>
      </c>
      <c r="CR106" s="1103" t="n">
        <v>0</v>
      </c>
      <c r="CS106" s="1103" t="n">
        <v>0</v>
      </c>
      <c r="CT106" s="1103" t="n">
        <v>0</v>
      </c>
      <c r="CU106" s="1103" t="n">
        <v>0</v>
      </c>
      <c r="CV106" s="1103" t="n">
        <v>0</v>
      </c>
      <c r="CW106" s="1103" t="n">
        <v>0</v>
      </c>
      <c r="CX106" s="1104" t="n">
        <v>0</v>
      </c>
      <c r="CY106" s="1105" t="n">
        <v>7772.36896</v>
      </c>
      <c r="CZ106" s="1099" t="n">
        <v>0</v>
      </c>
      <c r="DA106" s="852" t="n">
        <v>0</v>
      </c>
      <c r="DB106" s="852" t="n">
        <v>0</v>
      </c>
      <c r="DC106" s="852" t="n">
        <v>0</v>
      </c>
      <c r="DD106" s="852" t="n">
        <v>0</v>
      </c>
      <c r="DE106" s="1113" t="n">
        <v>0</v>
      </c>
      <c r="DF106" s="1109" t="n">
        <v>0</v>
      </c>
      <c r="DG106" s="1110" t="n">
        <v>0</v>
      </c>
      <c r="DH106" s="1111" t="n">
        <v>0</v>
      </c>
      <c r="DI106" s="1112" t="n">
        <v>0</v>
      </c>
      <c r="DJ106" s="1112" t="n">
        <v>0</v>
      </c>
      <c r="DK106" s="1112" t="n">
        <v>0</v>
      </c>
      <c r="DL106" s="1113" t="n">
        <v>0</v>
      </c>
      <c r="DM106" s="1114" t="n">
        <v>0</v>
      </c>
      <c r="DN106" s="1114" t="n">
        <v>0</v>
      </c>
      <c r="DO106" s="1114" t="n">
        <v>0</v>
      </c>
      <c r="DP106" s="1114" t="n">
        <v>0</v>
      </c>
      <c r="DQ106" s="1114" t="n">
        <v>0</v>
      </c>
      <c r="DR106" s="1109" t="n">
        <v>0</v>
      </c>
      <c r="DS106" s="852" t="n">
        <v>0</v>
      </c>
      <c r="DT106" s="852" t="n">
        <v>0</v>
      </c>
      <c r="DU106" s="852" t="n">
        <v>0</v>
      </c>
      <c r="DV106" s="852" t="n">
        <v>0</v>
      </c>
      <c r="DW106" s="852" t="n">
        <v>0</v>
      </c>
      <c r="DX106" s="852" t="n">
        <v>0</v>
      </c>
      <c r="DY106" s="852" t="n">
        <v>0</v>
      </c>
      <c r="DZ106" s="852" t="n">
        <v>0</v>
      </c>
      <c r="EA106" s="852" t="n">
        <v>0</v>
      </c>
      <c r="EB106" s="1113" t="n">
        <v>0</v>
      </c>
      <c r="EC106" s="1115" t="n">
        <f aca="false">DS106*BD106</f>
        <v>0</v>
      </c>
      <c r="ED106" s="1115" t="n">
        <f aca="false">DT106*BE106</f>
        <v>0</v>
      </c>
      <c r="EE106" s="1115" t="n">
        <f aca="false">DU106*BF106</f>
        <v>0</v>
      </c>
      <c r="EF106" s="1115" t="n">
        <f aca="false">DV106*BG106</f>
        <v>0</v>
      </c>
      <c r="EG106" s="1115" t="n">
        <f aca="false">DS106*BD106+DT106*BE106+DU106*BF106+DV106*BG106</f>
        <v>0</v>
      </c>
      <c r="EH106" s="1116" t="n">
        <v>0</v>
      </c>
      <c r="EI106" s="1117" t="n">
        <v>0</v>
      </c>
      <c r="EJ106" s="1117" t="n">
        <v>0</v>
      </c>
      <c r="EK106" s="1117" t="n">
        <v>0</v>
      </c>
      <c r="EL106" s="1118" t="n">
        <f aca="false">IF(C106&gt;=Summary!$E$26,MAX(0,SUM(EH106:EK106)),0)</f>
        <v>0</v>
      </c>
      <c r="EM106" s="1115" t="n">
        <f aca="false">IF(C106&gt;=Summary!$E$26,DX106*BL106,0)</f>
        <v>0</v>
      </c>
      <c r="EN106" s="1115" t="n">
        <f aca="false">IF(C106&gt;=Summary!$E$26,DY106*BM106,0)</f>
        <v>0</v>
      </c>
      <c r="EO106" s="1115" t="n">
        <f aca="false">IF(C106&gt;=Summary!$E$26,DZ106*BN106,0)</f>
        <v>0</v>
      </c>
      <c r="EP106" s="1115" t="n">
        <f aca="false">IF(C106&gt;=Summary!$E$26,EA106*BO106,0)</f>
        <v>0</v>
      </c>
      <c r="EQ106" s="1115" t="n">
        <f aca="false">IF(C106&gt;=Summary!$E$26,DX106*BL106+DY106*BM106+DZ106*BN106+EA106*BO106,0)</f>
        <v>0</v>
      </c>
      <c r="ER106" s="1119" t="n">
        <v>0</v>
      </c>
      <c r="ES106" s="1120" t="n">
        <v>0</v>
      </c>
      <c r="ET106" s="1120" t="n">
        <v>0</v>
      </c>
      <c r="EU106" s="1120" t="n">
        <v>0</v>
      </c>
      <c r="EV106" s="1143" t="n">
        <f aca="false">IF(C106&gt;=Summary!$E$26,MAX(0,SUM(ER106:EU106)),0)</f>
        <v>0</v>
      </c>
      <c r="EW106" s="1115"/>
      <c r="EX106" s="1165" t="n">
        <f aca="false">(EQ106-EV106)+IF(EZ106="Yes",(EG106-EL106),0)</f>
        <v>0</v>
      </c>
      <c r="EY106" s="1166" t="str">
        <f aca="false">IF(EX106,EX106/EQ106,"")</f>
        <v/>
      </c>
      <c r="EZ106" s="1122" t="s">
        <v>37</v>
      </c>
      <c r="FA106" s="1096" t="n">
        <f aca="false">FA105</f>
        <v>45</v>
      </c>
      <c r="FB106" s="1167" t="n">
        <f aca="false">IF(EZ106="No",IF((OR(MONTH(C106)=5,MONTH(C106)=6,MONTH(C106)=7,MONTH(C106)=8,MONTH(C106)=9)),$FA106*12*AX106*(1-$BC106),$FA106*10*AX106*(1-$BC106)),0)</f>
        <v>11169.9</v>
      </c>
      <c r="FC106" s="1129" t="n">
        <f aca="false">IF(EZ106="No",IF((OR(MONTH(C106)=5,MONTH(C106)=6,MONTH(C106)=7,MONTH(C106)=8,MONTH(C106)=9)),0,$FA106*3*AX106*(1-$BC106)),0)</f>
        <v>0</v>
      </c>
      <c r="FD106" s="1129" t="n">
        <f aca="false">IF(EZ106="No",IF((OR(MONTH(C106)=5,MONTH(C106)=6,MONTH(C106)=7,MONTH(C106)=8,MONTH(C106)=9)),$FA106*12*AY106*(1-$BC106),$FA106*10*AY106*(1-$BC106)),0)</f>
        <v>2659.5</v>
      </c>
      <c r="FE106" s="1129" t="n">
        <f aca="false">IF(EZ106="No",IF((OR(MONTH(C106)=5,MONTH(C106)=6,MONTH(C106)=7,MONTH(C106)=8,MONTH(C106)=9)),0,$FA106*3*AY106*(1-$BC106)),0)</f>
        <v>0</v>
      </c>
      <c r="FF106" s="1129" t="n">
        <f aca="false">IF(EZ106="No",IF((OR(MONTH(C106)=5,MONTH(C106)=6,MONTH(C106)=7,MONTH(C106)=8,MONTH(C106)=9)),$FA106*12*(AZ106+BA106)*(1-$BC106),$FA106*10*(AZ106+BA106)*(1-$BC106)),0)</f>
        <v>2127.6</v>
      </c>
      <c r="FG106" s="1129" t="n">
        <f aca="false">IF(EZ106="No",IF((OR(MONTH(C106)=5,MONTH(C106)=6,MONTH(C106)=7,MONTH(C106)=8,MONTH(C106)=9)),0,$FA106*3*(AZ106+BA106)*(1-$BC106)),0)</f>
        <v>0</v>
      </c>
      <c r="FH106" s="1170" t="n">
        <f aca="false">IF(EZ106="No",IF((OR(MONTH(C106)=5,MONTH(C106)=6,MONTH(C106)=7,MONTH(C106)=8,MONTH(C106)=9)),Summary!$O$15*12*(AX106+AY106+AZ106+BA106)*(1-$BC106),Summary!$O$15*13*(AX106+AY106+AZ106+BA106)*(1-$BC106)+IF(Summary!$O$16="Yes",(CALC!FA106+Summary!$O$15)*6*(AX106+AY106+AZ106+BA106)*(1-$BC106),0)),0)</f>
        <v>0</v>
      </c>
      <c r="FI106" s="1126" t="n">
        <f aca="false">IF(MONTH(C106)=5,FI105*(IF(Summary!$E$70="no",(1+(Summary!$E$71*0.8)),1+HLOOKUP(YEAR(C106)-1,CCFMODEL!$I$127:$AF$128,2)*0.8)),+FI105)</f>
        <v>32.1605394272484</v>
      </c>
      <c r="FJ106" s="1127" t="n">
        <f aca="false">IF(MONTH(C106)=5,FJ105*(IF(Summary!$E$70="no",(1+(Summary!$E$71*0.8)),1+HLOOKUP(YEAR(CALC!C106)-1,CCFMODEL!$I$127:$AF$128,2)*0.8)),FJ105)</f>
        <v>28.108817924603</v>
      </c>
      <c r="FK106" s="1128" t="n">
        <f aca="false">SUM(FB106:FG106)*FI106+FH106*FJ106</f>
        <v>513185.727640603</v>
      </c>
      <c r="FL106" s="1126" t="n">
        <f aca="false">IF(MONTH(C106)=5,FL105*(IF(Summary!$E$70="no",(1+(Summary!$E$71*0.8)),1+HLOOKUP(YEAR(CALC!C106)-1,CCFMODEL!$I$127:$AF$128,2)*0.8)),+FL105)</f>
        <v>67.637219965293</v>
      </c>
      <c r="FM106" s="1127" t="n">
        <f aca="false">IF(MONTH(C106)=5,FM105*(IF(Summary!$E$70="no",(1+(Summary!$E$71*0.8)),1+HLOOKUP(YEAR(CALC!C106)-1,CCFMODEL!$I$127:$AF$128,2)*0.8)),+FM105)</f>
        <v>32.2811263767319</v>
      </c>
      <c r="FN106" s="1128" t="n">
        <f aca="false">IF((OR(MONTH(C106)=5,MONTH(C106)=6,MONTH(C106)=7,MONTH(C106)=8,MONTH(C106)=9)),SUM(FB106:FG106)/(1-BC106)*FL106,SUM(FB106:FG106)/(1-BC106)*FM106)</f>
        <v>1095722.96343775</v>
      </c>
      <c r="FO106" s="1129" t="n">
        <f aca="false">FK106+FN106</f>
        <v>1608908.69107835</v>
      </c>
      <c r="FP106" s="1169" t="n">
        <f aca="false">FB106</f>
        <v>11169.9</v>
      </c>
      <c r="FQ106" s="1129" t="n">
        <f aca="false">FC106</f>
        <v>0</v>
      </c>
      <c r="FR106" s="1129" t="n">
        <f aca="false">FD106</f>
        <v>2659.5</v>
      </c>
      <c r="FS106" s="1129" t="n">
        <f aca="false">FE106</f>
        <v>0</v>
      </c>
      <c r="FT106" s="1129" t="n">
        <f aca="false">FF106</f>
        <v>2127.6</v>
      </c>
      <c r="FU106" s="1129" t="n">
        <f aca="false">FG106</f>
        <v>0</v>
      </c>
      <c r="FV106" s="1170" t="n">
        <f aca="false">FH106</f>
        <v>0</v>
      </c>
      <c r="FW106" s="1115" t="n">
        <f aca="false">IF(ER106&gt;0,MIN(FB106-FP106,BL106),0)</f>
        <v>0</v>
      </c>
      <c r="FX106" s="1115" t="n">
        <f aca="false">IF(ES106&gt;0,MIN(FD106-FR106,BM106),0)</f>
        <v>0</v>
      </c>
      <c r="FY106" s="1115" t="n">
        <f aca="false">IF(ET106&gt;0,MIN(FF106-FT106,BN106),0)</f>
        <v>0</v>
      </c>
      <c r="FZ106" s="1143" t="n">
        <f aca="false">IF(EU106&gt;0,MIN(FH106-FV106,BO106),0)</f>
        <v>0</v>
      </c>
      <c r="GA106" s="1132" t="n">
        <f aca="false">(SUM(FP106:FV106)+SUM(GU106:HB106)/(1-Summary!$O$25))*CY106/1000</f>
        <v>157096.675893312</v>
      </c>
      <c r="GB106" s="1133" t="n">
        <f aca="false">IF($C106&lt;Summary!$M$81,+Summary!$O$81,VLOOKUP(C106,GasTable,19))</f>
        <v>2.4</v>
      </c>
      <c r="GC106" s="1134" t="n">
        <f aca="false">IF(H106&lt;=Summary!$N$84,MIN(GA106,Summary!$O$75*(H106-G106+1)),0)</f>
        <v>150000</v>
      </c>
      <c r="GD106" s="1135" t="n">
        <f aca="false">IF(Summary!$O$75*(H106-G106+1)*0.8&gt;GC106,1,0)</f>
        <v>0</v>
      </c>
      <c r="GE106" s="1136" t="n">
        <v>0</v>
      </c>
      <c r="GF106" s="1134" t="n">
        <f aca="false">ABS(MIN(0,GC106-$GA106))</f>
        <v>7096.675893312</v>
      </c>
      <c r="GG106" s="1135" t="n">
        <f aca="false">GF106*(IF(Summary!$O$74=1,VLOOKUP($C106,GasTable,16)+Summary!$O$92+Summary!$O$93,VLOOKUP($C106,GasTable,19)+Summary!$O$92+Summary!$O$93))</f>
        <v>19977.8550489231</v>
      </c>
      <c r="GH106" s="1137" t="n">
        <v>18030</v>
      </c>
      <c r="GI106" s="1138" t="n">
        <v>0</v>
      </c>
      <c r="GJ106" s="1139" t="n">
        <f aca="false">+GB106*GC106+GE106+GG106+GH106-GI106</f>
        <v>398007.855048923</v>
      </c>
      <c r="GK106" s="1115" t="n">
        <f aca="false">SUM(FP106:FV106,GU106:GX106,GY106:HB106)</f>
        <v>20063.268</v>
      </c>
      <c r="GL106" s="1140" t="n">
        <v>0.763246631872</v>
      </c>
      <c r="GM106" s="1141" t="n">
        <f aca="false">IF(GK106&gt;GC106/(CY106/1000),GC106/(CY106/1000),+GK106)*GL106</f>
        <v>14730</v>
      </c>
      <c r="GN106" s="1115" t="n">
        <f aca="false">IF(SUM(GU106:HB106)=0,0,IF(Summary!$O$16="Yes",SUM(GX106:HB106),IF(Summary!$O$17="Yes",SUM(GY106:HB106),SUM(GU106:HB106))))</f>
        <v>4106.268</v>
      </c>
      <c r="GO106" s="1142" t="n">
        <v>2.92651628291373</v>
      </c>
      <c r="GP106" s="1143" t="n">
        <f aca="false">GN106*GO106</f>
        <v>12017.0601640076</v>
      </c>
      <c r="GQ106" s="1115"/>
      <c r="GR106" s="1115"/>
      <c r="GS106" s="1115"/>
      <c r="GT106" s="1115"/>
      <c r="GU106" s="1150" t="n">
        <v>0</v>
      </c>
      <c r="GV106" s="1115" t="n">
        <v>0</v>
      </c>
      <c r="GW106" s="1115" t="n">
        <v>0</v>
      </c>
      <c r="GX106" s="1115"/>
      <c r="GY106" s="1151" t="n">
        <v>2874.3876</v>
      </c>
      <c r="GZ106" s="1115" t="n">
        <v>684.378</v>
      </c>
      <c r="HA106" s="1115" t="n">
        <v>547.5024</v>
      </c>
      <c r="HB106" s="1141"/>
      <c r="HC106" s="1115" t="n">
        <v>4106.268</v>
      </c>
      <c r="HD106" s="1115"/>
      <c r="HE106" s="1115" t="n">
        <v>16425.072</v>
      </c>
      <c r="HF106" s="1115" t="n">
        <v>131575.006481754</v>
      </c>
      <c r="HG106" s="1115"/>
      <c r="HH106" s="1142" t="n">
        <v>32.0424790787534</v>
      </c>
      <c r="HI106" s="1115" t="n">
        <v>526300.025927018</v>
      </c>
      <c r="HJ106" s="1150" t="n">
        <f aca="false">MAX(FB106-FP106-FW106,0)</f>
        <v>0</v>
      </c>
      <c r="HK106" s="1115" t="n">
        <f aca="false">MAX(FD106-FR106-FX106,0)</f>
        <v>0</v>
      </c>
      <c r="HL106" s="1115" t="n">
        <f aca="false">MAX(FF106-FT106-FY106,0)</f>
        <v>0</v>
      </c>
      <c r="HM106" s="1141" t="n">
        <f aca="false">MAX(FH106-FV106-FZ106,0)</f>
        <v>0</v>
      </c>
      <c r="HN106" s="1115" t="n">
        <f aca="false">SUM(HJ106:HM106)</f>
        <v>0</v>
      </c>
      <c r="HO106" s="1142" t="n">
        <f aca="false">IF(ISERROR(+HP106/HN106),0,+HP106/HN106)</f>
        <v>0</v>
      </c>
      <c r="HP106" s="1143" t="n">
        <f aca="false">(HJ106*CE106+HK106*CF106+HL106*CG106+HM106*CH106)</f>
        <v>0</v>
      </c>
      <c r="HQ106" s="1146"/>
      <c r="HR106" s="1150"/>
      <c r="HS106" s="1110"/>
      <c r="HT106" s="1141"/>
      <c r="HU106" s="1151"/>
      <c r="HV106" s="1142"/>
      <c r="HW106" s="1115"/>
      <c r="HX106" s="1149"/>
      <c r="HY106" s="1143"/>
      <c r="HZ106" s="1150"/>
      <c r="IA106" s="1142"/>
      <c r="IB106" s="1141"/>
      <c r="IC106" s="1151"/>
      <c r="ID106" s="1142"/>
      <c r="IE106" s="1141"/>
      <c r="IF106" s="1115"/>
      <c r="IG106" s="1142"/>
      <c r="IH106" s="1141"/>
      <c r="II106" s="1115"/>
      <c r="IJ106" s="1142"/>
      <c r="IK106" s="1115"/>
      <c r="IL106" s="1152"/>
      <c r="IM106" s="1192"/>
      <c r="IN106" s="1151"/>
      <c r="IO106" s="1151"/>
      <c r="IP106" s="1151"/>
      <c r="IQ106" s="1151"/>
      <c r="IR106" s="844"/>
    </row>
    <row r="107" customFormat="false" ht="13.5" hidden="false" customHeight="false" outlineLevel="0" collapsed="false">
      <c r="A107" s="0" t="str">
        <f aca="false">+D107&amp;"Q"&amp;ROUNDUP(E107/3,0)</f>
        <v>2007Q3</v>
      </c>
      <c r="B107" s="0" t="n">
        <f aca="false">YEAR(C107)</f>
        <v>2007</v>
      </c>
      <c r="C107" s="1153" t="n">
        <f aca="false">EOMONTH(C106,0)+1</f>
        <v>39264</v>
      </c>
      <c r="D107" s="841" t="n">
        <f aca="false">+YEAR(C107)</f>
        <v>2007</v>
      </c>
      <c r="E107" s="807" t="n">
        <f aca="false">MONTH(C107)</f>
        <v>7</v>
      </c>
      <c r="F107" s="1154" t="e">
        <f aca="false">IF(G107="","",Holiday(D107,E107))</f>
        <v>#VALUE!</v>
      </c>
      <c r="G107" s="1155" t="n">
        <v>39264</v>
      </c>
      <c r="H107" s="1156" t="n">
        <v>39294</v>
      </c>
      <c r="I107" s="1157" t="n">
        <f aca="false">I106</f>
        <v>0.0715</v>
      </c>
      <c r="J107" s="1158" t="n">
        <f aca="false">(1+I107/2)^(-2*(DATE(D108,E108,20)-$H$7)/365.25)</f>
        <v>0.583034313415863</v>
      </c>
      <c r="K107" s="1159"/>
      <c r="L107" s="1158"/>
      <c r="M107" s="1082" t="n">
        <v>0</v>
      </c>
      <c r="N107" s="1110" t="n">
        <f aca="false">M107</f>
        <v>0</v>
      </c>
      <c r="O107" s="1174" t="n">
        <f aca="false">N107</f>
        <v>0</v>
      </c>
      <c r="P107" s="1175" t="n">
        <f aca="false">M107</f>
        <v>0</v>
      </c>
      <c r="Q107" s="1110" t="n">
        <f aca="false">P107</f>
        <v>0</v>
      </c>
      <c r="R107" s="1174" t="n">
        <f aca="false">Q107</f>
        <v>0</v>
      </c>
      <c r="S107" s="1110" t="n">
        <f aca="false">R107</f>
        <v>0</v>
      </c>
      <c r="T107" s="1110" t="n">
        <f aca="false">S107</f>
        <v>0</v>
      </c>
      <c r="U107" s="1110" t="n">
        <f aca="false">T107</f>
        <v>0</v>
      </c>
      <c r="V107" s="1175" t="n">
        <f aca="false">U107</f>
        <v>0</v>
      </c>
      <c r="W107" s="1110" t="n">
        <f aca="false">V107</f>
        <v>0</v>
      </c>
      <c r="X107" s="1176" t="n">
        <f aca="false">W107</f>
        <v>0</v>
      </c>
      <c r="Y107" s="1086" t="n">
        <v>0</v>
      </c>
      <c r="Z107" s="1086" t="n">
        <v>0</v>
      </c>
      <c r="AA107" s="1087" t="n">
        <v>0</v>
      </c>
      <c r="AB107" s="1086" t="n">
        <v>0</v>
      </c>
      <c r="AC107" s="1086" t="n">
        <v>0</v>
      </c>
      <c r="AD107" s="1087" t="n">
        <v>0</v>
      </c>
      <c r="AE107" s="1086" t="n">
        <v>0</v>
      </c>
      <c r="AF107" s="1086" t="n">
        <v>0</v>
      </c>
      <c r="AG107" s="1087" t="n">
        <v>0</v>
      </c>
      <c r="AH107" s="1086" t="n">
        <v>0</v>
      </c>
      <c r="AI107" s="1086" t="n">
        <v>0</v>
      </c>
      <c r="AJ107" s="1087" t="n">
        <v>0</v>
      </c>
      <c r="AK107" s="1086" t="n">
        <v>0</v>
      </c>
      <c r="AL107" s="1086" t="n">
        <v>0</v>
      </c>
      <c r="AM107" s="1087" t="n">
        <v>0</v>
      </c>
      <c r="AN107" s="1086" t="n">
        <v>0</v>
      </c>
      <c r="AO107" s="1086" t="n">
        <v>0</v>
      </c>
      <c r="AP107" s="1087" t="n">
        <v>0</v>
      </c>
      <c r="AQ107" s="1086" t="n">
        <v>0</v>
      </c>
      <c r="AR107" s="1086" t="n">
        <v>0</v>
      </c>
      <c r="AS107" s="1087" t="n">
        <v>0</v>
      </c>
      <c r="AT107" s="1086" t="n">
        <v>0</v>
      </c>
      <c r="AU107" s="1086" t="n">
        <v>0</v>
      </c>
      <c r="AV107" s="1086" t="n">
        <v>0</v>
      </c>
      <c r="AW107" s="1172" t="n">
        <v>0</v>
      </c>
      <c r="AX107" s="807" t="e">
        <f aca="false">BB107-SUM(AY107:BA107)</f>
        <v>#VALUE!</v>
      </c>
      <c r="AY107" s="807" t="e">
        <f aca="false">IF(AND($E107=MONTH(Summary!$E$24),$D107=YEAR(Summary!$E$24)),Summary!$E$25,1)*IF(G107="",0,INT((H107-MOD(H107,7)-G107)/7)+1-IF(BA107,IF(WEEKDAY(F107)=7,1,0),0))</f>
        <v>#VALUE!</v>
      </c>
      <c r="AZ107" s="807" t="e">
        <f aca="false">IF(AND($E107=MONTH(Summary!$E$24),$D107=YEAR(Summary!$E$24)),Summary!$E$25,1)*IF(G107="",0,INT((H107-MOD(H107-1,7)-G107)/7)+1-IF(BA107,IF(WEEKDAY(F107)=1,1,0),0))</f>
        <v>#VALUE!</v>
      </c>
      <c r="BA107" s="807" t="n">
        <v>1</v>
      </c>
      <c r="BB107" s="807" t="n">
        <f aca="false">IF(AND($E107=MONTH(Summary!$E$24),$D107=YEAR(Summary!$E$24)),Summary!$E$25,1)*IF(G107="",0,H107-G107+1)</f>
        <v>31</v>
      </c>
      <c r="BC107" s="1089" t="n">
        <f aca="false">Summary!$E$19</f>
        <v>0.015</v>
      </c>
      <c r="BD107" s="1090" t="n">
        <v>14893.2</v>
      </c>
      <c r="BE107" s="1091" t="n">
        <v>2836.8</v>
      </c>
      <c r="BF107" s="1091" t="n">
        <v>4255.2</v>
      </c>
      <c r="BG107" s="842"/>
      <c r="BH107" s="1092" t="n">
        <v>1</v>
      </c>
      <c r="BI107" s="1092" t="n">
        <v>1</v>
      </c>
      <c r="BJ107" s="1092" t="n">
        <v>1</v>
      </c>
      <c r="BK107" s="1092" t="n">
        <v>1</v>
      </c>
      <c r="BL107" s="1093" t="n">
        <v>2978.64</v>
      </c>
      <c r="BM107" s="1091" t="n">
        <v>567.36</v>
      </c>
      <c r="BN107" s="1091" t="n">
        <v>851.04</v>
      </c>
      <c r="BO107" s="842"/>
      <c r="BP107" s="1092" t="n">
        <v>1</v>
      </c>
      <c r="BQ107" s="1094" t="n">
        <v>1</v>
      </c>
      <c r="BR107" s="1094" t="n">
        <v>1</v>
      </c>
      <c r="BS107" s="1095" t="n">
        <v>1</v>
      </c>
      <c r="BT107" s="1093" t="n">
        <f aca="false">SUM(BD107:BF107)</f>
        <v>21985.2</v>
      </c>
      <c r="BU107" s="1098" t="n">
        <f aca="false">SUM(BD107:BG107)</f>
        <v>21985.2</v>
      </c>
      <c r="BV107" s="1090" t="n">
        <f aca="false">SUM(BL107:BN107)</f>
        <v>4397.04</v>
      </c>
      <c r="BW107" s="1098" t="n">
        <f aca="false">SUM(BL107:BO107)</f>
        <v>4397.04</v>
      </c>
      <c r="BX107" s="852" t="n">
        <v>7.54277891854894</v>
      </c>
      <c r="BY107" s="1099" t="n">
        <v>0</v>
      </c>
      <c r="BZ107" s="852" t="n">
        <v>0</v>
      </c>
      <c r="CA107" s="852" t="n">
        <v>0</v>
      </c>
      <c r="CB107" s="852" t="n">
        <v>0</v>
      </c>
      <c r="CC107" s="852" t="n">
        <v>0</v>
      </c>
      <c r="CD107" s="852" t="n">
        <v>0</v>
      </c>
      <c r="CE107" s="1100" t="n">
        <v>0</v>
      </c>
      <c r="CF107" s="852" t="n">
        <v>0</v>
      </c>
      <c r="CG107" s="852" t="n">
        <v>0</v>
      </c>
      <c r="CH107" s="852" t="n">
        <v>0</v>
      </c>
      <c r="CI107" s="852" t="n">
        <v>0</v>
      </c>
      <c r="CJ107" s="1101" t="n">
        <v>0</v>
      </c>
      <c r="CK107" s="852" t="n">
        <v>0</v>
      </c>
      <c r="CL107" s="852" t="n">
        <v>0</v>
      </c>
      <c r="CM107" s="852" t="n">
        <v>0</v>
      </c>
      <c r="CN107" s="852" t="n">
        <v>0</v>
      </c>
      <c r="CO107" s="852" t="n">
        <v>0</v>
      </c>
      <c r="CP107" s="852" t="n">
        <v>0</v>
      </c>
      <c r="CQ107" s="1102" t="n">
        <v>0</v>
      </c>
      <c r="CR107" s="1103" t="n">
        <v>0</v>
      </c>
      <c r="CS107" s="1103" t="n">
        <v>0</v>
      </c>
      <c r="CT107" s="1103" t="n">
        <v>0</v>
      </c>
      <c r="CU107" s="1103" t="n">
        <v>0</v>
      </c>
      <c r="CV107" s="1103" t="n">
        <v>0</v>
      </c>
      <c r="CW107" s="1103" t="n">
        <v>0</v>
      </c>
      <c r="CX107" s="1104" t="n">
        <v>0</v>
      </c>
      <c r="CY107" s="1105" t="n">
        <v>7773.67184</v>
      </c>
      <c r="CZ107" s="1099" t="n">
        <v>0</v>
      </c>
      <c r="DA107" s="852" t="n">
        <v>0</v>
      </c>
      <c r="DB107" s="852" t="n">
        <v>0</v>
      </c>
      <c r="DC107" s="852" t="n">
        <v>0</v>
      </c>
      <c r="DD107" s="852" t="n">
        <v>0</v>
      </c>
      <c r="DE107" s="1113" t="n">
        <v>0</v>
      </c>
      <c r="DF107" s="1109" t="n">
        <v>0</v>
      </c>
      <c r="DG107" s="1110" t="n">
        <v>0</v>
      </c>
      <c r="DH107" s="1111" t="n">
        <v>0</v>
      </c>
      <c r="DI107" s="1112" t="n">
        <v>0</v>
      </c>
      <c r="DJ107" s="1112" t="n">
        <v>0</v>
      </c>
      <c r="DK107" s="1112" t="n">
        <v>0</v>
      </c>
      <c r="DL107" s="1113" t="n">
        <v>0</v>
      </c>
      <c r="DM107" s="1114" t="n">
        <v>0</v>
      </c>
      <c r="DN107" s="1114" t="n">
        <v>0</v>
      </c>
      <c r="DO107" s="1114" t="n">
        <v>0</v>
      </c>
      <c r="DP107" s="1114" t="n">
        <v>0</v>
      </c>
      <c r="DQ107" s="1114" t="n">
        <v>0</v>
      </c>
      <c r="DR107" s="1109" t="n">
        <v>0</v>
      </c>
      <c r="DS107" s="852" t="n">
        <v>0</v>
      </c>
      <c r="DT107" s="852" t="n">
        <v>0</v>
      </c>
      <c r="DU107" s="852" t="n">
        <v>0</v>
      </c>
      <c r="DV107" s="852" t="n">
        <v>0</v>
      </c>
      <c r="DW107" s="852" t="n">
        <v>0</v>
      </c>
      <c r="DX107" s="852" t="n">
        <v>0</v>
      </c>
      <c r="DY107" s="852" t="n">
        <v>0</v>
      </c>
      <c r="DZ107" s="852" t="n">
        <v>0</v>
      </c>
      <c r="EA107" s="852" t="n">
        <v>0</v>
      </c>
      <c r="EB107" s="1113" t="n">
        <v>0</v>
      </c>
      <c r="EC107" s="1115" t="n">
        <f aca="false">DS107*BD107</f>
        <v>0</v>
      </c>
      <c r="ED107" s="1115" t="n">
        <f aca="false">DT107*BE107</f>
        <v>0</v>
      </c>
      <c r="EE107" s="1115" t="n">
        <f aca="false">DU107*BF107</f>
        <v>0</v>
      </c>
      <c r="EF107" s="1115" t="n">
        <f aca="false">DV107*BG107</f>
        <v>0</v>
      </c>
      <c r="EG107" s="1115" t="n">
        <f aca="false">DS107*BD107+DT107*BE107+DU107*BF107+DV107*BG107</f>
        <v>0</v>
      </c>
      <c r="EH107" s="1116" t="n">
        <v>0</v>
      </c>
      <c r="EI107" s="1117" t="n">
        <v>0</v>
      </c>
      <c r="EJ107" s="1117" t="n">
        <v>0</v>
      </c>
      <c r="EK107" s="1117" t="n">
        <v>0</v>
      </c>
      <c r="EL107" s="1118" t="n">
        <f aca="false">IF(C107&gt;=Summary!$E$26,MAX(0,SUM(EH107:EK107)),0)</f>
        <v>0</v>
      </c>
      <c r="EM107" s="1115" t="n">
        <f aca="false">IF(C107&gt;=Summary!$E$26,DX107*BL107,0)</f>
        <v>0</v>
      </c>
      <c r="EN107" s="1115" t="n">
        <f aca="false">IF(C107&gt;=Summary!$E$26,DY107*BM107,0)</f>
        <v>0</v>
      </c>
      <c r="EO107" s="1115" t="n">
        <f aca="false">IF(C107&gt;=Summary!$E$26,DZ107*BN107,0)</f>
        <v>0</v>
      </c>
      <c r="EP107" s="1115" t="n">
        <f aca="false">IF(C107&gt;=Summary!$E$26,EA107*BO107,0)</f>
        <v>0</v>
      </c>
      <c r="EQ107" s="1115" t="n">
        <f aca="false">IF(C107&gt;=Summary!$E$26,DX107*BL107+DY107*BM107+DZ107*BN107+EA107*BO107,0)</f>
        <v>0</v>
      </c>
      <c r="ER107" s="1119" t="n">
        <v>0</v>
      </c>
      <c r="ES107" s="1120" t="n">
        <v>0</v>
      </c>
      <c r="ET107" s="1120" t="n">
        <v>0</v>
      </c>
      <c r="EU107" s="1120" t="n">
        <v>0</v>
      </c>
      <c r="EV107" s="1143" t="n">
        <f aca="false">IF(C107&gt;=Summary!$E$26,MAX(0,SUM(ER107:EU107)),0)</f>
        <v>0</v>
      </c>
      <c r="EW107" s="1115"/>
      <c r="EX107" s="1165" t="n">
        <f aca="false">(EQ107-EV107)+IF(EZ107="Yes",(EG107-EL107),0)</f>
        <v>0</v>
      </c>
      <c r="EY107" s="1166" t="str">
        <f aca="false">IF(EX107,EX107/EQ107,"")</f>
        <v/>
      </c>
      <c r="EZ107" s="1122" t="s">
        <v>37</v>
      </c>
      <c r="FA107" s="1096" t="n">
        <f aca="false">FA106</f>
        <v>45</v>
      </c>
      <c r="FB107" s="1167" t="e">
        <f aca="false">IF(EZ107="No",IF((OR(MONTH(C107)=5,MONTH(C107)=6,MONTH(C107)=7,MONTH(C107)=8,MONTH(C107)=9)),$FA107*12*AX107*(1-$BC107),$FA107*10*AX107*(1-$BC107)),0)</f>
        <v>#VALUE!</v>
      </c>
      <c r="FC107" s="1129" t="n">
        <f aca="false">IF(EZ107="No",IF((OR(MONTH(C107)=5,MONTH(C107)=6,MONTH(C107)=7,MONTH(C107)=8,MONTH(C107)=9)),0,$FA107*3*AX107*(1-$BC107)),0)</f>
        <v>0</v>
      </c>
      <c r="FD107" s="1129" t="e">
        <f aca="false">IF(EZ107="No",IF((OR(MONTH(C107)=5,MONTH(C107)=6,MONTH(C107)=7,MONTH(C107)=8,MONTH(C107)=9)),$FA107*12*AY107*(1-$BC107),$FA107*10*AY107*(1-$BC107)),0)</f>
        <v>#VALUE!</v>
      </c>
      <c r="FE107" s="1129" t="n">
        <f aca="false">IF(EZ107="No",IF((OR(MONTH(C107)=5,MONTH(C107)=6,MONTH(C107)=7,MONTH(C107)=8,MONTH(C107)=9)),0,$FA107*3*AY107*(1-$BC107)),0)</f>
        <v>0</v>
      </c>
      <c r="FF107" s="1129" t="e">
        <f aca="false">IF(EZ107="No",IF((OR(MONTH(C107)=5,MONTH(C107)=6,MONTH(C107)=7,MONTH(C107)=8,MONTH(C107)=9)),$FA107*12*(AZ107+BA107)*(1-$BC107),$FA107*10*(AZ107+BA107)*(1-$BC107)),0)</f>
        <v>#VALUE!</v>
      </c>
      <c r="FG107" s="1129" t="n">
        <f aca="false">IF(EZ107="No",IF((OR(MONTH(C107)=5,MONTH(C107)=6,MONTH(C107)=7,MONTH(C107)=8,MONTH(C107)=9)),0,$FA107*3*(AZ107+BA107)*(1-$BC107)),0)</f>
        <v>0</v>
      </c>
      <c r="FH107" s="1170" t="e">
        <f aca="false">IF(EZ107="No",IF((OR(MONTH(C107)=5,MONTH(C107)=6,MONTH(C107)=7,MONTH(C107)=8,MONTH(C107)=9)),Summary!$O$15*12*(AX107+AY107+AZ107+BA107)*(1-$BC107),Summary!$O$15*13*(AX107+AY107+AZ107+BA107)*(1-$BC107)+IF(Summary!$O$16="Yes",(CALC!FA107+Summary!$O$15)*6*(AX107+AY107+AZ107+BA107)*(1-$BC107),0)),0)</f>
        <v>#VALUE!</v>
      </c>
      <c r="FI107" s="1126" t="n">
        <f aca="false">IF(MONTH(C107)=5,FI106*(IF(Summary!$E$70="no",(1+(Summary!$E$71*0.8)),1+HLOOKUP(YEAR(C107)-1,CCFMODEL!$I$127:$AF$128,2)*0.8)),+FI106)</f>
        <v>32.1605394272484</v>
      </c>
      <c r="FJ107" s="1127" t="n">
        <f aca="false">IF(MONTH(C107)=5,FJ106*(IF(Summary!$E$70="no",(1+(Summary!$E$71*0.8)),1+HLOOKUP(YEAR(CALC!C107)-1,CCFMODEL!$I$127:$AF$128,2)*0.8)),FJ106)</f>
        <v>28.108817924603</v>
      </c>
      <c r="FK107" s="1128" t="e">
        <f aca="false">SUM(FB107:FG107)*FI107+FH107*FJ107</f>
        <v>#VALUE!</v>
      </c>
      <c r="FL107" s="1126" t="n">
        <f aca="false">IF(MONTH(C107)=5,FL106*(IF(Summary!$E$70="no",(1+(Summary!$E$71*0.8)),1+HLOOKUP(YEAR(CALC!C107)-1,CCFMODEL!$I$127:$AF$128,2)*0.8)),+FL106)</f>
        <v>67.637219965293</v>
      </c>
      <c r="FM107" s="1127" t="n">
        <f aca="false">IF(MONTH(C107)=5,FM106*(IF(Summary!$E$70="no",(1+(Summary!$E$71*0.8)),1+HLOOKUP(YEAR(CALC!C107)-1,CCFMODEL!$I$127:$AF$128,2)*0.8)),+FM106)</f>
        <v>32.2811263767319</v>
      </c>
      <c r="FN107" s="1128" t="e">
        <f aca="false">IF((OR(MONTH(C107)=5,MONTH(C107)=6,MONTH(C107)=7,MONTH(C107)=8,MONTH(C107)=9)),SUM(FB107:FG107)/(1-BC107)*FL107,SUM(FB107:FG107)/(1-BC107)*FM107)</f>
        <v>#VALUE!</v>
      </c>
      <c r="FO107" s="1129" t="e">
        <f aca="false">FK107+FN107</f>
        <v>#VALUE!</v>
      </c>
      <c r="FP107" s="1169" t="e">
        <f aca="false">FB107</f>
        <v>#VALUE!</v>
      </c>
      <c r="FQ107" s="1129" t="n">
        <f aca="false">FC107</f>
        <v>0</v>
      </c>
      <c r="FR107" s="1129" t="e">
        <f aca="false">FD107</f>
        <v>#VALUE!</v>
      </c>
      <c r="FS107" s="1129" t="n">
        <f aca="false">FE107</f>
        <v>0</v>
      </c>
      <c r="FT107" s="1129" t="e">
        <f aca="false">FF107</f>
        <v>#VALUE!</v>
      </c>
      <c r="FU107" s="1129" t="n">
        <f aca="false">FG107</f>
        <v>0</v>
      </c>
      <c r="FV107" s="1170" t="e">
        <f aca="false">FH107</f>
        <v>#VALUE!</v>
      </c>
      <c r="FW107" s="1115" t="n">
        <f aca="false">IF(ER107&gt;0,MIN(FB107-FP107,BL107),0)</f>
        <v>0</v>
      </c>
      <c r="FX107" s="1115" t="n">
        <f aca="false">IF(ES107&gt;0,MIN(FD107-FR107,BM107),0)</f>
        <v>0</v>
      </c>
      <c r="FY107" s="1115" t="n">
        <f aca="false">IF(ET107&gt;0,MIN(FF107-FT107,BN107),0)</f>
        <v>0</v>
      </c>
      <c r="FZ107" s="1143" t="n">
        <f aca="false">IF(EU107&gt;0,MIN(FH107-FV107,BO107),0)</f>
        <v>0</v>
      </c>
      <c r="GA107" s="1132" t="e">
        <f aca="false">(SUM(FP107:FV107)+SUM(GU107:HB107)/(1-Summary!$O$25))*CY107/1000</f>
        <v>#VALUE!</v>
      </c>
      <c r="GB107" s="1133" t="n">
        <f aca="false">IF($C107&lt;Summary!$M$81,+Summary!$O$81,VLOOKUP(C107,GasTable,19))</f>
        <v>2.4</v>
      </c>
      <c r="GC107" s="1134" t="e">
        <f aca="false">IF(H107&lt;=Summary!$N$84,MIN(GA107,Summary!$O$75*(H107-G107+1)),0)</f>
        <v>#VALUE!</v>
      </c>
      <c r="GD107" s="1135" t="e">
        <f aca="false">IF(Summary!$O$75*(H107-G107+1)*0.8&gt;GC107,1,0)</f>
        <v>#VALUE!</v>
      </c>
      <c r="GE107" s="1136" t="n">
        <v>0</v>
      </c>
      <c r="GF107" s="1134" t="e">
        <f aca="false">ABS(MIN(0,GC107-$GA107))</f>
        <v>#VALUE!</v>
      </c>
      <c r="GG107" s="1135" t="e">
        <f aca="false">GF107*(IF(Summary!$O$74=1,VLOOKUP($C107,GasTable,16)+Summary!$O$92+Summary!$O$93,VLOOKUP($C107,GasTable,19)+Summary!$O$92+Summary!$O$93))</f>
        <v>#VALUE!</v>
      </c>
      <c r="GH107" s="1137" t="n">
        <v>18705.4</v>
      </c>
      <c r="GI107" s="1138" t="n">
        <v>0</v>
      </c>
      <c r="GJ107" s="1139" t="e">
        <f aca="false">+GB107*GC107+GE107+GG107+GH107-GI107</f>
        <v>#VALUE!</v>
      </c>
      <c r="GK107" s="1115" t="e">
        <f aca="false">SUM(FP107:FV107,GU107:GX107,GY107:HB107)</f>
        <v>#VALUE!</v>
      </c>
      <c r="GL107" s="1140" t="n">
        <v>0.763374574688</v>
      </c>
      <c r="GM107" s="1141" t="e">
        <f aca="false">IF(GK107&gt;GC107/(CY107/1000),GC107/(CY107/1000),+GK107)*GL107</f>
        <v>#VALUE!</v>
      </c>
      <c r="GN107" s="1115" t="n">
        <f aca="false">IF(SUM(GU107:HB107)=0,0,IF(Summary!$O$16="Yes",SUM(GX107:HB107),IF(Summary!$O$17="Yes",SUM(GY107:HB107),SUM(GU107:HB107))))</f>
        <v>9547.0731</v>
      </c>
      <c r="GO107" s="1142" t="n">
        <v>2.92651628291373</v>
      </c>
      <c r="GP107" s="1143" t="n">
        <f aca="false">GN107*GO107</f>
        <v>27939.6648813176</v>
      </c>
      <c r="GQ107" s="1115"/>
      <c r="GR107" s="1115"/>
      <c r="GS107" s="1115"/>
      <c r="GT107" s="1115"/>
      <c r="GU107" s="1150" t="n">
        <v>3592.9845</v>
      </c>
      <c r="GV107" s="1115" t="n">
        <v>684.378</v>
      </c>
      <c r="GW107" s="1115" t="n">
        <v>1026.567</v>
      </c>
      <c r="GX107" s="1115"/>
      <c r="GY107" s="1151" t="n">
        <v>2874.3876</v>
      </c>
      <c r="GZ107" s="1115" t="n">
        <v>547.5024</v>
      </c>
      <c r="HA107" s="1115" t="n">
        <v>821.2536</v>
      </c>
      <c r="HB107" s="1141"/>
      <c r="HC107" s="1115" t="n">
        <v>9547.0731</v>
      </c>
      <c r="HD107" s="1115"/>
      <c r="HE107" s="1115" t="n">
        <v>22276.5039</v>
      </c>
      <c r="HF107" s="1115" t="n">
        <v>406767.219138343</v>
      </c>
      <c r="HG107" s="1115"/>
      <c r="HH107" s="1142" t="n">
        <v>45.1191993965332</v>
      </c>
      <c r="HI107" s="1115" t="n">
        <v>1005098.02132175</v>
      </c>
      <c r="HJ107" s="1150" t="e">
        <f aca="false">MAX(FB107-FP107-FW107,0)</f>
        <v>#VALUE!</v>
      </c>
      <c r="HK107" s="1115" t="e">
        <f aca="false">MAX(FD107-FR107-FX107,0)</f>
        <v>#VALUE!</v>
      </c>
      <c r="HL107" s="1115" t="e">
        <f aca="false">MAX(FF107-FT107-FY107,0)</f>
        <v>#VALUE!</v>
      </c>
      <c r="HM107" s="1141" t="e">
        <f aca="false">MAX(FH107-FV107-FZ107,0)</f>
        <v>#VALUE!</v>
      </c>
      <c r="HN107" s="1115" t="e">
        <f aca="false">SUM(HJ107:HM107)</f>
        <v>#VALUE!</v>
      </c>
      <c r="HO107" s="1142" t="n">
        <f aca="false">IF(ISERROR(+HP107/HN107),0,+HP107/HN107)</f>
        <v>0</v>
      </c>
      <c r="HP107" s="1143" t="e">
        <f aca="false">(HJ107*CE107+HK107*CF107+HL107*CG107+HM107*CH107)</f>
        <v>#VALUE!</v>
      </c>
      <c r="HQ107" s="1146"/>
      <c r="HR107" s="1150"/>
      <c r="HS107" s="1110"/>
      <c r="HT107" s="1141"/>
      <c r="HU107" s="1151"/>
      <c r="HV107" s="1142"/>
      <c r="HW107" s="1115"/>
      <c r="HX107" s="1149"/>
      <c r="HY107" s="1143"/>
      <c r="HZ107" s="1150"/>
      <c r="IA107" s="1142"/>
      <c r="IB107" s="1141"/>
      <c r="IC107" s="1151"/>
      <c r="ID107" s="1142"/>
      <c r="IE107" s="1141"/>
      <c r="IF107" s="1115"/>
      <c r="IG107" s="1142"/>
      <c r="IH107" s="1141"/>
      <c r="II107" s="1115"/>
      <c r="IJ107" s="1142"/>
      <c r="IK107" s="1115"/>
      <c r="IL107" s="1152"/>
      <c r="IM107" s="1192"/>
      <c r="IN107" s="1151"/>
      <c r="IO107" s="1151"/>
      <c r="IP107" s="1151"/>
      <c r="IQ107" s="1151"/>
      <c r="IR107" s="844"/>
    </row>
    <row r="108" customFormat="false" ht="13.5" hidden="false" customHeight="false" outlineLevel="0" collapsed="false">
      <c r="A108" s="0" t="str">
        <f aca="false">+D108&amp;"Q"&amp;ROUNDUP(E108/3,0)</f>
        <v>2007Q3</v>
      </c>
      <c r="B108" s="0" t="n">
        <f aca="false">YEAR(C108)</f>
        <v>2007</v>
      </c>
      <c r="C108" s="1153" t="n">
        <f aca="false">EOMONTH(C107,0)+1</f>
        <v>39295</v>
      </c>
      <c r="D108" s="841" t="n">
        <f aca="false">+YEAR(C108)</f>
        <v>2007</v>
      </c>
      <c r="E108" s="807" t="n">
        <f aca="false">MONTH(C108)</f>
        <v>8</v>
      </c>
      <c r="F108" s="1154" t="e">
        <f aca="false">IF(G108="","",Holiday(D108,E108))</f>
        <v>#VALUE!</v>
      </c>
      <c r="G108" s="1155" t="n">
        <v>39295</v>
      </c>
      <c r="H108" s="1156" t="n">
        <v>39325</v>
      </c>
      <c r="I108" s="1157" t="n">
        <f aca="false">I107</f>
        <v>0.0715</v>
      </c>
      <c r="J108" s="1158" t="n">
        <f aca="false">(1+I108/2)^(-2*(DATE(D109,E109,20)-$H$7)/365.25)</f>
        <v>0.579568319998547</v>
      </c>
      <c r="K108" s="1159"/>
      <c r="L108" s="1158"/>
      <c r="M108" s="1082" t="n">
        <v>0</v>
      </c>
      <c r="N108" s="1110" t="n">
        <f aca="false">M108</f>
        <v>0</v>
      </c>
      <c r="O108" s="1174" t="n">
        <f aca="false">N108</f>
        <v>0</v>
      </c>
      <c r="P108" s="1175" t="n">
        <f aca="false">M108</f>
        <v>0</v>
      </c>
      <c r="Q108" s="1110" t="n">
        <f aca="false">P108</f>
        <v>0</v>
      </c>
      <c r="R108" s="1174" t="n">
        <f aca="false">Q108</f>
        <v>0</v>
      </c>
      <c r="S108" s="1110" t="n">
        <f aca="false">R108</f>
        <v>0</v>
      </c>
      <c r="T108" s="1110" t="n">
        <f aca="false">S108</f>
        <v>0</v>
      </c>
      <c r="U108" s="1110" t="n">
        <f aca="false">T108</f>
        <v>0</v>
      </c>
      <c r="V108" s="1175" t="n">
        <f aca="false">U108</f>
        <v>0</v>
      </c>
      <c r="W108" s="1110" t="n">
        <f aca="false">V108</f>
        <v>0</v>
      </c>
      <c r="X108" s="1176" t="n">
        <f aca="false">W108</f>
        <v>0</v>
      </c>
      <c r="Y108" s="1086" t="n">
        <v>0</v>
      </c>
      <c r="Z108" s="1086" t="n">
        <v>0</v>
      </c>
      <c r="AA108" s="1087" t="n">
        <v>0</v>
      </c>
      <c r="AB108" s="1086" t="n">
        <v>0</v>
      </c>
      <c r="AC108" s="1086" t="n">
        <v>0</v>
      </c>
      <c r="AD108" s="1087" t="n">
        <v>0</v>
      </c>
      <c r="AE108" s="1086" t="n">
        <v>0</v>
      </c>
      <c r="AF108" s="1086" t="n">
        <v>0</v>
      </c>
      <c r="AG108" s="1087" t="n">
        <v>0</v>
      </c>
      <c r="AH108" s="1086" t="n">
        <v>0</v>
      </c>
      <c r="AI108" s="1086" t="n">
        <v>0</v>
      </c>
      <c r="AJ108" s="1087" t="n">
        <v>0</v>
      </c>
      <c r="AK108" s="1086" t="n">
        <v>0</v>
      </c>
      <c r="AL108" s="1086" t="n">
        <v>0</v>
      </c>
      <c r="AM108" s="1087" t="n">
        <v>0</v>
      </c>
      <c r="AN108" s="1086" t="n">
        <v>0</v>
      </c>
      <c r="AO108" s="1086" t="n">
        <v>0</v>
      </c>
      <c r="AP108" s="1087" t="n">
        <v>0</v>
      </c>
      <c r="AQ108" s="1086" t="n">
        <v>0</v>
      </c>
      <c r="AR108" s="1086" t="n">
        <v>0</v>
      </c>
      <c r="AS108" s="1087" t="n">
        <v>0</v>
      </c>
      <c r="AT108" s="1086" t="n">
        <v>0</v>
      </c>
      <c r="AU108" s="1086" t="n">
        <v>0</v>
      </c>
      <c r="AV108" s="1086" t="n">
        <v>0</v>
      </c>
      <c r="AW108" s="1172" t="n">
        <v>0</v>
      </c>
      <c r="AX108" s="807" t="n">
        <f aca="false">BB108-SUM(AY108:BA108)</f>
        <v>23</v>
      </c>
      <c r="AY108" s="807" t="n">
        <f aca="false">IF(AND($E108=MONTH(Summary!$E$24),$D108=YEAR(Summary!$E$24)),Summary!$E$25,1)*IF(G108="",0,INT((H108-MOD(H108,7)-G108)/7)+1-IF(BA108,IF(WEEKDAY(F108)=7,1,0),0))</f>
        <v>4</v>
      </c>
      <c r="AZ108" s="807" t="n">
        <f aca="false">IF(AND($E108=MONTH(Summary!$E$24),$D108=YEAR(Summary!$E$24)),Summary!$E$25,1)*IF(G108="",0,INT((H108-MOD(H108-1,7)-G108)/7)+1-IF(BA108,IF(WEEKDAY(F108)=1,1,0),0))</f>
        <v>4</v>
      </c>
      <c r="BA108" s="807" t="n">
        <v>0</v>
      </c>
      <c r="BB108" s="807" t="n">
        <f aca="false">IF(AND($E108=MONTH(Summary!$E$24),$D108=YEAR(Summary!$E$24)),Summary!$E$25,1)*IF(G108="",0,H108-G108+1)</f>
        <v>31</v>
      </c>
      <c r="BC108" s="1089" t="n">
        <f aca="false">Summary!$E$19</f>
        <v>0.015</v>
      </c>
      <c r="BD108" s="1090" t="n">
        <v>16311.6</v>
      </c>
      <c r="BE108" s="1091" t="n">
        <v>2836.8</v>
      </c>
      <c r="BF108" s="1091" t="n">
        <v>2836.8</v>
      </c>
      <c r="BG108" s="842"/>
      <c r="BH108" s="1092" t="n">
        <v>1</v>
      </c>
      <c r="BI108" s="1092" t="n">
        <v>1</v>
      </c>
      <c r="BJ108" s="1092" t="n">
        <v>1</v>
      </c>
      <c r="BK108" s="1092" t="n">
        <v>1</v>
      </c>
      <c r="BL108" s="1093" t="n">
        <v>3262.32</v>
      </c>
      <c r="BM108" s="1091" t="n">
        <v>567.36</v>
      </c>
      <c r="BN108" s="1091" t="n">
        <v>567.36</v>
      </c>
      <c r="BO108" s="842"/>
      <c r="BP108" s="1092" t="n">
        <v>1</v>
      </c>
      <c r="BQ108" s="1094" t="n">
        <v>1</v>
      </c>
      <c r="BR108" s="1094" t="n">
        <v>1</v>
      </c>
      <c r="BS108" s="1095" t="n">
        <v>1</v>
      </c>
      <c r="BT108" s="1093" t="n">
        <f aca="false">SUM(BD108:BF108)</f>
        <v>21985.2</v>
      </c>
      <c r="BU108" s="1098" t="n">
        <f aca="false">SUM(BD108:BG108)</f>
        <v>21985.2</v>
      </c>
      <c r="BV108" s="1090" t="n">
        <f aca="false">SUM(BL108:BN108)</f>
        <v>4397.04</v>
      </c>
      <c r="BW108" s="1098" t="n">
        <f aca="false">SUM(BL108:BO108)</f>
        <v>4397.04</v>
      </c>
      <c r="BX108" s="852" t="n">
        <v>7.62765229295003</v>
      </c>
      <c r="BY108" s="1099" t="n">
        <v>0</v>
      </c>
      <c r="BZ108" s="852" t="n">
        <v>0</v>
      </c>
      <c r="CA108" s="852" t="n">
        <v>0</v>
      </c>
      <c r="CB108" s="852" t="n">
        <v>0</v>
      </c>
      <c r="CC108" s="852" t="n">
        <v>0</v>
      </c>
      <c r="CD108" s="852" t="n">
        <v>0</v>
      </c>
      <c r="CE108" s="1100" t="n">
        <v>0</v>
      </c>
      <c r="CF108" s="852" t="n">
        <v>0</v>
      </c>
      <c r="CG108" s="852" t="n">
        <v>0</v>
      </c>
      <c r="CH108" s="852" t="n">
        <v>0</v>
      </c>
      <c r="CI108" s="852" t="n">
        <v>0</v>
      </c>
      <c r="CJ108" s="1101" t="n">
        <v>0</v>
      </c>
      <c r="CK108" s="852" t="n">
        <v>0</v>
      </c>
      <c r="CL108" s="852" t="n">
        <v>0</v>
      </c>
      <c r="CM108" s="852" t="n">
        <v>0</v>
      </c>
      <c r="CN108" s="852" t="n">
        <v>0</v>
      </c>
      <c r="CO108" s="852" t="n">
        <v>0</v>
      </c>
      <c r="CP108" s="852" t="n">
        <v>0</v>
      </c>
      <c r="CQ108" s="1102" t="n">
        <v>0</v>
      </c>
      <c r="CR108" s="1103" t="n">
        <v>0</v>
      </c>
      <c r="CS108" s="1103" t="n">
        <v>0</v>
      </c>
      <c r="CT108" s="1103" t="n">
        <v>0</v>
      </c>
      <c r="CU108" s="1103" t="n">
        <v>0</v>
      </c>
      <c r="CV108" s="1103" t="n">
        <v>0</v>
      </c>
      <c r="CW108" s="1103" t="n">
        <v>0</v>
      </c>
      <c r="CX108" s="1104" t="n">
        <v>0</v>
      </c>
      <c r="CY108" s="1105" t="n">
        <v>7774.97472</v>
      </c>
      <c r="CZ108" s="1099" t="n">
        <v>0</v>
      </c>
      <c r="DA108" s="852" t="n">
        <v>0</v>
      </c>
      <c r="DB108" s="852" t="n">
        <v>0</v>
      </c>
      <c r="DC108" s="852" t="n">
        <v>0</v>
      </c>
      <c r="DD108" s="852" t="n">
        <v>0</v>
      </c>
      <c r="DE108" s="1113" t="n">
        <v>0</v>
      </c>
      <c r="DF108" s="1109" t="n">
        <v>0</v>
      </c>
      <c r="DG108" s="1110" t="n">
        <v>0</v>
      </c>
      <c r="DH108" s="1111" t="n">
        <v>0</v>
      </c>
      <c r="DI108" s="1112" t="n">
        <v>0</v>
      </c>
      <c r="DJ108" s="1112" t="n">
        <v>0</v>
      </c>
      <c r="DK108" s="1112" t="n">
        <v>0</v>
      </c>
      <c r="DL108" s="1113" t="n">
        <v>0</v>
      </c>
      <c r="DM108" s="1114" t="n">
        <v>0</v>
      </c>
      <c r="DN108" s="1114" t="n">
        <v>0</v>
      </c>
      <c r="DO108" s="1114" t="n">
        <v>0</v>
      </c>
      <c r="DP108" s="1114" t="n">
        <v>0</v>
      </c>
      <c r="DQ108" s="1114" t="n">
        <v>0</v>
      </c>
      <c r="DR108" s="1109" t="n">
        <v>0</v>
      </c>
      <c r="DS108" s="852" t="n">
        <v>0</v>
      </c>
      <c r="DT108" s="852" t="n">
        <v>0</v>
      </c>
      <c r="DU108" s="852" t="n">
        <v>0</v>
      </c>
      <c r="DV108" s="852" t="n">
        <v>0</v>
      </c>
      <c r="DW108" s="852" t="n">
        <v>0</v>
      </c>
      <c r="DX108" s="852" t="n">
        <v>0</v>
      </c>
      <c r="DY108" s="852" t="n">
        <v>0</v>
      </c>
      <c r="DZ108" s="852" t="n">
        <v>0</v>
      </c>
      <c r="EA108" s="852" t="n">
        <v>0</v>
      </c>
      <c r="EB108" s="1113" t="n">
        <v>0</v>
      </c>
      <c r="EC108" s="1115" t="n">
        <f aca="false">DS108*BD108</f>
        <v>0</v>
      </c>
      <c r="ED108" s="1115" t="n">
        <f aca="false">DT108*BE108</f>
        <v>0</v>
      </c>
      <c r="EE108" s="1115" t="n">
        <f aca="false">DU108*BF108</f>
        <v>0</v>
      </c>
      <c r="EF108" s="1115" t="n">
        <f aca="false">DV108*BG108</f>
        <v>0</v>
      </c>
      <c r="EG108" s="1115" t="n">
        <f aca="false">DS108*BD108+DT108*BE108+DU108*BF108+DV108*BG108</f>
        <v>0</v>
      </c>
      <c r="EH108" s="1116" t="n">
        <v>0</v>
      </c>
      <c r="EI108" s="1117" t="n">
        <v>0</v>
      </c>
      <c r="EJ108" s="1117" t="n">
        <v>0</v>
      </c>
      <c r="EK108" s="1117" t="n">
        <v>0</v>
      </c>
      <c r="EL108" s="1118" t="n">
        <f aca="false">IF(C108&gt;=Summary!$E$26,MAX(0,SUM(EH108:EK108)),0)</f>
        <v>0</v>
      </c>
      <c r="EM108" s="1115" t="n">
        <f aca="false">IF(C108&gt;=Summary!$E$26,DX108*BL108,0)</f>
        <v>0</v>
      </c>
      <c r="EN108" s="1115" t="n">
        <f aca="false">IF(C108&gt;=Summary!$E$26,DY108*BM108,0)</f>
        <v>0</v>
      </c>
      <c r="EO108" s="1115" t="n">
        <f aca="false">IF(C108&gt;=Summary!$E$26,DZ108*BN108,0)</f>
        <v>0</v>
      </c>
      <c r="EP108" s="1115" t="n">
        <f aca="false">IF(C108&gt;=Summary!$E$26,EA108*BO108,0)</f>
        <v>0</v>
      </c>
      <c r="EQ108" s="1115" t="n">
        <f aca="false">IF(C108&gt;=Summary!$E$26,DX108*BL108+DY108*BM108+DZ108*BN108+EA108*BO108,0)</f>
        <v>0</v>
      </c>
      <c r="ER108" s="1119" t="n">
        <v>0</v>
      </c>
      <c r="ES108" s="1120" t="n">
        <v>0</v>
      </c>
      <c r="ET108" s="1120" t="n">
        <v>0</v>
      </c>
      <c r="EU108" s="1120" t="n">
        <v>0</v>
      </c>
      <c r="EV108" s="1143" t="n">
        <f aca="false">IF(C108&gt;=Summary!$E$26,MAX(0,SUM(ER108:EU108)),0)</f>
        <v>0</v>
      </c>
      <c r="EW108" s="1115"/>
      <c r="EX108" s="1165" t="n">
        <f aca="false">(EQ108-EV108)+IF(EZ108="Yes",(EG108-EL108),0)</f>
        <v>0</v>
      </c>
      <c r="EY108" s="1166" t="str">
        <f aca="false">IF(EX108,EX108/EQ108,"")</f>
        <v/>
      </c>
      <c r="EZ108" s="1122" t="s">
        <v>37</v>
      </c>
      <c r="FA108" s="1096" t="n">
        <f aca="false">FA107</f>
        <v>45</v>
      </c>
      <c r="FB108" s="1167" t="n">
        <f aca="false">IF(EZ108="No",IF((OR(MONTH(C108)=5,MONTH(C108)=6,MONTH(C108)=7,MONTH(C108)=8,MONTH(C108)=9)),$FA108*12*AX108*(1-$BC108),$FA108*10*AX108*(1-$BC108)),0)</f>
        <v>12233.7</v>
      </c>
      <c r="FC108" s="1129" t="n">
        <f aca="false">IF(EZ108="No",IF((OR(MONTH(C108)=5,MONTH(C108)=6,MONTH(C108)=7,MONTH(C108)=8,MONTH(C108)=9)),0,$FA108*3*AX108*(1-$BC108)),0)</f>
        <v>0</v>
      </c>
      <c r="FD108" s="1129" t="n">
        <f aca="false">IF(EZ108="No",IF((OR(MONTH(C108)=5,MONTH(C108)=6,MONTH(C108)=7,MONTH(C108)=8,MONTH(C108)=9)),$FA108*12*AY108*(1-$BC108),$FA108*10*AY108*(1-$BC108)),0)</f>
        <v>2127.6</v>
      </c>
      <c r="FE108" s="1129" t="n">
        <f aca="false">IF(EZ108="No",IF((OR(MONTH(C108)=5,MONTH(C108)=6,MONTH(C108)=7,MONTH(C108)=8,MONTH(C108)=9)),0,$FA108*3*AY108*(1-$BC108)),0)</f>
        <v>0</v>
      </c>
      <c r="FF108" s="1129" t="n">
        <f aca="false">IF(EZ108="No",IF((OR(MONTH(C108)=5,MONTH(C108)=6,MONTH(C108)=7,MONTH(C108)=8,MONTH(C108)=9)),$FA108*12*(AZ108+BA108)*(1-$BC108),$FA108*10*(AZ108+BA108)*(1-$BC108)),0)</f>
        <v>2127.6</v>
      </c>
      <c r="FG108" s="1129" t="n">
        <f aca="false">IF(EZ108="No",IF((OR(MONTH(C108)=5,MONTH(C108)=6,MONTH(C108)=7,MONTH(C108)=8,MONTH(C108)=9)),0,$FA108*3*(AZ108+BA108)*(1-$BC108)),0)</f>
        <v>0</v>
      </c>
      <c r="FH108" s="1170" t="n">
        <f aca="false">IF(EZ108="No",IF((OR(MONTH(C108)=5,MONTH(C108)=6,MONTH(C108)=7,MONTH(C108)=8,MONTH(C108)=9)),Summary!$O$15*12*(AX108+AY108+AZ108+BA108)*(1-$BC108),Summary!$O$15*13*(AX108+AY108+AZ108+BA108)*(1-$BC108)+IF(Summary!$O$16="Yes",(CALC!FA108+Summary!$O$15)*6*(AX108+AY108+AZ108+BA108)*(1-$BC108),0)),0)</f>
        <v>0</v>
      </c>
      <c r="FI108" s="1126" t="n">
        <f aca="false">IF(MONTH(C108)=5,FI107*(IF(Summary!$E$70="no",(1+(Summary!$E$71*0.8)),1+HLOOKUP(YEAR(C108)-1,CCFMODEL!$I$127:$AF$128,2)*0.8)),+FI107)</f>
        <v>32.1605394272484</v>
      </c>
      <c r="FJ108" s="1127" t="n">
        <f aca="false">IF(MONTH(C108)=5,FJ107*(IF(Summary!$E$70="no",(1+(Summary!$E$71*0.8)),1+HLOOKUP(YEAR(CALC!C108)-1,CCFMODEL!$I$127:$AF$128,2)*0.8)),FJ107)</f>
        <v>28.108817924603</v>
      </c>
      <c r="FK108" s="1128" t="n">
        <f aca="false">SUM(FB108:FG108)*FI108+FH108*FJ108</f>
        <v>530291.918561957</v>
      </c>
      <c r="FL108" s="1126" t="n">
        <f aca="false">IF(MONTH(C108)=5,FL107*(IF(Summary!$E$70="no",(1+(Summary!$E$71*0.8)),1+HLOOKUP(YEAR(CALC!C108)-1,CCFMODEL!$I$127:$AF$128,2)*0.8)),+FL107)</f>
        <v>67.637219965293</v>
      </c>
      <c r="FM108" s="1127" t="n">
        <f aca="false">IF(MONTH(C108)=5,FM107*(IF(Summary!$E$70="no",(1+(Summary!$E$71*0.8)),1+HLOOKUP(YEAR(CALC!C108)-1,CCFMODEL!$I$127:$AF$128,2)*0.8)),+FM107)</f>
        <v>32.2811263767319</v>
      </c>
      <c r="FN108" s="1128" t="n">
        <f aca="false">IF((OR(MONTH(C108)=5,MONTH(C108)=6,MONTH(C108)=7,MONTH(C108)=8,MONTH(C108)=9)),SUM(FB108:FG108)/(1-BC108)*FL108,SUM(FB108:FG108)/(1-BC108)*FM108)</f>
        <v>1132247.062219</v>
      </c>
      <c r="FO108" s="1129" t="n">
        <f aca="false">FK108+FN108</f>
        <v>1662538.98078096</v>
      </c>
      <c r="FP108" s="1169" t="n">
        <f aca="false">FB108</f>
        <v>12233.7</v>
      </c>
      <c r="FQ108" s="1129" t="n">
        <f aca="false">FC108</f>
        <v>0</v>
      </c>
      <c r="FR108" s="1129" t="n">
        <f aca="false">FD108</f>
        <v>2127.6</v>
      </c>
      <c r="FS108" s="1129" t="n">
        <f aca="false">FE108</f>
        <v>0</v>
      </c>
      <c r="FT108" s="1129" t="n">
        <f aca="false">FF108</f>
        <v>2127.6</v>
      </c>
      <c r="FU108" s="1129" t="n">
        <f aca="false">FG108</f>
        <v>0</v>
      </c>
      <c r="FV108" s="1170" t="n">
        <f aca="false">FH108</f>
        <v>0</v>
      </c>
      <c r="FW108" s="1115" t="n">
        <f aca="false">IF(ER108&gt;0,MIN(FB108-FP108,BL108),0)</f>
        <v>0</v>
      </c>
      <c r="FX108" s="1115" t="n">
        <f aca="false">IF(ES108&gt;0,MIN(FD108-FR108,BM108),0)</f>
        <v>0</v>
      </c>
      <c r="FY108" s="1115" t="n">
        <f aca="false">IF(ET108&gt;0,MIN(FF108-FT108,BN108),0)</f>
        <v>0</v>
      </c>
      <c r="FZ108" s="1143" t="n">
        <f aca="false">IF(EU108&gt;0,MIN(FH108-FV108,BO108),0)</f>
        <v>0</v>
      </c>
      <c r="GA108" s="1132" t="n">
        <f aca="false">(SUM(FP108:FV108)+SUM(GU108:HB108)/(1-Summary!$O$25))*CY108/1000</f>
        <v>205121.249056973</v>
      </c>
      <c r="GB108" s="1133" t="n">
        <f aca="false">IF($C108&lt;Summary!$M$81,+Summary!$O$81,VLOOKUP(C108,GasTable,19))</f>
        <v>2.4</v>
      </c>
      <c r="GC108" s="1134" t="n">
        <f aca="false">IF(H108&lt;=Summary!$N$84,MIN(GA108,Summary!$O$75*(H108-G108+1)),0)</f>
        <v>155000</v>
      </c>
      <c r="GD108" s="1135" t="n">
        <f aca="false">IF(Summary!$O$75*(H108-G108+1)*0.8&gt;GC108,1,0)</f>
        <v>0</v>
      </c>
      <c r="GE108" s="1136" t="n">
        <v>0</v>
      </c>
      <c r="GF108" s="1134" t="n">
        <f aca="false">ABS(MIN(0,GC108-$GA108))</f>
        <v>50121.2490569728</v>
      </c>
      <c r="GG108" s="1135" t="n">
        <f aca="false">GF108*(IF(Summary!$O$74=1,VLOOKUP($C108,GasTable,16)+Summary!$O$92+Summary!$O$93,VLOOKUP($C108,GasTable,19)+Summary!$O$92+Summary!$O$93))</f>
        <v>150244.974446303</v>
      </c>
      <c r="GH108" s="1137" t="n">
        <v>18835.6</v>
      </c>
      <c r="GI108" s="1138" t="n">
        <v>0</v>
      </c>
      <c r="GJ108" s="1139" t="n">
        <f aca="false">+GB108*GC108+GE108+GG108+GH108-GI108</f>
        <v>541080.574446303</v>
      </c>
      <c r="GK108" s="1115" t="n">
        <f aca="false">SUM(FP108:FV108,GU108:GX108,GY108:HB108)</f>
        <v>26035.9731</v>
      </c>
      <c r="GL108" s="1140" t="n">
        <v>0.763502517504</v>
      </c>
      <c r="GM108" s="1141" t="n">
        <f aca="false">IF(GK108&gt;GC108/(CY108/1000),GC108/(CY108/1000),+GK108)*GL108</f>
        <v>15221</v>
      </c>
      <c r="GN108" s="1115" t="n">
        <f aca="false">IF(SUM(GU108:HB108)=0,0,IF(Summary!$O$16="Yes",SUM(GX108:HB108),IF(Summary!$O$17="Yes",SUM(GY108:HB108),SUM(GU108:HB108))))</f>
        <v>9547.0731</v>
      </c>
      <c r="GO108" s="1142" t="n">
        <v>2.92651628291373</v>
      </c>
      <c r="GP108" s="1143" t="n">
        <f aca="false">GN108*GO108</f>
        <v>27939.6648813176</v>
      </c>
      <c r="GQ108" s="1115"/>
      <c r="GR108" s="1115"/>
      <c r="GS108" s="1115"/>
      <c r="GT108" s="1115"/>
      <c r="GU108" s="1150" t="n">
        <v>3935.1735</v>
      </c>
      <c r="GV108" s="1115" t="n">
        <v>684.378</v>
      </c>
      <c r="GW108" s="1115" t="n">
        <v>684.378</v>
      </c>
      <c r="GX108" s="1115"/>
      <c r="GY108" s="1151" t="n">
        <v>3148.1388</v>
      </c>
      <c r="GZ108" s="1115" t="n">
        <v>547.5024</v>
      </c>
      <c r="HA108" s="1115" t="n">
        <v>547.5024</v>
      </c>
      <c r="HB108" s="1141"/>
      <c r="HC108" s="1115" t="n">
        <v>9547.0731</v>
      </c>
      <c r="HD108" s="1115"/>
      <c r="HE108" s="1115" t="n">
        <v>22276.5039</v>
      </c>
      <c r="HF108" s="1115" t="n">
        <v>579061.874064105</v>
      </c>
      <c r="HG108" s="1115"/>
      <c r="HH108" s="1142" t="n">
        <v>63.8621124689369</v>
      </c>
      <c r="HI108" s="1115" t="n">
        <v>1422624.59747651</v>
      </c>
      <c r="HJ108" s="1150" t="n">
        <f aca="false">MAX(FB108-FP108-FW108,0)</f>
        <v>0</v>
      </c>
      <c r="HK108" s="1115" t="n">
        <f aca="false">MAX(FD108-FR108-FX108,0)</f>
        <v>0</v>
      </c>
      <c r="HL108" s="1115" t="n">
        <f aca="false">MAX(FF108-FT108-FY108,0)</f>
        <v>0</v>
      </c>
      <c r="HM108" s="1141" t="n">
        <f aca="false">MAX(FH108-FV108-FZ108,0)</f>
        <v>0</v>
      </c>
      <c r="HN108" s="1115" t="n">
        <f aca="false">SUM(HJ108:HM108)</f>
        <v>0</v>
      </c>
      <c r="HO108" s="1142" t="n">
        <f aca="false">IF(ISERROR(+HP108/HN108),0,+HP108/HN108)</f>
        <v>0</v>
      </c>
      <c r="HP108" s="1143" t="n">
        <f aca="false">(HJ108*CE108+HK108*CF108+HL108*CG108+HM108*CH108)</f>
        <v>0</v>
      </c>
      <c r="HQ108" s="1146"/>
      <c r="HR108" s="1150"/>
      <c r="HS108" s="1110"/>
      <c r="HT108" s="1141"/>
      <c r="HU108" s="1151"/>
      <c r="HV108" s="1142"/>
      <c r="HW108" s="1115"/>
      <c r="HX108" s="1149"/>
      <c r="HY108" s="1143"/>
      <c r="HZ108" s="1150"/>
      <c r="IA108" s="1142"/>
      <c r="IB108" s="1141"/>
      <c r="IC108" s="1151"/>
      <c r="ID108" s="1142"/>
      <c r="IE108" s="1141"/>
      <c r="IF108" s="1115"/>
      <c r="IG108" s="1142"/>
      <c r="IH108" s="1141"/>
      <c r="II108" s="1115"/>
      <c r="IJ108" s="1142"/>
      <c r="IK108" s="1115"/>
      <c r="IL108" s="1152"/>
      <c r="IM108" s="1192"/>
      <c r="IN108" s="1151"/>
      <c r="IO108" s="1151"/>
      <c r="IP108" s="1151"/>
      <c r="IQ108" s="1151"/>
      <c r="IR108" s="844"/>
    </row>
    <row r="109" customFormat="false" ht="13.5" hidden="false" customHeight="false" outlineLevel="0" collapsed="false">
      <c r="A109" s="0" t="str">
        <f aca="false">+D109&amp;"Q"&amp;ROUNDUP(E109/3,0)</f>
        <v>2007Q3</v>
      </c>
      <c r="B109" s="0" t="n">
        <f aca="false">YEAR(C109)</f>
        <v>2007</v>
      </c>
      <c r="C109" s="1153" t="n">
        <f aca="false">EOMONTH(C108,0)+1</f>
        <v>39326</v>
      </c>
      <c r="D109" s="841" t="n">
        <f aca="false">+YEAR(C109)</f>
        <v>2007</v>
      </c>
      <c r="E109" s="807" t="n">
        <f aca="false">MONTH(C109)</f>
        <v>9</v>
      </c>
      <c r="F109" s="1154" t="e">
        <f aca="false">IF(G109="","",Holiday(D109,E109))</f>
        <v>#VALUE!</v>
      </c>
      <c r="G109" s="1155" t="n">
        <v>39326</v>
      </c>
      <c r="H109" s="1156" t="n">
        <v>39355</v>
      </c>
      <c r="I109" s="1157" t="n">
        <f aca="false">I108</f>
        <v>0.0715</v>
      </c>
      <c r="J109" s="1158" t="n">
        <f aca="false">(1+I109/2)^(-2*(DATE(D110,E110,20)-$H$7)/365.25)</f>
        <v>0.576233752271977</v>
      </c>
      <c r="K109" s="1159"/>
      <c r="L109" s="1158"/>
      <c r="M109" s="1082" t="n">
        <v>0</v>
      </c>
      <c r="N109" s="1110" t="n">
        <f aca="false">M109</f>
        <v>0</v>
      </c>
      <c r="O109" s="1174" t="n">
        <f aca="false">N109</f>
        <v>0</v>
      </c>
      <c r="P109" s="1175" t="n">
        <f aca="false">M109</f>
        <v>0</v>
      </c>
      <c r="Q109" s="1110" t="n">
        <f aca="false">P109</f>
        <v>0</v>
      </c>
      <c r="R109" s="1174" t="n">
        <f aca="false">Q109</f>
        <v>0</v>
      </c>
      <c r="S109" s="1110" t="n">
        <f aca="false">R109</f>
        <v>0</v>
      </c>
      <c r="T109" s="1110" t="n">
        <f aca="false">S109</f>
        <v>0</v>
      </c>
      <c r="U109" s="1110" t="n">
        <f aca="false">T109</f>
        <v>0</v>
      </c>
      <c r="V109" s="1175" t="n">
        <f aca="false">U109</f>
        <v>0</v>
      </c>
      <c r="W109" s="1110" t="n">
        <f aca="false">V109</f>
        <v>0</v>
      </c>
      <c r="X109" s="1176" t="n">
        <f aca="false">W109</f>
        <v>0</v>
      </c>
      <c r="Y109" s="1086" t="n">
        <v>0</v>
      </c>
      <c r="Z109" s="1086" t="n">
        <v>0</v>
      </c>
      <c r="AA109" s="1087" t="n">
        <v>0</v>
      </c>
      <c r="AB109" s="1086" t="n">
        <v>0</v>
      </c>
      <c r="AC109" s="1086" t="n">
        <v>0</v>
      </c>
      <c r="AD109" s="1087" t="n">
        <v>0</v>
      </c>
      <c r="AE109" s="1086" t="n">
        <v>0</v>
      </c>
      <c r="AF109" s="1086" t="n">
        <v>0</v>
      </c>
      <c r="AG109" s="1087" t="n">
        <v>0</v>
      </c>
      <c r="AH109" s="1086" t="n">
        <v>0</v>
      </c>
      <c r="AI109" s="1086" t="n">
        <v>0</v>
      </c>
      <c r="AJ109" s="1087" t="n">
        <v>0</v>
      </c>
      <c r="AK109" s="1086" t="n">
        <v>0</v>
      </c>
      <c r="AL109" s="1086" t="n">
        <v>0</v>
      </c>
      <c r="AM109" s="1087" t="n">
        <v>0</v>
      </c>
      <c r="AN109" s="1086" t="n">
        <v>0</v>
      </c>
      <c r="AO109" s="1086" t="n">
        <v>0</v>
      </c>
      <c r="AP109" s="1087" t="n">
        <v>0</v>
      </c>
      <c r="AQ109" s="1086" t="n">
        <v>0</v>
      </c>
      <c r="AR109" s="1086" t="n">
        <v>0</v>
      </c>
      <c r="AS109" s="1087" t="n">
        <v>0</v>
      </c>
      <c r="AT109" s="1086" t="n">
        <v>0</v>
      </c>
      <c r="AU109" s="1086" t="n">
        <v>0</v>
      </c>
      <c r="AV109" s="1086" t="n">
        <v>0</v>
      </c>
      <c r="AW109" s="1172" t="n">
        <v>0</v>
      </c>
      <c r="AX109" s="807" t="e">
        <f aca="false">BB109-SUM(AY109:BA109)</f>
        <v>#VALUE!</v>
      </c>
      <c r="AY109" s="807" t="e">
        <f aca="false">IF(AND($E109=MONTH(Summary!$E$24),$D109=YEAR(Summary!$E$24)),Summary!$E$25,1)*IF(G109="",0,INT((H109-MOD(H109,7)-G109)/7)+1-IF(BA109,IF(WEEKDAY(F109)=7,1,0),0))</f>
        <v>#VALUE!</v>
      </c>
      <c r="AZ109" s="807" t="e">
        <f aca="false">IF(AND($E109=MONTH(Summary!$E$24),$D109=YEAR(Summary!$E$24)),Summary!$E$25,1)*IF(G109="",0,INT((H109-MOD(H109-1,7)-G109)/7)+1-IF(BA109,IF(WEEKDAY(F109)=1,1,0),0))</f>
        <v>#VALUE!</v>
      </c>
      <c r="BA109" s="807" t="n">
        <v>1</v>
      </c>
      <c r="BB109" s="807" t="n">
        <f aca="false">IF(AND($E109=MONTH(Summary!$E$24),$D109=YEAR(Summary!$E$24)),Summary!$E$25,1)*IF(G109="",0,H109-G109+1)</f>
        <v>30</v>
      </c>
      <c r="BC109" s="1089" t="n">
        <f aca="false">Summary!$E$19</f>
        <v>0.015</v>
      </c>
      <c r="BD109" s="1090" t="n">
        <v>13474.8</v>
      </c>
      <c r="BE109" s="1091" t="n">
        <v>3546</v>
      </c>
      <c r="BF109" s="1091" t="n">
        <v>4255.2</v>
      </c>
      <c r="BG109" s="842"/>
      <c r="BH109" s="1092" t="n">
        <v>1</v>
      </c>
      <c r="BI109" s="1092" t="n">
        <v>1</v>
      </c>
      <c r="BJ109" s="1092" t="n">
        <v>1</v>
      </c>
      <c r="BK109" s="1092" t="n">
        <v>1</v>
      </c>
      <c r="BL109" s="1093" t="n">
        <v>2694.96</v>
      </c>
      <c r="BM109" s="1091" t="n">
        <v>709.2</v>
      </c>
      <c r="BN109" s="1091" t="n">
        <v>851.04</v>
      </c>
      <c r="BO109" s="842"/>
      <c r="BP109" s="1092" t="n">
        <v>1</v>
      </c>
      <c r="BQ109" s="1094" t="n">
        <v>1</v>
      </c>
      <c r="BR109" s="1094" t="n">
        <v>1</v>
      </c>
      <c r="BS109" s="1095" t="n">
        <v>1</v>
      </c>
      <c r="BT109" s="1093" t="n">
        <f aca="false">SUM(BD109:BF109)</f>
        <v>21276</v>
      </c>
      <c r="BU109" s="1098" t="n">
        <f aca="false">SUM(BD109:BG109)</f>
        <v>21276</v>
      </c>
      <c r="BV109" s="1090" t="n">
        <f aca="false">SUM(BL109:BN109)</f>
        <v>4255.2</v>
      </c>
      <c r="BW109" s="1098" t="n">
        <f aca="false">SUM(BL109:BO109)</f>
        <v>4255.2</v>
      </c>
      <c r="BX109" s="852" t="n">
        <v>7.71252566735113</v>
      </c>
      <c r="BY109" s="1099" t="n">
        <v>0</v>
      </c>
      <c r="BZ109" s="852" t="n">
        <v>0</v>
      </c>
      <c r="CA109" s="852" t="n">
        <v>0</v>
      </c>
      <c r="CB109" s="852" t="n">
        <v>0</v>
      </c>
      <c r="CC109" s="852" t="n">
        <v>0</v>
      </c>
      <c r="CD109" s="852" t="n">
        <v>0</v>
      </c>
      <c r="CE109" s="1100" t="n">
        <v>0</v>
      </c>
      <c r="CF109" s="852" t="n">
        <v>0</v>
      </c>
      <c r="CG109" s="852" t="n">
        <v>0</v>
      </c>
      <c r="CH109" s="852" t="n">
        <v>0</v>
      </c>
      <c r="CI109" s="852" t="n">
        <v>0</v>
      </c>
      <c r="CJ109" s="1101" t="n">
        <v>0</v>
      </c>
      <c r="CK109" s="852" t="n">
        <v>0</v>
      </c>
      <c r="CL109" s="852" t="n">
        <v>0</v>
      </c>
      <c r="CM109" s="852" t="n">
        <v>0</v>
      </c>
      <c r="CN109" s="852" t="n">
        <v>0</v>
      </c>
      <c r="CO109" s="852" t="n">
        <v>0</v>
      </c>
      <c r="CP109" s="852" t="n">
        <v>0</v>
      </c>
      <c r="CQ109" s="1102" t="n">
        <v>0</v>
      </c>
      <c r="CR109" s="1103" t="n">
        <v>0</v>
      </c>
      <c r="CS109" s="1103" t="n">
        <v>0</v>
      </c>
      <c r="CT109" s="1103" t="n">
        <v>0</v>
      </c>
      <c r="CU109" s="1103" t="n">
        <v>0</v>
      </c>
      <c r="CV109" s="1103" t="n">
        <v>0</v>
      </c>
      <c r="CW109" s="1103" t="n">
        <v>0</v>
      </c>
      <c r="CX109" s="1104" t="n">
        <v>0</v>
      </c>
      <c r="CY109" s="1105" t="n">
        <v>7776.2776</v>
      </c>
      <c r="CZ109" s="1099" t="n">
        <v>0</v>
      </c>
      <c r="DA109" s="852" t="n">
        <v>0</v>
      </c>
      <c r="DB109" s="852" t="n">
        <v>0</v>
      </c>
      <c r="DC109" s="852" t="n">
        <v>0</v>
      </c>
      <c r="DD109" s="852" t="n">
        <v>0</v>
      </c>
      <c r="DE109" s="1113" t="n">
        <v>0</v>
      </c>
      <c r="DF109" s="1109" t="n">
        <v>0</v>
      </c>
      <c r="DG109" s="1110" t="n">
        <v>0</v>
      </c>
      <c r="DH109" s="1111" t="n">
        <v>0</v>
      </c>
      <c r="DI109" s="1112" t="n">
        <v>0</v>
      </c>
      <c r="DJ109" s="1112" t="n">
        <v>0</v>
      </c>
      <c r="DK109" s="1112" t="n">
        <v>0</v>
      </c>
      <c r="DL109" s="1113" t="n">
        <v>0</v>
      </c>
      <c r="DM109" s="1114" t="n">
        <v>0</v>
      </c>
      <c r="DN109" s="1114" t="n">
        <v>0</v>
      </c>
      <c r="DO109" s="1114" t="n">
        <v>0</v>
      </c>
      <c r="DP109" s="1114" t="n">
        <v>0</v>
      </c>
      <c r="DQ109" s="1114" t="n">
        <v>0</v>
      </c>
      <c r="DR109" s="1109" t="n">
        <v>0</v>
      </c>
      <c r="DS109" s="852" t="n">
        <v>0</v>
      </c>
      <c r="DT109" s="852" t="n">
        <v>0</v>
      </c>
      <c r="DU109" s="852" t="n">
        <v>0</v>
      </c>
      <c r="DV109" s="852" t="n">
        <v>0</v>
      </c>
      <c r="DW109" s="852" t="n">
        <v>0</v>
      </c>
      <c r="DX109" s="852" t="n">
        <v>0</v>
      </c>
      <c r="DY109" s="852" t="n">
        <v>0</v>
      </c>
      <c r="DZ109" s="852" t="n">
        <v>0</v>
      </c>
      <c r="EA109" s="852" t="n">
        <v>0</v>
      </c>
      <c r="EB109" s="1113" t="n">
        <v>0</v>
      </c>
      <c r="EC109" s="1115" t="n">
        <f aca="false">DS109*BD109</f>
        <v>0</v>
      </c>
      <c r="ED109" s="1115" t="n">
        <f aca="false">DT109*BE109</f>
        <v>0</v>
      </c>
      <c r="EE109" s="1115" t="n">
        <f aca="false">DU109*BF109</f>
        <v>0</v>
      </c>
      <c r="EF109" s="1115" t="n">
        <f aca="false">DV109*BG109</f>
        <v>0</v>
      </c>
      <c r="EG109" s="1115" t="n">
        <f aca="false">DS109*BD109+DT109*BE109+DU109*BF109+DV109*BG109</f>
        <v>0</v>
      </c>
      <c r="EH109" s="1116" t="n">
        <v>0</v>
      </c>
      <c r="EI109" s="1117" t="n">
        <v>0</v>
      </c>
      <c r="EJ109" s="1117" t="n">
        <v>0</v>
      </c>
      <c r="EK109" s="1117" t="n">
        <v>0</v>
      </c>
      <c r="EL109" s="1118" t="n">
        <f aca="false">IF(C109&gt;=Summary!$E$26,MAX(0,SUM(EH109:EK109)),0)</f>
        <v>0</v>
      </c>
      <c r="EM109" s="1115" t="n">
        <f aca="false">IF(C109&gt;=Summary!$E$26,DX109*BL109,0)</f>
        <v>0</v>
      </c>
      <c r="EN109" s="1115" t="n">
        <f aca="false">IF(C109&gt;=Summary!$E$26,DY109*BM109,0)</f>
        <v>0</v>
      </c>
      <c r="EO109" s="1115" t="n">
        <f aca="false">IF(C109&gt;=Summary!$E$26,DZ109*BN109,0)</f>
        <v>0</v>
      </c>
      <c r="EP109" s="1115" t="n">
        <f aca="false">IF(C109&gt;=Summary!$E$26,EA109*BO109,0)</f>
        <v>0</v>
      </c>
      <c r="EQ109" s="1115" t="n">
        <f aca="false">IF(C109&gt;=Summary!$E$26,DX109*BL109+DY109*BM109+DZ109*BN109+EA109*BO109,0)</f>
        <v>0</v>
      </c>
      <c r="ER109" s="1119" t="n">
        <v>0</v>
      </c>
      <c r="ES109" s="1120" t="n">
        <v>0</v>
      </c>
      <c r="ET109" s="1120" t="n">
        <v>0</v>
      </c>
      <c r="EU109" s="1120" t="n">
        <v>0</v>
      </c>
      <c r="EV109" s="1143" t="n">
        <f aca="false">IF(C109&gt;=Summary!$E$26,MAX(0,SUM(ER109:EU109)),0)</f>
        <v>0</v>
      </c>
      <c r="EW109" s="1115"/>
      <c r="EX109" s="1165" t="n">
        <f aca="false">(EQ109-EV109)+IF(EZ109="Yes",(EG109-EL109),0)</f>
        <v>0</v>
      </c>
      <c r="EY109" s="1166" t="str">
        <f aca="false">IF(EX109,EX109/EQ109,"")</f>
        <v/>
      </c>
      <c r="EZ109" s="1122" t="s">
        <v>37</v>
      </c>
      <c r="FA109" s="1096" t="n">
        <f aca="false">FA108</f>
        <v>45</v>
      </c>
      <c r="FB109" s="1167" t="e">
        <f aca="false">IF(EZ109="No",IF((OR(MONTH(C109)=5,MONTH(C109)=6,MONTH(C109)=7,MONTH(C109)=8,MONTH(C109)=9)),$FA109*12*AX109*(1-$BC109),$FA109*10*AX109*(1-$BC109)),0)</f>
        <v>#VALUE!</v>
      </c>
      <c r="FC109" s="1129" t="n">
        <f aca="false">IF(EZ109="No",IF((OR(MONTH(C109)=5,MONTH(C109)=6,MONTH(C109)=7,MONTH(C109)=8,MONTH(C109)=9)),0,$FA109*3*AX109*(1-$BC109)),0)</f>
        <v>0</v>
      </c>
      <c r="FD109" s="1129" t="e">
        <f aca="false">IF(EZ109="No",IF((OR(MONTH(C109)=5,MONTH(C109)=6,MONTH(C109)=7,MONTH(C109)=8,MONTH(C109)=9)),$FA109*12*AY109*(1-$BC109),$FA109*10*AY109*(1-$BC109)),0)</f>
        <v>#VALUE!</v>
      </c>
      <c r="FE109" s="1129" t="n">
        <f aca="false">IF(EZ109="No",IF((OR(MONTH(C109)=5,MONTH(C109)=6,MONTH(C109)=7,MONTH(C109)=8,MONTH(C109)=9)),0,$FA109*3*AY109*(1-$BC109)),0)</f>
        <v>0</v>
      </c>
      <c r="FF109" s="1129" t="e">
        <f aca="false">IF(EZ109="No",IF((OR(MONTH(C109)=5,MONTH(C109)=6,MONTH(C109)=7,MONTH(C109)=8,MONTH(C109)=9)),$FA109*12*(AZ109+BA109)*(1-$BC109),$FA109*10*(AZ109+BA109)*(1-$BC109)),0)</f>
        <v>#VALUE!</v>
      </c>
      <c r="FG109" s="1129" t="n">
        <f aca="false">IF(EZ109="No",IF((OR(MONTH(C109)=5,MONTH(C109)=6,MONTH(C109)=7,MONTH(C109)=8,MONTH(C109)=9)),0,$FA109*3*(AZ109+BA109)*(1-$BC109)),0)</f>
        <v>0</v>
      </c>
      <c r="FH109" s="1170" t="e">
        <f aca="false">IF(EZ109="No",IF((OR(MONTH(C109)=5,MONTH(C109)=6,MONTH(C109)=7,MONTH(C109)=8,MONTH(C109)=9)),Summary!$O$15*12*(AX109+AY109+AZ109+BA109)*(1-$BC109),Summary!$O$15*13*(AX109+AY109+AZ109+BA109)*(1-$BC109)+IF(Summary!$O$16="Yes",(CALC!FA109+Summary!$O$15)*6*(AX109+AY109+AZ109+BA109)*(1-$BC109),0)),0)</f>
        <v>#VALUE!</v>
      </c>
      <c r="FI109" s="1126" t="n">
        <f aca="false">IF(MONTH(C109)=5,FI108*(IF(Summary!$E$70="no",(1+(Summary!$E$71*0.8)),1+HLOOKUP(YEAR(C109)-1,CCFMODEL!$I$127:$AF$128,2)*0.8)),+FI108)</f>
        <v>32.1605394272484</v>
      </c>
      <c r="FJ109" s="1127" t="n">
        <f aca="false">IF(MONTH(C109)=5,FJ108*(IF(Summary!$E$70="no",(1+(Summary!$E$71*0.8)),1+HLOOKUP(YEAR(CALC!C109)-1,CCFMODEL!$I$127:$AF$128,2)*0.8)),FJ108)</f>
        <v>28.108817924603</v>
      </c>
      <c r="FK109" s="1128" t="e">
        <f aca="false">SUM(FB109:FG109)*FI109+FH109*FJ109</f>
        <v>#VALUE!</v>
      </c>
      <c r="FL109" s="1126" t="n">
        <f aca="false">IF(MONTH(C109)=5,FL108*(IF(Summary!$E$70="no",(1+(Summary!$E$71*0.8)),1+HLOOKUP(YEAR(CALC!C109)-1,CCFMODEL!$I$127:$AF$128,2)*0.8)),+FL108)</f>
        <v>67.637219965293</v>
      </c>
      <c r="FM109" s="1127" t="n">
        <f aca="false">IF(MONTH(C109)=5,FM108*(IF(Summary!$E$70="no",(1+(Summary!$E$71*0.8)),1+HLOOKUP(YEAR(CALC!C109)-1,CCFMODEL!$I$127:$AF$128,2)*0.8)),+FM108)</f>
        <v>32.2811263767319</v>
      </c>
      <c r="FN109" s="1128" t="e">
        <f aca="false">IF((OR(MONTH(C109)=5,MONTH(C109)=6,MONTH(C109)=7,MONTH(C109)=8,MONTH(C109)=9)),SUM(FB109:FG109)/(1-BC109)*FL109,SUM(FB109:FG109)/(1-BC109)*FM109)</f>
        <v>#VALUE!</v>
      </c>
      <c r="FO109" s="1129" t="e">
        <f aca="false">FK109+FN109</f>
        <v>#VALUE!</v>
      </c>
      <c r="FP109" s="1169" t="e">
        <f aca="false">FB109</f>
        <v>#VALUE!</v>
      </c>
      <c r="FQ109" s="1129" t="n">
        <f aca="false">FC109</f>
        <v>0</v>
      </c>
      <c r="FR109" s="1129" t="e">
        <f aca="false">FD109</f>
        <v>#VALUE!</v>
      </c>
      <c r="FS109" s="1129" t="n">
        <f aca="false">FE109</f>
        <v>0</v>
      </c>
      <c r="FT109" s="1129" t="e">
        <f aca="false">FF109</f>
        <v>#VALUE!</v>
      </c>
      <c r="FU109" s="1129" t="n">
        <f aca="false">FG109</f>
        <v>0</v>
      </c>
      <c r="FV109" s="1170" t="e">
        <f aca="false">FH109</f>
        <v>#VALUE!</v>
      </c>
      <c r="FW109" s="1115" t="n">
        <f aca="false">IF(ER109&gt;0,MIN(FB109-FP109,BL109),0)</f>
        <v>0</v>
      </c>
      <c r="FX109" s="1115" t="n">
        <f aca="false">IF(ES109&gt;0,MIN(FD109-FR109,BM109),0)</f>
        <v>0</v>
      </c>
      <c r="FY109" s="1115" t="n">
        <f aca="false">IF(ET109&gt;0,MIN(FF109-FT109,BN109),0)</f>
        <v>0</v>
      </c>
      <c r="FZ109" s="1143" t="n">
        <f aca="false">IF(EU109&gt;0,MIN(FH109-FV109,BO109),0)</f>
        <v>0</v>
      </c>
      <c r="GA109" s="1132" t="e">
        <f aca="false">(SUM(FP109:FV109)+SUM(GU109:HB109)/(1-Summary!$O$25))*CY109/1000</f>
        <v>#VALUE!</v>
      </c>
      <c r="GB109" s="1133" t="n">
        <f aca="false">IF($C109&lt;Summary!$M$81,+Summary!$O$81,VLOOKUP(C109,GasTable,19))</f>
        <v>2.4</v>
      </c>
      <c r="GC109" s="1134" t="e">
        <f aca="false">IF(H109&lt;=Summary!$N$84,MIN(GA109,Summary!$O$75*(H109-G109+1)),0)</f>
        <v>#VALUE!</v>
      </c>
      <c r="GD109" s="1135" t="e">
        <f aca="false">IF(Summary!$O$75*(H109-G109+1)*0.8&gt;GC109,1,0)</f>
        <v>#VALUE!</v>
      </c>
      <c r="GE109" s="1136" t="n">
        <v>0</v>
      </c>
      <c r="GF109" s="1134" t="e">
        <f aca="false">ABS(MIN(0,GC109-$GA109))</f>
        <v>#VALUE!</v>
      </c>
      <c r="GG109" s="1135" t="e">
        <f aca="false">GF109*(IF(Summary!$O$74=1,VLOOKUP($C109,GasTable,16)+Summary!$O$92+Summary!$O$93,VLOOKUP($C109,GasTable,19)+Summary!$O$92+Summary!$O$93))</f>
        <v>#VALUE!</v>
      </c>
      <c r="GH109" s="1137" t="n">
        <v>18384</v>
      </c>
      <c r="GI109" s="1138" t="n">
        <v>0</v>
      </c>
      <c r="GJ109" s="1139" t="e">
        <f aca="false">+GB109*GC109+GE109+GG109+GH109-GI109</f>
        <v>#VALUE!</v>
      </c>
      <c r="GK109" s="1115" t="e">
        <f aca="false">SUM(FP109:FV109,GU109:GX109,GY109:HB109)</f>
        <v>#VALUE!</v>
      </c>
      <c r="GL109" s="1140" t="n">
        <v>0.76363046032</v>
      </c>
      <c r="GM109" s="1141" t="e">
        <f aca="false">IF(GK109&gt;GC109/(CY109/1000),GC109/(CY109/1000),+GK109)*GL109</f>
        <v>#VALUE!</v>
      </c>
      <c r="GN109" s="1115" t="n">
        <f aca="false">IF(SUM(GU109:HB109)=0,0,IF(Summary!$O$16="Yes",SUM(GX109:HB109),IF(Summary!$O$17="Yes",SUM(GY109:HB109),SUM(GU109:HB109))))</f>
        <v>9239.103</v>
      </c>
      <c r="GO109" s="1142" t="n">
        <v>2.92651628291373</v>
      </c>
      <c r="GP109" s="1143" t="n">
        <f aca="false">GN109*GO109</f>
        <v>27038.3853690171</v>
      </c>
      <c r="GQ109" s="1115"/>
      <c r="GR109" s="1115"/>
      <c r="GS109" s="1115"/>
      <c r="GT109" s="1115"/>
      <c r="GU109" s="1150" t="n">
        <v>3250.7955</v>
      </c>
      <c r="GV109" s="1115" t="n">
        <v>855.4725</v>
      </c>
      <c r="GW109" s="1115" t="n">
        <v>1026.567</v>
      </c>
      <c r="GX109" s="1115"/>
      <c r="GY109" s="1151" t="n">
        <v>2600.6364</v>
      </c>
      <c r="GZ109" s="1115" t="n">
        <v>684.378</v>
      </c>
      <c r="HA109" s="1115" t="n">
        <v>821.2536</v>
      </c>
      <c r="HB109" s="1141"/>
      <c r="HC109" s="1115" t="n">
        <v>9239.103</v>
      </c>
      <c r="HD109" s="1115"/>
      <c r="HE109" s="1115" t="n">
        <v>21557.907</v>
      </c>
      <c r="HF109" s="1115" t="n">
        <v>454502.614683687</v>
      </c>
      <c r="HG109" s="1115"/>
      <c r="HH109" s="1142" t="n">
        <v>51.0598536472946</v>
      </c>
      <c r="HI109" s="1115" t="n">
        <v>1100743.57636199</v>
      </c>
      <c r="HJ109" s="1150" t="e">
        <f aca="false">MAX(FB109-FP109-FW109,0)</f>
        <v>#VALUE!</v>
      </c>
      <c r="HK109" s="1115" t="e">
        <f aca="false">MAX(FD109-FR109-FX109,0)</f>
        <v>#VALUE!</v>
      </c>
      <c r="HL109" s="1115" t="e">
        <f aca="false">MAX(FF109-FT109-FY109,0)</f>
        <v>#VALUE!</v>
      </c>
      <c r="HM109" s="1141" t="e">
        <f aca="false">MAX(FH109-FV109-FZ109,0)</f>
        <v>#VALUE!</v>
      </c>
      <c r="HN109" s="1115" t="e">
        <f aca="false">SUM(HJ109:HM109)</f>
        <v>#VALUE!</v>
      </c>
      <c r="HO109" s="1142" t="n">
        <f aca="false">IF(ISERROR(+HP109/HN109),0,+HP109/HN109)</f>
        <v>0</v>
      </c>
      <c r="HP109" s="1143" t="e">
        <f aca="false">(HJ109*CE109+HK109*CF109+HL109*CG109+HM109*CH109)</f>
        <v>#VALUE!</v>
      </c>
      <c r="HQ109" s="1146"/>
      <c r="HR109" s="1150"/>
      <c r="HS109" s="1110"/>
      <c r="HT109" s="1141"/>
      <c r="HU109" s="1151"/>
      <c r="HV109" s="1142"/>
      <c r="HW109" s="1115"/>
      <c r="HX109" s="1149"/>
      <c r="HY109" s="1143"/>
      <c r="HZ109" s="1150"/>
      <c r="IA109" s="1142"/>
      <c r="IB109" s="1141"/>
      <c r="IC109" s="1151"/>
      <c r="ID109" s="1142"/>
      <c r="IE109" s="1141"/>
      <c r="IF109" s="1115"/>
      <c r="IG109" s="1142"/>
      <c r="IH109" s="1141"/>
      <c r="II109" s="1115"/>
      <c r="IJ109" s="1142"/>
      <c r="IK109" s="1115"/>
      <c r="IL109" s="1152"/>
      <c r="IM109" s="1192"/>
      <c r="IN109" s="1151"/>
      <c r="IO109" s="1151"/>
      <c r="IP109" s="1151"/>
      <c r="IQ109" s="1151"/>
      <c r="IR109" s="844"/>
    </row>
    <row r="110" customFormat="false" ht="13.5" hidden="false" customHeight="false" outlineLevel="0" collapsed="false">
      <c r="A110" s="0" t="str">
        <f aca="false">+D110&amp;"Q"&amp;ROUNDUP(E110/3,0)</f>
        <v>2007Q4</v>
      </c>
      <c r="B110" s="0" t="n">
        <f aca="false">YEAR(C110)</f>
        <v>2007</v>
      </c>
      <c r="C110" s="1153" t="n">
        <f aca="false">EOMONTH(C109,0)+1</f>
        <v>39356</v>
      </c>
      <c r="D110" s="841" t="n">
        <f aca="false">+YEAR(C110)</f>
        <v>2007</v>
      </c>
      <c r="E110" s="807" t="n">
        <f aca="false">MONTH(C110)</f>
        <v>10</v>
      </c>
      <c r="F110" s="1154" t="e">
        <f aca="false">IF(G110="","",Holiday(D110,E110))</f>
        <v>#VALUE!</v>
      </c>
      <c r="G110" s="1155" t="n">
        <v>39356</v>
      </c>
      <c r="H110" s="1156" t="n">
        <v>39386</v>
      </c>
      <c r="I110" s="1157" t="n">
        <f aca="false">I109</f>
        <v>0.0715</v>
      </c>
      <c r="J110" s="1158" t="n">
        <f aca="false">(1+I110/2)^(-2*(DATE(D111,E111,20)-$H$7)/365.25)</f>
        <v>0.572808186492651</v>
      </c>
      <c r="K110" s="1159"/>
      <c r="L110" s="1158"/>
      <c r="M110" s="1082" t="n">
        <v>0</v>
      </c>
      <c r="N110" s="1110" t="n">
        <f aca="false">M110</f>
        <v>0</v>
      </c>
      <c r="O110" s="1174" t="n">
        <f aca="false">N110</f>
        <v>0</v>
      </c>
      <c r="P110" s="1175" t="n">
        <f aca="false">M110</f>
        <v>0</v>
      </c>
      <c r="Q110" s="1110" t="n">
        <f aca="false">P110</f>
        <v>0</v>
      </c>
      <c r="R110" s="1174" t="n">
        <f aca="false">Q110</f>
        <v>0</v>
      </c>
      <c r="S110" s="1110" t="n">
        <f aca="false">R110</f>
        <v>0</v>
      </c>
      <c r="T110" s="1110" t="n">
        <f aca="false">S110</f>
        <v>0</v>
      </c>
      <c r="U110" s="1110" t="n">
        <f aca="false">T110</f>
        <v>0</v>
      </c>
      <c r="V110" s="1175" t="n">
        <f aca="false">U110</f>
        <v>0</v>
      </c>
      <c r="W110" s="1110" t="n">
        <f aca="false">V110</f>
        <v>0</v>
      </c>
      <c r="X110" s="1176" t="n">
        <f aca="false">W110</f>
        <v>0</v>
      </c>
      <c r="Y110" s="1086" t="n">
        <v>0</v>
      </c>
      <c r="Z110" s="1086" t="n">
        <v>0</v>
      </c>
      <c r="AA110" s="1087" t="n">
        <v>0</v>
      </c>
      <c r="AB110" s="1086" t="n">
        <v>0</v>
      </c>
      <c r="AC110" s="1086" t="n">
        <v>0</v>
      </c>
      <c r="AD110" s="1087" t="n">
        <v>0</v>
      </c>
      <c r="AE110" s="1086" t="n">
        <v>0</v>
      </c>
      <c r="AF110" s="1086" t="n">
        <v>0</v>
      </c>
      <c r="AG110" s="1087" t="n">
        <v>0</v>
      </c>
      <c r="AH110" s="1086" t="n">
        <v>0</v>
      </c>
      <c r="AI110" s="1086" t="n">
        <v>0</v>
      </c>
      <c r="AJ110" s="1087" t="n">
        <v>0</v>
      </c>
      <c r="AK110" s="1086" t="n">
        <v>0</v>
      </c>
      <c r="AL110" s="1086" t="n">
        <v>0</v>
      </c>
      <c r="AM110" s="1087" t="n">
        <v>0</v>
      </c>
      <c r="AN110" s="1086" t="n">
        <v>0</v>
      </c>
      <c r="AO110" s="1086" t="n">
        <v>0</v>
      </c>
      <c r="AP110" s="1087" t="n">
        <v>0</v>
      </c>
      <c r="AQ110" s="1086" t="n">
        <v>0</v>
      </c>
      <c r="AR110" s="1086" t="n">
        <v>0</v>
      </c>
      <c r="AS110" s="1087" t="n">
        <v>0</v>
      </c>
      <c r="AT110" s="1086" t="n">
        <v>0</v>
      </c>
      <c r="AU110" s="1086" t="n">
        <v>0</v>
      </c>
      <c r="AV110" s="1086" t="n">
        <v>0</v>
      </c>
      <c r="AW110" s="1172" t="n">
        <v>0</v>
      </c>
      <c r="AX110" s="807" t="n">
        <f aca="false">BB110-SUM(AY110:BA110)</f>
        <v>23</v>
      </c>
      <c r="AY110" s="807" t="n">
        <f aca="false">IF(AND($E110=MONTH(Summary!$E$24),$D110=YEAR(Summary!$E$24)),Summary!$E$25,1)*IF(G110="",0,INT((H110-MOD(H110,7)-G110)/7)+1-IF(BA110,IF(WEEKDAY(F110)=7,1,0),0))</f>
        <v>4</v>
      </c>
      <c r="AZ110" s="807" t="n">
        <f aca="false">IF(AND($E110=MONTH(Summary!$E$24),$D110=YEAR(Summary!$E$24)),Summary!$E$25,1)*IF(G110="",0,INT((H110-MOD(H110-1,7)-G110)/7)+1-IF(BA110,IF(WEEKDAY(F110)=1,1,0),0))</f>
        <v>4</v>
      </c>
      <c r="BA110" s="807" t="n">
        <v>0</v>
      </c>
      <c r="BB110" s="807" t="n">
        <f aca="false">IF(AND($E110=MONTH(Summary!$E$24),$D110=YEAR(Summary!$E$24)),Summary!$E$25,1)*IF(G110="",0,H110-G110+1)</f>
        <v>31</v>
      </c>
      <c r="BC110" s="1089" t="n">
        <f aca="false">Summary!$E$19</f>
        <v>0.015</v>
      </c>
      <c r="BD110" s="1090" t="n">
        <v>16311.6</v>
      </c>
      <c r="BE110" s="1091" t="n">
        <v>2836.8</v>
      </c>
      <c r="BF110" s="1091" t="n">
        <v>2836.8</v>
      </c>
      <c r="BG110" s="842"/>
      <c r="BH110" s="1092" t="n">
        <v>1</v>
      </c>
      <c r="BI110" s="1092" t="n">
        <v>1</v>
      </c>
      <c r="BJ110" s="1092" t="n">
        <v>1</v>
      </c>
      <c r="BK110" s="1092" t="n">
        <v>1</v>
      </c>
      <c r="BL110" s="1093" t="n">
        <v>3262.32</v>
      </c>
      <c r="BM110" s="1091" t="n">
        <v>567.36</v>
      </c>
      <c r="BN110" s="1091" t="n">
        <v>567.36</v>
      </c>
      <c r="BO110" s="842"/>
      <c r="BP110" s="1092" t="n">
        <v>1</v>
      </c>
      <c r="BQ110" s="1094" t="n">
        <v>1</v>
      </c>
      <c r="BR110" s="1094" t="n">
        <v>1</v>
      </c>
      <c r="BS110" s="1095" t="n">
        <v>1</v>
      </c>
      <c r="BT110" s="1093" t="n">
        <f aca="false">SUM(BD110:BF110)</f>
        <v>21985.2</v>
      </c>
      <c r="BU110" s="1098" t="n">
        <f aca="false">SUM(BD110:BG110)</f>
        <v>21985.2</v>
      </c>
      <c r="BV110" s="1090" t="n">
        <f aca="false">SUM(BL110:BN110)</f>
        <v>4397.04</v>
      </c>
      <c r="BW110" s="1098" t="n">
        <f aca="false">SUM(BL110:BO110)</f>
        <v>4397.04</v>
      </c>
      <c r="BX110" s="852" t="n">
        <v>7.79466119096509</v>
      </c>
      <c r="BY110" s="1099" t="n">
        <v>0</v>
      </c>
      <c r="BZ110" s="852" t="n">
        <v>0</v>
      </c>
      <c r="CA110" s="852" t="n">
        <v>0</v>
      </c>
      <c r="CB110" s="852" t="n">
        <v>0</v>
      </c>
      <c r="CC110" s="852" t="n">
        <v>0</v>
      </c>
      <c r="CD110" s="852" t="n">
        <v>0</v>
      </c>
      <c r="CE110" s="1100" t="n">
        <v>0</v>
      </c>
      <c r="CF110" s="852" t="n">
        <v>0</v>
      </c>
      <c r="CG110" s="852" t="n">
        <v>0</v>
      </c>
      <c r="CH110" s="852" t="n">
        <v>0</v>
      </c>
      <c r="CI110" s="852" t="n">
        <v>0</v>
      </c>
      <c r="CJ110" s="1101" t="n">
        <v>0</v>
      </c>
      <c r="CK110" s="852" t="n">
        <v>0</v>
      </c>
      <c r="CL110" s="852" t="n">
        <v>0</v>
      </c>
      <c r="CM110" s="852" t="n">
        <v>0</v>
      </c>
      <c r="CN110" s="852" t="n">
        <v>0</v>
      </c>
      <c r="CO110" s="852" t="n">
        <v>0</v>
      </c>
      <c r="CP110" s="852" t="n">
        <v>0</v>
      </c>
      <c r="CQ110" s="1102" t="n">
        <v>0</v>
      </c>
      <c r="CR110" s="1103" t="n">
        <v>0</v>
      </c>
      <c r="CS110" s="1103" t="n">
        <v>0</v>
      </c>
      <c r="CT110" s="1103" t="n">
        <v>0</v>
      </c>
      <c r="CU110" s="1103" t="n">
        <v>0</v>
      </c>
      <c r="CV110" s="1103" t="n">
        <v>0</v>
      </c>
      <c r="CW110" s="1103" t="n">
        <v>0</v>
      </c>
      <c r="CX110" s="1104" t="n">
        <v>0</v>
      </c>
      <c r="CY110" s="1105" t="n">
        <v>7777.58048</v>
      </c>
      <c r="CZ110" s="1099" t="n">
        <v>0</v>
      </c>
      <c r="DA110" s="852" t="n">
        <v>0</v>
      </c>
      <c r="DB110" s="852" t="n">
        <v>0</v>
      </c>
      <c r="DC110" s="852" t="n">
        <v>0</v>
      </c>
      <c r="DD110" s="852" t="n">
        <v>0</v>
      </c>
      <c r="DE110" s="1113" t="n">
        <v>0</v>
      </c>
      <c r="DF110" s="1109" t="n">
        <v>0</v>
      </c>
      <c r="DG110" s="1110" t="n">
        <v>0</v>
      </c>
      <c r="DH110" s="1111" t="n">
        <v>0</v>
      </c>
      <c r="DI110" s="1112" t="n">
        <v>0</v>
      </c>
      <c r="DJ110" s="1112" t="n">
        <v>0</v>
      </c>
      <c r="DK110" s="1112" t="n">
        <v>0</v>
      </c>
      <c r="DL110" s="1113" t="n">
        <v>0</v>
      </c>
      <c r="DM110" s="1114" t="n">
        <v>0</v>
      </c>
      <c r="DN110" s="1114" t="n">
        <v>0</v>
      </c>
      <c r="DO110" s="1114" t="n">
        <v>0</v>
      </c>
      <c r="DP110" s="1114" t="n">
        <v>0</v>
      </c>
      <c r="DQ110" s="1114" t="n">
        <v>0</v>
      </c>
      <c r="DR110" s="1109" t="n">
        <v>0</v>
      </c>
      <c r="DS110" s="852" t="n">
        <v>0</v>
      </c>
      <c r="DT110" s="852" t="n">
        <v>0</v>
      </c>
      <c r="DU110" s="852" t="n">
        <v>0</v>
      </c>
      <c r="DV110" s="852" t="n">
        <v>0</v>
      </c>
      <c r="DW110" s="852" t="n">
        <v>0</v>
      </c>
      <c r="DX110" s="852" t="n">
        <v>0</v>
      </c>
      <c r="DY110" s="852" t="n">
        <v>0</v>
      </c>
      <c r="DZ110" s="852" t="n">
        <v>0</v>
      </c>
      <c r="EA110" s="852" t="n">
        <v>0</v>
      </c>
      <c r="EB110" s="1113" t="n">
        <v>0</v>
      </c>
      <c r="EC110" s="1115" t="n">
        <f aca="false">DS110*BD110</f>
        <v>0</v>
      </c>
      <c r="ED110" s="1115" t="n">
        <f aca="false">DT110*BE110</f>
        <v>0</v>
      </c>
      <c r="EE110" s="1115" t="n">
        <f aca="false">DU110*BF110</f>
        <v>0</v>
      </c>
      <c r="EF110" s="1115" t="n">
        <f aca="false">DV110*BG110</f>
        <v>0</v>
      </c>
      <c r="EG110" s="1115" t="n">
        <f aca="false">DS110*BD110+DT110*BE110+DU110*BF110+DV110*BG110</f>
        <v>0</v>
      </c>
      <c r="EH110" s="1116" t="n">
        <v>0</v>
      </c>
      <c r="EI110" s="1117" t="n">
        <v>0</v>
      </c>
      <c r="EJ110" s="1117" t="n">
        <v>0</v>
      </c>
      <c r="EK110" s="1117" t="n">
        <v>0</v>
      </c>
      <c r="EL110" s="1118" t="n">
        <f aca="false">IF(C110&gt;=Summary!$E$26,MAX(0,SUM(EH110:EK110)),0)</f>
        <v>0</v>
      </c>
      <c r="EM110" s="1115" t="n">
        <f aca="false">IF(C110&gt;=Summary!$E$26,DX110*BL110,0)</f>
        <v>0</v>
      </c>
      <c r="EN110" s="1115" t="n">
        <f aca="false">IF(C110&gt;=Summary!$E$26,DY110*BM110,0)</f>
        <v>0</v>
      </c>
      <c r="EO110" s="1115" t="n">
        <f aca="false">IF(C110&gt;=Summary!$E$26,DZ110*BN110,0)</f>
        <v>0</v>
      </c>
      <c r="EP110" s="1115" t="n">
        <f aca="false">IF(C110&gt;=Summary!$E$26,EA110*BO110,0)</f>
        <v>0</v>
      </c>
      <c r="EQ110" s="1115" t="n">
        <f aca="false">IF(C110&gt;=Summary!$E$26,DX110*BL110+DY110*BM110+DZ110*BN110+EA110*BO110,0)</f>
        <v>0</v>
      </c>
      <c r="ER110" s="1119" t="n">
        <v>0</v>
      </c>
      <c r="ES110" s="1120" t="n">
        <v>0</v>
      </c>
      <c r="ET110" s="1120" t="n">
        <v>0</v>
      </c>
      <c r="EU110" s="1120" t="n">
        <v>0</v>
      </c>
      <c r="EV110" s="1143" t="n">
        <f aca="false">IF(C110&gt;=Summary!$E$26,MAX(0,SUM(ER110:EU110)),0)</f>
        <v>0</v>
      </c>
      <c r="EW110" s="1115"/>
      <c r="EX110" s="1165" t="n">
        <f aca="false">(EQ110-EV110)+IF(EZ110="Yes",(EG110-EL110),0)</f>
        <v>0</v>
      </c>
      <c r="EY110" s="1166" t="str">
        <f aca="false">IF(EX110,EX110/EQ110,"")</f>
        <v/>
      </c>
      <c r="EZ110" s="1122" t="s">
        <v>37</v>
      </c>
      <c r="FA110" s="1096" t="n">
        <f aca="false">FA109</f>
        <v>45</v>
      </c>
      <c r="FB110" s="1167" t="n">
        <f aca="false">IF(EZ110="No",IF((OR(MONTH(C110)=5,MONTH(C110)=6,MONTH(C110)=7,MONTH(C110)=8,MONTH(C110)=9)),$FA110*12*AX110*(1-$BC110),$FA110*10*AX110*(1-$BC110)),0)</f>
        <v>10194.75</v>
      </c>
      <c r="FC110" s="1129" t="n">
        <f aca="false">IF(EZ110="No",IF((OR(MONTH(C110)=5,MONTH(C110)=6,MONTH(C110)=7,MONTH(C110)=8,MONTH(C110)=9)),0,$FA110*3*AX110*(1-$BC110)),0)</f>
        <v>3058.425</v>
      </c>
      <c r="FD110" s="1129" t="n">
        <f aca="false">IF(EZ110="No",IF((OR(MONTH(C110)=5,MONTH(C110)=6,MONTH(C110)=7,MONTH(C110)=8,MONTH(C110)=9)),$FA110*12*AY110*(1-$BC110),$FA110*10*AY110*(1-$BC110)),0)</f>
        <v>1773</v>
      </c>
      <c r="FE110" s="1129" t="n">
        <f aca="false">IF(EZ110="No",IF((OR(MONTH(C110)=5,MONTH(C110)=6,MONTH(C110)=7,MONTH(C110)=8,MONTH(C110)=9)),0,$FA110*3*AY110*(1-$BC110)),0)</f>
        <v>531.9</v>
      </c>
      <c r="FF110" s="1129" t="n">
        <f aca="false">IF(EZ110="No",IF((OR(MONTH(C110)=5,MONTH(C110)=6,MONTH(C110)=7,MONTH(C110)=8,MONTH(C110)=9)),$FA110*12*(AZ110+BA110)*(1-$BC110),$FA110*10*(AZ110+BA110)*(1-$BC110)),0)</f>
        <v>1773</v>
      </c>
      <c r="FG110" s="1129" t="n">
        <f aca="false">IF(EZ110="No",IF((OR(MONTH(C110)=5,MONTH(C110)=6,MONTH(C110)=7,MONTH(C110)=8,MONTH(C110)=9)),0,$FA110*3*(AZ110+BA110)*(1-$BC110)),0)</f>
        <v>531.9</v>
      </c>
      <c r="FH110" s="1170" t="n">
        <f aca="false">IF(EZ110="No",IF((OR(MONTH(C110)=5,MONTH(C110)=6,MONTH(C110)=7,MONTH(C110)=8,MONTH(C110)=9)),Summary!$O$15*12*(AX110+AY110+AZ110+BA110)*(1-$BC110),Summary!$O$15*13*(AX110+AY110+AZ110+BA110)*(1-$BC110)+IF(Summary!$O$16="Yes",(CALC!FA110+Summary!$O$15)*6*(AX110+AY110+AZ110+BA110)*(1-$BC110),0)),0)</f>
        <v>0</v>
      </c>
      <c r="FI110" s="1126" t="n">
        <f aca="false">IF(MONTH(C110)=5,FI109*(IF(Summary!$E$70="no",(1+(Summary!$E$71*0.8)),1+HLOOKUP(YEAR(C110)-1,CCFMODEL!$I$127:$AF$128,2)*0.8)),+FI109)</f>
        <v>32.1605394272484</v>
      </c>
      <c r="FJ110" s="1127" t="n">
        <f aca="false">IF(MONTH(C110)=5,FJ109*(IF(Summary!$E$70="no",(1+(Summary!$E$71*0.8)),1+HLOOKUP(YEAR(CALC!C110)-1,CCFMODEL!$I$127:$AF$128,2)*0.8)),FJ109)</f>
        <v>28.108817924603</v>
      </c>
      <c r="FK110" s="1128" t="n">
        <f aca="false">SUM(FB110:FG110)*FI110+FH110*FJ110</f>
        <v>574482.911775453</v>
      </c>
      <c r="FL110" s="1126" t="n">
        <f aca="false">IF(MONTH(C110)=5,FL109*(IF(Summary!$E$70="no",(1+(Summary!$E$71*0.8)),1+HLOOKUP(YEAR(CALC!C110)-1,CCFMODEL!$I$127:$AF$128,2)*0.8)),+FL109)</f>
        <v>67.637219965293</v>
      </c>
      <c r="FM110" s="1127" t="n">
        <f aca="false">IF(MONTH(C110)=5,FM109*(IF(Summary!$E$70="no",(1+(Summary!$E$71*0.8)),1+HLOOKUP(YEAR(CALC!C110)-1,CCFMODEL!$I$127:$AF$128,2)*0.8)),+FM109)</f>
        <v>32.2811263767319</v>
      </c>
      <c r="FN110" s="1128" t="n">
        <f aca="false">IF((OR(MONTH(C110)=5,MONTH(C110)=6,MONTH(C110)=7,MONTH(C110)=8,MONTH(C110)=9)),SUM(FB110:FG110)/(1-BC110)*FL110,SUM(FB110:FG110)/(1-BC110)*FM110)</f>
        <v>585418.226842034</v>
      </c>
      <c r="FO110" s="1129" t="n">
        <f aca="false">FK110+FN110</f>
        <v>1159901.13861749</v>
      </c>
      <c r="FP110" s="1169" t="n">
        <f aca="false">FB110</f>
        <v>10194.75</v>
      </c>
      <c r="FQ110" s="1129" t="n">
        <f aca="false">FC110</f>
        <v>3058.425</v>
      </c>
      <c r="FR110" s="1129" t="n">
        <f aca="false">FD110</f>
        <v>1773</v>
      </c>
      <c r="FS110" s="1129" t="n">
        <f aca="false">FE110</f>
        <v>531.9</v>
      </c>
      <c r="FT110" s="1129" t="n">
        <f aca="false">FF110</f>
        <v>1773</v>
      </c>
      <c r="FU110" s="1129" t="n">
        <f aca="false">FG110</f>
        <v>531.9</v>
      </c>
      <c r="FV110" s="1170" t="n">
        <f aca="false">FH110</f>
        <v>0</v>
      </c>
      <c r="FW110" s="1115" t="n">
        <f aca="false">IF(ER110&gt;0,MIN(FB110-FP110,BL110),0)</f>
        <v>0</v>
      </c>
      <c r="FX110" s="1115" t="n">
        <f aca="false">IF(ES110&gt;0,MIN(FD110-FR110,BM110),0)</f>
        <v>0</v>
      </c>
      <c r="FY110" s="1115" t="n">
        <f aca="false">IF(ET110&gt;0,MIN(FF110-FT110,BN110),0)</f>
        <v>0</v>
      </c>
      <c r="FZ110" s="1143" t="n">
        <f aca="false">IF(EU110&gt;0,MIN(FH110-FV110,BO110),0)</f>
        <v>0</v>
      </c>
      <c r="GA110" s="1132" t="n">
        <f aca="false">(SUM(FP110:FV110)+SUM(GU110:HB110)/(1-Summary!$O$25))*CY110/1000</f>
        <v>237250.931536843</v>
      </c>
      <c r="GB110" s="1133" t="n">
        <f aca="false">IF($C110&lt;Summary!$M$81,+Summary!$O$81,VLOOKUP(C110,GasTable,19))</f>
        <v>2.4</v>
      </c>
      <c r="GC110" s="1134" t="n">
        <f aca="false">IF(H110&lt;=Summary!$N$84,MIN(GA110,Summary!$O$75*(H110-G110+1)),0)</f>
        <v>155000</v>
      </c>
      <c r="GD110" s="1135" t="n">
        <f aca="false">IF(Summary!$O$75*(H110-G110+1)*0.8&gt;GC110,1,0)</f>
        <v>0</v>
      </c>
      <c r="GE110" s="1136" t="n">
        <v>0</v>
      </c>
      <c r="GF110" s="1134" t="n">
        <f aca="false">ABS(MIN(0,GC110-$GA110))</f>
        <v>82250.9315368432</v>
      </c>
      <c r="GG110" s="1135" t="n">
        <f aca="false">GF110*(IF(Summary!$O$74=1,VLOOKUP($C110,GasTable,16)+Summary!$O$92+Summary!$O$93,VLOOKUP($C110,GasTable,19)+Summary!$O$92+Summary!$O$93))</f>
        <v>268279.593012493</v>
      </c>
      <c r="GH110" s="1137" t="n">
        <v>19065</v>
      </c>
      <c r="GI110" s="1138" t="n">
        <v>0</v>
      </c>
      <c r="GJ110" s="1139" t="n">
        <f aca="false">+GB110*GC110+GE110+GG110+GH110-GI110</f>
        <v>659344.593012493</v>
      </c>
      <c r="GK110" s="1115" t="n">
        <f aca="false">SUM(FP110:FV110,GU110:GX110,GY110:HB110)</f>
        <v>30062.01285</v>
      </c>
      <c r="GL110" s="1140" t="n">
        <v>0.763758403136</v>
      </c>
      <c r="GM110" s="1141" t="n">
        <f aca="false">IF(GK110&gt;GC110/(CY110/1000),GC110/(CY110/1000),+GK110)*GL110</f>
        <v>15221</v>
      </c>
      <c r="GN110" s="1115" t="n">
        <f aca="false">IF(SUM(GU110:HB110)=0,0,IF(Summary!$O$16="Yes",SUM(GX110:HB110),IF(Summary!$O$17="Yes",SUM(GY110:HB110),SUM(GU110:HB110))))</f>
        <v>12199.03785</v>
      </c>
      <c r="GO110" s="1142" t="n">
        <v>2.92651628291373</v>
      </c>
      <c r="GP110" s="1143" t="n">
        <f aca="false">GN110*GO110</f>
        <v>35700.6829039059</v>
      </c>
      <c r="GQ110" s="1115"/>
      <c r="GR110" s="1115"/>
      <c r="GS110" s="1115"/>
      <c r="GT110" s="1115"/>
      <c r="GU110" s="1150" t="n">
        <v>5902.76025</v>
      </c>
      <c r="GV110" s="1115" t="n">
        <v>1026.567</v>
      </c>
      <c r="GW110" s="1115" t="n">
        <v>1026.567</v>
      </c>
      <c r="GX110" s="1115"/>
      <c r="GY110" s="1151" t="n">
        <v>3148.1388</v>
      </c>
      <c r="GZ110" s="1115" t="n">
        <v>547.5024</v>
      </c>
      <c r="HA110" s="1115" t="n">
        <v>547.5024</v>
      </c>
      <c r="HB110" s="1141"/>
      <c r="HC110" s="1115" t="n">
        <v>12199.03785</v>
      </c>
      <c r="HD110" s="1115"/>
      <c r="HE110" s="1115" t="n">
        <v>20950.521525</v>
      </c>
      <c r="HF110" s="1115" t="n">
        <v>542015.099597689</v>
      </c>
      <c r="HG110" s="1115"/>
      <c r="HH110" s="1142" t="n">
        <v>43.728230729953</v>
      </c>
      <c r="HI110" s="1115" t="n">
        <v>916129.239158046</v>
      </c>
      <c r="HJ110" s="1150" t="n">
        <f aca="false">MAX(FB110-FP110-FW110,0)</f>
        <v>0</v>
      </c>
      <c r="HK110" s="1115" t="n">
        <f aca="false">MAX(FD110-FR110-FX110,0)</f>
        <v>0</v>
      </c>
      <c r="HL110" s="1115" t="n">
        <f aca="false">MAX(FF110-FT110-FY110,0)</f>
        <v>0</v>
      </c>
      <c r="HM110" s="1141" t="n">
        <f aca="false">MAX(FH110-FV110-FZ110,0)</f>
        <v>0</v>
      </c>
      <c r="HN110" s="1115" t="n">
        <f aca="false">SUM(HJ110:HM110)</f>
        <v>0</v>
      </c>
      <c r="HO110" s="1142" t="n">
        <f aca="false">IF(ISERROR(+HP110/HN110),0,+HP110/HN110)</f>
        <v>0</v>
      </c>
      <c r="HP110" s="1143" t="n">
        <f aca="false">(HJ110*CE110+HK110*CF110+HL110*CG110+HM110*CH110)</f>
        <v>0</v>
      </c>
      <c r="HQ110" s="1146"/>
      <c r="HR110" s="1150"/>
      <c r="HS110" s="1110"/>
      <c r="HT110" s="1141"/>
      <c r="HU110" s="1151"/>
      <c r="HV110" s="1142"/>
      <c r="HW110" s="1115"/>
      <c r="HX110" s="1149"/>
      <c r="HY110" s="1143"/>
      <c r="HZ110" s="1150"/>
      <c r="IA110" s="1142"/>
      <c r="IB110" s="1141"/>
      <c r="IC110" s="1151"/>
      <c r="ID110" s="1142"/>
      <c r="IE110" s="1141"/>
      <c r="IF110" s="1115"/>
      <c r="IG110" s="1142"/>
      <c r="IH110" s="1141"/>
      <c r="II110" s="1115"/>
      <c r="IJ110" s="1142"/>
      <c r="IK110" s="1115"/>
      <c r="IL110" s="1152"/>
      <c r="IM110" s="1192"/>
      <c r="IN110" s="1151"/>
      <c r="IO110" s="1151"/>
      <c r="IP110" s="1151"/>
      <c r="IQ110" s="1151"/>
      <c r="IR110" s="844"/>
    </row>
    <row r="111" customFormat="false" ht="13.5" hidden="false" customHeight="false" outlineLevel="0" collapsed="false">
      <c r="A111" s="0" t="str">
        <f aca="false">+D111&amp;"Q"&amp;ROUNDUP(E111/3,0)</f>
        <v>2007Q4</v>
      </c>
      <c r="B111" s="0" t="n">
        <f aca="false">YEAR(C111)</f>
        <v>2007</v>
      </c>
      <c r="C111" s="1153" t="n">
        <f aca="false">EOMONTH(C110,0)+1</f>
        <v>39387</v>
      </c>
      <c r="D111" s="841" t="n">
        <f aca="false">+YEAR(C111)</f>
        <v>2007</v>
      </c>
      <c r="E111" s="807" t="n">
        <f aca="false">MONTH(C111)</f>
        <v>11</v>
      </c>
      <c r="F111" s="1154" t="e">
        <f aca="false">IF(G111="","",Holiday(D111,E111))</f>
        <v>#VALUE!</v>
      </c>
      <c r="G111" s="1155" t="n">
        <v>39387</v>
      </c>
      <c r="H111" s="1156" t="n">
        <v>39416</v>
      </c>
      <c r="I111" s="1157" t="n">
        <f aca="false">I110</f>
        <v>0.0715</v>
      </c>
      <c r="J111" s="1158" t="n">
        <f aca="false">(1+I111/2)^(-2*(DATE(D112,E112,20)-$H$7)/365.25)</f>
        <v>0.569512513443789</v>
      </c>
      <c r="K111" s="1159"/>
      <c r="L111" s="1158"/>
      <c r="M111" s="1082" t="n">
        <v>0</v>
      </c>
      <c r="N111" s="1110" t="n">
        <f aca="false">M111</f>
        <v>0</v>
      </c>
      <c r="O111" s="1174" t="n">
        <f aca="false">N111</f>
        <v>0</v>
      </c>
      <c r="P111" s="1175" t="n">
        <f aca="false">M111</f>
        <v>0</v>
      </c>
      <c r="Q111" s="1110" t="n">
        <f aca="false">P111</f>
        <v>0</v>
      </c>
      <c r="R111" s="1174" t="n">
        <f aca="false">Q111</f>
        <v>0</v>
      </c>
      <c r="S111" s="1110" t="n">
        <f aca="false">R111</f>
        <v>0</v>
      </c>
      <c r="T111" s="1110" t="n">
        <f aca="false">S111</f>
        <v>0</v>
      </c>
      <c r="U111" s="1110" t="n">
        <f aca="false">T111</f>
        <v>0</v>
      </c>
      <c r="V111" s="1175" t="n">
        <f aca="false">U111</f>
        <v>0</v>
      </c>
      <c r="W111" s="1110" t="n">
        <f aca="false">V111</f>
        <v>0</v>
      </c>
      <c r="X111" s="1176" t="n">
        <f aca="false">W111</f>
        <v>0</v>
      </c>
      <c r="Y111" s="1086" t="n">
        <v>0</v>
      </c>
      <c r="Z111" s="1086" t="n">
        <v>0</v>
      </c>
      <c r="AA111" s="1087" t="n">
        <v>0</v>
      </c>
      <c r="AB111" s="1086" t="n">
        <v>0</v>
      </c>
      <c r="AC111" s="1086" t="n">
        <v>0</v>
      </c>
      <c r="AD111" s="1087" t="n">
        <v>0</v>
      </c>
      <c r="AE111" s="1086" t="n">
        <v>0</v>
      </c>
      <c r="AF111" s="1086" t="n">
        <v>0</v>
      </c>
      <c r="AG111" s="1087" t="n">
        <v>0</v>
      </c>
      <c r="AH111" s="1086" t="n">
        <v>0</v>
      </c>
      <c r="AI111" s="1086" t="n">
        <v>0</v>
      </c>
      <c r="AJ111" s="1087" t="n">
        <v>0</v>
      </c>
      <c r="AK111" s="1086" t="n">
        <v>0</v>
      </c>
      <c r="AL111" s="1086" t="n">
        <v>0</v>
      </c>
      <c r="AM111" s="1087" t="n">
        <v>0</v>
      </c>
      <c r="AN111" s="1086" t="n">
        <v>0</v>
      </c>
      <c r="AO111" s="1086" t="n">
        <v>0</v>
      </c>
      <c r="AP111" s="1087" t="n">
        <v>0</v>
      </c>
      <c r="AQ111" s="1086" t="n">
        <v>0</v>
      </c>
      <c r="AR111" s="1086" t="n">
        <v>0</v>
      </c>
      <c r="AS111" s="1087" t="n">
        <v>0</v>
      </c>
      <c r="AT111" s="1086" t="n">
        <v>0</v>
      </c>
      <c r="AU111" s="1086" t="n">
        <v>0</v>
      </c>
      <c r="AV111" s="1086" t="n">
        <v>0</v>
      </c>
      <c r="AW111" s="1172" t="n">
        <v>0</v>
      </c>
      <c r="AX111" s="807" t="e">
        <f aca="false">BB111-SUM(AY111:BA111)</f>
        <v>#VALUE!</v>
      </c>
      <c r="AY111" s="807" t="e">
        <f aca="false">IF(AND($E111=MONTH(Summary!$E$24),$D111=YEAR(Summary!$E$24)),Summary!$E$25,1)*IF(G111="",0,INT((H111-MOD(H111,7)-G111)/7)+1-IF(BA111,IF(WEEKDAY(F111)=7,1,0),0))</f>
        <v>#VALUE!</v>
      </c>
      <c r="AZ111" s="807" t="e">
        <f aca="false">IF(AND($E111=MONTH(Summary!$E$24),$D111=YEAR(Summary!$E$24)),Summary!$E$25,1)*IF(G111="",0,INT((H111-MOD(H111-1,7)-G111)/7)+1-IF(BA111,IF(WEEKDAY(F111)=1,1,0),0))</f>
        <v>#VALUE!</v>
      </c>
      <c r="BA111" s="807" t="n">
        <v>1</v>
      </c>
      <c r="BB111" s="807" t="n">
        <f aca="false">IF(AND($E111=MONTH(Summary!$E$24),$D111=YEAR(Summary!$E$24)),Summary!$E$25,1)*IF(G111="",0,H111-G111+1)</f>
        <v>30</v>
      </c>
      <c r="BC111" s="1089" t="n">
        <f aca="false">Summary!$E$19</f>
        <v>0.015</v>
      </c>
      <c r="BD111" s="1090" t="n">
        <v>14893.2</v>
      </c>
      <c r="BE111" s="1091" t="n">
        <v>2836.8</v>
      </c>
      <c r="BF111" s="1091" t="n">
        <v>3546</v>
      </c>
      <c r="BG111" s="842"/>
      <c r="BH111" s="1092" t="n">
        <v>1</v>
      </c>
      <c r="BI111" s="1092" t="n">
        <v>1</v>
      </c>
      <c r="BJ111" s="1092" t="n">
        <v>1</v>
      </c>
      <c r="BK111" s="1092" t="n">
        <v>1</v>
      </c>
      <c r="BL111" s="1093" t="n">
        <v>2978.64</v>
      </c>
      <c r="BM111" s="1091" t="n">
        <v>567.36</v>
      </c>
      <c r="BN111" s="1091" t="n">
        <v>709.2</v>
      </c>
      <c r="BO111" s="842"/>
      <c r="BP111" s="1092" t="n">
        <v>1</v>
      </c>
      <c r="BQ111" s="1094" t="n">
        <v>1</v>
      </c>
      <c r="BR111" s="1094" t="n">
        <v>1</v>
      </c>
      <c r="BS111" s="1095" t="n">
        <v>1</v>
      </c>
      <c r="BT111" s="1093" t="n">
        <f aca="false">SUM(BD111:BF111)</f>
        <v>21276</v>
      </c>
      <c r="BU111" s="1098" t="n">
        <f aca="false">SUM(BD111:BG111)</f>
        <v>21276</v>
      </c>
      <c r="BV111" s="1090" t="n">
        <f aca="false">SUM(BL111:BN111)</f>
        <v>4255.2</v>
      </c>
      <c r="BW111" s="1098" t="n">
        <f aca="false">SUM(BL111:BO111)</f>
        <v>4255.2</v>
      </c>
      <c r="BX111" s="852" t="n">
        <v>7.87953456536619</v>
      </c>
      <c r="BY111" s="1099" t="n">
        <v>0</v>
      </c>
      <c r="BZ111" s="852" t="n">
        <v>0</v>
      </c>
      <c r="CA111" s="852" t="n">
        <v>0</v>
      </c>
      <c r="CB111" s="852" t="n">
        <v>0</v>
      </c>
      <c r="CC111" s="852" t="n">
        <v>0</v>
      </c>
      <c r="CD111" s="852" t="n">
        <v>0</v>
      </c>
      <c r="CE111" s="1100" t="n">
        <v>0</v>
      </c>
      <c r="CF111" s="852" t="n">
        <v>0</v>
      </c>
      <c r="CG111" s="852" t="n">
        <v>0</v>
      </c>
      <c r="CH111" s="852" t="n">
        <v>0</v>
      </c>
      <c r="CI111" s="852" t="n">
        <v>0</v>
      </c>
      <c r="CJ111" s="1101" t="n">
        <v>0</v>
      </c>
      <c r="CK111" s="852" t="n">
        <v>0</v>
      </c>
      <c r="CL111" s="852" t="n">
        <v>0</v>
      </c>
      <c r="CM111" s="852" t="n">
        <v>0</v>
      </c>
      <c r="CN111" s="852" t="n">
        <v>0</v>
      </c>
      <c r="CO111" s="852" t="n">
        <v>0</v>
      </c>
      <c r="CP111" s="852" t="n">
        <v>0</v>
      </c>
      <c r="CQ111" s="1102" t="n">
        <v>0</v>
      </c>
      <c r="CR111" s="1103" t="n">
        <v>0</v>
      </c>
      <c r="CS111" s="1103" t="n">
        <v>0</v>
      </c>
      <c r="CT111" s="1103" t="n">
        <v>0</v>
      </c>
      <c r="CU111" s="1103" t="n">
        <v>0</v>
      </c>
      <c r="CV111" s="1103" t="n">
        <v>0</v>
      </c>
      <c r="CW111" s="1103" t="n">
        <v>0</v>
      </c>
      <c r="CX111" s="1104" t="n">
        <v>0</v>
      </c>
      <c r="CY111" s="1105" t="n">
        <v>7778.88336</v>
      </c>
      <c r="CZ111" s="1099" t="n">
        <v>0</v>
      </c>
      <c r="DA111" s="852" t="n">
        <v>0</v>
      </c>
      <c r="DB111" s="852" t="n">
        <v>0</v>
      </c>
      <c r="DC111" s="852" t="n">
        <v>0</v>
      </c>
      <c r="DD111" s="852" t="n">
        <v>0</v>
      </c>
      <c r="DE111" s="1113" t="n">
        <v>0</v>
      </c>
      <c r="DF111" s="1109" t="n">
        <v>0</v>
      </c>
      <c r="DG111" s="1110" t="n">
        <v>0</v>
      </c>
      <c r="DH111" s="1111" t="n">
        <v>0</v>
      </c>
      <c r="DI111" s="1112" t="n">
        <v>0</v>
      </c>
      <c r="DJ111" s="1112" t="n">
        <v>0</v>
      </c>
      <c r="DK111" s="1112" t="n">
        <v>0</v>
      </c>
      <c r="DL111" s="1113" t="n">
        <v>0</v>
      </c>
      <c r="DM111" s="1114" t="n">
        <v>0</v>
      </c>
      <c r="DN111" s="1114" t="n">
        <v>0</v>
      </c>
      <c r="DO111" s="1114" t="n">
        <v>0</v>
      </c>
      <c r="DP111" s="1114" t="n">
        <v>0</v>
      </c>
      <c r="DQ111" s="1114" t="n">
        <v>0</v>
      </c>
      <c r="DR111" s="1109" t="n">
        <v>0</v>
      </c>
      <c r="DS111" s="852" t="n">
        <v>0</v>
      </c>
      <c r="DT111" s="852" t="n">
        <v>0</v>
      </c>
      <c r="DU111" s="852" t="n">
        <v>0</v>
      </c>
      <c r="DV111" s="852" t="n">
        <v>0</v>
      </c>
      <c r="DW111" s="852" t="n">
        <v>0</v>
      </c>
      <c r="DX111" s="852" t="n">
        <v>0</v>
      </c>
      <c r="DY111" s="852" t="n">
        <v>0</v>
      </c>
      <c r="DZ111" s="852" t="n">
        <v>0</v>
      </c>
      <c r="EA111" s="852" t="n">
        <v>0</v>
      </c>
      <c r="EB111" s="1113" t="n">
        <v>0</v>
      </c>
      <c r="EC111" s="1115" t="n">
        <f aca="false">DS111*BD111</f>
        <v>0</v>
      </c>
      <c r="ED111" s="1115" t="n">
        <f aca="false">DT111*BE111</f>
        <v>0</v>
      </c>
      <c r="EE111" s="1115" t="n">
        <f aca="false">DU111*BF111</f>
        <v>0</v>
      </c>
      <c r="EF111" s="1115" t="n">
        <f aca="false">DV111*BG111</f>
        <v>0</v>
      </c>
      <c r="EG111" s="1115" t="n">
        <f aca="false">DS111*BD111+DT111*BE111+DU111*BF111+DV111*BG111</f>
        <v>0</v>
      </c>
      <c r="EH111" s="1116" t="n">
        <v>0</v>
      </c>
      <c r="EI111" s="1117" t="n">
        <v>0</v>
      </c>
      <c r="EJ111" s="1117" t="n">
        <v>0</v>
      </c>
      <c r="EK111" s="1117" t="n">
        <v>0</v>
      </c>
      <c r="EL111" s="1118" t="n">
        <f aca="false">IF(C111&gt;=Summary!$E$26,MAX(0,SUM(EH111:EK111)),0)</f>
        <v>0</v>
      </c>
      <c r="EM111" s="1115" t="n">
        <f aca="false">IF(C111&gt;=Summary!$E$26,DX111*BL111,0)</f>
        <v>0</v>
      </c>
      <c r="EN111" s="1115" t="n">
        <f aca="false">IF(C111&gt;=Summary!$E$26,DY111*BM111,0)</f>
        <v>0</v>
      </c>
      <c r="EO111" s="1115" t="n">
        <f aca="false">IF(C111&gt;=Summary!$E$26,DZ111*BN111,0)</f>
        <v>0</v>
      </c>
      <c r="EP111" s="1115" t="n">
        <f aca="false">IF(C111&gt;=Summary!$E$26,EA111*BO111,0)</f>
        <v>0</v>
      </c>
      <c r="EQ111" s="1115" t="n">
        <f aca="false">IF(C111&gt;=Summary!$E$26,DX111*BL111+DY111*BM111+DZ111*BN111+EA111*BO111,0)</f>
        <v>0</v>
      </c>
      <c r="ER111" s="1119" t="n">
        <v>0</v>
      </c>
      <c r="ES111" s="1120" t="n">
        <v>0</v>
      </c>
      <c r="ET111" s="1120" t="n">
        <v>0</v>
      </c>
      <c r="EU111" s="1120" t="n">
        <v>0</v>
      </c>
      <c r="EV111" s="1143" t="n">
        <f aca="false">IF(C111&gt;=Summary!$E$26,MAX(0,SUM(ER111:EU111)),0)</f>
        <v>0</v>
      </c>
      <c r="EW111" s="1115"/>
      <c r="EX111" s="1165" t="n">
        <f aca="false">(EQ111-EV111)+IF(EZ111="Yes",(EG111-EL111),0)</f>
        <v>0</v>
      </c>
      <c r="EY111" s="1166" t="str">
        <f aca="false">IF(EX111,EX111/EQ111,"")</f>
        <v/>
      </c>
      <c r="EZ111" s="1122" t="s">
        <v>37</v>
      </c>
      <c r="FA111" s="1096" t="n">
        <f aca="false">FA110</f>
        <v>45</v>
      </c>
      <c r="FB111" s="1167" t="e">
        <f aca="false">IF(EZ111="No",IF((OR(MONTH(C111)=5,MONTH(C111)=6,MONTH(C111)=7,MONTH(C111)=8,MONTH(C111)=9)),$FA111*12*AX111*(1-$BC111),$FA111*10*AX111*(1-$BC111)),0)</f>
        <v>#VALUE!</v>
      </c>
      <c r="FC111" s="1129" t="e">
        <f aca="false">IF(EZ111="No",IF((OR(MONTH(C111)=5,MONTH(C111)=6,MONTH(C111)=7,MONTH(C111)=8,MONTH(C111)=9)),0,$FA111*3*AX111*(1-$BC111)),0)</f>
        <v>#VALUE!</v>
      </c>
      <c r="FD111" s="1129" t="e">
        <f aca="false">IF(EZ111="No",IF((OR(MONTH(C111)=5,MONTH(C111)=6,MONTH(C111)=7,MONTH(C111)=8,MONTH(C111)=9)),$FA111*12*AY111*(1-$BC111),$FA111*10*AY111*(1-$BC111)),0)</f>
        <v>#VALUE!</v>
      </c>
      <c r="FE111" s="1129" t="e">
        <f aca="false">IF(EZ111="No",IF((OR(MONTH(C111)=5,MONTH(C111)=6,MONTH(C111)=7,MONTH(C111)=8,MONTH(C111)=9)),0,$FA111*3*AY111*(1-$BC111)),0)</f>
        <v>#VALUE!</v>
      </c>
      <c r="FF111" s="1129" t="e">
        <f aca="false">IF(EZ111="No",IF((OR(MONTH(C111)=5,MONTH(C111)=6,MONTH(C111)=7,MONTH(C111)=8,MONTH(C111)=9)),$FA111*12*(AZ111+BA111)*(1-$BC111),$FA111*10*(AZ111+BA111)*(1-$BC111)),0)</f>
        <v>#VALUE!</v>
      </c>
      <c r="FG111" s="1129" t="e">
        <f aca="false">IF(EZ111="No",IF((OR(MONTH(C111)=5,MONTH(C111)=6,MONTH(C111)=7,MONTH(C111)=8,MONTH(C111)=9)),0,$FA111*3*(AZ111+BA111)*(1-$BC111)),0)</f>
        <v>#VALUE!</v>
      </c>
      <c r="FH111" s="1170" t="e">
        <f aca="false">IF(EZ111="No",IF((OR(MONTH(C111)=5,MONTH(C111)=6,MONTH(C111)=7,MONTH(C111)=8,MONTH(C111)=9)),Summary!$O$15*12*(AX111+AY111+AZ111+BA111)*(1-$BC111),Summary!$O$15*13*(AX111+AY111+AZ111+BA111)*(1-$BC111)+IF(Summary!$O$16="Yes",(CALC!FA111+Summary!$O$15)*6*(AX111+AY111+AZ111+BA111)*(1-$BC111),0)),0)</f>
        <v>#VALUE!</v>
      </c>
      <c r="FI111" s="1126" t="n">
        <f aca="false">IF(MONTH(C111)=5,FI110*(IF(Summary!$E$70="no",(1+(Summary!$E$71*0.8)),1+HLOOKUP(YEAR(C111)-1,CCFMODEL!$I$127:$AF$128,2)*0.8)),+FI110)</f>
        <v>32.1605394272484</v>
      </c>
      <c r="FJ111" s="1127" t="n">
        <f aca="false">IF(MONTH(C111)=5,FJ110*(IF(Summary!$E$70="no",(1+(Summary!$E$71*0.8)),1+HLOOKUP(YEAR(CALC!C111)-1,CCFMODEL!$I$127:$AF$128,2)*0.8)),FJ110)</f>
        <v>28.108817924603</v>
      </c>
      <c r="FK111" s="1128" t="e">
        <f aca="false">SUM(FB111:FG111)*FI111+FH111*FJ111</f>
        <v>#VALUE!</v>
      </c>
      <c r="FL111" s="1126" t="n">
        <f aca="false">IF(MONTH(C111)=5,FL110*(IF(Summary!$E$70="no",(1+(Summary!$E$71*0.8)),1+HLOOKUP(YEAR(CALC!C111)-1,CCFMODEL!$I$127:$AF$128,2)*0.8)),+FL110)</f>
        <v>67.637219965293</v>
      </c>
      <c r="FM111" s="1127" t="n">
        <f aca="false">IF(MONTH(C111)=5,FM110*(IF(Summary!$E$70="no",(1+(Summary!$E$71*0.8)),1+HLOOKUP(YEAR(CALC!C111)-1,CCFMODEL!$I$127:$AF$128,2)*0.8)),+FM110)</f>
        <v>32.2811263767319</v>
      </c>
      <c r="FN111" s="1128" t="e">
        <f aca="false">IF((OR(MONTH(C111)=5,MONTH(C111)=6,MONTH(C111)=7,MONTH(C111)=8,MONTH(C111)=9)),SUM(FB111:FG111)/(1-BC111)*FL111,SUM(FB111:FG111)/(1-BC111)*FM111)</f>
        <v>#VALUE!</v>
      </c>
      <c r="FO111" s="1129" t="e">
        <f aca="false">FK111+FN111</f>
        <v>#VALUE!</v>
      </c>
      <c r="FP111" s="1169" t="e">
        <f aca="false">FB111</f>
        <v>#VALUE!</v>
      </c>
      <c r="FQ111" s="1129" t="e">
        <f aca="false">FC111</f>
        <v>#VALUE!</v>
      </c>
      <c r="FR111" s="1129" t="e">
        <f aca="false">FD111</f>
        <v>#VALUE!</v>
      </c>
      <c r="FS111" s="1129" t="e">
        <f aca="false">FE111</f>
        <v>#VALUE!</v>
      </c>
      <c r="FT111" s="1129" t="e">
        <f aca="false">FF111</f>
        <v>#VALUE!</v>
      </c>
      <c r="FU111" s="1129" t="e">
        <f aca="false">FG111</f>
        <v>#VALUE!</v>
      </c>
      <c r="FV111" s="1170" t="e">
        <f aca="false">FH111</f>
        <v>#VALUE!</v>
      </c>
      <c r="FW111" s="1115" t="n">
        <f aca="false">IF(ER111&gt;0,MIN(FB111-FP111,BL111),0)</f>
        <v>0</v>
      </c>
      <c r="FX111" s="1115" t="n">
        <f aca="false">IF(ES111&gt;0,MIN(FD111-FR111,BM111),0)</f>
        <v>0</v>
      </c>
      <c r="FY111" s="1115" t="n">
        <f aca="false">IF(ET111&gt;0,MIN(FF111-FT111,BN111),0)</f>
        <v>0</v>
      </c>
      <c r="FZ111" s="1143" t="n">
        <f aca="false">IF(EU111&gt;0,MIN(FH111-FV111,BO111),0)</f>
        <v>0</v>
      </c>
      <c r="GA111" s="1132" t="e">
        <f aca="false">(SUM(FP111:FV111)+SUM(GU111:HB111)/(1-Summary!$O$25))*CY111/1000</f>
        <v>#VALUE!</v>
      </c>
      <c r="GB111" s="1133" t="n">
        <f aca="false">IF($C111&lt;Summary!$M$81,+Summary!$O$81,VLOOKUP(C111,GasTable,19))</f>
        <v>2.4</v>
      </c>
      <c r="GC111" s="1134" t="e">
        <f aca="false">IF(H111&lt;=Summary!$N$84,MIN(GA111,Summary!$O$75*(H111-G111+1)),0)</f>
        <v>#VALUE!</v>
      </c>
      <c r="GD111" s="1135" t="e">
        <f aca="false">IF(Summary!$O$75*(H111-G111+1)*0.8&gt;GC111,1,0)</f>
        <v>#VALUE!</v>
      </c>
      <c r="GE111" s="1136" t="n">
        <v>0</v>
      </c>
      <c r="GF111" s="1134" t="e">
        <f aca="false">ABS(MIN(0,GC111-$GA111))</f>
        <v>#VALUE!</v>
      </c>
      <c r="GG111" s="1135" t="e">
        <f aca="false">GF111*(IF(Summary!$O$74=1,VLOOKUP($C111,GasTable,16)+Summary!$O$92+Summary!$O$93,VLOOKUP($C111,GasTable,19)+Summary!$O$92+Summary!$O$93))</f>
        <v>#VALUE!</v>
      </c>
      <c r="GH111" s="1137" t="n">
        <v>18894</v>
      </c>
      <c r="GI111" s="1138" t="n">
        <v>0</v>
      </c>
      <c r="GJ111" s="1139" t="e">
        <f aca="false">+GB111*GC111+GE111+GG111+GH111-GI111</f>
        <v>#VALUE!</v>
      </c>
      <c r="GK111" s="1115" t="e">
        <f aca="false">SUM(FP111:FV111,GU111:GX111,GY111:HB111)</f>
        <v>#VALUE!</v>
      </c>
      <c r="GL111" s="1140" t="n">
        <v>0.763886345952</v>
      </c>
      <c r="GM111" s="1141" t="e">
        <f aca="false">IF(GK111&gt;GC111/(CY111/1000),GC111/(CY111/1000),+GK111)*GL111</f>
        <v>#VALUE!</v>
      </c>
      <c r="GN111" s="1115" t="n">
        <f aca="false">IF(SUM(GU111:HB111)=0,0,IF(Summary!$O$16="Yes",SUM(GX111:HB111),IF(Summary!$O$17="Yes",SUM(GY111:HB111),SUM(GU111:HB111))))</f>
        <v>11805.5205</v>
      </c>
      <c r="GO111" s="1142" t="n">
        <v>2.92651628291373</v>
      </c>
      <c r="GP111" s="1143" t="n">
        <f aca="false">GN111*GO111</f>
        <v>34549.0479715218</v>
      </c>
      <c r="GQ111" s="1115"/>
      <c r="GR111" s="1115"/>
      <c r="GS111" s="1115"/>
      <c r="GT111" s="1115"/>
      <c r="GU111" s="1150" t="n">
        <v>5389.47675</v>
      </c>
      <c r="GV111" s="1115" t="n">
        <v>1026.567</v>
      </c>
      <c r="GW111" s="1115" t="n">
        <v>1283.20875</v>
      </c>
      <c r="GX111" s="1115"/>
      <c r="GY111" s="1151" t="n">
        <v>2874.3876</v>
      </c>
      <c r="GZ111" s="1115" t="n">
        <v>547.5024</v>
      </c>
      <c r="HA111" s="1115" t="n">
        <v>684.378</v>
      </c>
      <c r="HB111" s="1141"/>
      <c r="HC111" s="1115" t="n">
        <v>11805.5205</v>
      </c>
      <c r="HD111" s="1115"/>
      <c r="HE111" s="1115" t="n">
        <v>20274.69825</v>
      </c>
      <c r="HF111" s="1115" t="n">
        <v>546144.171710801</v>
      </c>
      <c r="HG111" s="1115"/>
      <c r="HH111" s="1142" t="n">
        <v>45.9894301817312</v>
      </c>
      <c r="HI111" s="1115" t="n">
        <v>932421.819624043</v>
      </c>
      <c r="HJ111" s="1150" t="e">
        <f aca="false">MAX(FB111-FP111-FW111,0)</f>
        <v>#VALUE!</v>
      </c>
      <c r="HK111" s="1115" t="e">
        <f aca="false">MAX(FD111-FR111-FX111,0)</f>
        <v>#VALUE!</v>
      </c>
      <c r="HL111" s="1115" t="e">
        <f aca="false">MAX(FF111-FT111-FY111,0)</f>
        <v>#VALUE!</v>
      </c>
      <c r="HM111" s="1141" t="e">
        <f aca="false">MAX(FH111-FV111-FZ111,0)</f>
        <v>#VALUE!</v>
      </c>
      <c r="HN111" s="1115" t="e">
        <f aca="false">SUM(HJ111:HM111)</f>
        <v>#VALUE!</v>
      </c>
      <c r="HO111" s="1142" t="n">
        <f aca="false">IF(ISERROR(+HP111/HN111),0,+HP111/HN111)</f>
        <v>0</v>
      </c>
      <c r="HP111" s="1143" t="e">
        <f aca="false">(HJ111*CE111+HK111*CF111+HL111*CG111+HM111*CH111)</f>
        <v>#VALUE!</v>
      </c>
      <c r="HQ111" s="1142"/>
      <c r="HR111" s="1150"/>
      <c r="HS111" s="1110"/>
      <c r="HT111" s="1141"/>
      <c r="HU111" s="1151"/>
      <c r="HV111" s="1142"/>
      <c r="HW111" s="1115"/>
      <c r="HX111" s="1149"/>
      <c r="HY111" s="1143"/>
      <c r="HZ111" s="1150"/>
      <c r="IA111" s="1142"/>
      <c r="IB111" s="1141"/>
      <c r="IC111" s="1151"/>
      <c r="ID111" s="1142"/>
      <c r="IE111" s="1141"/>
      <c r="IF111" s="1115"/>
      <c r="IG111" s="1142"/>
      <c r="IH111" s="1141"/>
      <c r="II111" s="1115"/>
      <c r="IJ111" s="1142"/>
      <c r="IK111" s="1115"/>
      <c r="IL111" s="1152"/>
      <c r="IM111" s="1192"/>
      <c r="IN111" s="1151"/>
      <c r="IO111" s="1151"/>
      <c r="IP111" s="1151"/>
      <c r="IQ111" s="1151"/>
      <c r="IR111" s="844"/>
    </row>
    <row r="112" customFormat="false" ht="13.5" hidden="false" customHeight="false" outlineLevel="0" collapsed="false">
      <c r="A112" s="0" t="str">
        <f aca="false">+D112&amp;"Q"&amp;ROUNDUP(E112/3,0)</f>
        <v>2007Q4</v>
      </c>
      <c r="B112" s="0" t="n">
        <f aca="false">YEAR(C112)</f>
        <v>2007</v>
      </c>
      <c r="C112" s="1153" t="n">
        <f aca="false">EOMONTH(C111,0)+1</f>
        <v>39417</v>
      </c>
      <c r="D112" s="841" t="n">
        <f aca="false">+YEAR(C112)</f>
        <v>2007</v>
      </c>
      <c r="E112" s="807" t="n">
        <f aca="false">MONTH(C112)</f>
        <v>12</v>
      </c>
      <c r="F112" s="1154" t="e">
        <f aca="false">IF(G112="","",Holiday(D112,E112))</f>
        <v>#VALUE!</v>
      </c>
      <c r="G112" s="1155" t="n">
        <v>39417</v>
      </c>
      <c r="H112" s="1156" t="n">
        <v>39447</v>
      </c>
      <c r="I112" s="1157" t="n">
        <f aca="false">I111</f>
        <v>0.0715</v>
      </c>
      <c r="J112" s="1158" t="n">
        <f aca="false">(1+I112/2)^(-2*(DATE(D113,E113,20)-$H$7)/365.25)</f>
        <v>0.566126903751093</v>
      </c>
      <c r="K112" s="1159"/>
      <c r="L112" s="1158"/>
      <c r="M112" s="1082" t="n">
        <v>0</v>
      </c>
      <c r="N112" s="1110" t="n">
        <f aca="false">M112</f>
        <v>0</v>
      </c>
      <c r="O112" s="1174" t="n">
        <f aca="false">N112</f>
        <v>0</v>
      </c>
      <c r="P112" s="1175" t="n">
        <f aca="false">M112</f>
        <v>0</v>
      </c>
      <c r="Q112" s="1110" t="n">
        <f aca="false">P112</f>
        <v>0</v>
      </c>
      <c r="R112" s="1174" t="n">
        <f aca="false">Q112</f>
        <v>0</v>
      </c>
      <c r="S112" s="1110" t="n">
        <f aca="false">R112</f>
        <v>0</v>
      </c>
      <c r="T112" s="1110" t="n">
        <f aca="false">S112</f>
        <v>0</v>
      </c>
      <c r="U112" s="1110" t="n">
        <f aca="false">T112</f>
        <v>0</v>
      </c>
      <c r="V112" s="1175" t="n">
        <f aca="false">U112</f>
        <v>0</v>
      </c>
      <c r="W112" s="1110" t="n">
        <f aca="false">V112</f>
        <v>0</v>
      </c>
      <c r="X112" s="1176" t="n">
        <f aca="false">W112</f>
        <v>0</v>
      </c>
      <c r="Y112" s="1086" t="n">
        <v>0</v>
      </c>
      <c r="Z112" s="1086" t="n">
        <v>0</v>
      </c>
      <c r="AA112" s="1087" t="n">
        <v>0</v>
      </c>
      <c r="AB112" s="1086" t="n">
        <v>0</v>
      </c>
      <c r="AC112" s="1086" t="n">
        <v>0</v>
      </c>
      <c r="AD112" s="1087" t="n">
        <v>0</v>
      </c>
      <c r="AE112" s="1086" t="n">
        <v>0</v>
      </c>
      <c r="AF112" s="1086" t="n">
        <v>0</v>
      </c>
      <c r="AG112" s="1087" t="n">
        <v>0</v>
      </c>
      <c r="AH112" s="1086" t="n">
        <v>0</v>
      </c>
      <c r="AI112" s="1086" t="n">
        <v>0</v>
      </c>
      <c r="AJ112" s="1087" t="n">
        <v>0</v>
      </c>
      <c r="AK112" s="1086" t="n">
        <v>0</v>
      </c>
      <c r="AL112" s="1086" t="n">
        <v>0</v>
      </c>
      <c r="AM112" s="1087" t="n">
        <v>0</v>
      </c>
      <c r="AN112" s="1086" t="n">
        <v>0</v>
      </c>
      <c r="AO112" s="1086" t="n">
        <v>0</v>
      </c>
      <c r="AP112" s="1087" t="n">
        <v>0</v>
      </c>
      <c r="AQ112" s="1086" t="n">
        <v>0</v>
      </c>
      <c r="AR112" s="1086" t="n">
        <v>0</v>
      </c>
      <c r="AS112" s="1087" t="n">
        <v>0</v>
      </c>
      <c r="AT112" s="1086" t="n">
        <v>0</v>
      </c>
      <c r="AU112" s="1086" t="n">
        <v>0</v>
      </c>
      <c r="AV112" s="1086" t="n">
        <v>0</v>
      </c>
      <c r="AW112" s="1172" t="n">
        <v>0</v>
      </c>
      <c r="AX112" s="807" t="e">
        <f aca="false">BB112-SUM(AY112:BA112)</f>
        <v>#VALUE!</v>
      </c>
      <c r="AY112" s="807" t="e">
        <f aca="false">IF(AND($E112=MONTH(Summary!$E$24),$D112=YEAR(Summary!$E$24)),Summary!$E$25,1)*IF(G112="",0,INT((H112-MOD(H112,7)-G112)/7)+1-IF(BA112,IF(WEEKDAY(F112)=7,1,0),0))</f>
        <v>#VALUE!</v>
      </c>
      <c r="AZ112" s="807" t="e">
        <f aca="false">IF(AND($E112=MONTH(Summary!$E$24),$D112=YEAR(Summary!$E$24)),Summary!$E$25,1)*IF(G112="",0,INT((H112-MOD(H112-1,7)-G112)/7)+1-IF(BA112,IF(WEEKDAY(F112)=1,1,0),0))</f>
        <v>#VALUE!</v>
      </c>
      <c r="BA112" s="807" t="n">
        <v>1</v>
      </c>
      <c r="BB112" s="807" t="n">
        <f aca="false">IF(AND($E112=MONTH(Summary!$E$24),$D112=YEAR(Summary!$E$24)),Summary!$E$25,1)*IF(G112="",0,H112-G112+1)</f>
        <v>31</v>
      </c>
      <c r="BC112" s="1089" t="n">
        <f aca="false">Summary!$E$19</f>
        <v>0.015</v>
      </c>
      <c r="BD112" s="1090" t="n">
        <v>14184</v>
      </c>
      <c r="BE112" s="1091" t="n">
        <v>3546</v>
      </c>
      <c r="BF112" s="1091" t="n">
        <v>4255.2</v>
      </c>
      <c r="BG112" s="842"/>
      <c r="BH112" s="1092" t="n">
        <v>1</v>
      </c>
      <c r="BI112" s="1092" t="n">
        <v>1</v>
      </c>
      <c r="BJ112" s="1092" t="n">
        <v>1</v>
      </c>
      <c r="BK112" s="1092" t="n">
        <v>1</v>
      </c>
      <c r="BL112" s="1093" t="n">
        <v>2836.8</v>
      </c>
      <c r="BM112" s="1091" t="n">
        <v>709.2</v>
      </c>
      <c r="BN112" s="1091" t="n">
        <v>851.04</v>
      </c>
      <c r="BO112" s="842"/>
      <c r="BP112" s="1092" t="n">
        <v>1</v>
      </c>
      <c r="BQ112" s="1094" t="n">
        <v>1</v>
      </c>
      <c r="BR112" s="1094" t="n">
        <v>1</v>
      </c>
      <c r="BS112" s="1095" t="n">
        <v>1</v>
      </c>
      <c r="BT112" s="1093" t="n">
        <f aca="false">SUM(BD112:BF112)</f>
        <v>21985.2</v>
      </c>
      <c r="BU112" s="1098" t="n">
        <f aca="false">SUM(BD112:BG112)</f>
        <v>21985.2</v>
      </c>
      <c r="BV112" s="1090" t="n">
        <f aca="false">SUM(BL112:BN112)</f>
        <v>4397.04</v>
      </c>
      <c r="BW112" s="1098" t="n">
        <f aca="false">SUM(BL112:BO112)</f>
        <v>4397.04</v>
      </c>
      <c r="BX112" s="852" t="n">
        <v>7.96167008898015</v>
      </c>
      <c r="BY112" s="1099" t="n">
        <v>0</v>
      </c>
      <c r="BZ112" s="852" t="n">
        <v>0</v>
      </c>
      <c r="CA112" s="852" t="n">
        <v>0</v>
      </c>
      <c r="CB112" s="852" t="n">
        <v>0</v>
      </c>
      <c r="CC112" s="852" t="n">
        <v>0</v>
      </c>
      <c r="CD112" s="852" t="n">
        <v>0</v>
      </c>
      <c r="CE112" s="1100" t="n">
        <v>0</v>
      </c>
      <c r="CF112" s="852" t="n">
        <v>0</v>
      </c>
      <c r="CG112" s="852" t="n">
        <v>0</v>
      </c>
      <c r="CH112" s="852" t="n">
        <v>0</v>
      </c>
      <c r="CI112" s="852" t="n">
        <v>0</v>
      </c>
      <c r="CJ112" s="1101" t="n">
        <v>0</v>
      </c>
      <c r="CK112" s="852" t="n">
        <v>0</v>
      </c>
      <c r="CL112" s="852" t="n">
        <v>0</v>
      </c>
      <c r="CM112" s="852" t="n">
        <v>0</v>
      </c>
      <c r="CN112" s="852" t="n">
        <v>0</v>
      </c>
      <c r="CO112" s="852" t="n">
        <v>0</v>
      </c>
      <c r="CP112" s="852" t="n">
        <v>0</v>
      </c>
      <c r="CQ112" s="1102" t="n">
        <v>0</v>
      </c>
      <c r="CR112" s="1103" t="n">
        <v>0</v>
      </c>
      <c r="CS112" s="1103" t="n">
        <v>0</v>
      </c>
      <c r="CT112" s="1103" t="n">
        <v>0</v>
      </c>
      <c r="CU112" s="1103" t="n">
        <v>0</v>
      </c>
      <c r="CV112" s="1103" t="n">
        <v>0</v>
      </c>
      <c r="CW112" s="1103" t="n">
        <v>0</v>
      </c>
      <c r="CX112" s="1104" t="n">
        <v>0</v>
      </c>
      <c r="CY112" s="1105" t="n">
        <v>7664</v>
      </c>
      <c r="CZ112" s="1099" t="n">
        <v>0</v>
      </c>
      <c r="DA112" s="852" t="n">
        <v>0</v>
      </c>
      <c r="DB112" s="852" t="n">
        <v>0</v>
      </c>
      <c r="DC112" s="852" t="n">
        <v>0</v>
      </c>
      <c r="DD112" s="852" t="n">
        <v>0</v>
      </c>
      <c r="DE112" s="1113" t="n">
        <v>0</v>
      </c>
      <c r="DF112" s="1109" t="n">
        <v>0</v>
      </c>
      <c r="DG112" s="1110" t="n">
        <v>0</v>
      </c>
      <c r="DH112" s="1111" t="n">
        <v>0</v>
      </c>
      <c r="DI112" s="1112" t="n">
        <v>0</v>
      </c>
      <c r="DJ112" s="1112" t="n">
        <v>0</v>
      </c>
      <c r="DK112" s="1112" t="n">
        <v>0</v>
      </c>
      <c r="DL112" s="1113" t="n">
        <v>0</v>
      </c>
      <c r="DM112" s="1114" t="n">
        <v>0</v>
      </c>
      <c r="DN112" s="1114" t="n">
        <v>0</v>
      </c>
      <c r="DO112" s="1114" t="n">
        <v>0</v>
      </c>
      <c r="DP112" s="1114" t="n">
        <v>0</v>
      </c>
      <c r="DQ112" s="1114" t="n">
        <v>0</v>
      </c>
      <c r="DR112" s="1109" t="n">
        <v>0</v>
      </c>
      <c r="DS112" s="852" t="n">
        <v>0</v>
      </c>
      <c r="DT112" s="852" t="n">
        <v>0</v>
      </c>
      <c r="DU112" s="852" t="n">
        <v>0</v>
      </c>
      <c r="DV112" s="852" t="n">
        <v>0</v>
      </c>
      <c r="DW112" s="852" t="n">
        <v>0</v>
      </c>
      <c r="DX112" s="852" t="n">
        <v>0</v>
      </c>
      <c r="DY112" s="852" t="n">
        <v>0</v>
      </c>
      <c r="DZ112" s="852" t="n">
        <v>0</v>
      </c>
      <c r="EA112" s="852" t="n">
        <v>0</v>
      </c>
      <c r="EB112" s="1113" t="n">
        <v>0</v>
      </c>
      <c r="EC112" s="1115" t="n">
        <f aca="false">DS112*BD112</f>
        <v>0</v>
      </c>
      <c r="ED112" s="1115" t="n">
        <f aca="false">DT112*BE112</f>
        <v>0</v>
      </c>
      <c r="EE112" s="1115" t="n">
        <f aca="false">DU112*BF112</f>
        <v>0</v>
      </c>
      <c r="EF112" s="1115" t="n">
        <f aca="false">DV112*BG112</f>
        <v>0</v>
      </c>
      <c r="EG112" s="1115" t="n">
        <f aca="false">DS112*BD112+DT112*BE112+DU112*BF112+DV112*BG112</f>
        <v>0</v>
      </c>
      <c r="EH112" s="1116" t="n">
        <v>0</v>
      </c>
      <c r="EI112" s="1117" t="n">
        <v>0</v>
      </c>
      <c r="EJ112" s="1117" t="n">
        <v>0</v>
      </c>
      <c r="EK112" s="1117" t="n">
        <v>0</v>
      </c>
      <c r="EL112" s="1118" t="n">
        <f aca="false">IF(C112&gt;=Summary!$E$26,MAX(0,SUM(EH112:EK112)),0)</f>
        <v>0</v>
      </c>
      <c r="EM112" s="1115" t="n">
        <f aca="false">IF(C112&gt;=Summary!$E$26,DX112*BL112,0)</f>
        <v>0</v>
      </c>
      <c r="EN112" s="1115" t="n">
        <f aca="false">IF(C112&gt;=Summary!$E$26,DY112*BM112,0)</f>
        <v>0</v>
      </c>
      <c r="EO112" s="1115" t="n">
        <f aca="false">IF(C112&gt;=Summary!$E$26,DZ112*BN112,0)</f>
        <v>0</v>
      </c>
      <c r="EP112" s="1115" t="n">
        <f aca="false">IF(C112&gt;=Summary!$E$26,EA112*BO112,0)</f>
        <v>0</v>
      </c>
      <c r="EQ112" s="1115" t="n">
        <f aca="false">IF(C112&gt;=Summary!$E$26,DX112*BL112+DY112*BM112+DZ112*BN112+EA112*BO112,0)</f>
        <v>0</v>
      </c>
      <c r="ER112" s="1119" t="n">
        <v>0</v>
      </c>
      <c r="ES112" s="1120" t="n">
        <v>0</v>
      </c>
      <c r="ET112" s="1120" t="n">
        <v>0</v>
      </c>
      <c r="EU112" s="1120" t="n">
        <v>0</v>
      </c>
      <c r="EV112" s="1143" t="n">
        <f aca="false">IF(C112&gt;=Summary!$E$26,MAX(0,SUM(ER112:EU112)),0)</f>
        <v>0</v>
      </c>
      <c r="EW112" s="1115"/>
      <c r="EX112" s="1165" t="n">
        <f aca="false">(EQ112-EV112)+IF(EZ112="Yes",(EG112-EL112),0)</f>
        <v>0</v>
      </c>
      <c r="EY112" s="1166" t="str">
        <f aca="false">IF(EX112,EX112/EQ112,"")</f>
        <v/>
      </c>
      <c r="EZ112" s="1122" t="s">
        <v>37</v>
      </c>
      <c r="FA112" s="1096" t="n">
        <f aca="false">FA111</f>
        <v>45</v>
      </c>
      <c r="FB112" s="1167" t="e">
        <f aca="false">IF(EZ112="No",IF((OR(MONTH(C112)=5,MONTH(C112)=6,MONTH(C112)=7,MONTH(C112)=8,MONTH(C112)=9)),$FA112*12*AX112*(1-$BC112),$FA112*10*AX112*(1-$BC112)),0)</f>
        <v>#VALUE!</v>
      </c>
      <c r="FC112" s="1129" t="e">
        <f aca="false">IF(EZ112="No",IF((OR(MONTH(C112)=5,MONTH(C112)=6,MONTH(C112)=7,MONTH(C112)=8,MONTH(C112)=9)),0,$FA112*3*AX112*(1-$BC112)),0)</f>
        <v>#VALUE!</v>
      </c>
      <c r="FD112" s="1129" t="e">
        <f aca="false">IF(EZ112="No",IF((OR(MONTH(C112)=5,MONTH(C112)=6,MONTH(C112)=7,MONTH(C112)=8,MONTH(C112)=9)),$FA112*12*AY112*(1-$BC112),$FA112*10*AY112*(1-$BC112)),0)</f>
        <v>#VALUE!</v>
      </c>
      <c r="FE112" s="1129" t="e">
        <f aca="false">IF(EZ112="No",IF((OR(MONTH(C112)=5,MONTH(C112)=6,MONTH(C112)=7,MONTH(C112)=8,MONTH(C112)=9)),0,$FA112*3*AY112*(1-$BC112)),0)</f>
        <v>#VALUE!</v>
      </c>
      <c r="FF112" s="1129" t="e">
        <f aca="false">IF(EZ112="No",IF((OR(MONTH(C112)=5,MONTH(C112)=6,MONTH(C112)=7,MONTH(C112)=8,MONTH(C112)=9)),$FA112*12*(AZ112+BA112)*(1-$BC112),$FA112*10*(AZ112+BA112)*(1-$BC112)),0)</f>
        <v>#VALUE!</v>
      </c>
      <c r="FG112" s="1129" t="e">
        <f aca="false">IF(EZ112="No",IF((OR(MONTH(C112)=5,MONTH(C112)=6,MONTH(C112)=7,MONTH(C112)=8,MONTH(C112)=9)),0,$FA112*3*(AZ112+BA112)*(1-$BC112)),0)</f>
        <v>#VALUE!</v>
      </c>
      <c r="FH112" s="1170" t="e">
        <f aca="false">IF(EZ112="No",IF((OR(MONTH(C112)=5,MONTH(C112)=6,MONTH(C112)=7,MONTH(C112)=8,MONTH(C112)=9)),Summary!$O$15*12*(AX112+AY112+AZ112+BA112)*(1-$BC112),Summary!$O$15*13*(AX112+AY112+AZ112+BA112)*(1-$BC112)+IF(Summary!$O$16="Yes",(CALC!FA112+Summary!$O$15)*6*(AX112+AY112+AZ112+BA112)*(1-$BC112),0)),0)</f>
        <v>#VALUE!</v>
      </c>
      <c r="FI112" s="1126" t="n">
        <f aca="false">IF(MONTH(C112)=5,FI111*(IF(Summary!$E$70="no",(1+(Summary!$E$71*0.8)),1+HLOOKUP(YEAR(C112)-1,CCFMODEL!$I$127:$AF$128,2)*0.8)),+FI111)</f>
        <v>32.1605394272484</v>
      </c>
      <c r="FJ112" s="1127" t="n">
        <f aca="false">IF(MONTH(C112)=5,FJ111*(IF(Summary!$E$70="no",(1+(Summary!$E$71*0.8)),1+HLOOKUP(YEAR(CALC!C112)-1,CCFMODEL!$I$127:$AF$128,2)*0.8)),FJ111)</f>
        <v>28.108817924603</v>
      </c>
      <c r="FK112" s="1128" t="e">
        <f aca="false">SUM(FB112:FG112)*FI112+FH112*FJ112</f>
        <v>#VALUE!</v>
      </c>
      <c r="FL112" s="1126" t="n">
        <f aca="false">IF(MONTH(C112)=5,FL111*(IF(Summary!$E$70="no",(1+(Summary!$E$71*0.8)),1+HLOOKUP(YEAR(CALC!C112)-1,CCFMODEL!$I$127:$AF$128,2)*0.8)),+FL111)</f>
        <v>67.637219965293</v>
      </c>
      <c r="FM112" s="1127" t="n">
        <f aca="false">IF(MONTH(C112)=5,FM111*(IF(Summary!$E$70="no",(1+(Summary!$E$71*0.8)),1+HLOOKUP(YEAR(CALC!C112)-1,CCFMODEL!$I$127:$AF$128,2)*0.8)),+FM111)</f>
        <v>32.2811263767319</v>
      </c>
      <c r="FN112" s="1128" t="e">
        <f aca="false">IF((OR(MONTH(C112)=5,MONTH(C112)=6,MONTH(C112)=7,MONTH(C112)=8,MONTH(C112)=9)),SUM(FB112:FG112)/(1-BC112)*FL112,SUM(FB112:FG112)/(1-BC112)*FM112)</f>
        <v>#VALUE!</v>
      </c>
      <c r="FO112" s="1129" t="e">
        <f aca="false">FK112+FN112</f>
        <v>#VALUE!</v>
      </c>
      <c r="FP112" s="1169" t="e">
        <f aca="false">FB112</f>
        <v>#VALUE!</v>
      </c>
      <c r="FQ112" s="1129" t="e">
        <f aca="false">FC112</f>
        <v>#VALUE!</v>
      </c>
      <c r="FR112" s="1129" t="e">
        <f aca="false">FD112</f>
        <v>#VALUE!</v>
      </c>
      <c r="FS112" s="1129" t="e">
        <f aca="false">FE112</f>
        <v>#VALUE!</v>
      </c>
      <c r="FT112" s="1129" t="e">
        <f aca="false">FF112</f>
        <v>#VALUE!</v>
      </c>
      <c r="FU112" s="1129" t="e">
        <f aca="false">FG112</f>
        <v>#VALUE!</v>
      </c>
      <c r="FV112" s="1170" t="e">
        <f aca="false">FH112</f>
        <v>#VALUE!</v>
      </c>
      <c r="FW112" s="1115" t="n">
        <f aca="false">IF(ER112&gt;0,MIN(FB112-FP112,BL112),0)</f>
        <v>0</v>
      </c>
      <c r="FX112" s="1115" t="n">
        <f aca="false">IF(ES112&gt;0,MIN(FD112-FR112,BM112),0)</f>
        <v>0</v>
      </c>
      <c r="FY112" s="1115" t="n">
        <f aca="false">IF(ET112&gt;0,MIN(FF112-FT112,BN112),0)</f>
        <v>0</v>
      </c>
      <c r="FZ112" s="1143" t="n">
        <f aca="false">IF(EU112&gt;0,MIN(FH112-FV112,BO112),0)</f>
        <v>0</v>
      </c>
      <c r="GA112" s="1132" t="e">
        <f aca="false">(SUM(FP112:FV112)+SUM(GU112:HB112)/(1-Summary!$O$25))*CY112/1000</f>
        <v>#VALUE!</v>
      </c>
      <c r="GB112" s="1133" t="n">
        <f aca="false">IF($C112&lt;Summary!$M$81,+Summary!$O$81,VLOOKUP(C112,GasTable,19))</f>
        <v>2.4</v>
      </c>
      <c r="GC112" s="1134" t="e">
        <f aca="false">IF(H112&lt;=Summary!$N$84,MIN(GA112,Summary!$O$75*(H112-G112+1)),0)</f>
        <v>#VALUE!</v>
      </c>
      <c r="GD112" s="1135" t="e">
        <f aca="false">IF(Summary!$O$75*(H112-G112+1)*0.8&gt;GC112,1,0)</f>
        <v>#VALUE!</v>
      </c>
      <c r="GE112" s="1136" t="n">
        <v>0</v>
      </c>
      <c r="GF112" s="1134" t="e">
        <f aca="false">ABS(MIN(0,GC112-$GA112))</f>
        <v>#VALUE!</v>
      </c>
      <c r="GG112" s="1135" t="e">
        <f aca="false">GF112*(IF(Summary!$O$74=1,VLOOKUP($C112,GasTable,16)+Summary!$O$92+Summary!$O$93,VLOOKUP($C112,GasTable,19)+Summary!$O$92+Summary!$O$93))</f>
        <v>#VALUE!</v>
      </c>
      <c r="GH112" s="1137" t="n">
        <v>20013.6</v>
      </c>
      <c r="GI112" s="1138" t="n">
        <v>0</v>
      </c>
      <c r="GJ112" s="1139" t="e">
        <f aca="false">+GB112*GC112+GE112+GG112+GH112-GI112</f>
        <v>#VALUE!</v>
      </c>
      <c r="GK112" s="1115" t="e">
        <f aca="false">SUM(FP112:FV112,GU112:GX112,GY112:HB112)</f>
        <v>#VALUE!</v>
      </c>
      <c r="GL112" s="1140" t="n">
        <v>0.7526048</v>
      </c>
      <c r="GM112" s="1141" t="e">
        <f aca="false">IF(GK112&gt;GC112/(CY112/1000),GC112/(CY112/1000),+GK112)*GL112</f>
        <v>#VALUE!</v>
      </c>
      <c r="GN112" s="1115" t="n">
        <f aca="false">IF(SUM(GU112:HB112)=0,0,IF(Summary!$O$16="Yes",SUM(GX112:HB112),IF(Summary!$O$17="Yes",SUM(GY112:HB112),SUM(GU112:HB112))))</f>
        <v>12199.03785</v>
      </c>
      <c r="GO112" s="1142" t="n">
        <v>2.92651628291373</v>
      </c>
      <c r="GP112" s="1143" t="n">
        <f aca="false">GN112*GO112</f>
        <v>35700.6829039059</v>
      </c>
      <c r="GQ112" s="1115"/>
      <c r="GR112" s="1115"/>
      <c r="GS112" s="1115"/>
      <c r="GT112" s="1115"/>
      <c r="GU112" s="1150" t="n">
        <v>5132.835</v>
      </c>
      <c r="GV112" s="1115" t="n">
        <v>1283.20875</v>
      </c>
      <c r="GW112" s="1115" t="n">
        <v>1539.8505</v>
      </c>
      <c r="GX112" s="1115"/>
      <c r="GY112" s="1151" t="n">
        <v>2737.512</v>
      </c>
      <c r="GZ112" s="1115" t="n">
        <v>684.378</v>
      </c>
      <c r="HA112" s="1115" t="n">
        <v>821.2536</v>
      </c>
      <c r="HB112" s="1141"/>
      <c r="HC112" s="1115" t="n">
        <v>12199.03785</v>
      </c>
      <c r="HD112" s="1115"/>
      <c r="HE112" s="1115" t="n">
        <v>20950.521525</v>
      </c>
      <c r="HF112" s="1115" t="n">
        <v>568954.983988537</v>
      </c>
      <c r="HG112" s="1115"/>
      <c r="HH112" s="1142" t="n">
        <v>46.3383802917193</v>
      </c>
      <c r="HI112" s="1115" t="n">
        <v>970813.233735302</v>
      </c>
      <c r="HJ112" s="1150" t="e">
        <f aca="false">MAX(FB112-FP112-FW112,0)</f>
        <v>#VALUE!</v>
      </c>
      <c r="HK112" s="1115" t="e">
        <f aca="false">MAX(FD112-FR112-FX112,0)</f>
        <v>#VALUE!</v>
      </c>
      <c r="HL112" s="1115" t="e">
        <f aca="false">MAX(FF112-FT112-FY112,0)</f>
        <v>#VALUE!</v>
      </c>
      <c r="HM112" s="1141" t="e">
        <f aca="false">MAX(FH112-FV112-FZ112,0)</f>
        <v>#VALUE!</v>
      </c>
      <c r="HN112" s="1115" t="e">
        <f aca="false">SUM(HJ112:HM112)</f>
        <v>#VALUE!</v>
      </c>
      <c r="HO112" s="1142" t="n">
        <f aca="false">IF(ISERROR(+HP112/HN112),0,+HP112/HN112)</f>
        <v>0</v>
      </c>
      <c r="HP112" s="1143" t="e">
        <f aca="false">(HJ112*CE112+HK112*CF112+HL112*CG112+HM112*CH112)</f>
        <v>#VALUE!</v>
      </c>
      <c r="HQ112" s="1142"/>
      <c r="HR112" s="1150"/>
      <c r="HS112" s="1110"/>
      <c r="HT112" s="1141"/>
      <c r="HU112" s="1151"/>
      <c r="HV112" s="1142"/>
      <c r="HW112" s="1115"/>
      <c r="HX112" s="1149"/>
      <c r="HY112" s="1143"/>
      <c r="HZ112" s="1150"/>
      <c r="IA112" s="1142"/>
      <c r="IB112" s="1141"/>
      <c r="IC112" s="1151"/>
      <c r="ID112" s="1142"/>
      <c r="IE112" s="1141"/>
      <c r="IF112" s="1115"/>
      <c r="IG112" s="1142"/>
      <c r="IH112" s="1141"/>
      <c r="II112" s="1115"/>
      <c r="IJ112" s="1142"/>
      <c r="IK112" s="1115"/>
      <c r="IL112" s="1152"/>
      <c r="IM112" s="1192"/>
      <c r="IN112" s="1151"/>
      <c r="IO112" s="1151"/>
      <c r="IP112" s="1151"/>
      <c r="IQ112" s="1151"/>
      <c r="IR112" s="844"/>
    </row>
    <row r="113" customFormat="false" ht="13.5" hidden="false" customHeight="false" outlineLevel="0" collapsed="false">
      <c r="A113" s="0" t="str">
        <f aca="false">+D113&amp;"Q"&amp;ROUNDUP(E113/3,0)</f>
        <v>2008Q1</v>
      </c>
      <c r="B113" s="0" t="n">
        <f aca="false">YEAR(C113)</f>
        <v>2008</v>
      </c>
      <c r="C113" s="1153" t="n">
        <f aca="false">EOMONTH(C112,0)+1</f>
        <v>39448</v>
      </c>
      <c r="D113" s="841" t="n">
        <f aca="false">+YEAR(C113)</f>
        <v>2008</v>
      </c>
      <c r="E113" s="807" t="n">
        <f aca="false">MONTH(C113)</f>
        <v>1</v>
      </c>
      <c r="F113" s="1154" t="e">
        <f aca="false">IF(G113="","",Holiday(D113,E113))</f>
        <v>#VALUE!</v>
      </c>
      <c r="G113" s="1155" t="n">
        <v>39448</v>
      </c>
      <c r="H113" s="1156" t="n">
        <v>39478</v>
      </c>
      <c r="I113" s="1157" t="n">
        <f aca="false">I112</f>
        <v>0.0715</v>
      </c>
      <c r="J113" s="1158" t="n">
        <f aca="false">(1+I113/2)^(-2*(DATE(D114,E114,20)-$H$7)/365.25)</f>
        <v>0.562761420662677</v>
      </c>
      <c r="K113" s="1159"/>
      <c r="L113" s="1158"/>
      <c r="M113" s="1082" t="n">
        <v>0</v>
      </c>
      <c r="N113" s="1110" t="n">
        <f aca="false">M113</f>
        <v>0</v>
      </c>
      <c r="O113" s="1174" t="n">
        <f aca="false">N113</f>
        <v>0</v>
      </c>
      <c r="P113" s="1175" t="n">
        <f aca="false">M113</f>
        <v>0</v>
      </c>
      <c r="Q113" s="1110" t="n">
        <f aca="false">P113</f>
        <v>0</v>
      </c>
      <c r="R113" s="1174" t="n">
        <f aca="false">Q113</f>
        <v>0</v>
      </c>
      <c r="S113" s="1110" t="n">
        <f aca="false">R113</f>
        <v>0</v>
      </c>
      <c r="T113" s="1110" t="n">
        <f aca="false">S113</f>
        <v>0</v>
      </c>
      <c r="U113" s="1110" t="n">
        <f aca="false">T113</f>
        <v>0</v>
      </c>
      <c r="V113" s="1175" t="n">
        <f aca="false">U113</f>
        <v>0</v>
      </c>
      <c r="W113" s="1110" t="n">
        <f aca="false">V113</f>
        <v>0</v>
      </c>
      <c r="X113" s="1176" t="n">
        <f aca="false">W113</f>
        <v>0</v>
      </c>
      <c r="Y113" s="1086" t="n">
        <v>0</v>
      </c>
      <c r="Z113" s="1086" t="n">
        <v>0</v>
      </c>
      <c r="AA113" s="1087" t="n">
        <v>0</v>
      </c>
      <c r="AB113" s="1086" t="n">
        <v>0</v>
      </c>
      <c r="AC113" s="1086" t="n">
        <v>0</v>
      </c>
      <c r="AD113" s="1087" t="n">
        <v>0</v>
      </c>
      <c r="AE113" s="1086" t="n">
        <v>0</v>
      </c>
      <c r="AF113" s="1086" t="n">
        <v>0</v>
      </c>
      <c r="AG113" s="1087" t="n">
        <v>0</v>
      </c>
      <c r="AH113" s="1086" t="n">
        <v>0</v>
      </c>
      <c r="AI113" s="1086" t="n">
        <v>0</v>
      </c>
      <c r="AJ113" s="1087" t="n">
        <v>0</v>
      </c>
      <c r="AK113" s="1086" t="n">
        <v>0</v>
      </c>
      <c r="AL113" s="1086" t="n">
        <v>0</v>
      </c>
      <c r="AM113" s="1087" t="n">
        <v>0</v>
      </c>
      <c r="AN113" s="1086" t="n">
        <v>0</v>
      </c>
      <c r="AO113" s="1086" t="n">
        <v>0</v>
      </c>
      <c r="AP113" s="1087" t="n">
        <v>0</v>
      </c>
      <c r="AQ113" s="1086" t="n">
        <v>0</v>
      </c>
      <c r="AR113" s="1086" t="n">
        <v>0</v>
      </c>
      <c r="AS113" s="1087" t="n">
        <v>0</v>
      </c>
      <c r="AT113" s="1086" t="n">
        <v>0</v>
      </c>
      <c r="AU113" s="1086" t="n">
        <v>0</v>
      </c>
      <c r="AV113" s="1086" t="n">
        <v>0</v>
      </c>
      <c r="AW113" s="1172" t="n">
        <v>0</v>
      </c>
      <c r="AX113" s="807" t="e">
        <f aca="false">BB113-SUM(AY113:BA113)</f>
        <v>#VALUE!</v>
      </c>
      <c r="AY113" s="807" t="e">
        <f aca="false">IF(AND($E113=MONTH(Summary!$E$24),$D113=YEAR(Summary!$E$24)),Summary!$E$25,1)*IF(G113="",0,INT((H113-MOD(H113,7)-G113)/7)+1-IF(BA113,IF(WEEKDAY(F113)=7,1,0),0))</f>
        <v>#VALUE!</v>
      </c>
      <c r="AZ113" s="807" t="e">
        <f aca="false">IF(AND($E113=MONTH(Summary!$E$24),$D113=YEAR(Summary!$E$24)),Summary!$E$25,1)*IF(G113="",0,INT((H113-MOD(H113-1,7)-G113)/7)+1-IF(BA113,IF(WEEKDAY(F113)=1,1,0),0))</f>
        <v>#VALUE!</v>
      </c>
      <c r="BA113" s="807" t="n">
        <v>1</v>
      </c>
      <c r="BB113" s="807" t="n">
        <f aca="false">IF(AND($E113=MONTH(Summary!$E$24),$D113=YEAR(Summary!$E$24)),Summary!$E$25,1)*IF(G113="",0,H113-G113+1)</f>
        <v>31</v>
      </c>
      <c r="BC113" s="1089" t="n">
        <f aca="false">Summary!$E$19</f>
        <v>0.015</v>
      </c>
      <c r="BD113" s="1090" t="n">
        <v>15602.4</v>
      </c>
      <c r="BE113" s="1091" t="n">
        <v>2836.8</v>
      </c>
      <c r="BF113" s="1091" t="n">
        <v>3546</v>
      </c>
      <c r="BG113" s="842"/>
      <c r="BH113" s="1092" t="n">
        <v>1</v>
      </c>
      <c r="BI113" s="1092" t="n">
        <v>1</v>
      </c>
      <c r="BJ113" s="1092" t="n">
        <v>1</v>
      </c>
      <c r="BK113" s="1092" t="n">
        <v>1</v>
      </c>
      <c r="BL113" s="1093" t="n">
        <v>3120.48</v>
      </c>
      <c r="BM113" s="1091" t="n">
        <v>567.36</v>
      </c>
      <c r="BN113" s="1091" t="n">
        <v>709.2</v>
      </c>
      <c r="BO113" s="842"/>
      <c r="BP113" s="1092" t="n">
        <v>1</v>
      </c>
      <c r="BQ113" s="1094" t="n">
        <v>1</v>
      </c>
      <c r="BR113" s="1094" t="n">
        <v>1</v>
      </c>
      <c r="BS113" s="1095" t="n">
        <v>1</v>
      </c>
      <c r="BT113" s="1093" t="n">
        <f aca="false">SUM(BD113:BF113)</f>
        <v>21985.2</v>
      </c>
      <c r="BU113" s="1098" t="n">
        <f aca="false">SUM(BD113:BG113)</f>
        <v>21985.2</v>
      </c>
      <c r="BV113" s="1090" t="n">
        <f aca="false">SUM(BL113:BN113)</f>
        <v>4397.04</v>
      </c>
      <c r="BW113" s="1098" t="n">
        <f aca="false">SUM(BL113:BO113)</f>
        <v>4397.04</v>
      </c>
      <c r="BX113" s="852" t="n">
        <v>8.04654346338125</v>
      </c>
      <c r="BY113" s="1099" t="n">
        <v>0</v>
      </c>
      <c r="BZ113" s="852" t="n">
        <v>0</v>
      </c>
      <c r="CA113" s="852" t="n">
        <v>0</v>
      </c>
      <c r="CB113" s="852" t="n">
        <v>0</v>
      </c>
      <c r="CC113" s="852" t="n">
        <v>0</v>
      </c>
      <c r="CD113" s="852" t="n">
        <v>0</v>
      </c>
      <c r="CE113" s="1100" t="n">
        <v>0</v>
      </c>
      <c r="CF113" s="852" t="n">
        <v>0</v>
      </c>
      <c r="CG113" s="852" t="n">
        <v>0</v>
      </c>
      <c r="CH113" s="852" t="n">
        <v>0</v>
      </c>
      <c r="CI113" s="852" t="n">
        <v>0</v>
      </c>
      <c r="CJ113" s="1101" t="n">
        <v>0</v>
      </c>
      <c r="CK113" s="852" t="n">
        <v>0</v>
      </c>
      <c r="CL113" s="852" t="n">
        <v>0</v>
      </c>
      <c r="CM113" s="852" t="n">
        <v>0</v>
      </c>
      <c r="CN113" s="852" t="n">
        <v>0</v>
      </c>
      <c r="CO113" s="852" t="n">
        <v>0</v>
      </c>
      <c r="CP113" s="852" t="n">
        <v>0</v>
      </c>
      <c r="CQ113" s="1102" t="n">
        <v>0</v>
      </c>
      <c r="CR113" s="1103" t="n">
        <v>0</v>
      </c>
      <c r="CS113" s="1103" t="n">
        <v>0</v>
      </c>
      <c r="CT113" s="1103" t="n">
        <v>0</v>
      </c>
      <c r="CU113" s="1103" t="n">
        <v>0</v>
      </c>
      <c r="CV113" s="1103" t="n">
        <v>0</v>
      </c>
      <c r="CW113" s="1103" t="n">
        <v>0</v>
      </c>
      <c r="CX113" s="1104" t="n">
        <v>0</v>
      </c>
      <c r="CY113" s="1105" t="n">
        <v>7666.03096</v>
      </c>
      <c r="CZ113" s="1099" t="n">
        <v>0</v>
      </c>
      <c r="DA113" s="852" t="n">
        <v>0</v>
      </c>
      <c r="DB113" s="852" t="n">
        <v>0</v>
      </c>
      <c r="DC113" s="852" t="n">
        <v>0</v>
      </c>
      <c r="DD113" s="852" t="n">
        <v>0</v>
      </c>
      <c r="DE113" s="1113" t="n">
        <v>0</v>
      </c>
      <c r="DF113" s="1109" t="n">
        <v>0</v>
      </c>
      <c r="DG113" s="1110" t="n">
        <v>0</v>
      </c>
      <c r="DH113" s="1111" t="n">
        <v>0</v>
      </c>
      <c r="DI113" s="1112" t="n">
        <v>0</v>
      </c>
      <c r="DJ113" s="1112" t="n">
        <v>0</v>
      </c>
      <c r="DK113" s="1112" t="n">
        <v>0</v>
      </c>
      <c r="DL113" s="1113" t="n">
        <v>0</v>
      </c>
      <c r="DM113" s="1114" t="n">
        <v>0</v>
      </c>
      <c r="DN113" s="1114" t="n">
        <v>0</v>
      </c>
      <c r="DO113" s="1114" t="n">
        <v>0</v>
      </c>
      <c r="DP113" s="1114" t="n">
        <v>0</v>
      </c>
      <c r="DQ113" s="1114" t="n">
        <v>0</v>
      </c>
      <c r="DR113" s="1109" t="n">
        <v>0</v>
      </c>
      <c r="DS113" s="852" t="n">
        <v>0</v>
      </c>
      <c r="DT113" s="852" t="n">
        <v>0</v>
      </c>
      <c r="DU113" s="852" t="n">
        <v>0</v>
      </c>
      <c r="DV113" s="852" t="n">
        <v>0</v>
      </c>
      <c r="DW113" s="852" t="n">
        <v>0</v>
      </c>
      <c r="DX113" s="852" t="n">
        <v>0</v>
      </c>
      <c r="DY113" s="852" t="n">
        <v>0</v>
      </c>
      <c r="DZ113" s="852" t="n">
        <v>0</v>
      </c>
      <c r="EA113" s="852" t="n">
        <v>0</v>
      </c>
      <c r="EB113" s="1113" t="n">
        <v>0</v>
      </c>
      <c r="EC113" s="1115" t="n">
        <f aca="false">DS113*BD113</f>
        <v>0</v>
      </c>
      <c r="ED113" s="1115" t="n">
        <f aca="false">DT113*BE113</f>
        <v>0</v>
      </c>
      <c r="EE113" s="1115" t="n">
        <f aca="false">DU113*BF113</f>
        <v>0</v>
      </c>
      <c r="EF113" s="1115" t="n">
        <f aca="false">DV113*BG113</f>
        <v>0</v>
      </c>
      <c r="EG113" s="1115" t="n">
        <f aca="false">DS113*BD113+DT113*BE113+DU113*BF113+DV113*BG113</f>
        <v>0</v>
      </c>
      <c r="EH113" s="1116" t="n">
        <v>0</v>
      </c>
      <c r="EI113" s="1117" t="n">
        <v>0</v>
      </c>
      <c r="EJ113" s="1117" t="n">
        <v>0</v>
      </c>
      <c r="EK113" s="1117" t="n">
        <v>0</v>
      </c>
      <c r="EL113" s="1118" t="n">
        <f aca="false">IF(C113&gt;=Summary!$E$26,MAX(0,SUM(EH113:EK113)),0)</f>
        <v>0</v>
      </c>
      <c r="EM113" s="1115" t="n">
        <f aca="false">IF(C113&gt;=Summary!$E$26,DX113*BL113,0)</f>
        <v>0</v>
      </c>
      <c r="EN113" s="1115" t="n">
        <f aca="false">IF(C113&gt;=Summary!$E$26,DY113*BM113,0)</f>
        <v>0</v>
      </c>
      <c r="EO113" s="1115" t="n">
        <f aca="false">IF(C113&gt;=Summary!$E$26,DZ113*BN113,0)</f>
        <v>0</v>
      </c>
      <c r="EP113" s="1115" t="n">
        <f aca="false">IF(C113&gt;=Summary!$E$26,EA113*BO113,0)</f>
        <v>0</v>
      </c>
      <c r="EQ113" s="1115" t="n">
        <f aca="false">IF(C113&gt;=Summary!$E$26,DX113*BL113+DY113*BM113+DZ113*BN113+EA113*BO113,0)</f>
        <v>0</v>
      </c>
      <c r="ER113" s="1119" t="n">
        <v>0</v>
      </c>
      <c r="ES113" s="1120" t="n">
        <v>0</v>
      </c>
      <c r="ET113" s="1120" t="n">
        <v>0</v>
      </c>
      <c r="EU113" s="1120" t="n">
        <v>0</v>
      </c>
      <c r="EV113" s="1143" t="n">
        <f aca="false">IF(C113&gt;=Summary!$E$26,MAX(0,SUM(ER113:EU113)),0)</f>
        <v>0</v>
      </c>
      <c r="EW113" s="1115"/>
      <c r="EX113" s="1165" t="n">
        <f aca="false">(EQ113-EV113)+IF(EZ113="Yes",(EG113-EL113),0)</f>
        <v>0</v>
      </c>
      <c r="EY113" s="1166" t="str">
        <f aca="false">IF(EX113,EX113/EQ113,"")</f>
        <v/>
      </c>
      <c r="EZ113" s="1122" t="s">
        <v>37</v>
      </c>
      <c r="FA113" s="1096" t="n">
        <f aca="false">FA112</f>
        <v>45</v>
      </c>
      <c r="FB113" s="1167" t="e">
        <f aca="false">IF(EZ113="No",IF((OR(MONTH(C113)=5,MONTH(C113)=6,MONTH(C113)=7,MONTH(C113)=8,MONTH(C113)=9)),$FA113*12*AX113*(1-$BC113),$FA113*10*AX113*(1-$BC113)),0)</f>
        <v>#VALUE!</v>
      </c>
      <c r="FC113" s="1129" t="e">
        <f aca="false">IF(EZ113="No",IF((OR(MONTH(C113)=5,MONTH(C113)=6,MONTH(C113)=7,MONTH(C113)=8,MONTH(C113)=9)),0,$FA113*3*AX113*(1-$BC113)),0)</f>
        <v>#VALUE!</v>
      </c>
      <c r="FD113" s="1129" t="e">
        <f aca="false">IF(EZ113="No",IF((OR(MONTH(C113)=5,MONTH(C113)=6,MONTH(C113)=7,MONTH(C113)=8,MONTH(C113)=9)),$FA113*12*AY113*(1-$BC113),$FA113*10*AY113*(1-$BC113)),0)</f>
        <v>#VALUE!</v>
      </c>
      <c r="FE113" s="1129" t="e">
        <f aca="false">IF(EZ113="No",IF((OR(MONTH(C113)=5,MONTH(C113)=6,MONTH(C113)=7,MONTH(C113)=8,MONTH(C113)=9)),0,$FA113*3*AY113*(1-$BC113)),0)</f>
        <v>#VALUE!</v>
      </c>
      <c r="FF113" s="1129" t="e">
        <f aca="false">IF(EZ113="No",IF((OR(MONTH(C113)=5,MONTH(C113)=6,MONTH(C113)=7,MONTH(C113)=8,MONTH(C113)=9)),$FA113*12*(AZ113+BA113)*(1-$BC113),$FA113*10*(AZ113+BA113)*(1-$BC113)),0)</f>
        <v>#VALUE!</v>
      </c>
      <c r="FG113" s="1129" t="e">
        <f aca="false">IF(EZ113="No",IF((OR(MONTH(C113)=5,MONTH(C113)=6,MONTH(C113)=7,MONTH(C113)=8,MONTH(C113)=9)),0,$FA113*3*(AZ113+BA113)*(1-$BC113)),0)</f>
        <v>#VALUE!</v>
      </c>
      <c r="FH113" s="1170" t="e">
        <f aca="false">IF(EZ113="No",IF((OR(MONTH(C113)=5,MONTH(C113)=6,MONTH(C113)=7,MONTH(C113)=8,MONTH(C113)=9)),Summary!$O$15*12*(AX113+AY113+AZ113+BA113)*(1-$BC113),Summary!$O$15*13*(AX113+AY113+AZ113+BA113)*(1-$BC113)+IF(Summary!$O$16="Yes",(CALC!FA113+Summary!$O$15)*6*(AX113+AY113+AZ113+BA113)*(1-$BC113),0)),0)</f>
        <v>#VALUE!</v>
      </c>
      <c r="FI113" s="1126" t="n">
        <f aca="false">IF(MONTH(C113)=5,FI112*(IF(Summary!$E$70="no",(1+(Summary!$E$71*0.8)),1+HLOOKUP(YEAR(C113)-1,CCFMODEL!$I$127:$AF$128,2)*0.8)),+FI112)</f>
        <v>32.1605394272484</v>
      </c>
      <c r="FJ113" s="1127" t="n">
        <f aca="false">IF(MONTH(C113)=5,FJ112*(IF(Summary!$E$70="no",(1+(Summary!$E$71*0.8)),1+HLOOKUP(YEAR(CALC!C113)-1,CCFMODEL!$I$127:$AF$128,2)*0.8)),FJ112)</f>
        <v>28.108817924603</v>
      </c>
      <c r="FK113" s="1128" t="e">
        <f aca="false">SUM(FB113:FG113)*FI113+FH113*FJ113</f>
        <v>#VALUE!</v>
      </c>
      <c r="FL113" s="1126" t="n">
        <f aca="false">IF(MONTH(C113)=5,FL112*(IF(Summary!$E$70="no",(1+(Summary!$E$71*0.8)),1+HLOOKUP(YEAR(CALC!C113)-1,CCFMODEL!$I$127:$AF$128,2)*0.8)),+FL112)</f>
        <v>67.637219965293</v>
      </c>
      <c r="FM113" s="1127" t="n">
        <f aca="false">IF(MONTH(C113)=5,FM112*(IF(Summary!$E$70="no",(1+(Summary!$E$71*0.8)),1+HLOOKUP(YEAR(CALC!C113)-1,CCFMODEL!$I$127:$AF$128,2)*0.8)),+FM112)</f>
        <v>32.2811263767319</v>
      </c>
      <c r="FN113" s="1128" t="e">
        <f aca="false">IF((OR(MONTH(C113)=5,MONTH(C113)=6,MONTH(C113)=7,MONTH(C113)=8,MONTH(C113)=9)),SUM(FB113:FG113)/(1-BC113)*FL113,SUM(FB113:FG113)/(1-BC113)*FM113)</f>
        <v>#VALUE!</v>
      </c>
      <c r="FO113" s="1129" t="e">
        <f aca="false">FK113+FN113</f>
        <v>#VALUE!</v>
      </c>
      <c r="FP113" s="1169" t="e">
        <f aca="false">FB113</f>
        <v>#VALUE!</v>
      </c>
      <c r="FQ113" s="1129" t="e">
        <f aca="false">FC113</f>
        <v>#VALUE!</v>
      </c>
      <c r="FR113" s="1129" t="e">
        <f aca="false">FD113</f>
        <v>#VALUE!</v>
      </c>
      <c r="FS113" s="1129" t="e">
        <f aca="false">FE113</f>
        <v>#VALUE!</v>
      </c>
      <c r="FT113" s="1129" t="e">
        <f aca="false">FF113</f>
        <v>#VALUE!</v>
      </c>
      <c r="FU113" s="1129" t="e">
        <f aca="false">FG113</f>
        <v>#VALUE!</v>
      </c>
      <c r="FV113" s="1170" t="e">
        <f aca="false">FH113</f>
        <v>#VALUE!</v>
      </c>
      <c r="FW113" s="1115" t="n">
        <f aca="false">IF(ER113&gt;0,MIN(FB113-FP113,BL113),0)</f>
        <v>0</v>
      </c>
      <c r="FX113" s="1115" t="n">
        <f aca="false">IF(ES113&gt;0,MIN(FD113-FR113,BM113),0)</f>
        <v>0</v>
      </c>
      <c r="FY113" s="1115" t="n">
        <f aca="false">IF(ET113&gt;0,MIN(FF113-FT113,BN113),0)</f>
        <v>0</v>
      </c>
      <c r="FZ113" s="1143" t="n">
        <f aca="false">IF(EU113&gt;0,MIN(FH113-FV113,BO113),0)</f>
        <v>0</v>
      </c>
      <c r="GA113" s="1132" t="e">
        <f aca="false">(SUM(FP113:FV113)+SUM(GU113:HB113)/(1-Summary!$O$25))*CY113/1000</f>
        <v>#VALUE!</v>
      </c>
      <c r="GB113" s="1133" t="n">
        <f aca="false">IF($C113&lt;Summary!$M$81,+Summary!$O$81,VLOOKUP(C113,GasTable,19))</f>
        <v>2.4</v>
      </c>
      <c r="GC113" s="1134" t="e">
        <f aca="false">IF(H113&lt;=Summary!$N$84,MIN(GA113,Summary!$O$75*(H113-G113+1)),0)</f>
        <v>#VALUE!</v>
      </c>
      <c r="GD113" s="1135" t="e">
        <f aca="false">IF(Summary!$O$75*(H113-G113+1)*0.8&gt;GC113,1,0)</f>
        <v>#VALUE!</v>
      </c>
      <c r="GE113" s="1136" t="n">
        <v>0</v>
      </c>
      <c r="GF113" s="1134" t="e">
        <f aca="false">ABS(MIN(0,GC113-$GA113))</f>
        <v>#VALUE!</v>
      </c>
      <c r="GG113" s="1135" t="e">
        <f aca="false">GF113*(IF(Summary!$O$74=1,VLOOKUP($C113,GasTable,16)+Summary!$O$92+Summary!$O$93,VLOOKUP($C113,GasTable,19)+Summary!$O$92+Summary!$O$93))</f>
        <v>#VALUE!</v>
      </c>
      <c r="GH113" s="1137" t="n">
        <v>20999.4</v>
      </c>
      <c r="GI113" s="1138" t="n">
        <v>0</v>
      </c>
      <c r="GJ113" s="1139" t="e">
        <f aca="false">+GB113*GC113+GE113+GG113+GH113-GI113</f>
        <v>#VALUE!</v>
      </c>
      <c r="GK113" s="1115" t="e">
        <f aca="false">SUM(FP113:FV113,GU113:GX113,GY113:HB113)</f>
        <v>#VALUE!</v>
      </c>
      <c r="GL113" s="1140" t="n">
        <v>0.752804240272</v>
      </c>
      <c r="GM113" s="1141" t="e">
        <f aca="false">IF(GK113&gt;GC113/(CY113/1000),GC113/(CY113/1000),+GK113)*GL113</f>
        <v>#VALUE!</v>
      </c>
      <c r="GN113" s="1115" t="n">
        <f aca="false">IF(SUM(GU113:HB113)=0,0,IF(Summary!$O$16="Yes",SUM(GX113:HB113),IF(Summary!$O$17="Yes",SUM(GY113:HB113),SUM(GU113:HB113))))</f>
        <v>12199.03785</v>
      </c>
      <c r="GO113" s="1142" t="n">
        <v>3.01431177140114</v>
      </c>
      <c r="GP113" s="1143" t="n">
        <f aca="false">GN113*GO113</f>
        <v>36771.703391023</v>
      </c>
      <c r="GQ113" s="1115"/>
      <c r="GR113" s="1115"/>
      <c r="GS113" s="1115"/>
      <c r="GT113" s="1115"/>
      <c r="GU113" s="1150" t="n">
        <v>5646.1185</v>
      </c>
      <c r="GV113" s="1115" t="n">
        <v>1026.567</v>
      </c>
      <c r="GW113" s="1115" t="n">
        <v>1283.20875</v>
      </c>
      <c r="GX113" s="1115"/>
      <c r="GY113" s="1151" t="n">
        <v>3011.2632</v>
      </c>
      <c r="GZ113" s="1115" t="n">
        <v>547.5024</v>
      </c>
      <c r="HA113" s="1115" t="n">
        <v>684.378</v>
      </c>
      <c r="HB113" s="1141"/>
      <c r="HC113" s="1115" t="n">
        <v>12199.03785</v>
      </c>
      <c r="HD113" s="1115"/>
      <c r="HE113" s="1115" t="n">
        <v>20950.521525</v>
      </c>
      <c r="HF113" s="1115" t="n">
        <v>523131.83995773</v>
      </c>
      <c r="HG113" s="1115"/>
      <c r="HH113" s="1142" t="n">
        <v>42.5546585870836</v>
      </c>
      <c r="HI113" s="1115" t="n">
        <v>891542.29071772</v>
      </c>
      <c r="HJ113" s="1150" t="e">
        <f aca="false">MAX(FB113-FP113-FW113,0)</f>
        <v>#VALUE!</v>
      </c>
      <c r="HK113" s="1115" t="e">
        <f aca="false">MAX(FD113-FR113-FX113,0)</f>
        <v>#VALUE!</v>
      </c>
      <c r="HL113" s="1115" t="e">
        <f aca="false">MAX(FF113-FT113-FY113,0)</f>
        <v>#VALUE!</v>
      </c>
      <c r="HM113" s="1141" t="e">
        <f aca="false">MAX(FH113-FV113-FZ113,0)</f>
        <v>#VALUE!</v>
      </c>
      <c r="HN113" s="1115" t="e">
        <f aca="false">SUM(HJ113:HM113)</f>
        <v>#VALUE!</v>
      </c>
      <c r="HO113" s="1142" t="n">
        <f aca="false">IF(ISERROR(+HP113/HN113),0,+HP113/HN113)</f>
        <v>0</v>
      </c>
      <c r="HP113" s="1143" t="e">
        <f aca="false">(HJ113*CE113+HK113*CF113+HL113*CG113+HM113*CH113)</f>
        <v>#VALUE!</v>
      </c>
      <c r="HQ113" s="1142"/>
      <c r="HR113" s="1150"/>
      <c r="HS113" s="1110"/>
      <c r="HT113" s="1141"/>
      <c r="HU113" s="1151"/>
      <c r="HV113" s="1142"/>
      <c r="HW113" s="1115"/>
      <c r="HX113" s="1149"/>
      <c r="HY113" s="1143"/>
      <c r="HZ113" s="1150"/>
      <c r="IA113" s="1142"/>
      <c r="IB113" s="1141"/>
      <c r="IC113" s="1151"/>
      <c r="ID113" s="1142"/>
      <c r="IE113" s="1141"/>
      <c r="IF113" s="1115"/>
      <c r="IG113" s="1142"/>
      <c r="IH113" s="1141"/>
      <c r="II113" s="1115"/>
      <c r="IJ113" s="1142"/>
      <c r="IK113" s="1115"/>
      <c r="IL113" s="1152"/>
      <c r="IM113" s="1192"/>
      <c r="IN113" s="1151"/>
      <c r="IO113" s="1151"/>
      <c r="IP113" s="1151"/>
      <c r="IQ113" s="1151"/>
      <c r="IR113" s="844"/>
    </row>
    <row r="114" customFormat="false" ht="13.5" hidden="false" customHeight="false" outlineLevel="0" collapsed="false">
      <c r="A114" s="0" t="str">
        <f aca="false">+D114&amp;"Q"&amp;ROUNDUP(E114/3,0)</f>
        <v>2008Q1</v>
      </c>
      <c r="B114" s="0" t="n">
        <f aca="false">YEAR(C114)</f>
        <v>2008</v>
      </c>
      <c r="C114" s="1153" t="n">
        <f aca="false">EOMONTH(C113,0)+1</f>
        <v>39479</v>
      </c>
      <c r="D114" s="841" t="n">
        <f aca="false">+YEAR(C114)</f>
        <v>2008</v>
      </c>
      <c r="E114" s="807" t="n">
        <f aca="false">MONTH(C114)</f>
        <v>2</v>
      </c>
      <c r="F114" s="1154" t="e">
        <f aca="false">IF(G114="","",Holiday(D114,E114))</f>
        <v>#VALUE!</v>
      </c>
      <c r="G114" s="1155" t="n">
        <v>39479</v>
      </c>
      <c r="H114" s="1156" t="n">
        <v>39507</v>
      </c>
      <c r="I114" s="1157" t="n">
        <f aca="false">I113</f>
        <v>0.0715</v>
      </c>
      <c r="J114" s="1158" t="n">
        <f aca="false">(1+I114/2)^(-2*(DATE(D115,E115,20)-$H$7)/365.25)</f>
        <v>0.559631180272027</v>
      </c>
      <c r="K114" s="1159"/>
      <c r="L114" s="1158"/>
      <c r="M114" s="1082" t="n">
        <v>0</v>
      </c>
      <c r="N114" s="1110" t="n">
        <f aca="false">M114</f>
        <v>0</v>
      </c>
      <c r="O114" s="1174" t="n">
        <f aca="false">N114</f>
        <v>0</v>
      </c>
      <c r="P114" s="1175" t="n">
        <f aca="false">M114</f>
        <v>0</v>
      </c>
      <c r="Q114" s="1110" t="n">
        <f aca="false">P114</f>
        <v>0</v>
      </c>
      <c r="R114" s="1174" t="n">
        <f aca="false">Q114</f>
        <v>0</v>
      </c>
      <c r="S114" s="1110" t="n">
        <f aca="false">R114</f>
        <v>0</v>
      </c>
      <c r="T114" s="1110" t="n">
        <f aca="false">S114</f>
        <v>0</v>
      </c>
      <c r="U114" s="1110" t="n">
        <f aca="false">T114</f>
        <v>0</v>
      </c>
      <c r="V114" s="1175" t="n">
        <f aca="false">U114</f>
        <v>0</v>
      </c>
      <c r="W114" s="1110" t="n">
        <f aca="false">V114</f>
        <v>0</v>
      </c>
      <c r="X114" s="1176" t="n">
        <f aca="false">W114</f>
        <v>0</v>
      </c>
      <c r="Y114" s="1086" t="n">
        <v>0</v>
      </c>
      <c r="Z114" s="1086" t="n">
        <v>0</v>
      </c>
      <c r="AA114" s="1087" t="n">
        <v>0</v>
      </c>
      <c r="AB114" s="1086" t="n">
        <v>0</v>
      </c>
      <c r="AC114" s="1086" t="n">
        <v>0</v>
      </c>
      <c r="AD114" s="1087" t="n">
        <v>0</v>
      </c>
      <c r="AE114" s="1086" t="n">
        <v>0</v>
      </c>
      <c r="AF114" s="1086" t="n">
        <v>0</v>
      </c>
      <c r="AG114" s="1087" t="n">
        <v>0</v>
      </c>
      <c r="AH114" s="1086" t="n">
        <v>0</v>
      </c>
      <c r="AI114" s="1086" t="n">
        <v>0</v>
      </c>
      <c r="AJ114" s="1087" t="n">
        <v>0</v>
      </c>
      <c r="AK114" s="1086" t="n">
        <v>0</v>
      </c>
      <c r="AL114" s="1086" t="n">
        <v>0</v>
      </c>
      <c r="AM114" s="1087" t="n">
        <v>0</v>
      </c>
      <c r="AN114" s="1086" t="n">
        <v>0</v>
      </c>
      <c r="AO114" s="1086" t="n">
        <v>0</v>
      </c>
      <c r="AP114" s="1087" t="n">
        <v>0</v>
      </c>
      <c r="AQ114" s="1086" t="n">
        <v>0</v>
      </c>
      <c r="AR114" s="1086" t="n">
        <v>0</v>
      </c>
      <c r="AS114" s="1087" t="n">
        <v>0</v>
      </c>
      <c r="AT114" s="1086" t="n">
        <v>0</v>
      </c>
      <c r="AU114" s="1086" t="n">
        <v>0</v>
      </c>
      <c r="AV114" s="1086" t="n">
        <v>0</v>
      </c>
      <c r="AW114" s="1172" t="n">
        <v>0</v>
      </c>
      <c r="AX114" s="807" t="n">
        <f aca="false">BB114-SUM(AY114:BA114)</f>
        <v>21</v>
      </c>
      <c r="AY114" s="807" t="n">
        <f aca="false">IF(AND($E114=MONTH(Summary!$E$24),$D114=YEAR(Summary!$E$24)),Summary!$E$25,1)*IF(G114="",0,INT((H114-MOD(H114,7)-G114)/7)+1-IF(BA114,IF(WEEKDAY(F114)=7,1,0),0))</f>
        <v>4</v>
      </c>
      <c r="AZ114" s="807" t="n">
        <f aca="false">IF(AND($E114=MONTH(Summary!$E$24),$D114=YEAR(Summary!$E$24)),Summary!$E$25,1)*IF(G114="",0,INT((H114-MOD(H114-1,7)-G114)/7)+1-IF(BA114,IF(WEEKDAY(F114)=1,1,0),0))</f>
        <v>4</v>
      </c>
      <c r="BA114" s="807" t="n">
        <v>0</v>
      </c>
      <c r="BB114" s="807" t="n">
        <f aca="false">IF(AND($E114=MONTH(Summary!$E$24),$D114=YEAR(Summary!$E$24)),Summary!$E$25,1)*IF(G114="",0,H114-G114+1)</f>
        <v>29</v>
      </c>
      <c r="BC114" s="1089" t="n">
        <f aca="false">Summary!$E$19</f>
        <v>0.015</v>
      </c>
      <c r="BD114" s="1090" t="n">
        <v>14893.2</v>
      </c>
      <c r="BE114" s="1091" t="n">
        <v>2836.8</v>
      </c>
      <c r="BF114" s="1091" t="n">
        <v>2836.8</v>
      </c>
      <c r="BG114" s="842"/>
      <c r="BH114" s="1092" t="n">
        <v>1</v>
      </c>
      <c r="BI114" s="1092" t="n">
        <v>1</v>
      </c>
      <c r="BJ114" s="1092" t="n">
        <v>1</v>
      </c>
      <c r="BK114" s="1092" t="n">
        <v>1</v>
      </c>
      <c r="BL114" s="1093" t="n">
        <v>2978.64</v>
      </c>
      <c r="BM114" s="1091" t="n">
        <v>567.36</v>
      </c>
      <c r="BN114" s="1091" t="n">
        <v>567.36</v>
      </c>
      <c r="BO114" s="842"/>
      <c r="BP114" s="1092" t="n">
        <v>1</v>
      </c>
      <c r="BQ114" s="1094" t="n">
        <v>1</v>
      </c>
      <c r="BR114" s="1094" t="n">
        <v>1</v>
      </c>
      <c r="BS114" s="1095" t="n">
        <v>1</v>
      </c>
      <c r="BT114" s="1093" t="n">
        <f aca="false">SUM(BD114:BF114)</f>
        <v>20566.8</v>
      </c>
      <c r="BU114" s="1098" t="n">
        <f aca="false">SUM(BD114:BG114)</f>
        <v>20566.8</v>
      </c>
      <c r="BV114" s="1090" t="n">
        <f aca="false">SUM(BL114:BN114)</f>
        <v>4113.36</v>
      </c>
      <c r="BW114" s="1098" t="n">
        <f aca="false">SUM(BL114:BO114)</f>
        <v>4113.36</v>
      </c>
      <c r="BX114" s="852" t="n">
        <v>8.13141683778234</v>
      </c>
      <c r="BY114" s="1099" t="n">
        <v>0</v>
      </c>
      <c r="BZ114" s="852" t="n">
        <v>0</v>
      </c>
      <c r="CA114" s="852" t="n">
        <v>0</v>
      </c>
      <c r="CB114" s="852" t="n">
        <v>0</v>
      </c>
      <c r="CC114" s="852" t="n">
        <v>0</v>
      </c>
      <c r="CD114" s="852" t="n">
        <v>0</v>
      </c>
      <c r="CE114" s="1100" t="n">
        <v>0</v>
      </c>
      <c r="CF114" s="852" t="n">
        <v>0</v>
      </c>
      <c r="CG114" s="852" t="n">
        <v>0</v>
      </c>
      <c r="CH114" s="852" t="n">
        <v>0</v>
      </c>
      <c r="CI114" s="852" t="n">
        <v>0</v>
      </c>
      <c r="CJ114" s="1101" t="n">
        <v>0</v>
      </c>
      <c r="CK114" s="852" t="n">
        <v>0</v>
      </c>
      <c r="CL114" s="852" t="n">
        <v>0</v>
      </c>
      <c r="CM114" s="852" t="n">
        <v>0</v>
      </c>
      <c r="CN114" s="852" t="n">
        <v>0</v>
      </c>
      <c r="CO114" s="852" t="n">
        <v>0</v>
      </c>
      <c r="CP114" s="852" t="n">
        <v>0</v>
      </c>
      <c r="CQ114" s="1102" t="n">
        <v>0</v>
      </c>
      <c r="CR114" s="1103" t="n">
        <v>0</v>
      </c>
      <c r="CS114" s="1103" t="n">
        <v>0</v>
      </c>
      <c r="CT114" s="1103" t="n">
        <v>0</v>
      </c>
      <c r="CU114" s="1103" t="n">
        <v>0</v>
      </c>
      <c r="CV114" s="1103" t="n">
        <v>0</v>
      </c>
      <c r="CW114" s="1103" t="n">
        <v>0</v>
      </c>
      <c r="CX114" s="1104" t="n">
        <v>0</v>
      </c>
      <c r="CY114" s="1105" t="n">
        <v>7668.06192</v>
      </c>
      <c r="CZ114" s="1099" t="n">
        <v>0</v>
      </c>
      <c r="DA114" s="852" t="n">
        <v>0</v>
      </c>
      <c r="DB114" s="852" t="n">
        <v>0</v>
      </c>
      <c r="DC114" s="852" t="n">
        <v>0</v>
      </c>
      <c r="DD114" s="852" t="n">
        <v>0</v>
      </c>
      <c r="DE114" s="1113" t="n">
        <v>0</v>
      </c>
      <c r="DF114" s="1109" t="n">
        <v>0</v>
      </c>
      <c r="DG114" s="1110" t="n">
        <v>0</v>
      </c>
      <c r="DH114" s="1111" t="n">
        <v>0</v>
      </c>
      <c r="DI114" s="1112" t="n">
        <v>0</v>
      </c>
      <c r="DJ114" s="1112" t="n">
        <v>0</v>
      </c>
      <c r="DK114" s="1112" t="n">
        <v>0</v>
      </c>
      <c r="DL114" s="1113" t="n">
        <v>0</v>
      </c>
      <c r="DM114" s="1114" t="n">
        <v>0</v>
      </c>
      <c r="DN114" s="1114" t="n">
        <v>0</v>
      </c>
      <c r="DO114" s="1114" t="n">
        <v>0</v>
      </c>
      <c r="DP114" s="1114" t="n">
        <v>0</v>
      </c>
      <c r="DQ114" s="1114" t="n">
        <v>0</v>
      </c>
      <c r="DR114" s="1109" t="n">
        <v>0</v>
      </c>
      <c r="DS114" s="852" t="n">
        <v>0</v>
      </c>
      <c r="DT114" s="852" t="n">
        <v>0</v>
      </c>
      <c r="DU114" s="852" t="n">
        <v>0</v>
      </c>
      <c r="DV114" s="852" t="n">
        <v>0</v>
      </c>
      <c r="DW114" s="852" t="n">
        <v>0</v>
      </c>
      <c r="DX114" s="852" t="n">
        <v>0</v>
      </c>
      <c r="DY114" s="852" t="n">
        <v>0</v>
      </c>
      <c r="DZ114" s="852" t="n">
        <v>0</v>
      </c>
      <c r="EA114" s="852" t="n">
        <v>0</v>
      </c>
      <c r="EB114" s="1113" t="n">
        <v>0</v>
      </c>
      <c r="EC114" s="1115" t="n">
        <f aca="false">DS114*BD114</f>
        <v>0</v>
      </c>
      <c r="ED114" s="1115" t="n">
        <f aca="false">DT114*BE114</f>
        <v>0</v>
      </c>
      <c r="EE114" s="1115" t="n">
        <f aca="false">DU114*BF114</f>
        <v>0</v>
      </c>
      <c r="EF114" s="1115" t="n">
        <f aca="false">DV114*BG114</f>
        <v>0</v>
      </c>
      <c r="EG114" s="1115" t="n">
        <f aca="false">DS114*BD114+DT114*BE114+DU114*BF114+DV114*BG114</f>
        <v>0</v>
      </c>
      <c r="EH114" s="1116" t="n">
        <v>0</v>
      </c>
      <c r="EI114" s="1117" t="n">
        <v>0</v>
      </c>
      <c r="EJ114" s="1117" t="n">
        <v>0</v>
      </c>
      <c r="EK114" s="1117" t="n">
        <v>0</v>
      </c>
      <c r="EL114" s="1118" t="n">
        <f aca="false">IF(C114&gt;=Summary!$E$26,MAX(0,SUM(EH114:EK114)),0)</f>
        <v>0</v>
      </c>
      <c r="EM114" s="1115" t="n">
        <f aca="false">IF(C114&gt;=Summary!$E$26,DX114*BL114,0)</f>
        <v>0</v>
      </c>
      <c r="EN114" s="1115" t="n">
        <f aca="false">IF(C114&gt;=Summary!$E$26,DY114*BM114,0)</f>
        <v>0</v>
      </c>
      <c r="EO114" s="1115" t="n">
        <f aca="false">IF(C114&gt;=Summary!$E$26,DZ114*BN114,0)</f>
        <v>0</v>
      </c>
      <c r="EP114" s="1115" t="n">
        <f aca="false">IF(C114&gt;=Summary!$E$26,EA114*BO114,0)</f>
        <v>0</v>
      </c>
      <c r="EQ114" s="1115" t="n">
        <f aca="false">IF(C114&gt;=Summary!$E$26,DX114*BL114+DY114*BM114+DZ114*BN114+EA114*BO114,0)</f>
        <v>0</v>
      </c>
      <c r="ER114" s="1119" t="n">
        <v>0</v>
      </c>
      <c r="ES114" s="1120" t="n">
        <v>0</v>
      </c>
      <c r="ET114" s="1120" t="n">
        <v>0</v>
      </c>
      <c r="EU114" s="1120" t="n">
        <v>0</v>
      </c>
      <c r="EV114" s="1143" t="n">
        <f aca="false">IF(C114&gt;=Summary!$E$26,MAX(0,SUM(ER114:EU114)),0)</f>
        <v>0</v>
      </c>
      <c r="EW114" s="1115"/>
      <c r="EX114" s="1165" t="n">
        <f aca="false">(EQ114-EV114)+IF(EZ114="Yes",(EG114-EL114),0)</f>
        <v>0</v>
      </c>
      <c r="EY114" s="1166" t="str">
        <f aca="false">IF(EX114,EX114/EQ114,"")</f>
        <v/>
      </c>
      <c r="EZ114" s="1122" t="s">
        <v>37</v>
      </c>
      <c r="FA114" s="1096" t="n">
        <f aca="false">FA113</f>
        <v>45</v>
      </c>
      <c r="FB114" s="1167" t="n">
        <f aca="false">IF(EZ114="No",IF((OR(MONTH(C114)=5,MONTH(C114)=6,MONTH(C114)=7,MONTH(C114)=8,MONTH(C114)=9)),$FA114*12*AX114*(1-$BC114),$FA114*10*AX114*(1-$BC114)),0)</f>
        <v>9308.25</v>
      </c>
      <c r="FC114" s="1129" t="n">
        <f aca="false">IF(EZ114="No",IF((OR(MONTH(C114)=5,MONTH(C114)=6,MONTH(C114)=7,MONTH(C114)=8,MONTH(C114)=9)),0,$FA114*3*AX114*(1-$BC114)),0)</f>
        <v>2792.475</v>
      </c>
      <c r="FD114" s="1129" t="n">
        <f aca="false">IF(EZ114="No",IF((OR(MONTH(C114)=5,MONTH(C114)=6,MONTH(C114)=7,MONTH(C114)=8,MONTH(C114)=9)),$FA114*12*AY114*(1-$BC114),$FA114*10*AY114*(1-$BC114)),0)</f>
        <v>1773</v>
      </c>
      <c r="FE114" s="1129" t="n">
        <f aca="false">IF(EZ114="No",IF((OR(MONTH(C114)=5,MONTH(C114)=6,MONTH(C114)=7,MONTH(C114)=8,MONTH(C114)=9)),0,$FA114*3*AY114*(1-$BC114)),0)</f>
        <v>531.9</v>
      </c>
      <c r="FF114" s="1129" t="n">
        <f aca="false">IF(EZ114="No",IF((OR(MONTH(C114)=5,MONTH(C114)=6,MONTH(C114)=7,MONTH(C114)=8,MONTH(C114)=9)),$FA114*12*(AZ114+BA114)*(1-$BC114),$FA114*10*(AZ114+BA114)*(1-$BC114)),0)</f>
        <v>1773</v>
      </c>
      <c r="FG114" s="1129" t="n">
        <f aca="false">IF(EZ114="No",IF((OR(MONTH(C114)=5,MONTH(C114)=6,MONTH(C114)=7,MONTH(C114)=8,MONTH(C114)=9)),0,$FA114*3*(AZ114+BA114)*(1-$BC114)),0)</f>
        <v>531.9</v>
      </c>
      <c r="FH114" s="1170" t="n">
        <f aca="false">IF(EZ114="No",IF((OR(MONTH(C114)=5,MONTH(C114)=6,MONTH(C114)=7,MONTH(C114)=8,MONTH(C114)=9)),Summary!$O$15*12*(AX114+AY114+AZ114+BA114)*(1-$BC114),Summary!$O$15*13*(AX114+AY114+AZ114+BA114)*(1-$BC114)+IF(Summary!$O$16="Yes",(CALC!FA114+Summary!$O$15)*6*(AX114+AY114+AZ114+BA114)*(1-$BC114),0)),0)</f>
        <v>0</v>
      </c>
      <c r="FI114" s="1126" t="n">
        <f aca="false">IF(MONTH(C114)=5,FI113*(IF(Summary!$E$70="no",(1+(Summary!$E$71*0.8)),1+HLOOKUP(YEAR(C114)-1,CCFMODEL!$I$127:$AF$128,2)*0.8)),+FI113)</f>
        <v>32.1605394272484</v>
      </c>
      <c r="FJ114" s="1127" t="n">
        <f aca="false">IF(MONTH(C114)=5,FJ113*(IF(Summary!$E$70="no",(1+(Summary!$E$71*0.8)),1+HLOOKUP(YEAR(CALC!C114)-1,CCFMODEL!$I$127:$AF$128,2)*0.8)),FJ113)</f>
        <v>28.108817924603</v>
      </c>
      <c r="FK114" s="1128" t="n">
        <f aca="false">SUM(FB114:FG114)*FI114+FH114*FJ114</f>
        <v>537419.498112521</v>
      </c>
      <c r="FL114" s="1126" t="n">
        <f aca="false">IF(MONTH(C114)=5,FL113*(IF(Summary!$E$70="no",(1+(Summary!$E$71*0.8)),1+HLOOKUP(YEAR(CALC!C114)-1,CCFMODEL!$I$127:$AF$128,2)*0.8)),+FL113)</f>
        <v>67.637219965293</v>
      </c>
      <c r="FM114" s="1127" t="n">
        <f aca="false">IF(MONTH(C114)=5,FM113*(IF(Summary!$E$70="no",(1+(Summary!$E$71*0.8)),1+HLOOKUP(YEAR(CALC!C114)-1,CCFMODEL!$I$127:$AF$128,2)*0.8)),+FM113)</f>
        <v>32.2811263767319</v>
      </c>
      <c r="FN114" s="1128" t="n">
        <f aca="false">IF((OR(MONTH(C114)=5,MONTH(C114)=6,MONTH(C114)=7,MONTH(C114)=8,MONTH(C114)=9)),SUM(FB114:FG114)/(1-BC114)*FL114,SUM(FB114:FG114)/(1-BC114)*FM114)</f>
        <v>547649.308981257</v>
      </c>
      <c r="FO114" s="1129" t="n">
        <f aca="false">FK114+FN114</f>
        <v>1085068.80709378</v>
      </c>
      <c r="FP114" s="1169" t="n">
        <f aca="false">FB114</f>
        <v>9308.25</v>
      </c>
      <c r="FQ114" s="1129" t="n">
        <f aca="false">FC114</f>
        <v>2792.475</v>
      </c>
      <c r="FR114" s="1129" t="n">
        <f aca="false">FD114</f>
        <v>1773</v>
      </c>
      <c r="FS114" s="1129" t="n">
        <f aca="false">FE114</f>
        <v>531.9</v>
      </c>
      <c r="FT114" s="1129" t="n">
        <f aca="false">FF114</f>
        <v>1773</v>
      </c>
      <c r="FU114" s="1129" t="n">
        <f aca="false">FG114</f>
        <v>531.9</v>
      </c>
      <c r="FV114" s="1170" t="n">
        <f aca="false">FH114</f>
        <v>0</v>
      </c>
      <c r="FW114" s="1115" t="n">
        <f aca="false">IF(ER114&gt;0,MIN(FB114-FP114,BL114),0)</f>
        <v>0</v>
      </c>
      <c r="FX114" s="1115" t="n">
        <f aca="false">IF(ES114&gt;0,MIN(FD114-FR114,BM114),0)</f>
        <v>0</v>
      </c>
      <c r="FY114" s="1115" t="n">
        <f aca="false">IF(ET114&gt;0,MIN(FF114-FT114,BN114),0)</f>
        <v>0</v>
      </c>
      <c r="FZ114" s="1143" t="n">
        <f aca="false">IF(EU114&gt;0,MIN(FH114-FV114,BO114),0)</f>
        <v>0</v>
      </c>
      <c r="GA114" s="1132" t="n">
        <f aca="false">(SUM(FP114:FV114)+SUM(GU114:HB114)/(1-Summary!$O$25))*CY114/1000</f>
        <v>218819.150556055</v>
      </c>
      <c r="GB114" s="1133" t="n">
        <f aca="false">IF($C114&lt;Summary!$M$81,+Summary!$O$81,VLOOKUP(C114,GasTable,19))</f>
        <v>2.4</v>
      </c>
      <c r="GC114" s="1134" t="n">
        <f aca="false">IF(H114&lt;=Summary!$N$84,MIN(GA114,Summary!$O$75*(H114-G114+1)),0)</f>
        <v>145000</v>
      </c>
      <c r="GD114" s="1135" t="n">
        <f aca="false">IF(Summary!$O$75*(H114-G114+1)*0.8&gt;GC114,1,0)</f>
        <v>0</v>
      </c>
      <c r="GE114" s="1136" t="n">
        <v>0</v>
      </c>
      <c r="GF114" s="1134" t="n">
        <f aca="false">ABS(MIN(0,GC114-$GA114))</f>
        <v>73819.1505560552</v>
      </c>
      <c r="GG114" s="1135" t="n">
        <f aca="false">GF114*(IF(Summary!$O$74=1,VLOOKUP($C114,GasTable,16)+Summary!$O$92+Summary!$O$93,VLOOKUP($C114,GasTable,19)+Summary!$O$92+Summary!$O$93))</f>
        <v>231667.242987294</v>
      </c>
      <c r="GH114" s="1137" t="n">
        <v>19006.6</v>
      </c>
      <c r="GI114" s="1138" t="n">
        <v>0</v>
      </c>
      <c r="GJ114" s="1139" t="n">
        <f aca="false">+GB114*GC114+GE114+GG114+GH114-GI114</f>
        <v>598673.842987294</v>
      </c>
      <c r="GK114" s="1115" t="n">
        <f aca="false">SUM(FP114:FV114,GU114:GX114,GY114:HB114)</f>
        <v>28122.52815</v>
      </c>
      <c r="GL114" s="1140" t="n">
        <v>0.753003680544</v>
      </c>
      <c r="GM114" s="1141" t="n">
        <f aca="false">IF(GK114&gt;GC114/(CY114/1000),GC114/(CY114/1000),+GK114)*GL114</f>
        <v>14239</v>
      </c>
      <c r="GN114" s="1115" t="n">
        <f aca="false">IF(SUM(GU114:HB114)=0,0,IF(Summary!$O$16="Yes",SUM(GX114:HB114),IF(Summary!$O$17="Yes",SUM(GY114:HB114),SUM(GU114:HB114))))</f>
        <v>11412.00315</v>
      </c>
      <c r="GO114" s="1142" t="n">
        <v>3.01431177140114</v>
      </c>
      <c r="GP114" s="1143" t="n">
        <f aca="false">GN114*GO114</f>
        <v>34399.3354303119</v>
      </c>
      <c r="GQ114" s="1115"/>
      <c r="GR114" s="1115"/>
      <c r="GS114" s="1115"/>
      <c r="GT114" s="1115"/>
      <c r="GU114" s="1150" t="n">
        <v>5389.47675</v>
      </c>
      <c r="GV114" s="1115" t="n">
        <v>1026.567</v>
      </c>
      <c r="GW114" s="1115" t="n">
        <v>1026.567</v>
      </c>
      <c r="GX114" s="1115"/>
      <c r="GY114" s="1151" t="n">
        <v>2874.3876</v>
      </c>
      <c r="GZ114" s="1115" t="n">
        <v>547.5024</v>
      </c>
      <c r="HA114" s="1115" t="n">
        <v>547.5024</v>
      </c>
      <c r="HB114" s="1141"/>
      <c r="HC114" s="1115" t="n">
        <v>11412.00315</v>
      </c>
      <c r="HD114" s="1115"/>
      <c r="HE114" s="1115" t="n">
        <v>19598.874975</v>
      </c>
      <c r="HF114" s="1115" t="n">
        <v>395517.13249355</v>
      </c>
      <c r="HG114" s="1115"/>
      <c r="HH114" s="1142" t="n">
        <v>34.3992401833882</v>
      </c>
      <c r="HI114" s="1115" t="n">
        <v>674186.407589221</v>
      </c>
      <c r="HJ114" s="1150" t="n">
        <f aca="false">MAX(FB114-FP114-FW114,0)</f>
        <v>0</v>
      </c>
      <c r="HK114" s="1115" t="n">
        <f aca="false">MAX(FD114-FR114-FX114,0)</f>
        <v>0</v>
      </c>
      <c r="HL114" s="1115" t="n">
        <f aca="false">MAX(FF114-FT114-FY114,0)</f>
        <v>0</v>
      </c>
      <c r="HM114" s="1141" t="n">
        <f aca="false">MAX(FH114-FV114-FZ114,0)</f>
        <v>0</v>
      </c>
      <c r="HN114" s="1115" t="n">
        <f aca="false">SUM(HJ114:HM114)</f>
        <v>0</v>
      </c>
      <c r="HO114" s="1142" t="n">
        <f aca="false">IF(ISERROR(+HP114/HN114),0,+HP114/HN114)</f>
        <v>0</v>
      </c>
      <c r="HP114" s="1143" t="n">
        <f aca="false">(HJ114*CE114+HK114*CF114+HL114*CG114+HM114*CH114)</f>
        <v>0</v>
      </c>
      <c r="HQ114" s="1142"/>
      <c r="HR114" s="1150"/>
      <c r="HS114" s="1110"/>
      <c r="HT114" s="1141"/>
      <c r="HU114" s="1151"/>
      <c r="HV114" s="1142"/>
      <c r="HW114" s="1115"/>
      <c r="HX114" s="1149"/>
      <c r="HY114" s="1143"/>
      <c r="HZ114" s="1150"/>
      <c r="IA114" s="1142"/>
      <c r="IB114" s="1141"/>
      <c r="IC114" s="1151"/>
      <c r="ID114" s="1142"/>
      <c r="IE114" s="1141"/>
      <c r="IF114" s="1115"/>
      <c r="IG114" s="1142"/>
      <c r="IH114" s="1141"/>
      <c r="II114" s="1115"/>
      <c r="IJ114" s="1142"/>
      <c r="IK114" s="1115"/>
      <c r="IL114" s="1152"/>
      <c r="IM114" s="1192"/>
      <c r="IN114" s="1151"/>
      <c r="IO114" s="1151"/>
      <c r="IP114" s="1151"/>
      <c r="IQ114" s="1151"/>
      <c r="IR114" s="844"/>
    </row>
    <row r="115" customFormat="false" ht="13.5" hidden="false" customHeight="false" outlineLevel="0" collapsed="false">
      <c r="A115" s="0" t="str">
        <f aca="false">+D115&amp;"Q"&amp;ROUNDUP(E115/3,0)</f>
        <v>2008Q1</v>
      </c>
      <c r="B115" s="0" t="n">
        <f aca="false">YEAR(C115)</f>
        <v>2008</v>
      </c>
      <c r="C115" s="1153" t="n">
        <f aca="false">EOMONTH(C114,0)+1</f>
        <v>39508</v>
      </c>
      <c r="D115" s="841" t="n">
        <f aca="false">+YEAR(C115)</f>
        <v>2008</v>
      </c>
      <c r="E115" s="807" t="n">
        <f aca="false">MONTH(C115)</f>
        <v>3</v>
      </c>
      <c r="F115" s="1154" t="e">
        <f aca="false">IF(G115="","",Holiday(D115,E115))</f>
        <v>#VALUE!</v>
      </c>
      <c r="G115" s="1155" t="n">
        <v>39508</v>
      </c>
      <c r="H115" s="1156" t="n">
        <v>39538</v>
      </c>
      <c r="I115" s="1157" t="n">
        <f aca="false">I114</f>
        <v>0.0715</v>
      </c>
      <c r="J115" s="1158" t="n">
        <f aca="false">(1+I115/2)^(-2*(DATE(D116,E116,20)-$H$7)/365.25)</f>
        <v>0.556304312637798</v>
      </c>
      <c r="K115" s="1159"/>
      <c r="L115" s="1158"/>
      <c r="M115" s="1082" t="n">
        <v>0</v>
      </c>
      <c r="N115" s="1110" t="n">
        <f aca="false">M115</f>
        <v>0</v>
      </c>
      <c r="O115" s="1174" t="n">
        <f aca="false">N115</f>
        <v>0</v>
      </c>
      <c r="P115" s="1175" t="n">
        <f aca="false">M115</f>
        <v>0</v>
      </c>
      <c r="Q115" s="1110" t="n">
        <f aca="false">P115</f>
        <v>0</v>
      </c>
      <c r="R115" s="1174" t="n">
        <f aca="false">Q115</f>
        <v>0</v>
      </c>
      <c r="S115" s="1110" t="n">
        <f aca="false">R115</f>
        <v>0</v>
      </c>
      <c r="T115" s="1110" t="n">
        <f aca="false">S115</f>
        <v>0</v>
      </c>
      <c r="U115" s="1110" t="n">
        <f aca="false">T115</f>
        <v>0</v>
      </c>
      <c r="V115" s="1175" t="n">
        <f aca="false">U115</f>
        <v>0</v>
      </c>
      <c r="W115" s="1110" t="n">
        <f aca="false">V115</f>
        <v>0</v>
      </c>
      <c r="X115" s="1176" t="n">
        <f aca="false">W115</f>
        <v>0</v>
      </c>
      <c r="Y115" s="1086" t="n">
        <v>0</v>
      </c>
      <c r="Z115" s="1086" t="n">
        <v>0</v>
      </c>
      <c r="AA115" s="1087" t="n">
        <v>0</v>
      </c>
      <c r="AB115" s="1086" t="n">
        <v>0</v>
      </c>
      <c r="AC115" s="1086" t="n">
        <v>0</v>
      </c>
      <c r="AD115" s="1087" t="n">
        <v>0</v>
      </c>
      <c r="AE115" s="1086" t="n">
        <v>0</v>
      </c>
      <c r="AF115" s="1086" t="n">
        <v>0</v>
      </c>
      <c r="AG115" s="1087" t="n">
        <v>0</v>
      </c>
      <c r="AH115" s="1086" t="n">
        <v>0</v>
      </c>
      <c r="AI115" s="1086" t="n">
        <v>0</v>
      </c>
      <c r="AJ115" s="1087" t="n">
        <v>0</v>
      </c>
      <c r="AK115" s="1086" t="n">
        <v>0</v>
      </c>
      <c r="AL115" s="1086" t="n">
        <v>0</v>
      </c>
      <c r="AM115" s="1087" t="n">
        <v>0</v>
      </c>
      <c r="AN115" s="1086" t="n">
        <v>0</v>
      </c>
      <c r="AO115" s="1086" t="n">
        <v>0</v>
      </c>
      <c r="AP115" s="1087" t="n">
        <v>0</v>
      </c>
      <c r="AQ115" s="1086" t="n">
        <v>0</v>
      </c>
      <c r="AR115" s="1086" t="n">
        <v>0</v>
      </c>
      <c r="AS115" s="1087" t="n">
        <v>0</v>
      </c>
      <c r="AT115" s="1086" t="n">
        <v>0</v>
      </c>
      <c r="AU115" s="1086" t="n">
        <v>0</v>
      </c>
      <c r="AV115" s="1086" t="n">
        <v>0</v>
      </c>
      <c r="AW115" s="1172" t="n">
        <v>0</v>
      </c>
      <c r="AX115" s="807" t="n">
        <f aca="false">BB115-SUM(AY115:BA115)</f>
        <v>21</v>
      </c>
      <c r="AY115" s="807" t="n">
        <f aca="false">IF(AND($E115=MONTH(Summary!$E$24),$D115=YEAR(Summary!$E$24)),Summary!$E$25,1)*IF(G115="",0,INT((H115-MOD(H115,7)-G115)/7)+1-IF(BA115,IF(WEEKDAY(F115)=7,1,0),0))</f>
        <v>5</v>
      </c>
      <c r="AZ115" s="807" t="n">
        <f aca="false">IF(AND($E115=MONTH(Summary!$E$24),$D115=YEAR(Summary!$E$24)),Summary!$E$25,1)*IF(G115="",0,INT((H115-MOD(H115-1,7)-G115)/7)+1-IF(BA115,IF(WEEKDAY(F115)=1,1,0),0))</f>
        <v>5</v>
      </c>
      <c r="BA115" s="807" t="n">
        <v>0</v>
      </c>
      <c r="BB115" s="807" t="n">
        <f aca="false">IF(AND($E115=MONTH(Summary!$E$24),$D115=YEAR(Summary!$E$24)),Summary!$E$25,1)*IF(G115="",0,H115-G115+1)</f>
        <v>31</v>
      </c>
      <c r="BC115" s="1089" t="n">
        <f aca="false">Summary!$E$19</f>
        <v>0.015</v>
      </c>
      <c r="BD115" s="1090" t="n">
        <v>14893.2</v>
      </c>
      <c r="BE115" s="1091" t="n">
        <v>3546</v>
      </c>
      <c r="BF115" s="1091" t="n">
        <v>3546</v>
      </c>
      <c r="BG115" s="842"/>
      <c r="BH115" s="1092" t="n">
        <v>1</v>
      </c>
      <c r="BI115" s="1092" t="n">
        <v>1</v>
      </c>
      <c r="BJ115" s="1092" t="n">
        <v>1</v>
      </c>
      <c r="BK115" s="1092" t="n">
        <v>1</v>
      </c>
      <c r="BL115" s="1093" t="n">
        <v>2978.64</v>
      </c>
      <c r="BM115" s="1091" t="n">
        <v>709.2</v>
      </c>
      <c r="BN115" s="1091" t="n">
        <v>709.2</v>
      </c>
      <c r="BO115" s="842"/>
      <c r="BP115" s="1092" t="n">
        <v>1</v>
      </c>
      <c r="BQ115" s="1094" t="n">
        <v>1</v>
      </c>
      <c r="BR115" s="1094" t="n">
        <v>1</v>
      </c>
      <c r="BS115" s="1095" t="n">
        <v>1</v>
      </c>
      <c r="BT115" s="1093" t="n">
        <f aca="false">SUM(BD115:BF115)</f>
        <v>21985.2</v>
      </c>
      <c r="BU115" s="1098" t="n">
        <f aca="false">SUM(BD115:BG115)</f>
        <v>21985.2</v>
      </c>
      <c r="BV115" s="1090" t="n">
        <f aca="false">SUM(BL115:BN115)</f>
        <v>4397.04</v>
      </c>
      <c r="BW115" s="1098" t="n">
        <f aca="false">SUM(BL115:BO115)</f>
        <v>4397.04</v>
      </c>
      <c r="BX115" s="852" t="n">
        <v>8.21081451060917</v>
      </c>
      <c r="BY115" s="1099" t="n">
        <v>0</v>
      </c>
      <c r="BZ115" s="852" t="n">
        <v>0</v>
      </c>
      <c r="CA115" s="852" t="n">
        <v>0</v>
      </c>
      <c r="CB115" s="852" t="n">
        <v>0</v>
      </c>
      <c r="CC115" s="852" t="n">
        <v>0</v>
      </c>
      <c r="CD115" s="852" t="n">
        <v>0</v>
      </c>
      <c r="CE115" s="1100" t="n">
        <v>0</v>
      </c>
      <c r="CF115" s="852" t="n">
        <v>0</v>
      </c>
      <c r="CG115" s="852" t="n">
        <v>0</v>
      </c>
      <c r="CH115" s="852" t="n">
        <v>0</v>
      </c>
      <c r="CI115" s="852" t="n">
        <v>0</v>
      </c>
      <c r="CJ115" s="1101" t="n">
        <v>0</v>
      </c>
      <c r="CK115" s="852" t="n">
        <v>0</v>
      </c>
      <c r="CL115" s="852" t="n">
        <v>0</v>
      </c>
      <c r="CM115" s="852" t="n">
        <v>0</v>
      </c>
      <c r="CN115" s="852" t="n">
        <v>0</v>
      </c>
      <c r="CO115" s="852" t="n">
        <v>0</v>
      </c>
      <c r="CP115" s="852" t="n">
        <v>0</v>
      </c>
      <c r="CQ115" s="1102" t="n">
        <v>0</v>
      </c>
      <c r="CR115" s="1103" t="n">
        <v>0</v>
      </c>
      <c r="CS115" s="1103" t="n">
        <v>0</v>
      </c>
      <c r="CT115" s="1103" t="n">
        <v>0</v>
      </c>
      <c r="CU115" s="1103" t="n">
        <v>0</v>
      </c>
      <c r="CV115" s="1103" t="n">
        <v>0</v>
      </c>
      <c r="CW115" s="1103" t="n">
        <v>0</v>
      </c>
      <c r="CX115" s="1104" t="n">
        <v>0</v>
      </c>
      <c r="CY115" s="1105" t="n">
        <v>7670.09288</v>
      </c>
      <c r="CZ115" s="1099" t="n">
        <v>0</v>
      </c>
      <c r="DA115" s="852" t="n">
        <v>0</v>
      </c>
      <c r="DB115" s="852" t="n">
        <v>0</v>
      </c>
      <c r="DC115" s="852" t="n">
        <v>0</v>
      </c>
      <c r="DD115" s="852" t="n">
        <v>0</v>
      </c>
      <c r="DE115" s="1113" t="n">
        <v>0</v>
      </c>
      <c r="DF115" s="1109" t="n">
        <v>0</v>
      </c>
      <c r="DG115" s="1110" t="n">
        <v>0</v>
      </c>
      <c r="DH115" s="1111" t="n">
        <v>0</v>
      </c>
      <c r="DI115" s="1112" t="n">
        <v>0</v>
      </c>
      <c r="DJ115" s="1112" t="n">
        <v>0</v>
      </c>
      <c r="DK115" s="1112" t="n">
        <v>0</v>
      </c>
      <c r="DL115" s="1113" t="n">
        <v>0</v>
      </c>
      <c r="DM115" s="1114" t="n">
        <v>0</v>
      </c>
      <c r="DN115" s="1114" t="n">
        <v>0</v>
      </c>
      <c r="DO115" s="1114" t="n">
        <v>0</v>
      </c>
      <c r="DP115" s="1114" t="n">
        <v>0</v>
      </c>
      <c r="DQ115" s="1114" t="n">
        <v>0</v>
      </c>
      <c r="DR115" s="1109" t="n">
        <v>0</v>
      </c>
      <c r="DS115" s="852" t="n">
        <v>0</v>
      </c>
      <c r="DT115" s="852" t="n">
        <v>0</v>
      </c>
      <c r="DU115" s="852" t="n">
        <v>0</v>
      </c>
      <c r="DV115" s="852" t="n">
        <v>0</v>
      </c>
      <c r="DW115" s="852" t="n">
        <v>0</v>
      </c>
      <c r="DX115" s="852" t="n">
        <v>0</v>
      </c>
      <c r="DY115" s="852" t="n">
        <v>0</v>
      </c>
      <c r="DZ115" s="852" t="n">
        <v>0</v>
      </c>
      <c r="EA115" s="852" t="n">
        <v>0</v>
      </c>
      <c r="EB115" s="1113" t="n">
        <v>0</v>
      </c>
      <c r="EC115" s="1115" t="n">
        <f aca="false">DS115*BD115</f>
        <v>0</v>
      </c>
      <c r="ED115" s="1115" t="n">
        <f aca="false">DT115*BE115</f>
        <v>0</v>
      </c>
      <c r="EE115" s="1115" t="n">
        <f aca="false">DU115*BF115</f>
        <v>0</v>
      </c>
      <c r="EF115" s="1115" t="n">
        <f aca="false">DV115*BG115</f>
        <v>0</v>
      </c>
      <c r="EG115" s="1115" t="n">
        <f aca="false">DS115*BD115+DT115*BE115+DU115*BF115+DV115*BG115</f>
        <v>0</v>
      </c>
      <c r="EH115" s="1116" t="n">
        <v>0</v>
      </c>
      <c r="EI115" s="1117" t="n">
        <v>0</v>
      </c>
      <c r="EJ115" s="1117" t="n">
        <v>0</v>
      </c>
      <c r="EK115" s="1117" t="n">
        <v>0</v>
      </c>
      <c r="EL115" s="1118" t="n">
        <f aca="false">IF(C115&gt;=Summary!$E$26,MAX(0,SUM(EH115:EK115)),0)</f>
        <v>0</v>
      </c>
      <c r="EM115" s="1115" t="n">
        <f aca="false">IF(C115&gt;=Summary!$E$26,DX115*BL115,0)</f>
        <v>0</v>
      </c>
      <c r="EN115" s="1115" t="n">
        <f aca="false">IF(C115&gt;=Summary!$E$26,DY115*BM115,0)</f>
        <v>0</v>
      </c>
      <c r="EO115" s="1115" t="n">
        <f aca="false">IF(C115&gt;=Summary!$E$26,DZ115*BN115,0)</f>
        <v>0</v>
      </c>
      <c r="EP115" s="1115" t="n">
        <f aca="false">IF(C115&gt;=Summary!$E$26,EA115*BO115,0)</f>
        <v>0</v>
      </c>
      <c r="EQ115" s="1115" t="n">
        <f aca="false">IF(C115&gt;=Summary!$E$26,DX115*BL115+DY115*BM115+DZ115*BN115+EA115*BO115,0)</f>
        <v>0</v>
      </c>
      <c r="ER115" s="1119" t="n">
        <v>0</v>
      </c>
      <c r="ES115" s="1120" t="n">
        <v>0</v>
      </c>
      <c r="ET115" s="1120" t="n">
        <v>0</v>
      </c>
      <c r="EU115" s="1120" t="n">
        <v>0</v>
      </c>
      <c r="EV115" s="1143" t="n">
        <f aca="false">IF(C115&gt;=Summary!$E$26,MAX(0,SUM(ER115:EU115)),0)</f>
        <v>0</v>
      </c>
      <c r="EW115" s="1115"/>
      <c r="EX115" s="1165" t="n">
        <f aca="false">(EQ115-EV115)+IF(EZ115="Yes",(EG115-EL115),0)</f>
        <v>0</v>
      </c>
      <c r="EY115" s="1166" t="str">
        <f aca="false">IF(EX115,EX115/EQ115,"")</f>
        <v/>
      </c>
      <c r="EZ115" s="1122" t="s">
        <v>37</v>
      </c>
      <c r="FA115" s="1096" t="n">
        <f aca="false">FA114</f>
        <v>45</v>
      </c>
      <c r="FB115" s="1167" t="n">
        <f aca="false">IF(EZ115="No",IF((OR(MONTH(C115)=5,MONTH(C115)=6,MONTH(C115)=7,MONTH(C115)=8,MONTH(C115)=9)),$FA115*12*AX115*(1-$BC115),$FA115*10*AX115*(1-$BC115)),0)</f>
        <v>9308.25</v>
      </c>
      <c r="FC115" s="1129" t="n">
        <f aca="false">IF(EZ115="No",IF((OR(MONTH(C115)=5,MONTH(C115)=6,MONTH(C115)=7,MONTH(C115)=8,MONTH(C115)=9)),0,$FA115*3*AX115*(1-$BC115)),0)</f>
        <v>2792.475</v>
      </c>
      <c r="FD115" s="1129" t="n">
        <f aca="false">IF(EZ115="No",IF((OR(MONTH(C115)=5,MONTH(C115)=6,MONTH(C115)=7,MONTH(C115)=8,MONTH(C115)=9)),$FA115*12*AY115*(1-$BC115),$FA115*10*AY115*(1-$BC115)),0)</f>
        <v>2216.25</v>
      </c>
      <c r="FE115" s="1129" t="n">
        <f aca="false">IF(EZ115="No",IF((OR(MONTH(C115)=5,MONTH(C115)=6,MONTH(C115)=7,MONTH(C115)=8,MONTH(C115)=9)),0,$FA115*3*AY115*(1-$BC115)),0)</f>
        <v>664.875</v>
      </c>
      <c r="FF115" s="1129" t="n">
        <f aca="false">IF(EZ115="No",IF((OR(MONTH(C115)=5,MONTH(C115)=6,MONTH(C115)=7,MONTH(C115)=8,MONTH(C115)=9)),$FA115*12*(AZ115+BA115)*(1-$BC115),$FA115*10*(AZ115+BA115)*(1-$BC115)),0)</f>
        <v>2216.25</v>
      </c>
      <c r="FG115" s="1129" t="n">
        <f aca="false">IF(EZ115="No",IF((OR(MONTH(C115)=5,MONTH(C115)=6,MONTH(C115)=7,MONTH(C115)=8,MONTH(C115)=9)),0,$FA115*3*(AZ115+BA115)*(1-$BC115)),0)</f>
        <v>664.875</v>
      </c>
      <c r="FH115" s="1170" t="n">
        <f aca="false">IF(EZ115="No",IF((OR(MONTH(C115)=5,MONTH(C115)=6,MONTH(C115)=7,MONTH(C115)=8,MONTH(C115)=9)),Summary!$O$15*12*(AX115+AY115+AZ115+BA115)*(1-$BC115),Summary!$O$15*13*(AX115+AY115+AZ115+BA115)*(1-$BC115)+IF(Summary!$O$16="Yes",(CALC!FA115+Summary!$O$15)*6*(AX115+AY115+AZ115+BA115)*(1-$BC115),0)),0)</f>
        <v>0</v>
      </c>
      <c r="FI115" s="1126" t="n">
        <f aca="false">IF(MONTH(C115)=5,FI114*(IF(Summary!$E$70="no",(1+(Summary!$E$71*0.8)),1+HLOOKUP(YEAR(C115)-1,CCFMODEL!$I$127:$AF$128,2)*0.8)),+FI114)</f>
        <v>32.1605394272484</v>
      </c>
      <c r="FJ115" s="1127" t="n">
        <f aca="false">IF(MONTH(C115)=5,FJ114*(IF(Summary!$E$70="no",(1+(Summary!$E$71*0.8)),1+HLOOKUP(YEAR(CALC!C115)-1,CCFMODEL!$I$127:$AF$128,2)*0.8)),FJ114)</f>
        <v>28.108817924603</v>
      </c>
      <c r="FK115" s="1128" t="n">
        <f aca="false">SUM(FB115:FG115)*FI115+FH115*FJ115</f>
        <v>574482.911775453</v>
      </c>
      <c r="FL115" s="1126" t="n">
        <f aca="false">IF(MONTH(C115)=5,FL114*(IF(Summary!$E$70="no",(1+(Summary!$E$71*0.8)),1+HLOOKUP(YEAR(CALC!C115)-1,CCFMODEL!$I$127:$AF$128,2)*0.8)),+FL114)</f>
        <v>67.637219965293</v>
      </c>
      <c r="FM115" s="1127" t="n">
        <f aca="false">IF(MONTH(C115)=5,FM114*(IF(Summary!$E$70="no",(1+(Summary!$E$71*0.8)),1+HLOOKUP(YEAR(CALC!C115)-1,CCFMODEL!$I$127:$AF$128,2)*0.8)),+FM114)</f>
        <v>32.2811263767319</v>
      </c>
      <c r="FN115" s="1128" t="n">
        <f aca="false">IF((OR(MONTH(C115)=5,MONTH(C115)=6,MONTH(C115)=7,MONTH(C115)=8,MONTH(C115)=9)),SUM(FB115:FG115)/(1-BC115)*FL115,SUM(FB115:FG115)/(1-BC115)*FM115)</f>
        <v>585418.226842033</v>
      </c>
      <c r="FO115" s="1129" t="n">
        <f aca="false">FK115+FN115</f>
        <v>1159901.13861749</v>
      </c>
      <c r="FP115" s="1169" t="n">
        <f aca="false">FB115</f>
        <v>9308.25</v>
      </c>
      <c r="FQ115" s="1129" t="n">
        <f aca="false">FC115</f>
        <v>2792.475</v>
      </c>
      <c r="FR115" s="1129" t="n">
        <f aca="false">FD115</f>
        <v>2216.25</v>
      </c>
      <c r="FS115" s="1129" t="n">
        <f aca="false">FE115</f>
        <v>664.875</v>
      </c>
      <c r="FT115" s="1129" t="n">
        <f aca="false">FF115</f>
        <v>2216.25</v>
      </c>
      <c r="FU115" s="1129" t="n">
        <f aca="false">FG115</f>
        <v>664.875</v>
      </c>
      <c r="FV115" s="1170" t="n">
        <f aca="false">FH115</f>
        <v>0</v>
      </c>
      <c r="FW115" s="1115" t="n">
        <f aca="false">IF(ER115&gt;0,MIN(FB115-FP115,BL115),0)</f>
        <v>0</v>
      </c>
      <c r="FX115" s="1115" t="n">
        <f aca="false">IF(ES115&gt;0,MIN(FD115-FR115,BM115),0)</f>
        <v>0</v>
      </c>
      <c r="FY115" s="1115" t="n">
        <f aca="false">IF(ET115&gt;0,MIN(FF115-FT115,BN115),0)</f>
        <v>0</v>
      </c>
      <c r="FZ115" s="1143" t="n">
        <f aca="false">IF(EU115&gt;0,MIN(FH115-FV115,BO115),0)</f>
        <v>0</v>
      </c>
      <c r="GA115" s="1132" t="n">
        <f aca="false">(SUM(FP115:FV115)+SUM(GU115:HB115)/(1-Summary!$O$25))*CY115/1000</f>
        <v>233972.079804709</v>
      </c>
      <c r="GB115" s="1133" t="n">
        <f aca="false">IF($C115&lt;Summary!$M$81,+Summary!$O$81,VLOOKUP(C115,GasTable,19))</f>
        <v>2.4</v>
      </c>
      <c r="GC115" s="1134" t="n">
        <f aca="false">IF(H115&lt;=Summary!$N$84,MIN(GA115,Summary!$O$75*(H115-G115+1)),0)</f>
        <v>155000</v>
      </c>
      <c r="GD115" s="1135" t="n">
        <f aca="false">IF(Summary!$O$75*(H115-G115+1)*0.8&gt;GC115,1,0)</f>
        <v>0</v>
      </c>
      <c r="GE115" s="1136" t="n">
        <v>0</v>
      </c>
      <c r="GF115" s="1134" t="n">
        <f aca="false">ABS(MIN(0,GC115-$GA115))</f>
        <v>78972.0798047092</v>
      </c>
      <c r="GG115" s="1135" t="n">
        <f aca="false">GF115*(IF(Summary!$O$74=1,VLOOKUP($C115,GasTable,16)+Summary!$O$92+Summary!$O$93,VLOOKUP($C115,GasTable,19)+Summary!$O$92+Summary!$O$93))</f>
        <v>234767.26932838</v>
      </c>
      <c r="GH115" s="1137" t="n">
        <v>19542.4</v>
      </c>
      <c r="GI115" s="1138" t="n">
        <v>0</v>
      </c>
      <c r="GJ115" s="1139" t="n">
        <f aca="false">+GB115*GC115+GE115+GG115+GH115-GI115</f>
        <v>626309.66932838</v>
      </c>
      <c r="GK115" s="1115" t="n">
        <f aca="false">SUM(FP115:FV115,GU115:GX115,GY115:HB115)</f>
        <v>30062.01285</v>
      </c>
      <c r="GL115" s="1140" t="n">
        <v>0.753203120816</v>
      </c>
      <c r="GM115" s="1141" t="n">
        <f aca="false">IF(GK115&gt;GC115/(CY115/1000),GC115/(CY115/1000),+GK115)*GL115</f>
        <v>15221</v>
      </c>
      <c r="GN115" s="1115" t="n">
        <f aca="false">IF(SUM(GU115:HB115)=0,0,IF(Summary!$O$16="Yes",SUM(GX115:HB115),IF(Summary!$O$17="Yes",SUM(GY115:HB115),SUM(GU115:HB115))))</f>
        <v>12199.03785</v>
      </c>
      <c r="GO115" s="1142" t="n">
        <v>3.01431177140114</v>
      </c>
      <c r="GP115" s="1143" t="n">
        <f aca="false">GN115*GO115</f>
        <v>36771.703391023</v>
      </c>
      <c r="GQ115" s="1115"/>
      <c r="GR115" s="1115"/>
      <c r="GS115" s="1115"/>
      <c r="GT115" s="1115"/>
      <c r="GU115" s="1150" t="n">
        <v>5389.47675</v>
      </c>
      <c r="GV115" s="1115" t="n">
        <v>1283.20875</v>
      </c>
      <c r="GW115" s="1115" t="n">
        <v>1283.20875</v>
      </c>
      <c r="GX115" s="1115"/>
      <c r="GY115" s="1151" t="n">
        <v>2874.3876</v>
      </c>
      <c r="GZ115" s="1115" t="n">
        <v>684.378</v>
      </c>
      <c r="HA115" s="1115" t="n">
        <v>684.378</v>
      </c>
      <c r="HB115" s="1141"/>
      <c r="HC115" s="1115" t="n">
        <v>12199.03785</v>
      </c>
      <c r="HD115" s="1115"/>
      <c r="HE115" s="1115" t="n">
        <v>20950.521525</v>
      </c>
      <c r="HF115" s="1115" t="n">
        <v>419793.400061516</v>
      </c>
      <c r="HG115" s="1115"/>
      <c r="HH115" s="1142" t="n">
        <v>33.8472938115527</v>
      </c>
      <c r="HI115" s="1115" t="n">
        <v>709118.457561935</v>
      </c>
      <c r="HJ115" s="1150" t="n">
        <f aca="false">MAX(FB115-FP115-FW115,0)</f>
        <v>0</v>
      </c>
      <c r="HK115" s="1115" t="n">
        <f aca="false">MAX(FD115-FR115-FX115,0)</f>
        <v>0</v>
      </c>
      <c r="HL115" s="1115" t="n">
        <f aca="false">MAX(FF115-FT115-FY115,0)</f>
        <v>0</v>
      </c>
      <c r="HM115" s="1141" t="n">
        <f aca="false">MAX(FH115-FV115-FZ115,0)</f>
        <v>0</v>
      </c>
      <c r="HN115" s="1115" t="n">
        <f aca="false">SUM(HJ115:HM115)</f>
        <v>0</v>
      </c>
      <c r="HO115" s="1142" t="n">
        <f aca="false">IF(ISERROR(+HP115/HN115),0,+HP115/HN115)</f>
        <v>0</v>
      </c>
      <c r="HP115" s="1143" t="n">
        <f aca="false">(HJ115*CE115+HK115*CF115+HL115*CG115+HM115*CH115)</f>
        <v>0</v>
      </c>
      <c r="HQ115" s="1142"/>
      <c r="HR115" s="1150"/>
      <c r="HS115" s="1110"/>
      <c r="HT115" s="1141"/>
      <c r="HU115" s="1151"/>
      <c r="HV115" s="1142"/>
      <c r="HW115" s="1115"/>
      <c r="HX115" s="1149"/>
      <c r="HY115" s="1143"/>
      <c r="HZ115" s="1150"/>
      <c r="IA115" s="1142"/>
      <c r="IB115" s="1141"/>
      <c r="IC115" s="1151"/>
      <c r="ID115" s="1142"/>
      <c r="IE115" s="1141"/>
      <c r="IF115" s="1115"/>
      <c r="IG115" s="1142"/>
      <c r="IH115" s="1141"/>
      <c r="II115" s="1115"/>
      <c r="IJ115" s="1142"/>
      <c r="IK115" s="1115"/>
      <c r="IL115" s="1152"/>
      <c r="IM115" s="1192"/>
      <c r="IN115" s="1151"/>
      <c r="IO115" s="1151"/>
      <c r="IP115" s="1151"/>
      <c r="IQ115" s="1151"/>
      <c r="IR115" s="844"/>
    </row>
    <row r="116" customFormat="false" ht="13.5" hidden="false" customHeight="false" outlineLevel="0" collapsed="false">
      <c r="A116" s="0" t="str">
        <f aca="false">+D116&amp;"Q"&amp;ROUNDUP(E116/3,0)</f>
        <v>2008Q2</v>
      </c>
      <c r="B116" s="0" t="n">
        <f aca="false">YEAR(C116)</f>
        <v>2008</v>
      </c>
      <c r="C116" s="1153" t="n">
        <f aca="false">EOMONTH(C115,0)+1</f>
        <v>39539</v>
      </c>
      <c r="D116" s="841" t="n">
        <f aca="false">+YEAR(C116)</f>
        <v>2008</v>
      </c>
      <c r="E116" s="807" t="n">
        <f aca="false">MONTH(C116)</f>
        <v>4</v>
      </c>
      <c r="F116" s="1154" t="e">
        <f aca="false">IF(G116="","",Holiday(D116,E116))</f>
        <v>#VALUE!</v>
      </c>
      <c r="G116" s="1155" t="n">
        <v>39539</v>
      </c>
      <c r="H116" s="1156" t="n">
        <v>39568</v>
      </c>
      <c r="I116" s="1157" t="n">
        <f aca="false">I115</f>
        <v>0.0715</v>
      </c>
      <c r="J116" s="1158" t="n">
        <f aca="false">(1+I116/2)^(-2*(DATE(D117,E117,20)-$H$7)/365.25)</f>
        <v>0.553103595236478</v>
      </c>
      <c r="K116" s="1159"/>
      <c r="L116" s="1158"/>
      <c r="M116" s="1082" t="n">
        <v>0</v>
      </c>
      <c r="N116" s="1110" t="n">
        <f aca="false">M116</f>
        <v>0</v>
      </c>
      <c r="O116" s="1174" t="n">
        <f aca="false">N116</f>
        <v>0</v>
      </c>
      <c r="P116" s="1175" t="n">
        <f aca="false">M116</f>
        <v>0</v>
      </c>
      <c r="Q116" s="1110" t="n">
        <f aca="false">P116</f>
        <v>0</v>
      </c>
      <c r="R116" s="1174" t="n">
        <f aca="false">Q116</f>
        <v>0</v>
      </c>
      <c r="S116" s="1110" t="n">
        <f aca="false">R116</f>
        <v>0</v>
      </c>
      <c r="T116" s="1110" t="n">
        <f aca="false">S116</f>
        <v>0</v>
      </c>
      <c r="U116" s="1110" t="n">
        <f aca="false">T116</f>
        <v>0</v>
      </c>
      <c r="V116" s="1175" t="n">
        <f aca="false">U116</f>
        <v>0</v>
      </c>
      <c r="W116" s="1110" t="n">
        <f aca="false">V116</f>
        <v>0</v>
      </c>
      <c r="X116" s="1176" t="n">
        <f aca="false">W116</f>
        <v>0</v>
      </c>
      <c r="Y116" s="1086" t="n">
        <v>0</v>
      </c>
      <c r="Z116" s="1086" t="n">
        <v>0</v>
      </c>
      <c r="AA116" s="1087" t="n">
        <v>0</v>
      </c>
      <c r="AB116" s="1086" t="n">
        <v>0</v>
      </c>
      <c r="AC116" s="1086" t="n">
        <v>0</v>
      </c>
      <c r="AD116" s="1087" t="n">
        <v>0</v>
      </c>
      <c r="AE116" s="1086" t="n">
        <v>0</v>
      </c>
      <c r="AF116" s="1086" t="n">
        <v>0</v>
      </c>
      <c r="AG116" s="1087" t="n">
        <v>0</v>
      </c>
      <c r="AH116" s="1086" t="n">
        <v>0</v>
      </c>
      <c r="AI116" s="1086" t="n">
        <v>0</v>
      </c>
      <c r="AJ116" s="1087" t="n">
        <v>0</v>
      </c>
      <c r="AK116" s="1086" t="n">
        <v>0</v>
      </c>
      <c r="AL116" s="1086" t="n">
        <v>0</v>
      </c>
      <c r="AM116" s="1087" t="n">
        <v>0</v>
      </c>
      <c r="AN116" s="1086" t="n">
        <v>0</v>
      </c>
      <c r="AO116" s="1086" t="n">
        <v>0</v>
      </c>
      <c r="AP116" s="1087" t="n">
        <v>0</v>
      </c>
      <c r="AQ116" s="1086" t="n">
        <v>0</v>
      </c>
      <c r="AR116" s="1086" t="n">
        <v>0</v>
      </c>
      <c r="AS116" s="1087" t="n">
        <v>0</v>
      </c>
      <c r="AT116" s="1086" t="n">
        <v>0</v>
      </c>
      <c r="AU116" s="1086" t="n">
        <v>0</v>
      </c>
      <c r="AV116" s="1086" t="n">
        <v>0</v>
      </c>
      <c r="AW116" s="1172" t="n">
        <v>0</v>
      </c>
      <c r="AX116" s="807" t="n">
        <f aca="false">BB116-SUM(AY116:BA116)</f>
        <v>22</v>
      </c>
      <c r="AY116" s="807" t="n">
        <f aca="false">IF(AND($E116=MONTH(Summary!$E$24),$D116=YEAR(Summary!$E$24)),Summary!$E$25,1)*IF(G116="",0,INT((H116-MOD(H116,7)-G116)/7)+1-IF(BA116,IF(WEEKDAY(F116)=7,1,0),0))</f>
        <v>4</v>
      </c>
      <c r="AZ116" s="807" t="n">
        <f aca="false">IF(AND($E116=MONTH(Summary!$E$24),$D116=YEAR(Summary!$E$24)),Summary!$E$25,1)*IF(G116="",0,INT((H116-MOD(H116-1,7)-G116)/7)+1-IF(BA116,IF(WEEKDAY(F116)=1,1,0),0))</f>
        <v>4</v>
      </c>
      <c r="BA116" s="807" t="n">
        <v>0</v>
      </c>
      <c r="BB116" s="807" t="n">
        <f aca="false">IF(AND($E116=MONTH(Summary!$E$24),$D116=YEAR(Summary!$E$24)),Summary!$E$25,1)*IF(G116="",0,H116-G116+1)</f>
        <v>30</v>
      </c>
      <c r="BC116" s="1089" t="n">
        <f aca="false">Summary!$E$19</f>
        <v>0.015</v>
      </c>
      <c r="BD116" s="1090" t="n">
        <v>15602.4</v>
      </c>
      <c r="BE116" s="1091" t="n">
        <v>2836.8</v>
      </c>
      <c r="BF116" s="1091" t="n">
        <v>2836.8</v>
      </c>
      <c r="BG116" s="842"/>
      <c r="BH116" s="1092" t="n">
        <v>1</v>
      </c>
      <c r="BI116" s="1092" t="n">
        <v>1</v>
      </c>
      <c r="BJ116" s="1092" t="n">
        <v>1</v>
      </c>
      <c r="BK116" s="1092" t="n">
        <v>1</v>
      </c>
      <c r="BL116" s="1093" t="n">
        <v>3120.48</v>
      </c>
      <c r="BM116" s="1091" t="n">
        <v>567.36</v>
      </c>
      <c r="BN116" s="1091" t="n">
        <v>567.36</v>
      </c>
      <c r="BO116" s="842"/>
      <c r="BP116" s="1092" t="n">
        <v>1</v>
      </c>
      <c r="BQ116" s="1094" t="n">
        <v>1</v>
      </c>
      <c r="BR116" s="1094" t="n">
        <v>1</v>
      </c>
      <c r="BS116" s="1095" t="n">
        <v>1</v>
      </c>
      <c r="BT116" s="1093" t="n">
        <f aca="false">SUM(BD116:BF116)</f>
        <v>21276</v>
      </c>
      <c r="BU116" s="1098" t="n">
        <f aca="false">SUM(BD116:BG116)</f>
        <v>21276</v>
      </c>
      <c r="BV116" s="1090" t="n">
        <f aca="false">SUM(BL116:BN116)</f>
        <v>4255.2</v>
      </c>
      <c r="BW116" s="1098" t="n">
        <f aca="false">SUM(BL116:BO116)</f>
        <v>4255.2</v>
      </c>
      <c r="BX116" s="852" t="n">
        <v>8.29568788501027</v>
      </c>
      <c r="BY116" s="1099" t="n">
        <v>0</v>
      </c>
      <c r="BZ116" s="852" t="n">
        <v>0</v>
      </c>
      <c r="CA116" s="852" t="n">
        <v>0</v>
      </c>
      <c r="CB116" s="852" t="n">
        <v>0</v>
      </c>
      <c r="CC116" s="852" t="n">
        <v>0</v>
      </c>
      <c r="CD116" s="852" t="n">
        <v>0</v>
      </c>
      <c r="CE116" s="1100" t="n">
        <v>0</v>
      </c>
      <c r="CF116" s="852" t="n">
        <v>0</v>
      </c>
      <c r="CG116" s="852" t="n">
        <v>0</v>
      </c>
      <c r="CH116" s="852" t="n">
        <v>0</v>
      </c>
      <c r="CI116" s="852" t="n">
        <v>0</v>
      </c>
      <c r="CJ116" s="1101" t="n">
        <v>0</v>
      </c>
      <c r="CK116" s="852" t="n">
        <v>0</v>
      </c>
      <c r="CL116" s="852" t="n">
        <v>0</v>
      </c>
      <c r="CM116" s="852" t="n">
        <v>0</v>
      </c>
      <c r="CN116" s="852" t="n">
        <v>0</v>
      </c>
      <c r="CO116" s="852" t="n">
        <v>0</v>
      </c>
      <c r="CP116" s="852" t="n">
        <v>0</v>
      </c>
      <c r="CQ116" s="1102" t="n">
        <v>0</v>
      </c>
      <c r="CR116" s="1103" t="n">
        <v>0</v>
      </c>
      <c r="CS116" s="1103" t="n">
        <v>0</v>
      </c>
      <c r="CT116" s="1103" t="n">
        <v>0</v>
      </c>
      <c r="CU116" s="1103" t="n">
        <v>0</v>
      </c>
      <c r="CV116" s="1103" t="n">
        <v>0</v>
      </c>
      <c r="CW116" s="1103" t="n">
        <v>0</v>
      </c>
      <c r="CX116" s="1104" t="n">
        <v>0</v>
      </c>
      <c r="CY116" s="1105" t="n">
        <v>7672.12384</v>
      </c>
      <c r="CZ116" s="1099" t="n">
        <v>0</v>
      </c>
      <c r="DA116" s="852" t="n">
        <v>0</v>
      </c>
      <c r="DB116" s="852" t="n">
        <v>0</v>
      </c>
      <c r="DC116" s="852" t="n">
        <v>0</v>
      </c>
      <c r="DD116" s="852" t="n">
        <v>0</v>
      </c>
      <c r="DE116" s="1113" t="n">
        <v>0</v>
      </c>
      <c r="DF116" s="1109" t="n">
        <v>0</v>
      </c>
      <c r="DG116" s="1110" t="n">
        <v>0</v>
      </c>
      <c r="DH116" s="1111" t="n">
        <v>0</v>
      </c>
      <c r="DI116" s="1112" t="n">
        <v>0</v>
      </c>
      <c r="DJ116" s="1112" t="n">
        <v>0</v>
      </c>
      <c r="DK116" s="1112" t="n">
        <v>0</v>
      </c>
      <c r="DL116" s="1113" t="n">
        <v>0</v>
      </c>
      <c r="DM116" s="1114" t="n">
        <v>0</v>
      </c>
      <c r="DN116" s="1114" t="n">
        <v>0</v>
      </c>
      <c r="DO116" s="1114" t="n">
        <v>0</v>
      </c>
      <c r="DP116" s="1114" t="n">
        <v>0</v>
      </c>
      <c r="DQ116" s="1114" t="n">
        <v>0</v>
      </c>
      <c r="DR116" s="1109" t="n">
        <v>0</v>
      </c>
      <c r="DS116" s="852" t="n">
        <v>0</v>
      </c>
      <c r="DT116" s="852" t="n">
        <v>0</v>
      </c>
      <c r="DU116" s="852" t="n">
        <v>0</v>
      </c>
      <c r="DV116" s="852" t="n">
        <v>0</v>
      </c>
      <c r="DW116" s="852" t="n">
        <v>0</v>
      </c>
      <c r="DX116" s="852" t="n">
        <v>0</v>
      </c>
      <c r="DY116" s="852" t="n">
        <v>0</v>
      </c>
      <c r="DZ116" s="852" t="n">
        <v>0</v>
      </c>
      <c r="EA116" s="852" t="n">
        <v>0</v>
      </c>
      <c r="EB116" s="1113" t="n">
        <v>0</v>
      </c>
      <c r="EC116" s="1115" t="n">
        <f aca="false">DS116*BD116</f>
        <v>0</v>
      </c>
      <c r="ED116" s="1115" t="n">
        <f aca="false">DT116*BE116</f>
        <v>0</v>
      </c>
      <c r="EE116" s="1115" t="n">
        <f aca="false">DU116*BF116</f>
        <v>0</v>
      </c>
      <c r="EF116" s="1115" t="n">
        <f aca="false">DV116*BG116</f>
        <v>0</v>
      </c>
      <c r="EG116" s="1115" t="n">
        <f aca="false">DS116*BD116+DT116*BE116+DU116*BF116+DV116*BG116</f>
        <v>0</v>
      </c>
      <c r="EH116" s="1116" t="n">
        <v>0</v>
      </c>
      <c r="EI116" s="1117" t="n">
        <v>0</v>
      </c>
      <c r="EJ116" s="1117" t="n">
        <v>0</v>
      </c>
      <c r="EK116" s="1117" t="n">
        <v>0</v>
      </c>
      <c r="EL116" s="1118" t="n">
        <f aca="false">IF(C116&gt;=Summary!$E$26,MAX(0,SUM(EH116:EK116)),0)</f>
        <v>0</v>
      </c>
      <c r="EM116" s="1115" t="n">
        <f aca="false">IF(C116&gt;=Summary!$E$26,DX116*BL116,0)</f>
        <v>0</v>
      </c>
      <c r="EN116" s="1115" t="n">
        <f aca="false">IF(C116&gt;=Summary!$E$26,DY116*BM116,0)</f>
        <v>0</v>
      </c>
      <c r="EO116" s="1115" t="n">
        <f aca="false">IF(C116&gt;=Summary!$E$26,DZ116*BN116,0)</f>
        <v>0</v>
      </c>
      <c r="EP116" s="1115" t="n">
        <f aca="false">IF(C116&gt;=Summary!$E$26,EA116*BO116,0)</f>
        <v>0</v>
      </c>
      <c r="EQ116" s="1115" t="n">
        <f aca="false">IF(C116&gt;=Summary!$E$26,DX116*BL116+DY116*BM116+DZ116*BN116+EA116*BO116,0)</f>
        <v>0</v>
      </c>
      <c r="ER116" s="1119" t="n">
        <v>0</v>
      </c>
      <c r="ES116" s="1120" t="n">
        <v>0</v>
      </c>
      <c r="ET116" s="1120" t="n">
        <v>0</v>
      </c>
      <c r="EU116" s="1120" t="n">
        <v>0</v>
      </c>
      <c r="EV116" s="1143" t="n">
        <f aca="false">IF(C116&gt;=Summary!$E$26,MAX(0,SUM(ER116:EU116)),0)</f>
        <v>0</v>
      </c>
      <c r="EW116" s="1115"/>
      <c r="EX116" s="1165" t="n">
        <f aca="false">(EQ116-EV116)+IF(EZ116="Yes",(EG116-EL116),0)</f>
        <v>0</v>
      </c>
      <c r="EY116" s="1166" t="str">
        <f aca="false">IF(EX116,EX116/EQ116,"")</f>
        <v/>
      </c>
      <c r="EZ116" s="1122" t="s">
        <v>37</v>
      </c>
      <c r="FA116" s="1096" t="n">
        <f aca="false">FA115</f>
        <v>45</v>
      </c>
      <c r="FB116" s="1167" t="n">
        <f aca="false">IF(EZ116="No",IF((OR(MONTH(C116)=5,MONTH(C116)=6,MONTH(C116)=7,MONTH(C116)=8,MONTH(C116)=9)),$FA116*12*AX116*(1-$BC116),$FA116*10*AX116*(1-$BC116)),0)</f>
        <v>9751.5</v>
      </c>
      <c r="FC116" s="1129" t="n">
        <f aca="false">IF(EZ116="No",IF((OR(MONTH(C116)=5,MONTH(C116)=6,MONTH(C116)=7,MONTH(C116)=8,MONTH(C116)=9)),0,$FA116*3*AX116*(1-$BC116)),0)</f>
        <v>2925.45</v>
      </c>
      <c r="FD116" s="1129" t="n">
        <f aca="false">IF(EZ116="No",IF((OR(MONTH(C116)=5,MONTH(C116)=6,MONTH(C116)=7,MONTH(C116)=8,MONTH(C116)=9)),$FA116*12*AY116*(1-$BC116),$FA116*10*AY116*(1-$BC116)),0)</f>
        <v>1773</v>
      </c>
      <c r="FE116" s="1129" t="n">
        <f aca="false">IF(EZ116="No",IF((OR(MONTH(C116)=5,MONTH(C116)=6,MONTH(C116)=7,MONTH(C116)=8,MONTH(C116)=9)),0,$FA116*3*AY116*(1-$BC116)),0)</f>
        <v>531.9</v>
      </c>
      <c r="FF116" s="1129" t="n">
        <f aca="false">IF(EZ116="No",IF((OR(MONTH(C116)=5,MONTH(C116)=6,MONTH(C116)=7,MONTH(C116)=8,MONTH(C116)=9)),$FA116*12*(AZ116+BA116)*(1-$BC116),$FA116*10*(AZ116+BA116)*(1-$BC116)),0)</f>
        <v>1773</v>
      </c>
      <c r="FG116" s="1129" t="n">
        <f aca="false">IF(EZ116="No",IF((OR(MONTH(C116)=5,MONTH(C116)=6,MONTH(C116)=7,MONTH(C116)=8,MONTH(C116)=9)),0,$FA116*3*(AZ116+BA116)*(1-$BC116)),0)</f>
        <v>531.9</v>
      </c>
      <c r="FH116" s="1170" t="n">
        <f aca="false">IF(EZ116="No",IF((OR(MONTH(C116)=5,MONTH(C116)=6,MONTH(C116)=7,MONTH(C116)=8,MONTH(C116)=9)),Summary!$O$15*12*(AX116+AY116+AZ116+BA116)*(1-$BC116),Summary!$O$15*13*(AX116+AY116+AZ116+BA116)*(1-$BC116)+IF(Summary!$O$16="Yes",(CALC!FA116+Summary!$O$15)*6*(AX116+AY116+AZ116+BA116)*(1-$BC116),0)),0)</f>
        <v>0</v>
      </c>
      <c r="FI116" s="1126" t="n">
        <f aca="false">IF(MONTH(C116)=5,FI115*(IF(Summary!$E$70="no",(1+(Summary!$E$71*0.8)),1+HLOOKUP(YEAR(C116)-1,CCFMODEL!$I$127:$AF$128,2)*0.8)),+FI115)</f>
        <v>32.1605394272484</v>
      </c>
      <c r="FJ116" s="1127" t="n">
        <f aca="false">IF(MONTH(C116)=5,FJ115*(IF(Summary!$E$70="no",(1+(Summary!$E$71*0.8)),1+HLOOKUP(YEAR(CALC!C116)-1,CCFMODEL!$I$127:$AF$128,2)*0.8)),FJ115)</f>
        <v>28.108817924603</v>
      </c>
      <c r="FK116" s="1128" t="n">
        <f aca="false">SUM(FB116:FG116)*FI116+FH116*FJ116</f>
        <v>555951.204943987</v>
      </c>
      <c r="FL116" s="1126" t="n">
        <f aca="false">IF(MONTH(C116)=5,FL115*(IF(Summary!$E$70="no",(1+(Summary!$E$71*0.8)),1+HLOOKUP(YEAR(CALC!C116)-1,CCFMODEL!$I$127:$AF$128,2)*0.8)),+FL115)</f>
        <v>67.637219965293</v>
      </c>
      <c r="FM116" s="1127" t="n">
        <f aca="false">IF(MONTH(C116)=5,FM115*(IF(Summary!$E$70="no",(1+(Summary!$E$71*0.8)),1+HLOOKUP(YEAR(CALC!C116)-1,CCFMODEL!$I$127:$AF$128,2)*0.8)),+FM115)</f>
        <v>32.2811263767319</v>
      </c>
      <c r="FN116" s="1128" t="n">
        <f aca="false">IF((OR(MONTH(C116)=5,MONTH(C116)=6,MONTH(C116)=7,MONTH(C116)=8,MONTH(C116)=9)),SUM(FB116:FG116)/(1-BC116)*FL116,SUM(FB116:FG116)/(1-BC116)*FM116)</f>
        <v>566533.767911645</v>
      </c>
      <c r="FO116" s="1129" t="n">
        <f aca="false">FK116+FN116</f>
        <v>1122484.97285563</v>
      </c>
      <c r="FP116" s="1169" t="n">
        <f aca="false">FB116</f>
        <v>9751.5</v>
      </c>
      <c r="FQ116" s="1129" t="n">
        <f aca="false">FC116</f>
        <v>2925.45</v>
      </c>
      <c r="FR116" s="1129" t="n">
        <f aca="false">FD116</f>
        <v>1773</v>
      </c>
      <c r="FS116" s="1129" t="n">
        <f aca="false">FE116</f>
        <v>531.9</v>
      </c>
      <c r="FT116" s="1129" t="n">
        <f aca="false">FF116</f>
        <v>1773</v>
      </c>
      <c r="FU116" s="1129" t="n">
        <f aca="false">FG116</f>
        <v>531.9</v>
      </c>
      <c r="FV116" s="1170" t="n">
        <f aca="false">FH116</f>
        <v>0</v>
      </c>
      <c r="FW116" s="1115" t="n">
        <f aca="false">IF(ER116&gt;0,MIN(FB116-FP116,BL116),0)</f>
        <v>0</v>
      </c>
      <c r="FX116" s="1115" t="n">
        <f aca="false">IF(ES116&gt;0,MIN(FD116-FR116,BM116),0)</f>
        <v>0</v>
      </c>
      <c r="FY116" s="1115" t="n">
        <f aca="false">IF(ET116&gt;0,MIN(FF116-FT116,BN116),0)</f>
        <v>0</v>
      </c>
      <c r="FZ116" s="1143" t="n">
        <f aca="false">IF(EU116&gt;0,MIN(FH116-FV116,BO116),0)</f>
        <v>0</v>
      </c>
      <c r="GA116" s="1132" t="n">
        <f aca="false">(SUM(FP116:FV116)+SUM(GU116:HB116)/(1-Summary!$O$25))*CY116/1000</f>
        <v>226484.548212528</v>
      </c>
      <c r="GB116" s="1133" t="n">
        <f aca="false">IF($C116&lt;Summary!$M$81,+Summary!$O$81,VLOOKUP(C116,GasTable,19))</f>
        <v>2.4</v>
      </c>
      <c r="GC116" s="1134" t="n">
        <f aca="false">IF(H116&lt;=Summary!$N$84,MIN(GA116,Summary!$O$75*(H116-G116+1)),0)</f>
        <v>150000</v>
      </c>
      <c r="GD116" s="1135" t="n">
        <f aca="false">IF(Summary!$O$75*(H116-G116+1)*0.8&gt;GC116,1,0)</f>
        <v>0</v>
      </c>
      <c r="GE116" s="1136" t="n">
        <v>0</v>
      </c>
      <c r="GF116" s="1134" t="n">
        <f aca="false">ABS(MIN(0,GC116-$GA116))</f>
        <v>76484.548212528</v>
      </c>
      <c r="GG116" s="1135" t="n">
        <f aca="false">GF116*(IF(Summary!$O$74=1,VLOOKUP($C116,GasTable,16)+Summary!$O$92+Summary!$O$93,VLOOKUP($C116,GasTable,19)+Summary!$O$92+Summary!$O$93))</f>
        <v>220670.579627806</v>
      </c>
      <c r="GH116" s="1137" t="n">
        <v>18162</v>
      </c>
      <c r="GI116" s="1138" t="n">
        <v>0</v>
      </c>
      <c r="GJ116" s="1139" t="n">
        <f aca="false">+GB116*GC116+GE116+GG116+GH116-GI116</f>
        <v>598832.579627806</v>
      </c>
      <c r="GK116" s="1115" t="n">
        <f aca="false">SUM(FP116:FV116,GU116:GX116,GY116:HB116)</f>
        <v>29092.2705</v>
      </c>
      <c r="GL116" s="1140" t="n">
        <v>0.753402561088</v>
      </c>
      <c r="GM116" s="1141" t="n">
        <f aca="false">IF(GK116&gt;GC116/(CY116/1000),GC116/(CY116/1000),+GK116)*GL116</f>
        <v>14730</v>
      </c>
      <c r="GN116" s="1115" t="n">
        <f aca="false">IF(SUM(GU116:HB116)=0,0,IF(Summary!$O$16="Yes",SUM(GX116:HB116),IF(Summary!$O$17="Yes",SUM(GY116:HB116),SUM(GU116:HB116))))</f>
        <v>11805.5205</v>
      </c>
      <c r="GO116" s="1142" t="n">
        <v>3.01431177140114</v>
      </c>
      <c r="GP116" s="1143" t="n">
        <f aca="false">GN116*GO116</f>
        <v>35585.5194106674</v>
      </c>
      <c r="GQ116" s="1115"/>
      <c r="GR116" s="1115"/>
      <c r="GS116" s="1115"/>
      <c r="GT116" s="1115"/>
      <c r="GU116" s="1150" t="n">
        <v>5646.1185</v>
      </c>
      <c r="GV116" s="1115" t="n">
        <v>1026.567</v>
      </c>
      <c r="GW116" s="1115" t="n">
        <v>1026.567</v>
      </c>
      <c r="GX116" s="1115"/>
      <c r="GY116" s="1151" t="n">
        <v>3011.2632</v>
      </c>
      <c r="GZ116" s="1115" t="n">
        <v>547.5024</v>
      </c>
      <c r="HA116" s="1115" t="n">
        <v>547.5024</v>
      </c>
      <c r="HB116" s="1141"/>
      <c r="HC116" s="1115" t="n">
        <v>11805.5205</v>
      </c>
      <c r="HD116" s="1115"/>
      <c r="HE116" s="1115" t="n">
        <v>20274.69825</v>
      </c>
      <c r="HF116" s="1115" t="n">
        <v>388579.934880966</v>
      </c>
      <c r="HG116" s="1115"/>
      <c r="HH116" s="1142" t="n">
        <v>32.3203405575948</v>
      </c>
      <c r="HI116" s="1115" t="n">
        <v>655285.152142472</v>
      </c>
      <c r="HJ116" s="1150" t="n">
        <f aca="false">MAX(FB116-FP116-FW116,0)</f>
        <v>0</v>
      </c>
      <c r="HK116" s="1115" t="n">
        <f aca="false">MAX(FD116-FR116-FX116,0)</f>
        <v>0</v>
      </c>
      <c r="HL116" s="1115" t="n">
        <f aca="false">MAX(FF116-FT116-FY116,0)</f>
        <v>0</v>
      </c>
      <c r="HM116" s="1141" t="n">
        <f aca="false">MAX(FH116-FV116-FZ116,0)</f>
        <v>0</v>
      </c>
      <c r="HN116" s="1115" t="n">
        <f aca="false">SUM(HJ116:HM116)</f>
        <v>0</v>
      </c>
      <c r="HO116" s="1142" t="n">
        <f aca="false">IF(ISERROR(+HP116/HN116),0,+HP116/HN116)</f>
        <v>0</v>
      </c>
      <c r="HP116" s="1143" t="n">
        <f aca="false">(HJ116*CE116+HK116*CF116+HL116*CG116+HM116*CH116)</f>
        <v>0</v>
      </c>
      <c r="HQ116" s="1142"/>
      <c r="HR116" s="1150"/>
      <c r="HS116" s="1110"/>
      <c r="HT116" s="1141"/>
      <c r="HU116" s="1151"/>
      <c r="HV116" s="1142"/>
      <c r="HW116" s="1115"/>
      <c r="HX116" s="1149"/>
      <c r="HY116" s="1143"/>
      <c r="HZ116" s="1150"/>
      <c r="IA116" s="1142"/>
      <c r="IB116" s="1141"/>
      <c r="IC116" s="1151"/>
      <c r="ID116" s="1142"/>
      <c r="IE116" s="1141"/>
      <c r="IF116" s="1115"/>
      <c r="IG116" s="1142"/>
      <c r="IH116" s="1141"/>
      <c r="II116" s="1115"/>
      <c r="IJ116" s="1142"/>
      <c r="IK116" s="1115"/>
      <c r="IL116" s="1152"/>
      <c r="IM116" s="1192"/>
      <c r="IN116" s="1151"/>
      <c r="IO116" s="1151"/>
      <c r="IP116" s="1151"/>
      <c r="IQ116" s="1151"/>
      <c r="IR116" s="844"/>
    </row>
    <row r="117" customFormat="false" ht="13.5" hidden="false" customHeight="false" outlineLevel="0" collapsed="false">
      <c r="A117" s="0" t="str">
        <f aca="false">+D117&amp;"Q"&amp;ROUNDUP(E117/3,0)</f>
        <v>2008Q2</v>
      </c>
      <c r="B117" s="0" t="n">
        <f aca="false">YEAR(C117)</f>
        <v>2008</v>
      </c>
      <c r="C117" s="1153" t="n">
        <f aca="false">EOMONTH(C116,0)+1</f>
        <v>39569</v>
      </c>
      <c r="D117" s="841" t="n">
        <f aca="false">+YEAR(C117)</f>
        <v>2008</v>
      </c>
      <c r="E117" s="807" t="n">
        <f aca="false">MONTH(C117)</f>
        <v>5</v>
      </c>
      <c r="F117" s="1154" t="e">
        <f aca="false">IF(G117="","",Holiday(D117,E117))</f>
        <v>#VALUE!</v>
      </c>
      <c r="G117" s="1155" t="n">
        <v>39569</v>
      </c>
      <c r="H117" s="1156" t="n">
        <v>39599</v>
      </c>
      <c r="I117" s="1157" t="n">
        <f aca="false">I116</f>
        <v>0.0715</v>
      </c>
      <c r="J117" s="1158" t="n">
        <f aca="false">(1+I117/2)^(-2*(DATE(D118,E118,20)-$H$7)/365.25)</f>
        <v>0.549815532465434</v>
      </c>
      <c r="K117" s="1159"/>
      <c r="L117" s="1158"/>
      <c r="M117" s="1082" t="n">
        <v>0</v>
      </c>
      <c r="N117" s="1110" t="n">
        <f aca="false">M117</f>
        <v>0</v>
      </c>
      <c r="O117" s="1174" t="n">
        <f aca="false">N117</f>
        <v>0</v>
      </c>
      <c r="P117" s="1175" t="n">
        <f aca="false">M117</f>
        <v>0</v>
      </c>
      <c r="Q117" s="1110" t="n">
        <f aca="false">P117</f>
        <v>0</v>
      </c>
      <c r="R117" s="1174" t="n">
        <f aca="false">Q117</f>
        <v>0</v>
      </c>
      <c r="S117" s="1110" t="n">
        <f aca="false">R117</f>
        <v>0</v>
      </c>
      <c r="T117" s="1110" t="n">
        <f aca="false">S117</f>
        <v>0</v>
      </c>
      <c r="U117" s="1110" t="n">
        <f aca="false">T117</f>
        <v>0</v>
      </c>
      <c r="V117" s="1175" t="n">
        <f aca="false">U117</f>
        <v>0</v>
      </c>
      <c r="W117" s="1110" t="n">
        <f aca="false">V117</f>
        <v>0</v>
      </c>
      <c r="X117" s="1176" t="n">
        <f aca="false">W117</f>
        <v>0</v>
      </c>
      <c r="Y117" s="1086" t="n">
        <v>0</v>
      </c>
      <c r="Z117" s="1086" t="n">
        <v>0</v>
      </c>
      <c r="AA117" s="1087" t="n">
        <v>0</v>
      </c>
      <c r="AB117" s="1086" t="n">
        <v>0</v>
      </c>
      <c r="AC117" s="1086" t="n">
        <v>0</v>
      </c>
      <c r="AD117" s="1087" t="n">
        <v>0</v>
      </c>
      <c r="AE117" s="1086" t="n">
        <v>0</v>
      </c>
      <c r="AF117" s="1086" t="n">
        <v>0</v>
      </c>
      <c r="AG117" s="1087" t="n">
        <v>0</v>
      </c>
      <c r="AH117" s="1086" t="n">
        <v>0</v>
      </c>
      <c r="AI117" s="1086" t="n">
        <v>0</v>
      </c>
      <c r="AJ117" s="1087" t="n">
        <v>0</v>
      </c>
      <c r="AK117" s="1086" t="n">
        <v>0</v>
      </c>
      <c r="AL117" s="1086" t="n">
        <v>0</v>
      </c>
      <c r="AM117" s="1087" t="n">
        <v>0</v>
      </c>
      <c r="AN117" s="1086" t="n">
        <v>0</v>
      </c>
      <c r="AO117" s="1086" t="n">
        <v>0</v>
      </c>
      <c r="AP117" s="1087" t="n">
        <v>0</v>
      </c>
      <c r="AQ117" s="1086" t="n">
        <v>0</v>
      </c>
      <c r="AR117" s="1086" t="n">
        <v>0</v>
      </c>
      <c r="AS117" s="1087" t="n">
        <v>0</v>
      </c>
      <c r="AT117" s="1086" t="n">
        <v>0</v>
      </c>
      <c r="AU117" s="1086" t="n">
        <v>0</v>
      </c>
      <c r="AV117" s="1086" t="n">
        <v>0</v>
      </c>
      <c r="AW117" s="1172" t="n">
        <v>0</v>
      </c>
      <c r="AX117" s="807" t="e">
        <f aca="false">BB117-SUM(AY117:BA117)</f>
        <v>#VALUE!</v>
      </c>
      <c r="AY117" s="807" t="e">
        <f aca="false">IF(AND($E117=MONTH(Summary!$E$24),$D117=YEAR(Summary!$E$24)),Summary!$E$25,1)*IF(G117="",0,INT((H117-MOD(H117,7)-G117)/7)+1-IF(BA117,IF(WEEKDAY(F117)=7,1,0),0))</f>
        <v>#VALUE!</v>
      </c>
      <c r="AZ117" s="807" t="e">
        <f aca="false">IF(AND($E117=MONTH(Summary!$E$24),$D117=YEAR(Summary!$E$24)),Summary!$E$25,1)*IF(G117="",0,INT((H117-MOD(H117-1,7)-G117)/7)+1-IF(BA117,IF(WEEKDAY(F117)=1,1,0),0))</f>
        <v>#VALUE!</v>
      </c>
      <c r="BA117" s="807" t="n">
        <v>1</v>
      </c>
      <c r="BB117" s="807" t="n">
        <f aca="false">IF(AND($E117=MONTH(Summary!$E$24),$D117=YEAR(Summary!$E$24)),Summary!$E$25,1)*IF(G117="",0,H117-G117+1)</f>
        <v>31</v>
      </c>
      <c r="BC117" s="1089" t="n">
        <f aca="false">Summary!$E$19</f>
        <v>0.015</v>
      </c>
      <c r="BD117" s="1090" t="n">
        <v>14893.2</v>
      </c>
      <c r="BE117" s="1091" t="n">
        <v>3546</v>
      </c>
      <c r="BF117" s="1091" t="n">
        <v>3546</v>
      </c>
      <c r="BG117" s="842"/>
      <c r="BH117" s="1092" t="n">
        <v>1</v>
      </c>
      <c r="BI117" s="1092" t="n">
        <v>1</v>
      </c>
      <c r="BJ117" s="1092" t="n">
        <v>1</v>
      </c>
      <c r="BK117" s="1092" t="n">
        <v>1</v>
      </c>
      <c r="BL117" s="1093" t="n">
        <v>2978.64</v>
      </c>
      <c r="BM117" s="1091" t="n">
        <v>709.2</v>
      </c>
      <c r="BN117" s="1091" t="n">
        <v>709.2</v>
      </c>
      <c r="BO117" s="842"/>
      <c r="BP117" s="1092" t="n">
        <v>1</v>
      </c>
      <c r="BQ117" s="1094" t="n">
        <v>1</v>
      </c>
      <c r="BR117" s="1094" t="n">
        <v>1</v>
      </c>
      <c r="BS117" s="1095" t="n">
        <v>1</v>
      </c>
      <c r="BT117" s="1093" t="n">
        <f aca="false">SUM(BD117:BF117)</f>
        <v>21985.2</v>
      </c>
      <c r="BU117" s="1098" t="n">
        <f aca="false">SUM(BD117:BG117)</f>
        <v>21985.2</v>
      </c>
      <c r="BV117" s="1090" t="n">
        <f aca="false">SUM(BL117:BN117)</f>
        <v>4397.04</v>
      </c>
      <c r="BW117" s="1098" t="n">
        <f aca="false">SUM(BL117:BO117)</f>
        <v>4397.04</v>
      </c>
      <c r="BX117" s="852" t="n">
        <v>8.37782340862423</v>
      </c>
      <c r="BY117" s="1099" t="n">
        <v>0</v>
      </c>
      <c r="BZ117" s="852" t="n">
        <v>0</v>
      </c>
      <c r="CA117" s="852" t="n">
        <v>0</v>
      </c>
      <c r="CB117" s="852" t="n">
        <v>0</v>
      </c>
      <c r="CC117" s="852" t="n">
        <v>0</v>
      </c>
      <c r="CD117" s="852" t="n">
        <v>0</v>
      </c>
      <c r="CE117" s="1100" t="n">
        <v>0</v>
      </c>
      <c r="CF117" s="852" t="n">
        <v>0</v>
      </c>
      <c r="CG117" s="852" t="n">
        <v>0</v>
      </c>
      <c r="CH117" s="852" t="n">
        <v>0</v>
      </c>
      <c r="CI117" s="852" t="n">
        <v>0</v>
      </c>
      <c r="CJ117" s="1101" t="n">
        <v>0</v>
      </c>
      <c r="CK117" s="852" t="n">
        <v>0</v>
      </c>
      <c r="CL117" s="852" t="n">
        <v>0</v>
      </c>
      <c r="CM117" s="852" t="n">
        <v>0</v>
      </c>
      <c r="CN117" s="852" t="n">
        <v>0</v>
      </c>
      <c r="CO117" s="852" t="n">
        <v>0</v>
      </c>
      <c r="CP117" s="852" t="n">
        <v>0</v>
      </c>
      <c r="CQ117" s="1102" t="n">
        <v>0</v>
      </c>
      <c r="CR117" s="1103" t="n">
        <v>0</v>
      </c>
      <c r="CS117" s="1103" t="n">
        <v>0</v>
      </c>
      <c r="CT117" s="1103" t="n">
        <v>0</v>
      </c>
      <c r="CU117" s="1103" t="n">
        <v>0</v>
      </c>
      <c r="CV117" s="1103" t="n">
        <v>0</v>
      </c>
      <c r="CW117" s="1103" t="n">
        <v>0</v>
      </c>
      <c r="CX117" s="1104" t="n">
        <v>0</v>
      </c>
      <c r="CY117" s="1105" t="n">
        <v>7674.1548</v>
      </c>
      <c r="CZ117" s="1099" t="n">
        <v>0</v>
      </c>
      <c r="DA117" s="852" t="n">
        <v>0</v>
      </c>
      <c r="DB117" s="852" t="n">
        <v>0</v>
      </c>
      <c r="DC117" s="852" t="n">
        <v>0</v>
      </c>
      <c r="DD117" s="852" t="n">
        <v>0</v>
      </c>
      <c r="DE117" s="1113" t="n">
        <v>0</v>
      </c>
      <c r="DF117" s="1109" t="n">
        <v>0</v>
      </c>
      <c r="DG117" s="1110" t="n">
        <v>0</v>
      </c>
      <c r="DH117" s="1111" t="n">
        <v>0</v>
      </c>
      <c r="DI117" s="1112" t="n">
        <v>0</v>
      </c>
      <c r="DJ117" s="1112" t="n">
        <v>0</v>
      </c>
      <c r="DK117" s="1112" t="n">
        <v>0</v>
      </c>
      <c r="DL117" s="1113" t="n">
        <v>0</v>
      </c>
      <c r="DM117" s="1114" t="n">
        <v>0</v>
      </c>
      <c r="DN117" s="1114" t="n">
        <v>0</v>
      </c>
      <c r="DO117" s="1114" t="n">
        <v>0</v>
      </c>
      <c r="DP117" s="1114" t="n">
        <v>0</v>
      </c>
      <c r="DQ117" s="1114" t="n">
        <v>0</v>
      </c>
      <c r="DR117" s="1109" t="n">
        <v>0</v>
      </c>
      <c r="DS117" s="852" t="n">
        <v>0</v>
      </c>
      <c r="DT117" s="852" t="n">
        <v>0</v>
      </c>
      <c r="DU117" s="852" t="n">
        <v>0</v>
      </c>
      <c r="DV117" s="852" t="n">
        <v>0</v>
      </c>
      <c r="DW117" s="852" t="n">
        <v>0</v>
      </c>
      <c r="DX117" s="852" t="n">
        <v>0</v>
      </c>
      <c r="DY117" s="852" t="n">
        <v>0</v>
      </c>
      <c r="DZ117" s="852" t="n">
        <v>0</v>
      </c>
      <c r="EA117" s="852" t="n">
        <v>0</v>
      </c>
      <c r="EB117" s="1113" t="n">
        <v>0</v>
      </c>
      <c r="EC117" s="1115" t="n">
        <f aca="false">DS117*BD117</f>
        <v>0</v>
      </c>
      <c r="ED117" s="1115" t="n">
        <f aca="false">DT117*BE117</f>
        <v>0</v>
      </c>
      <c r="EE117" s="1115" t="n">
        <f aca="false">DU117*BF117</f>
        <v>0</v>
      </c>
      <c r="EF117" s="1115" t="n">
        <f aca="false">DV117*BG117</f>
        <v>0</v>
      </c>
      <c r="EG117" s="1115" t="n">
        <f aca="false">DS117*BD117+DT117*BE117+DU117*BF117+DV117*BG117</f>
        <v>0</v>
      </c>
      <c r="EH117" s="1116" t="n">
        <v>0</v>
      </c>
      <c r="EI117" s="1117" t="n">
        <v>0</v>
      </c>
      <c r="EJ117" s="1117" t="n">
        <v>0</v>
      </c>
      <c r="EK117" s="1117" t="n">
        <v>0</v>
      </c>
      <c r="EL117" s="1118" t="n">
        <f aca="false">IF(C117&gt;=Summary!$E$26,MAX(0,SUM(EH117:EK117)),0)</f>
        <v>0</v>
      </c>
      <c r="EM117" s="1115" t="n">
        <f aca="false">IF(C117&gt;=Summary!$E$26,DX117*BL117,0)</f>
        <v>0</v>
      </c>
      <c r="EN117" s="1115" t="n">
        <f aca="false">IF(C117&gt;=Summary!$E$26,DY117*BM117,0)</f>
        <v>0</v>
      </c>
      <c r="EO117" s="1115" t="n">
        <f aca="false">IF(C117&gt;=Summary!$E$26,DZ117*BN117,0)</f>
        <v>0</v>
      </c>
      <c r="EP117" s="1115" t="n">
        <f aca="false">IF(C117&gt;=Summary!$E$26,EA117*BO117,0)</f>
        <v>0</v>
      </c>
      <c r="EQ117" s="1115" t="n">
        <f aca="false">IF(C117&gt;=Summary!$E$26,DX117*BL117+DY117*BM117+DZ117*BN117+EA117*BO117,0)</f>
        <v>0</v>
      </c>
      <c r="ER117" s="1119" t="n">
        <v>0</v>
      </c>
      <c r="ES117" s="1120" t="n">
        <v>0</v>
      </c>
      <c r="ET117" s="1120" t="n">
        <v>0</v>
      </c>
      <c r="EU117" s="1120" t="n">
        <v>0</v>
      </c>
      <c r="EV117" s="1143" t="n">
        <f aca="false">IF(C117&gt;=Summary!$E$26,MAX(0,SUM(ER117:EU117)),0)</f>
        <v>0</v>
      </c>
      <c r="EW117" s="1115"/>
      <c r="EX117" s="1165" t="n">
        <f aca="false">(EQ117-EV117)+IF(EZ117="Yes",(EG117-EL117),0)</f>
        <v>0</v>
      </c>
      <c r="EY117" s="1166" t="str">
        <f aca="false">IF(EX117,EX117/EQ117,"")</f>
        <v/>
      </c>
      <c r="EZ117" s="1122" t="s">
        <v>37</v>
      </c>
      <c r="FA117" s="1096" t="n">
        <f aca="false">FA116</f>
        <v>45</v>
      </c>
      <c r="FB117" s="1167" t="e">
        <f aca="false">IF(EZ117="No",IF((OR(MONTH(C117)=5,MONTH(C117)=6,MONTH(C117)=7,MONTH(C117)=8,MONTH(C117)=9)),$FA117*12*AX117*(1-$BC117),$FA117*10*AX117*(1-$BC117)),0)</f>
        <v>#VALUE!</v>
      </c>
      <c r="FC117" s="1129" t="n">
        <f aca="false">IF(EZ117="No",IF((OR(MONTH(C117)=5,MONTH(C117)=6,MONTH(C117)=7,MONTH(C117)=8,MONTH(C117)=9)),0,$FA117*3*AX117*(1-$BC117)),0)</f>
        <v>0</v>
      </c>
      <c r="FD117" s="1129" t="e">
        <f aca="false">IF(EZ117="No",IF((OR(MONTH(C117)=5,MONTH(C117)=6,MONTH(C117)=7,MONTH(C117)=8,MONTH(C117)=9)),$FA117*12*AY117*(1-$BC117),$FA117*10*AY117*(1-$BC117)),0)</f>
        <v>#VALUE!</v>
      </c>
      <c r="FE117" s="1129" t="n">
        <f aca="false">IF(EZ117="No",IF((OR(MONTH(C117)=5,MONTH(C117)=6,MONTH(C117)=7,MONTH(C117)=8,MONTH(C117)=9)),0,$FA117*3*AY117*(1-$BC117)),0)</f>
        <v>0</v>
      </c>
      <c r="FF117" s="1129" t="e">
        <f aca="false">IF(EZ117="No",IF((OR(MONTH(C117)=5,MONTH(C117)=6,MONTH(C117)=7,MONTH(C117)=8,MONTH(C117)=9)),$FA117*12*(AZ117+BA117)*(1-$BC117),$FA117*10*(AZ117+BA117)*(1-$BC117)),0)</f>
        <v>#VALUE!</v>
      </c>
      <c r="FG117" s="1129" t="n">
        <f aca="false">IF(EZ117="No",IF((OR(MONTH(C117)=5,MONTH(C117)=6,MONTH(C117)=7,MONTH(C117)=8,MONTH(C117)=9)),0,$FA117*3*(AZ117+BA117)*(1-$BC117)),0)</f>
        <v>0</v>
      </c>
      <c r="FH117" s="1170" t="e">
        <f aca="false">IF(EZ117="No",IF((OR(MONTH(C117)=5,MONTH(C117)=6,MONTH(C117)=7,MONTH(C117)=8,MONTH(C117)=9)),Summary!$O$15*12*(AX117+AY117+AZ117+BA117)*(1-$BC117),Summary!$O$15*13*(AX117+AY117+AZ117+BA117)*(1-$BC117)+IF(Summary!$O$16="Yes",(CALC!FA117+Summary!$O$15)*6*(AX117+AY117+AZ117+BA117)*(1-$BC117),0)),0)</f>
        <v>#VALUE!</v>
      </c>
      <c r="FI117" s="1126" t="n">
        <f aca="false">IF(MONTH(C117)=5,FI116*(IF(Summary!$E$70="no",(1+(Summary!$E$71*0.8)),1+HLOOKUP(YEAR(C117)-1,CCFMODEL!$I$127:$AF$128,2)*0.8)),+FI116)</f>
        <v>32.9323923735024</v>
      </c>
      <c r="FJ117" s="1127" t="n">
        <f aca="false">IF(MONTH(C117)=5,FJ116*(IF(Summary!$E$70="no",(1+(Summary!$E$71*0.8)),1+HLOOKUP(YEAR(CALC!C117)-1,CCFMODEL!$I$127:$AF$128,2)*0.8)),FJ116)</f>
        <v>28.7834295547934</v>
      </c>
      <c r="FK117" s="1128" t="e">
        <f aca="false">SUM(FB117:FG117)*FI117+FH117*FJ117</f>
        <v>#VALUE!</v>
      </c>
      <c r="FL117" s="1126" t="n">
        <f aca="false">IF(MONTH(C117)=5,FL116*(IF(Summary!$E$70="no",(1+(Summary!$E$71*0.8)),1+HLOOKUP(YEAR(CALC!C117)-1,CCFMODEL!$I$127:$AF$128,2)*0.8)),+FL116)</f>
        <v>69.26051324446</v>
      </c>
      <c r="FM117" s="1127" t="n">
        <f aca="false">IF(MONTH(C117)=5,FM116*(IF(Summary!$E$70="no",(1+(Summary!$E$71*0.8)),1+HLOOKUP(YEAR(CALC!C117)-1,CCFMODEL!$I$127:$AF$128,2)*0.8)),+FM116)</f>
        <v>33.0558734097735</v>
      </c>
      <c r="FN117" s="1128" t="e">
        <f aca="false">IF((OR(MONTH(C117)=5,MONTH(C117)=6,MONTH(C117)=7,MONTH(C117)=8,MONTH(C117)=9)),SUM(FB117:FG117)/(1-BC117)*FL117,SUM(FB117:FG117)/(1-BC117)*FM117)</f>
        <v>#VALUE!</v>
      </c>
      <c r="FO117" s="1129" t="e">
        <f aca="false">FK117+FN117</f>
        <v>#VALUE!</v>
      </c>
      <c r="FP117" s="1169" t="e">
        <f aca="false">FB117</f>
        <v>#VALUE!</v>
      </c>
      <c r="FQ117" s="1129" t="n">
        <f aca="false">FC117</f>
        <v>0</v>
      </c>
      <c r="FR117" s="1129" t="e">
        <f aca="false">FD117</f>
        <v>#VALUE!</v>
      </c>
      <c r="FS117" s="1129" t="n">
        <f aca="false">FE117</f>
        <v>0</v>
      </c>
      <c r="FT117" s="1129" t="e">
        <f aca="false">FF117</f>
        <v>#VALUE!</v>
      </c>
      <c r="FU117" s="1129" t="n">
        <f aca="false">FG117</f>
        <v>0</v>
      </c>
      <c r="FV117" s="1170" t="e">
        <f aca="false">FH117</f>
        <v>#VALUE!</v>
      </c>
      <c r="FW117" s="1115" t="n">
        <f aca="false">IF(ER117&gt;0,MIN(FB117-FP117,BL117),0)</f>
        <v>0</v>
      </c>
      <c r="FX117" s="1115" t="n">
        <f aca="false">IF(ES117&gt;0,MIN(FD117-FR117,BM117),0)</f>
        <v>0</v>
      </c>
      <c r="FY117" s="1115" t="n">
        <f aca="false">IF(ET117&gt;0,MIN(FF117-FT117,BN117),0)</f>
        <v>0</v>
      </c>
      <c r="FZ117" s="1143" t="n">
        <f aca="false">IF(EU117&gt;0,MIN(FH117-FV117,BO117),0)</f>
        <v>0</v>
      </c>
      <c r="GA117" s="1132" t="e">
        <f aca="false">(SUM(FP117:FV117)+SUM(GU117:HB117)/(1-Summary!$O$25))*CY117/1000</f>
        <v>#VALUE!</v>
      </c>
      <c r="GB117" s="1133" t="n">
        <f aca="false">IF($C117&lt;Summary!$M$81,+Summary!$O$81,VLOOKUP(C117,GasTable,19))</f>
        <v>2.4</v>
      </c>
      <c r="GC117" s="1134" t="e">
        <f aca="false">IF(H117&lt;=Summary!$N$84,MIN(GA117,Summary!$O$75*(H117-G117+1)),0)</f>
        <v>#VALUE!</v>
      </c>
      <c r="GD117" s="1135" t="e">
        <f aca="false">IF(Summary!$O$75*(H117-G117+1)*0.8&gt;GC117,1,0)</f>
        <v>#VALUE!</v>
      </c>
      <c r="GE117" s="1136" t="n">
        <v>0</v>
      </c>
      <c r="GF117" s="1134" t="e">
        <f aca="false">ABS(MIN(0,GC117-$GA117))</f>
        <v>#VALUE!</v>
      </c>
      <c r="GG117" s="1135" t="e">
        <f aca="false">GF117*(IF(Summary!$O$74=1,VLOOKUP($C117,GasTable,16)+Summary!$O$92+Summary!$O$93,VLOOKUP($C117,GasTable,19)+Summary!$O$92+Summary!$O$93))</f>
        <v>#VALUE!</v>
      </c>
      <c r="GH117" s="1137" t="n">
        <v>18705.4</v>
      </c>
      <c r="GI117" s="1138" t="n">
        <v>0</v>
      </c>
      <c r="GJ117" s="1139" t="e">
        <f aca="false">+GB117*GC117+GE117+GG117+GH117-GI117</f>
        <v>#VALUE!</v>
      </c>
      <c r="GK117" s="1115" t="e">
        <f aca="false">SUM(FP117:FV117,GU117:GX117,GY117:HB117)</f>
        <v>#VALUE!</v>
      </c>
      <c r="GL117" s="1140" t="n">
        <v>0.75360200136</v>
      </c>
      <c r="GM117" s="1141" t="e">
        <f aca="false">IF(GK117&gt;GC117/(CY117/1000),GC117/(CY117/1000),+GK117)*GL117</f>
        <v>#VALUE!</v>
      </c>
      <c r="GN117" s="1115" t="n">
        <f aca="false">IF(SUM(GU117:HB117)=0,0,IF(Summary!$O$16="Yes",SUM(GX117:HB117),IF(Summary!$O$17="Yes",SUM(GY117:HB117),SUM(GU117:HB117))))</f>
        <v>9547.0731</v>
      </c>
      <c r="GO117" s="1142" t="n">
        <v>3.01431177140114</v>
      </c>
      <c r="GP117" s="1143" t="n">
        <f aca="false">GN117*GO117</f>
        <v>28777.8548277572</v>
      </c>
      <c r="GQ117" s="1115"/>
      <c r="GR117" s="1115"/>
      <c r="GS117" s="1115"/>
      <c r="GT117" s="1115"/>
      <c r="GU117" s="1150" t="n">
        <v>3592.9845</v>
      </c>
      <c r="GV117" s="1115" t="n">
        <v>855.4725</v>
      </c>
      <c r="GW117" s="1115" t="n">
        <v>855.4725</v>
      </c>
      <c r="GX117" s="1115"/>
      <c r="GY117" s="1151" t="n">
        <v>2874.3876</v>
      </c>
      <c r="GZ117" s="1115" t="n">
        <v>684.378</v>
      </c>
      <c r="HA117" s="1115" t="n">
        <v>684.378</v>
      </c>
      <c r="HB117" s="1141"/>
      <c r="HC117" s="1115" t="n">
        <v>9547.0731</v>
      </c>
      <c r="HD117" s="1115"/>
      <c r="HE117" s="1115" t="n">
        <v>22276.5039</v>
      </c>
      <c r="HF117" s="1115" t="n">
        <v>320079.407927815</v>
      </c>
      <c r="HG117" s="1115"/>
      <c r="HH117" s="1142" t="n">
        <v>33.9688123153461</v>
      </c>
      <c r="HI117" s="1115" t="n">
        <v>756706.380021176</v>
      </c>
      <c r="HJ117" s="1150" t="e">
        <f aca="false">MAX(FB117-FP117-FW117,0)</f>
        <v>#VALUE!</v>
      </c>
      <c r="HK117" s="1115" t="e">
        <f aca="false">MAX(FD117-FR117-FX117,0)</f>
        <v>#VALUE!</v>
      </c>
      <c r="HL117" s="1115" t="e">
        <f aca="false">MAX(FF117-FT117-FY117,0)</f>
        <v>#VALUE!</v>
      </c>
      <c r="HM117" s="1141" t="e">
        <f aca="false">MAX(FH117-FV117-FZ117,0)</f>
        <v>#VALUE!</v>
      </c>
      <c r="HN117" s="1115" t="e">
        <f aca="false">SUM(HJ117:HM117)</f>
        <v>#VALUE!</v>
      </c>
      <c r="HO117" s="1142" t="n">
        <f aca="false">IF(ISERROR(+HP117/HN117),0,+HP117/HN117)</f>
        <v>0</v>
      </c>
      <c r="HP117" s="1143" t="e">
        <f aca="false">(HJ117*CE117+HK117*CF117+HL117*CG117+HM117*CH117)</f>
        <v>#VALUE!</v>
      </c>
      <c r="HQ117" s="1142"/>
      <c r="HR117" s="1150"/>
      <c r="HS117" s="1110"/>
      <c r="HT117" s="1141"/>
      <c r="HU117" s="1151"/>
      <c r="HV117" s="1142"/>
      <c r="HW117" s="1115"/>
      <c r="HX117" s="1149"/>
      <c r="HY117" s="1143"/>
      <c r="HZ117" s="1150"/>
      <c r="IA117" s="1142"/>
      <c r="IB117" s="1141"/>
      <c r="IC117" s="1151"/>
      <c r="ID117" s="1142"/>
      <c r="IE117" s="1141"/>
      <c r="IF117" s="1115"/>
      <c r="IG117" s="1142"/>
      <c r="IH117" s="1141"/>
      <c r="II117" s="1115"/>
      <c r="IJ117" s="1142"/>
      <c r="IK117" s="1115"/>
      <c r="IL117" s="1152"/>
      <c r="IM117" s="1192"/>
      <c r="IN117" s="1151"/>
      <c r="IO117" s="1151"/>
      <c r="IP117" s="1151"/>
      <c r="IQ117" s="1151"/>
      <c r="IR117" s="844"/>
    </row>
    <row r="118" customFormat="false" ht="13.5" hidden="false" customHeight="false" outlineLevel="0" collapsed="false">
      <c r="A118" s="0" t="str">
        <f aca="false">+D118&amp;"Q"&amp;ROUNDUP(E118/3,0)</f>
        <v>2008Q2</v>
      </c>
      <c r="B118" s="0" t="n">
        <f aca="false">YEAR(C118)</f>
        <v>2008</v>
      </c>
      <c r="C118" s="1153" t="n">
        <f aca="false">EOMONTH(C117,0)+1</f>
        <v>39600</v>
      </c>
      <c r="D118" s="841" t="n">
        <f aca="false">+YEAR(C118)</f>
        <v>2008</v>
      </c>
      <c r="E118" s="807" t="n">
        <f aca="false">MONTH(C118)</f>
        <v>6</v>
      </c>
      <c r="F118" s="1154" t="e">
        <f aca="false">IF(G118="","",Holiday(D118,E118))</f>
        <v>#VALUE!</v>
      </c>
      <c r="G118" s="1155" t="n">
        <v>39600</v>
      </c>
      <c r="H118" s="1156" t="n">
        <v>39629</v>
      </c>
      <c r="I118" s="1157" t="n">
        <f aca="false">I117</f>
        <v>0.0715</v>
      </c>
      <c r="J118" s="1158" t="n">
        <f aca="false">(1+I118/2)^(-2*(DATE(D119,E119,20)-$H$7)/365.25)</f>
        <v>0.546652148500399</v>
      </c>
      <c r="K118" s="1159"/>
      <c r="L118" s="1158"/>
      <c r="M118" s="1082" t="n">
        <v>0</v>
      </c>
      <c r="N118" s="1110" t="n">
        <f aca="false">M118</f>
        <v>0</v>
      </c>
      <c r="O118" s="1174" t="n">
        <f aca="false">N118</f>
        <v>0</v>
      </c>
      <c r="P118" s="1175" t="n">
        <f aca="false">M118</f>
        <v>0</v>
      </c>
      <c r="Q118" s="1110" t="n">
        <f aca="false">P118</f>
        <v>0</v>
      </c>
      <c r="R118" s="1174" t="n">
        <f aca="false">Q118</f>
        <v>0</v>
      </c>
      <c r="S118" s="1110" t="n">
        <f aca="false">R118</f>
        <v>0</v>
      </c>
      <c r="T118" s="1110" t="n">
        <f aca="false">S118</f>
        <v>0</v>
      </c>
      <c r="U118" s="1110" t="n">
        <f aca="false">T118</f>
        <v>0</v>
      </c>
      <c r="V118" s="1175" t="n">
        <f aca="false">U118</f>
        <v>0</v>
      </c>
      <c r="W118" s="1110" t="n">
        <f aca="false">V118</f>
        <v>0</v>
      </c>
      <c r="X118" s="1176" t="n">
        <f aca="false">W118</f>
        <v>0</v>
      </c>
      <c r="Y118" s="1086" t="n">
        <v>0</v>
      </c>
      <c r="Z118" s="1086" t="n">
        <v>0</v>
      </c>
      <c r="AA118" s="1087" t="n">
        <v>0</v>
      </c>
      <c r="AB118" s="1086" t="n">
        <v>0</v>
      </c>
      <c r="AC118" s="1086" t="n">
        <v>0</v>
      </c>
      <c r="AD118" s="1087" t="n">
        <v>0</v>
      </c>
      <c r="AE118" s="1086" t="n">
        <v>0</v>
      </c>
      <c r="AF118" s="1086" t="n">
        <v>0</v>
      </c>
      <c r="AG118" s="1087" t="n">
        <v>0</v>
      </c>
      <c r="AH118" s="1086" t="n">
        <v>0</v>
      </c>
      <c r="AI118" s="1086" t="n">
        <v>0</v>
      </c>
      <c r="AJ118" s="1087" t="n">
        <v>0</v>
      </c>
      <c r="AK118" s="1086" t="n">
        <v>0</v>
      </c>
      <c r="AL118" s="1086" t="n">
        <v>0</v>
      </c>
      <c r="AM118" s="1087" t="n">
        <v>0</v>
      </c>
      <c r="AN118" s="1086" t="n">
        <v>0</v>
      </c>
      <c r="AO118" s="1086" t="n">
        <v>0</v>
      </c>
      <c r="AP118" s="1087" t="n">
        <v>0</v>
      </c>
      <c r="AQ118" s="1086" t="n">
        <v>0</v>
      </c>
      <c r="AR118" s="1086" t="n">
        <v>0</v>
      </c>
      <c r="AS118" s="1087" t="n">
        <v>0</v>
      </c>
      <c r="AT118" s="1086" t="n">
        <v>0</v>
      </c>
      <c r="AU118" s="1086" t="n">
        <v>0</v>
      </c>
      <c r="AV118" s="1086" t="n">
        <v>0</v>
      </c>
      <c r="AW118" s="1172" t="n">
        <v>0</v>
      </c>
      <c r="AX118" s="807" t="n">
        <f aca="false">BB118-SUM(AY118:BA118)</f>
        <v>21</v>
      </c>
      <c r="AY118" s="807" t="n">
        <f aca="false">IF(AND($E118=MONTH(Summary!$E$24),$D118=YEAR(Summary!$E$24)),Summary!$E$25,1)*IF(G118="",0,INT((H118-MOD(H118,7)-G118)/7)+1-IF(BA118,IF(WEEKDAY(F118)=7,1,0),0))</f>
        <v>4</v>
      </c>
      <c r="AZ118" s="807" t="n">
        <f aca="false">IF(AND($E118=MONTH(Summary!$E$24),$D118=YEAR(Summary!$E$24)),Summary!$E$25,1)*IF(G118="",0,INT((H118-MOD(H118-1,7)-G118)/7)+1-IF(BA118,IF(WEEKDAY(F118)=1,1,0),0))</f>
        <v>5</v>
      </c>
      <c r="BA118" s="807" t="n">
        <v>0</v>
      </c>
      <c r="BB118" s="807" t="n">
        <f aca="false">IF(AND($E118=MONTH(Summary!$E$24),$D118=YEAR(Summary!$E$24)),Summary!$E$25,1)*IF(G118="",0,H118-G118+1)</f>
        <v>30</v>
      </c>
      <c r="BC118" s="1089" t="n">
        <f aca="false">Summary!$E$19</f>
        <v>0.015</v>
      </c>
      <c r="BD118" s="1090" t="n">
        <v>14893.2</v>
      </c>
      <c r="BE118" s="1091" t="n">
        <v>2836.8</v>
      </c>
      <c r="BF118" s="1091" t="n">
        <v>3546</v>
      </c>
      <c r="BG118" s="842"/>
      <c r="BH118" s="1092" t="n">
        <v>1</v>
      </c>
      <c r="BI118" s="1092" t="n">
        <v>1</v>
      </c>
      <c r="BJ118" s="1092" t="n">
        <v>1</v>
      </c>
      <c r="BK118" s="1092" t="n">
        <v>1</v>
      </c>
      <c r="BL118" s="1093" t="n">
        <v>2978.64</v>
      </c>
      <c r="BM118" s="1091" t="n">
        <v>567.36</v>
      </c>
      <c r="BN118" s="1091" t="n">
        <v>709.2</v>
      </c>
      <c r="BO118" s="842"/>
      <c r="BP118" s="1092" t="n">
        <v>1</v>
      </c>
      <c r="BQ118" s="1094" t="n">
        <v>1</v>
      </c>
      <c r="BR118" s="1094" t="n">
        <v>1</v>
      </c>
      <c r="BS118" s="1095" t="n">
        <v>1</v>
      </c>
      <c r="BT118" s="1093" t="n">
        <f aca="false">SUM(BD118:BF118)</f>
        <v>21276</v>
      </c>
      <c r="BU118" s="1098" t="n">
        <f aca="false">SUM(BD118:BG118)</f>
        <v>21276</v>
      </c>
      <c r="BV118" s="1090" t="n">
        <f aca="false">SUM(BL118:BN118)</f>
        <v>4255.2</v>
      </c>
      <c r="BW118" s="1098" t="n">
        <f aca="false">SUM(BL118:BO118)</f>
        <v>4255.2</v>
      </c>
      <c r="BX118" s="852" t="n">
        <v>8.46269678302533</v>
      </c>
      <c r="BY118" s="1099" t="n">
        <v>0</v>
      </c>
      <c r="BZ118" s="852" t="n">
        <v>0</v>
      </c>
      <c r="CA118" s="852" t="n">
        <v>0</v>
      </c>
      <c r="CB118" s="852" t="n">
        <v>0</v>
      </c>
      <c r="CC118" s="852" t="n">
        <v>0</v>
      </c>
      <c r="CD118" s="852" t="n">
        <v>0</v>
      </c>
      <c r="CE118" s="1100" t="n">
        <v>0</v>
      </c>
      <c r="CF118" s="852" t="n">
        <v>0</v>
      </c>
      <c r="CG118" s="852" t="n">
        <v>0</v>
      </c>
      <c r="CH118" s="852" t="n">
        <v>0</v>
      </c>
      <c r="CI118" s="852" t="n">
        <v>0</v>
      </c>
      <c r="CJ118" s="1101" t="n">
        <v>0</v>
      </c>
      <c r="CK118" s="852" t="n">
        <v>0</v>
      </c>
      <c r="CL118" s="852" t="n">
        <v>0</v>
      </c>
      <c r="CM118" s="852" t="n">
        <v>0</v>
      </c>
      <c r="CN118" s="852" t="n">
        <v>0</v>
      </c>
      <c r="CO118" s="852" t="n">
        <v>0</v>
      </c>
      <c r="CP118" s="852" t="n">
        <v>0</v>
      </c>
      <c r="CQ118" s="1102" t="n">
        <v>0</v>
      </c>
      <c r="CR118" s="1103" t="n">
        <v>0</v>
      </c>
      <c r="CS118" s="1103" t="n">
        <v>0</v>
      </c>
      <c r="CT118" s="1103" t="n">
        <v>0</v>
      </c>
      <c r="CU118" s="1103" t="n">
        <v>0</v>
      </c>
      <c r="CV118" s="1103" t="n">
        <v>0</v>
      </c>
      <c r="CW118" s="1103" t="n">
        <v>0</v>
      </c>
      <c r="CX118" s="1104" t="n">
        <v>0</v>
      </c>
      <c r="CY118" s="1105" t="n">
        <v>7676.18576</v>
      </c>
      <c r="CZ118" s="1099" t="n">
        <v>0</v>
      </c>
      <c r="DA118" s="852" t="n">
        <v>0</v>
      </c>
      <c r="DB118" s="852" t="n">
        <v>0</v>
      </c>
      <c r="DC118" s="852" t="n">
        <v>0</v>
      </c>
      <c r="DD118" s="852" t="n">
        <v>0</v>
      </c>
      <c r="DE118" s="1113" t="n">
        <v>0</v>
      </c>
      <c r="DF118" s="1109" t="n">
        <v>0</v>
      </c>
      <c r="DG118" s="1110" t="n">
        <v>0</v>
      </c>
      <c r="DH118" s="1111" t="n">
        <v>0</v>
      </c>
      <c r="DI118" s="1112" t="n">
        <v>0</v>
      </c>
      <c r="DJ118" s="1112" t="n">
        <v>0</v>
      </c>
      <c r="DK118" s="1112" t="n">
        <v>0</v>
      </c>
      <c r="DL118" s="1113" t="n">
        <v>0</v>
      </c>
      <c r="DM118" s="1114" t="n">
        <v>0</v>
      </c>
      <c r="DN118" s="1114" t="n">
        <v>0</v>
      </c>
      <c r="DO118" s="1114" t="n">
        <v>0</v>
      </c>
      <c r="DP118" s="1114" t="n">
        <v>0</v>
      </c>
      <c r="DQ118" s="1114" t="n">
        <v>0</v>
      </c>
      <c r="DR118" s="1109" t="n">
        <v>0</v>
      </c>
      <c r="DS118" s="852" t="n">
        <v>0</v>
      </c>
      <c r="DT118" s="852" t="n">
        <v>0</v>
      </c>
      <c r="DU118" s="852" t="n">
        <v>0</v>
      </c>
      <c r="DV118" s="852" t="n">
        <v>0</v>
      </c>
      <c r="DW118" s="852" t="n">
        <v>0</v>
      </c>
      <c r="DX118" s="852" t="n">
        <v>0</v>
      </c>
      <c r="DY118" s="852" t="n">
        <v>0</v>
      </c>
      <c r="DZ118" s="852" t="n">
        <v>0</v>
      </c>
      <c r="EA118" s="852" t="n">
        <v>0</v>
      </c>
      <c r="EB118" s="1113" t="n">
        <v>0</v>
      </c>
      <c r="EC118" s="1115" t="n">
        <f aca="false">DS118*BD118</f>
        <v>0</v>
      </c>
      <c r="ED118" s="1115" t="n">
        <f aca="false">DT118*BE118</f>
        <v>0</v>
      </c>
      <c r="EE118" s="1115" t="n">
        <f aca="false">DU118*BF118</f>
        <v>0</v>
      </c>
      <c r="EF118" s="1115" t="n">
        <f aca="false">DV118*BG118</f>
        <v>0</v>
      </c>
      <c r="EG118" s="1115" t="n">
        <f aca="false">DS118*BD118+DT118*BE118+DU118*BF118+DV118*BG118</f>
        <v>0</v>
      </c>
      <c r="EH118" s="1116" t="n">
        <v>0</v>
      </c>
      <c r="EI118" s="1117" t="n">
        <v>0</v>
      </c>
      <c r="EJ118" s="1117" t="n">
        <v>0</v>
      </c>
      <c r="EK118" s="1117" t="n">
        <v>0</v>
      </c>
      <c r="EL118" s="1118" t="n">
        <f aca="false">IF(C118&gt;=Summary!$E$26,MAX(0,SUM(EH118:EK118)),0)</f>
        <v>0</v>
      </c>
      <c r="EM118" s="1115" t="n">
        <f aca="false">IF(C118&gt;=Summary!$E$26,DX118*BL118,0)</f>
        <v>0</v>
      </c>
      <c r="EN118" s="1115" t="n">
        <f aca="false">IF(C118&gt;=Summary!$E$26,DY118*BM118,0)</f>
        <v>0</v>
      </c>
      <c r="EO118" s="1115" t="n">
        <f aca="false">IF(C118&gt;=Summary!$E$26,DZ118*BN118,0)</f>
        <v>0</v>
      </c>
      <c r="EP118" s="1115" t="n">
        <f aca="false">IF(C118&gt;=Summary!$E$26,EA118*BO118,0)</f>
        <v>0</v>
      </c>
      <c r="EQ118" s="1115" t="n">
        <f aca="false">IF(C118&gt;=Summary!$E$26,DX118*BL118+DY118*BM118+DZ118*BN118+EA118*BO118,0)</f>
        <v>0</v>
      </c>
      <c r="ER118" s="1119" t="n">
        <v>0</v>
      </c>
      <c r="ES118" s="1120" t="n">
        <v>0</v>
      </c>
      <c r="ET118" s="1120" t="n">
        <v>0</v>
      </c>
      <c r="EU118" s="1120" t="n">
        <v>0</v>
      </c>
      <c r="EV118" s="1143" t="n">
        <f aca="false">IF(C118&gt;=Summary!$E$26,MAX(0,SUM(ER118:EU118)),0)</f>
        <v>0</v>
      </c>
      <c r="EW118" s="1115"/>
      <c r="EX118" s="1165" t="n">
        <f aca="false">(EQ118-EV118)+IF(EZ118="Yes",(EG118-EL118),0)</f>
        <v>0</v>
      </c>
      <c r="EY118" s="1166" t="str">
        <f aca="false">IF(EX118,EX118/EQ118,"")</f>
        <v/>
      </c>
      <c r="EZ118" s="1122" t="s">
        <v>37</v>
      </c>
      <c r="FA118" s="1096" t="n">
        <f aca="false">FA117</f>
        <v>45</v>
      </c>
      <c r="FB118" s="1167" t="n">
        <f aca="false">IF(EZ118="No",IF((OR(MONTH(C118)=5,MONTH(C118)=6,MONTH(C118)=7,MONTH(C118)=8,MONTH(C118)=9)),$FA118*12*AX118*(1-$BC118),$FA118*10*AX118*(1-$BC118)),0)</f>
        <v>11169.9</v>
      </c>
      <c r="FC118" s="1129" t="n">
        <f aca="false">IF(EZ118="No",IF((OR(MONTH(C118)=5,MONTH(C118)=6,MONTH(C118)=7,MONTH(C118)=8,MONTH(C118)=9)),0,$FA118*3*AX118*(1-$BC118)),0)</f>
        <v>0</v>
      </c>
      <c r="FD118" s="1129" t="n">
        <f aca="false">IF(EZ118="No",IF((OR(MONTH(C118)=5,MONTH(C118)=6,MONTH(C118)=7,MONTH(C118)=8,MONTH(C118)=9)),$FA118*12*AY118*(1-$BC118),$FA118*10*AY118*(1-$BC118)),0)</f>
        <v>2127.6</v>
      </c>
      <c r="FE118" s="1129" t="n">
        <f aca="false">IF(EZ118="No",IF((OR(MONTH(C118)=5,MONTH(C118)=6,MONTH(C118)=7,MONTH(C118)=8,MONTH(C118)=9)),0,$FA118*3*AY118*(1-$BC118)),0)</f>
        <v>0</v>
      </c>
      <c r="FF118" s="1129" t="n">
        <f aca="false">IF(EZ118="No",IF((OR(MONTH(C118)=5,MONTH(C118)=6,MONTH(C118)=7,MONTH(C118)=8,MONTH(C118)=9)),$FA118*12*(AZ118+BA118)*(1-$BC118),$FA118*10*(AZ118+BA118)*(1-$BC118)),0)</f>
        <v>2659.5</v>
      </c>
      <c r="FG118" s="1129" t="n">
        <f aca="false">IF(EZ118="No",IF((OR(MONTH(C118)=5,MONTH(C118)=6,MONTH(C118)=7,MONTH(C118)=8,MONTH(C118)=9)),0,$FA118*3*(AZ118+BA118)*(1-$BC118)),0)</f>
        <v>0</v>
      </c>
      <c r="FH118" s="1170" t="n">
        <f aca="false">IF(EZ118="No",IF((OR(MONTH(C118)=5,MONTH(C118)=6,MONTH(C118)=7,MONTH(C118)=8,MONTH(C118)=9)),Summary!$O$15*12*(AX118+AY118+AZ118+BA118)*(1-$BC118),Summary!$O$15*13*(AX118+AY118+AZ118+BA118)*(1-$BC118)+IF(Summary!$O$16="Yes",(CALC!FA118+Summary!$O$15)*6*(AX118+AY118+AZ118+BA118)*(1-$BC118),0)),0)</f>
        <v>0</v>
      </c>
      <c r="FI118" s="1126" t="n">
        <f aca="false">IF(MONTH(C118)=5,FI117*(IF(Summary!$E$70="no",(1+(Summary!$E$71*0.8)),1+HLOOKUP(YEAR(C118)-1,CCFMODEL!$I$127:$AF$128,2)*0.8)),+FI117)</f>
        <v>32.9323923735024</v>
      </c>
      <c r="FJ118" s="1127" t="n">
        <f aca="false">IF(MONTH(C118)=5,FJ117*(IF(Summary!$E$70="no",(1+(Summary!$E$71*0.8)),1+HLOOKUP(YEAR(CALC!C118)-1,CCFMODEL!$I$127:$AF$128,2)*0.8)),FJ117)</f>
        <v>28.7834295547934</v>
      </c>
      <c r="FK118" s="1128" t="n">
        <f aca="false">SUM(FB118:FG118)*FI118+FH118*FJ118</f>
        <v>525502.185103978</v>
      </c>
      <c r="FL118" s="1126" t="n">
        <f aca="false">IF(MONTH(C118)=5,FL117*(IF(Summary!$E$70="no",(1+(Summary!$E$71*0.8)),1+HLOOKUP(YEAR(CALC!C118)-1,CCFMODEL!$I$127:$AF$128,2)*0.8)),+FL117)</f>
        <v>69.26051324446</v>
      </c>
      <c r="FM118" s="1127" t="n">
        <f aca="false">IF(MONTH(C118)=5,FM117*(IF(Summary!$E$70="no",(1+(Summary!$E$71*0.8)),1+HLOOKUP(YEAR(CALC!C118)-1,CCFMODEL!$I$127:$AF$128,2)*0.8)),+FM117)</f>
        <v>33.0558734097735</v>
      </c>
      <c r="FN118" s="1128" t="n">
        <f aca="false">IF((OR(MONTH(C118)=5,MONTH(C118)=6,MONTH(C118)=7,MONTH(C118)=8,MONTH(C118)=9)),SUM(FB118:FG118)/(1-BC118)*FL118,SUM(FB118:FG118)/(1-BC118)*FM118)</f>
        <v>1122020.31456025</v>
      </c>
      <c r="FO118" s="1129" t="n">
        <f aca="false">FK118+FN118</f>
        <v>1647522.49966423</v>
      </c>
      <c r="FP118" s="1169" t="n">
        <f aca="false">FB118</f>
        <v>11169.9</v>
      </c>
      <c r="FQ118" s="1129" t="n">
        <f aca="false">FC118</f>
        <v>0</v>
      </c>
      <c r="FR118" s="1129" t="n">
        <f aca="false">FD118</f>
        <v>2127.6</v>
      </c>
      <c r="FS118" s="1129" t="n">
        <f aca="false">FE118</f>
        <v>0</v>
      </c>
      <c r="FT118" s="1129" t="n">
        <f aca="false">FF118</f>
        <v>2659.5</v>
      </c>
      <c r="FU118" s="1129" t="n">
        <f aca="false">FG118</f>
        <v>0</v>
      </c>
      <c r="FV118" s="1170" t="n">
        <f aca="false">FH118</f>
        <v>0</v>
      </c>
      <c r="FW118" s="1115" t="n">
        <f aca="false">IF(ER118&gt;0,MIN(FB118-FP118,BL118),0)</f>
        <v>0</v>
      </c>
      <c r="FX118" s="1115" t="n">
        <f aca="false">IF(ES118&gt;0,MIN(FD118-FR118,BM118),0)</f>
        <v>0</v>
      </c>
      <c r="FY118" s="1115" t="n">
        <f aca="false">IF(ET118&gt;0,MIN(FF118-FT118,BN118),0)</f>
        <v>0</v>
      </c>
      <c r="FZ118" s="1143" t="n">
        <f aca="false">IF(EU118&gt;0,MIN(FH118-FV118,BO118),0)</f>
        <v>0</v>
      </c>
      <c r="GA118" s="1132" t="n">
        <f aca="false">(SUM(FP118:FV118)+SUM(GU118:HB118)/(1-Summary!$O$25))*CY118/1000</f>
        <v>195982.233875712</v>
      </c>
      <c r="GB118" s="1133" t="n">
        <f aca="false">IF($C118&lt;Summary!$M$81,+Summary!$O$81,VLOOKUP(C118,GasTable,19))</f>
        <v>2.4</v>
      </c>
      <c r="GC118" s="1134" t="n">
        <f aca="false">IF(H118&lt;=Summary!$N$84,MIN(GA118,Summary!$O$75*(H118-G118+1)),0)</f>
        <v>150000</v>
      </c>
      <c r="GD118" s="1135" t="n">
        <f aca="false">IF(Summary!$O$75*(H118-G118+1)*0.8&gt;GC118,1,0)</f>
        <v>0</v>
      </c>
      <c r="GE118" s="1136" t="n">
        <v>0</v>
      </c>
      <c r="GF118" s="1134" t="n">
        <f aca="false">ABS(MIN(0,GC118-$GA118))</f>
        <v>45982.233875712</v>
      </c>
      <c r="GG118" s="1135" t="n">
        <f aca="false">GF118*(IF(Summary!$O$74=1,VLOOKUP($C118,GasTable,16)+Summary!$O$92+Summary!$O$93,VLOOKUP($C118,GasTable,19)+Summary!$O$92+Summary!$O$93))</f>
        <v>133245.620568926</v>
      </c>
      <c r="GH118" s="1137" t="n">
        <v>18324</v>
      </c>
      <c r="GI118" s="1138" t="n">
        <v>0</v>
      </c>
      <c r="GJ118" s="1139" t="n">
        <f aca="false">+GB118*GC118+GE118+GG118+GH118-GI118</f>
        <v>511569.620568926</v>
      </c>
      <c r="GK118" s="1115" t="n">
        <f aca="false">SUM(FP118:FV118,GU118:GX118,GY118:HB118)</f>
        <v>25196.103</v>
      </c>
      <c r="GL118" s="1140" t="n">
        <v>0.753801441632</v>
      </c>
      <c r="GM118" s="1141" t="n">
        <f aca="false">IF(GK118&gt;GC118/(CY118/1000),GC118/(CY118/1000),+GK118)*GL118</f>
        <v>14730</v>
      </c>
      <c r="GN118" s="1115" t="n">
        <f aca="false">IF(SUM(GU118:HB118)=0,0,IF(Summary!$O$16="Yes",SUM(GX118:HB118),IF(Summary!$O$17="Yes",SUM(GY118:HB118),SUM(GU118:HB118))))</f>
        <v>9239.103</v>
      </c>
      <c r="GO118" s="1142" t="n">
        <v>3.01431177140114</v>
      </c>
      <c r="GP118" s="1143" t="n">
        <f aca="false">GN118*GO118</f>
        <v>27849.5369300876</v>
      </c>
      <c r="GQ118" s="1115"/>
      <c r="GR118" s="1115"/>
      <c r="GS118" s="1115"/>
      <c r="GT118" s="1115"/>
      <c r="GU118" s="1150" t="n">
        <v>3592.9845</v>
      </c>
      <c r="GV118" s="1115" t="n">
        <v>684.378</v>
      </c>
      <c r="GW118" s="1115" t="n">
        <v>855.4725</v>
      </c>
      <c r="GX118" s="1115"/>
      <c r="GY118" s="1151" t="n">
        <v>2874.3876</v>
      </c>
      <c r="GZ118" s="1115" t="n">
        <v>547.5024</v>
      </c>
      <c r="HA118" s="1115" t="n">
        <v>684.378</v>
      </c>
      <c r="HB118" s="1141"/>
      <c r="HC118" s="1115" t="n">
        <v>9239.103</v>
      </c>
      <c r="HD118" s="1115"/>
      <c r="HE118" s="1115" t="n">
        <v>21557.907</v>
      </c>
      <c r="HF118" s="1115" t="n">
        <v>300151.755168876</v>
      </c>
      <c r="HG118" s="1115"/>
      <c r="HH118" s="1142" t="n">
        <v>33.6083521323744</v>
      </c>
      <c r="HI118" s="1115" t="n">
        <v>724525.72969298</v>
      </c>
      <c r="HJ118" s="1150" t="n">
        <f aca="false">MAX(FB118-FP118-FW118,0)</f>
        <v>0</v>
      </c>
      <c r="HK118" s="1115" t="n">
        <f aca="false">MAX(FD118-FR118-FX118,0)</f>
        <v>0</v>
      </c>
      <c r="HL118" s="1115" t="n">
        <f aca="false">MAX(FF118-FT118-FY118,0)</f>
        <v>0</v>
      </c>
      <c r="HM118" s="1141" t="n">
        <f aca="false">MAX(FH118-FV118-FZ118,0)</f>
        <v>0</v>
      </c>
      <c r="HN118" s="1115" t="n">
        <f aca="false">SUM(HJ118:HM118)</f>
        <v>0</v>
      </c>
      <c r="HO118" s="1142" t="n">
        <f aca="false">IF(ISERROR(+HP118/HN118),0,+HP118/HN118)</f>
        <v>0</v>
      </c>
      <c r="HP118" s="1143" t="n">
        <f aca="false">(HJ118*CE118+HK118*CF118+HL118*CG118+HM118*CH118)</f>
        <v>0</v>
      </c>
      <c r="HQ118" s="1142"/>
      <c r="HR118" s="1150"/>
      <c r="HS118" s="1110"/>
      <c r="HT118" s="1141"/>
      <c r="HU118" s="1151"/>
      <c r="HV118" s="1142"/>
      <c r="HW118" s="1115"/>
      <c r="HX118" s="1149"/>
      <c r="HY118" s="1143"/>
      <c r="HZ118" s="1150"/>
      <c r="IA118" s="1142"/>
      <c r="IB118" s="1141"/>
      <c r="IC118" s="1151"/>
      <c r="ID118" s="1142"/>
      <c r="IE118" s="1141"/>
      <c r="IF118" s="1115"/>
      <c r="IG118" s="1142"/>
      <c r="IH118" s="1141"/>
      <c r="II118" s="1115"/>
      <c r="IJ118" s="1142"/>
      <c r="IK118" s="1115"/>
      <c r="IL118" s="1152"/>
      <c r="IM118" s="1192"/>
      <c r="IN118" s="1151"/>
      <c r="IO118" s="1151"/>
      <c r="IP118" s="1151"/>
      <c r="IQ118" s="1151"/>
      <c r="IR118" s="844"/>
    </row>
    <row r="119" customFormat="false" ht="13.5" hidden="false" customHeight="false" outlineLevel="0" collapsed="false">
      <c r="A119" s="0" t="str">
        <f aca="false">+D119&amp;"Q"&amp;ROUNDUP(E119/3,0)</f>
        <v>2008Q3</v>
      </c>
      <c r="B119" s="0" t="n">
        <f aca="false">YEAR(C119)</f>
        <v>2008</v>
      </c>
      <c r="C119" s="1153" t="n">
        <f aca="false">EOMONTH(C118,0)+1</f>
        <v>39630</v>
      </c>
      <c r="D119" s="841" t="n">
        <f aca="false">+YEAR(C119)</f>
        <v>2008</v>
      </c>
      <c r="E119" s="807" t="n">
        <f aca="false">MONTH(C119)</f>
        <v>7</v>
      </c>
      <c r="F119" s="1154" t="e">
        <f aca="false">IF(G119="","",Holiday(D119,E119))</f>
        <v>#VALUE!</v>
      </c>
      <c r="G119" s="1155" t="n">
        <v>39630</v>
      </c>
      <c r="H119" s="1156" t="n">
        <v>39660</v>
      </c>
      <c r="I119" s="1157" t="n">
        <f aca="false">I118</f>
        <v>0.0715</v>
      </c>
      <c r="J119" s="1158" t="n">
        <f aca="false">(1+I119/2)^(-2*(DATE(D120,E120,20)-$H$7)/365.25)</f>
        <v>0.54340243796936</v>
      </c>
      <c r="K119" s="1159"/>
      <c r="L119" s="1158"/>
      <c r="M119" s="1082" t="n">
        <v>0</v>
      </c>
      <c r="N119" s="1110" t="n">
        <f aca="false">M119</f>
        <v>0</v>
      </c>
      <c r="O119" s="1174" t="n">
        <f aca="false">N119</f>
        <v>0</v>
      </c>
      <c r="P119" s="1175" t="n">
        <f aca="false">M119</f>
        <v>0</v>
      </c>
      <c r="Q119" s="1110" t="n">
        <f aca="false">P119</f>
        <v>0</v>
      </c>
      <c r="R119" s="1174" t="n">
        <f aca="false">Q119</f>
        <v>0</v>
      </c>
      <c r="S119" s="1110" t="n">
        <f aca="false">R119</f>
        <v>0</v>
      </c>
      <c r="T119" s="1110" t="n">
        <f aca="false">S119</f>
        <v>0</v>
      </c>
      <c r="U119" s="1110" t="n">
        <f aca="false">T119</f>
        <v>0</v>
      </c>
      <c r="V119" s="1175" t="n">
        <f aca="false">U119</f>
        <v>0</v>
      </c>
      <c r="W119" s="1110" t="n">
        <f aca="false">V119</f>
        <v>0</v>
      </c>
      <c r="X119" s="1176" t="n">
        <f aca="false">W119</f>
        <v>0</v>
      </c>
      <c r="Y119" s="1086" t="n">
        <v>0</v>
      </c>
      <c r="Z119" s="1086" t="n">
        <v>0</v>
      </c>
      <c r="AA119" s="1087" t="n">
        <v>0</v>
      </c>
      <c r="AB119" s="1086" t="n">
        <v>0</v>
      </c>
      <c r="AC119" s="1086" t="n">
        <v>0</v>
      </c>
      <c r="AD119" s="1087" t="n">
        <v>0</v>
      </c>
      <c r="AE119" s="1086" t="n">
        <v>0</v>
      </c>
      <c r="AF119" s="1086" t="n">
        <v>0</v>
      </c>
      <c r="AG119" s="1087" t="n">
        <v>0</v>
      </c>
      <c r="AH119" s="1086" t="n">
        <v>0</v>
      </c>
      <c r="AI119" s="1086" t="n">
        <v>0</v>
      </c>
      <c r="AJ119" s="1087" t="n">
        <v>0</v>
      </c>
      <c r="AK119" s="1086" t="n">
        <v>0</v>
      </c>
      <c r="AL119" s="1086" t="n">
        <v>0</v>
      </c>
      <c r="AM119" s="1087" t="n">
        <v>0</v>
      </c>
      <c r="AN119" s="1086" t="n">
        <v>0</v>
      </c>
      <c r="AO119" s="1086" t="n">
        <v>0</v>
      </c>
      <c r="AP119" s="1087" t="n">
        <v>0</v>
      </c>
      <c r="AQ119" s="1086" t="n">
        <v>0</v>
      </c>
      <c r="AR119" s="1086" t="n">
        <v>0</v>
      </c>
      <c r="AS119" s="1087" t="n">
        <v>0</v>
      </c>
      <c r="AT119" s="1086" t="n">
        <v>0</v>
      </c>
      <c r="AU119" s="1086" t="n">
        <v>0</v>
      </c>
      <c r="AV119" s="1086" t="n">
        <v>0</v>
      </c>
      <c r="AW119" s="1172" t="n">
        <v>0</v>
      </c>
      <c r="AX119" s="807" t="e">
        <f aca="false">BB119-SUM(AY119:BA119)</f>
        <v>#VALUE!</v>
      </c>
      <c r="AY119" s="807" t="e">
        <f aca="false">IF(AND($E119=MONTH(Summary!$E$24),$D119=YEAR(Summary!$E$24)),Summary!$E$25,1)*IF(G119="",0,INT((H119-MOD(H119,7)-G119)/7)+1-IF(BA119,IF(WEEKDAY(F119)=7,1,0),0))</f>
        <v>#VALUE!</v>
      </c>
      <c r="AZ119" s="807" t="e">
        <f aca="false">IF(AND($E119=MONTH(Summary!$E$24),$D119=YEAR(Summary!$E$24)),Summary!$E$25,1)*IF(G119="",0,INT((H119-MOD(H119-1,7)-G119)/7)+1-IF(BA119,IF(WEEKDAY(F119)=1,1,0),0))</f>
        <v>#VALUE!</v>
      </c>
      <c r="BA119" s="807" t="n">
        <v>1</v>
      </c>
      <c r="BB119" s="807" t="n">
        <f aca="false">IF(AND($E119=MONTH(Summary!$E$24),$D119=YEAR(Summary!$E$24)),Summary!$E$25,1)*IF(G119="",0,H119-G119+1)</f>
        <v>31</v>
      </c>
      <c r="BC119" s="1089" t="n">
        <f aca="false">Summary!$E$19</f>
        <v>0.015</v>
      </c>
      <c r="BD119" s="1090" t="n">
        <v>15602.4</v>
      </c>
      <c r="BE119" s="1091" t="n">
        <v>2836.8</v>
      </c>
      <c r="BF119" s="1091" t="n">
        <v>3546</v>
      </c>
      <c r="BG119" s="842"/>
      <c r="BH119" s="1092" t="n">
        <v>1</v>
      </c>
      <c r="BI119" s="1092" t="n">
        <v>1</v>
      </c>
      <c r="BJ119" s="1092" t="n">
        <v>1</v>
      </c>
      <c r="BK119" s="1092" t="n">
        <v>1</v>
      </c>
      <c r="BL119" s="1093" t="n">
        <v>3120.48</v>
      </c>
      <c r="BM119" s="1091" t="n">
        <v>567.36</v>
      </c>
      <c r="BN119" s="1091" t="n">
        <v>709.2</v>
      </c>
      <c r="BO119" s="842"/>
      <c r="BP119" s="1092" t="n">
        <v>1</v>
      </c>
      <c r="BQ119" s="1094" t="n">
        <v>1</v>
      </c>
      <c r="BR119" s="1094" t="n">
        <v>1</v>
      </c>
      <c r="BS119" s="1095" t="n">
        <v>1</v>
      </c>
      <c r="BT119" s="1093" t="n">
        <f aca="false">SUM(BD119:BF119)</f>
        <v>21985.2</v>
      </c>
      <c r="BU119" s="1098" t="n">
        <f aca="false">SUM(BD119:BG119)</f>
        <v>21985.2</v>
      </c>
      <c r="BV119" s="1090" t="n">
        <f aca="false">SUM(BL119:BN119)</f>
        <v>4397.04</v>
      </c>
      <c r="BW119" s="1098" t="n">
        <f aca="false">SUM(BL119:BO119)</f>
        <v>4397.04</v>
      </c>
      <c r="BX119" s="852" t="n">
        <v>8.54483230663929</v>
      </c>
      <c r="BY119" s="1099" t="n">
        <v>0</v>
      </c>
      <c r="BZ119" s="852" t="n">
        <v>0</v>
      </c>
      <c r="CA119" s="852" t="n">
        <v>0</v>
      </c>
      <c r="CB119" s="852" t="n">
        <v>0</v>
      </c>
      <c r="CC119" s="852" t="n">
        <v>0</v>
      </c>
      <c r="CD119" s="852" t="n">
        <v>0</v>
      </c>
      <c r="CE119" s="1100" t="n">
        <v>0</v>
      </c>
      <c r="CF119" s="852" t="n">
        <v>0</v>
      </c>
      <c r="CG119" s="852" t="n">
        <v>0</v>
      </c>
      <c r="CH119" s="852" t="n">
        <v>0</v>
      </c>
      <c r="CI119" s="852" t="n">
        <v>0</v>
      </c>
      <c r="CJ119" s="1101" t="n">
        <v>0</v>
      </c>
      <c r="CK119" s="852" t="n">
        <v>0</v>
      </c>
      <c r="CL119" s="852" t="n">
        <v>0</v>
      </c>
      <c r="CM119" s="852" t="n">
        <v>0</v>
      </c>
      <c r="CN119" s="852" t="n">
        <v>0</v>
      </c>
      <c r="CO119" s="852" t="n">
        <v>0</v>
      </c>
      <c r="CP119" s="852" t="n">
        <v>0</v>
      </c>
      <c r="CQ119" s="1102" t="n">
        <v>0</v>
      </c>
      <c r="CR119" s="1103" t="n">
        <v>0</v>
      </c>
      <c r="CS119" s="1103" t="n">
        <v>0</v>
      </c>
      <c r="CT119" s="1103" t="n">
        <v>0</v>
      </c>
      <c r="CU119" s="1103" t="n">
        <v>0</v>
      </c>
      <c r="CV119" s="1103" t="n">
        <v>0</v>
      </c>
      <c r="CW119" s="1103" t="n">
        <v>0</v>
      </c>
      <c r="CX119" s="1104" t="n">
        <v>0</v>
      </c>
      <c r="CY119" s="1105" t="n">
        <v>7678.21672</v>
      </c>
      <c r="CZ119" s="1099" t="n">
        <v>0</v>
      </c>
      <c r="DA119" s="852" t="n">
        <v>0</v>
      </c>
      <c r="DB119" s="852" t="n">
        <v>0</v>
      </c>
      <c r="DC119" s="852" t="n">
        <v>0</v>
      </c>
      <c r="DD119" s="852" t="n">
        <v>0</v>
      </c>
      <c r="DE119" s="1113" t="n">
        <v>0</v>
      </c>
      <c r="DF119" s="1109" t="n">
        <v>0</v>
      </c>
      <c r="DG119" s="1110" t="n">
        <v>0</v>
      </c>
      <c r="DH119" s="1111" t="n">
        <v>0</v>
      </c>
      <c r="DI119" s="1112" t="n">
        <v>0</v>
      </c>
      <c r="DJ119" s="1112" t="n">
        <v>0</v>
      </c>
      <c r="DK119" s="1112" t="n">
        <v>0</v>
      </c>
      <c r="DL119" s="1113" t="n">
        <v>0</v>
      </c>
      <c r="DM119" s="1114" t="n">
        <v>0</v>
      </c>
      <c r="DN119" s="1114" t="n">
        <v>0</v>
      </c>
      <c r="DO119" s="1114" t="n">
        <v>0</v>
      </c>
      <c r="DP119" s="1114" t="n">
        <v>0</v>
      </c>
      <c r="DQ119" s="1114" t="n">
        <v>0</v>
      </c>
      <c r="DR119" s="1109" t="n">
        <v>0</v>
      </c>
      <c r="DS119" s="852" t="n">
        <v>0</v>
      </c>
      <c r="DT119" s="852" t="n">
        <v>0</v>
      </c>
      <c r="DU119" s="852" t="n">
        <v>0</v>
      </c>
      <c r="DV119" s="852" t="n">
        <v>0</v>
      </c>
      <c r="DW119" s="852" t="n">
        <v>0</v>
      </c>
      <c r="DX119" s="852" t="n">
        <v>0</v>
      </c>
      <c r="DY119" s="852" t="n">
        <v>0</v>
      </c>
      <c r="DZ119" s="852" t="n">
        <v>0</v>
      </c>
      <c r="EA119" s="852" t="n">
        <v>0</v>
      </c>
      <c r="EB119" s="1113" t="n">
        <v>0</v>
      </c>
      <c r="EC119" s="1115" t="n">
        <f aca="false">DS119*BD119</f>
        <v>0</v>
      </c>
      <c r="ED119" s="1115" t="n">
        <f aca="false">DT119*BE119</f>
        <v>0</v>
      </c>
      <c r="EE119" s="1115" t="n">
        <f aca="false">DU119*BF119</f>
        <v>0</v>
      </c>
      <c r="EF119" s="1115" t="n">
        <f aca="false">DV119*BG119</f>
        <v>0</v>
      </c>
      <c r="EG119" s="1115" t="n">
        <f aca="false">DS119*BD119+DT119*BE119+DU119*BF119+DV119*BG119</f>
        <v>0</v>
      </c>
      <c r="EH119" s="1116" t="n">
        <v>0</v>
      </c>
      <c r="EI119" s="1117" t="n">
        <v>0</v>
      </c>
      <c r="EJ119" s="1117" t="n">
        <v>0</v>
      </c>
      <c r="EK119" s="1117" t="n">
        <v>0</v>
      </c>
      <c r="EL119" s="1118" t="n">
        <f aca="false">IF(C119&gt;=Summary!$E$26,MAX(0,SUM(EH119:EK119)),0)</f>
        <v>0</v>
      </c>
      <c r="EM119" s="1115" t="n">
        <f aca="false">IF(C119&gt;=Summary!$E$26,DX119*BL119,0)</f>
        <v>0</v>
      </c>
      <c r="EN119" s="1115" t="n">
        <f aca="false">IF(C119&gt;=Summary!$E$26,DY119*BM119,0)</f>
        <v>0</v>
      </c>
      <c r="EO119" s="1115" t="n">
        <f aca="false">IF(C119&gt;=Summary!$E$26,DZ119*BN119,0)</f>
        <v>0</v>
      </c>
      <c r="EP119" s="1115" t="n">
        <f aca="false">IF(C119&gt;=Summary!$E$26,EA119*BO119,0)</f>
        <v>0</v>
      </c>
      <c r="EQ119" s="1115" t="n">
        <f aca="false">IF(C119&gt;=Summary!$E$26,DX119*BL119+DY119*BM119+DZ119*BN119+EA119*BO119,0)</f>
        <v>0</v>
      </c>
      <c r="ER119" s="1119" t="n">
        <v>0</v>
      </c>
      <c r="ES119" s="1120" t="n">
        <v>0</v>
      </c>
      <c r="ET119" s="1120" t="n">
        <v>0</v>
      </c>
      <c r="EU119" s="1120" t="n">
        <v>0</v>
      </c>
      <c r="EV119" s="1143" t="n">
        <f aca="false">IF(C119&gt;=Summary!$E$26,MAX(0,SUM(ER119:EU119)),0)</f>
        <v>0</v>
      </c>
      <c r="EW119" s="1115"/>
      <c r="EX119" s="1165" t="n">
        <f aca="false">(EQ119-EV119)+IF(EZ119="Yes",(EG119-EL119),0)</f>
        <v>0</v>
      </c>
      <c r="EY119" s="1166" t="str">
        <f aca="false">IF(EX119,EX119/EQ119,"")</f>
        <v/>
      </c>
      <c r="EZ119" s="1122" t="s">
        <v>37</v>
      </c>
      <c r="FA119" s="1096" t="n">
        <f aca="false">FA118</f>
        <v>45</v>
      </c>
      <c r="FB119" s="1167" t="e">
        <f aca="false">IF(EZ119="No",IF((OR(MONTH(C119)=5,MONTH(C119)=6,MONTH(C119)=7,MONTH(C119)=8,MONTH(C119)=9)),$FA119*12*AX119*(1-$BC119),$FA119*10*AX119*(1-$BC119)),0)</f>
        <v>#VALUE!</v>
      </c>
      <c r="FC119" s="1129" t="n">
        <f aca="false">IF(EZ119="No",IF((OR(MONTH(C119)=5,MONTH(C119)=6,MONTH(C119)=7,MONTH(C119)=8,MONTH(C119)=9)),0,$FA119*3*AX119*(1-$BC119)),0)</f>
        <v>0</v>
      </c>
      <c r="FD119" s="1129" t="e">
        <f aca="false">IF(EZ119="No",IF((OR(MONTH(C119)=5,MONTH(C119)=6,MONTH(C119)=7,MONTH(C119)=8,MONTH(C119)=9)),$FA119*12*AY119*(1-$BC119),$FA119*10*AY119*(1-$BC119)),0)</f>
        <v>#VALUE!</v>
      </c>
      <c r="FE119" s="1129" t="n">
        <f aca="false">IF(EZ119="No",IF((OR(MONTH(C119)=5,MONTH(C119)=6,MONTH(C119)=7,MONTH(C119)=8,MONTH(C119)=9)),0,$FA119*3*AY119*(1-$BC119)),0)</f>
        <v>0</v>
      </c>
      <c r="FF119" s="1129" t="e">
        <f aca="false">IF(EZ119="No",IF((OR(MONTH(C119)=5,MONTH(C119)=6,MONTH(C119)=7,MONTH(C119)=8,MONTH(C119)=9)),$FA119*12*(AZ119+BA119)*(1-$BC119),$FA119*10*(AZ119+BA119)*(1-$BC119)),0)</f>
        <v>#VALUE!</v>
      </c>
      <c r="FG119" s="1129" t="n">
        <f aca="false">IF(EZ119="No",IF((OR(MONTH(C119)=5,MONTH(C119)=6,MONTH(C119)=7,MONTH(C119)=8,MONTH(C119)=9)),0,$FA119*3*(AZ119+BA119)*(1-$BC119)),0)</f>
        <v>0</v>
      </c>
      <c r="FH119" s="1170" t="e">
        <f aca="false">IF(EZ119="No",IF((OR(MONTH(C119)=5,MONTH(C119)=6,MONTH(C119)=7,MONTH(C119)=8,MONTH(C119)=9)),Summary!$O$15*12*(AX119+AY119+AZ119+BA119)*(1-$BC119),Summary!$O$15*13*(AX119+AY119+AZ119+BA119)*(1-$BC119)+IF(Summary!$O$16="Yes",(CALC!FA119+Summary!$O$15)*6*(AX119+AY119+AZ119+BA119)*(1-$BC119),0)),0)</f>
        <v>#VALUE!</v>
      </c>
      <c r="FI119" s="1126" t="n">
        <f aca="false">IF(MONTH(C119)=5,FI118*(IF(Summary!$E$70="no",(1+(Summary!$E$71*0.8)),1+HLOOKUP(YEAR(C119)-1,CCFMODEL!$I$127:$AF$128,2)*0.8)),+FI118)</f>
        <v>32.9323923735024</v>
      </c>
      <c r="FJ119" s="1127" t="n">
        <f aca="false">IF(MONTH(C119)=5,FJ118*(IF(Summary!$E$70="no",(1+(Summary!$E$71*0.8)),1+HLOOKUP(YEAR(CALC!C119)-1,CCFMODEL!$I$127:$AF$128,2)*0.8)),FJ118)</f>
        <v>28.7834295547934</v>
      </c>
      <c r="FK119" s="1128" t="e">
        <f aca="false">SUM(FB119:FG119)*FI119+FH119*FJ119</f>
        <v>#VALUE!</v>
      </c>
      <c r="FL119" s="1126" t="n">
        <f aca="false">IF(MONTH(C119)=5,FL118*(IF(Summary!$E$70="no",(1+(Summary!$E$71*0.8)),1+HLOOKUP(YEAR(CALC!C119)-1,CCFMODEL!$I$127:$AF$128,2)*0.8)),+FL118)</f>
        <v>69.26051324446</v>
      </c>
      <c r="FM119" s="1127" t="n">
        <f aca="false">IF(MONTH(C119)=5,FM118*(IF(Summary!$E$70="no",(1+(Summary!$E$71*0.8)),1+HLOOKUP(YEAR(CALC!C119)-1,CCFMODEL!$I$127:$AF$128,2)*0.8)),+FM118)</f>
        <v>33.0558734097735</v>
      </c>
      <c r="FN119" s="1128" t="e">
        <f aca="false">IF((OR(MONTH(C119)=5,MONTH(C119)=6,MONTH(C119)=7,MONTH(C119)=8,MONTH(C119)=9)),SUM(FB119:FG119)/(1-BC119)*FL119,SUM(FB119:FG119)/(1-BC119)*FM119)</f>
        <v>#VALUE!</v>
      </c>
      <c r="FO119" s="1129" t="e">
        <f aca="false">FK119+FN119</f>
        <v>#VALUE!</v>
      </c>
      <c r="FP119" s="1169" t="e">
        <f aca="false">FB119</f>
        <v>#VALUE!</v>
      </c>
      <c r="FQ119" s="1129" t="n">
        <f aca="false">FC119</f>
        <v>0</v>
      </c>
      <c r="FR119" s="1129" t="e">
        <f aca="false">FD119</f>
        <v>#VALUE!</v>
      </c>
      <c r="FS119" s="1129" t="n">
        <f aca="false">FE119</f>
        <v>0</v>
      </c>
      <c r="FT119" s="1129" t="e">
        <f aca="false">FF119</f>
        <v>#VALUE!</v>
      </c>
      <c r="FU119" s="1129" t="n">
        <f aca="false">FG119</f>
        <v>0</v>
      </c>
      <c r="FV119" s="1170" t="e">
        <f aca="false">FH119</f>
        <v>#VALUE!</v>
      </c>
      <c r="FW119" s="1115" t="n">
        <f aca="false">IF(ER119&gt;0,MIN(FB119-FP119,BL119),0)</f>
        <v>0</v>
      </c>
      <c r="FX119" s="1115" t="n">
        <f aca="false">IF(ES119&gt;0,MIN(FD119-FR119,BM119),0)</f>
        <v>0</v>
      </c>
      <c r="FY119" s="1115" t="n">
        <f aca="false">IF(ET119&gt;0,MIN(FF119-FT119,BN119),0)</f>
        <v>0</v>
      </c>
      <c r="FZ119" s="1143" t="n">
        <f aca="false">IF(EU119&gt;0,MIN(FH119-FV119,BO119),0)</f>
        <v>0</v>
      </c>
      <c r="GA119" s="1132" t="e">
        <f aca="false">(SUM(FP119:FV119)+SUM(GU119:HB119)/(1-Summary!$O$25))*CY119/1000</f>
        <v>#VALUE!</v>
      </c>
      <c r="GB119" s="1133" t="n">
        <f aca="false">IF($C119&lt;Summary!$M$81,+Summary!$O$81,VLOOKUP(C119,GasTable,19))</f>
        <v>2.4</v>
      </c>
      <c r="GC119" s="1134" t="e">
        <f aca="false">IF(H119&lt;=Summary!$N$84,MIN(GA119,Summary!$O$75*(H119-G119+1)),0)</f>
        <v>#VALUE!</v>
      </c>
      <c r="GD119" s="1135" t="e">
        <f aca="false">IF(Summary!$O$75*(H119-G119+1)*0.8&gt;GC119,1,0)</f>
        <v>#VALUE!</v>
      </c>
      <c r="GE119" s="1136" t="n">
        <v>0</v>
      </c>
      <c r="GF119" s="1134" t="e">
        <f aca="false">ABS(MIN(0,GC119-$GA119))</f>
        <v>#VALUE!</v>
      </c>
      <c r="GG119" s="1135" t="e">
        <f aca="false">GF119*(IF(Summary!$O$74=1,VLOOKUP($C119,GasTable,16)+Summary!$O$92+Summary!$O$93,VLOOKUP($C119,GasTable,19)+Summary!$O$92+Summary!$O$93))</f>
        <v>#VALUE!</v>
      </c>
      <c r="GH119" s="1137" t="n">
        <v>19009.2</v>
      </c>
      <c r="GI119" s="1138" t="n">
        <v>0</v>
      </c>
      <c r="GJ119" s="1139" t="e">
        <f aca="false">+GB119*GC119+GE119+GG119+GH119-GI119</f>
        <v>#VALUE!</v>
      </c>
      <c r="GK119" s="1115" t="e">
        <f aca="false">SUM(FP119:FV119,GU119:GX119,GY119:HB119)</f>
        <v>#VALUE!</v>
      </c>
      <c r="GL119" s="1140" t="n">
        <v>0.754000881904</v>
      </c>
      <c r="GM119" s="1141" t="e">
        <f aca="false">IF(GK119&gt;GC119/(CY119/1000),GC119/(CY119/1000),+GK119)*GL119</f>
        <v>#VALUE!</v>
      </c>
      <c r="GN119" s="1115" t="n">
        <f aca="false">IF(SUM(GU119:HB119)=0,0,IF(Summary!$O$16="Yes",SUM(GX119:HB119),IF(Summary!$O$17="Yes",SUM(GY119:HB119),SUM(GU119:HB119))))</f>
        <v>9547.0731</v>
      </c>
      <c r="GO119" s="1142" t="n">
        <v>3.01431177140114</v>
      </c>
      <c r="GP119" s="1143" t="n">
        <f aca="false">GN119*GO119</f>
        <v>28777.8548277572</v>
      </c>
      <c r="GQ119" s="1115"/>
      <c r="GR119" s="1115"/>
      <c r="GS119" s="1115"/>
      <c r="GT119" s="1115"/>
      <c r="GU119" s="1150" t="n">
        <v>3764.079</v>
      </c>
      <c r="GV119" s="1115" t="n">
        <v>684.378</v>
      </c>
      <c r="GW119" s="1115" t="n">
        <v>855.4725</v>
      </c>
      <c r="GX119" s="1115"/>
      <c r="GY119" s="1151" t="n">
        <v>3011.2632</v>
      </c>
      <c r="GZ119" s="1115" t="n">
        <v>547.5024</v>
      </c>
      <c r="HA119" s="1115" t="n">
        <v>684.378</v>
      </c>
      <c r="HB119" s="1141"/>
      <c r="HC119" s="1115" t="n">
        <v>9547.0731</v>
      </c>
      <c r="HD119" s="1115"/>
      <c r="HE119" s="1115" t="n">
        <v>22276.5039</v>
      </c>
      <c r="HF119" s="1115" t="n">
        <v>417464.124181869</v>
      </c>
      <c r="HG119" s="1115"/>
      <c r="HH119" s="1142" t="n">
        <v>46.3057153419601</v>
      </c>
      <c r="HI119" s="1115" t="n">
        <v>1031529.44840747</v>
      </c>
      <c r="HJ119" s="1150" t="e">
        <f aca="false">MAX(FB119-FP119-FW119,0)</f>
        <v>#VALUE!</v>
      </c>
      <c r="HK119" s="1115" t="e">
        <f aca="false">MAX(FD119-FR119-FX119,0)</f>
        <v>#VALUE!</v>
      </c>
      <c r="HL119" s="1115" t="e">
        <f aca="false">MAX(FF119-FT119-FY119,0)</f>
        <v>#VALUE!</v>
      </c>
      <c r="HM119" s="1141" t="e">
        <f aca="false">MAX(FH119-FV119-FZ119,0)</f>
        <v>#VALUE!</v>
      </c>
      <c r="HN119" s="1115" t="e">
        <f aca="false">SUM(HJ119:HM119)</f>
        <v>#VALUE!</v>
      </c>
      <c r="HO119" s="1142" t="n">
        <f aca="false">IF(ISERROR(+HP119/HN119),0,+HP119/HN119)</f>
        <v>0</v>
      </c>
      <c r="HP119" s="1143" t="e">
        <f aca="false">(HJ119*CE119+HK119*CF119+HL119*CG119+HM119*CH119)</f>
        <v>#VALUE!</v>
      </c>
      <c r="HQ119" s="1142"/>
      <c r="HR119" s="1150"/>
      <c r="HS119" s="1110"/>
      <c r="HT119" s="1141"/>
      <c r="HU119" s="1151"/>
      <c r="HV119" s="1142"/>
      <c r="HW119" s="1115"/>
      <c r="HX119" s="1149"/>
      <c r="HY119" s="1143"/>
      <c r="HZ119" s="1150"/>
      <c r="IA119" s="1142"/>
      <c r="IB119" s="1141"/>
      <c r="IC119" s="1151"/>
      <c r="ID119" s="1142"/>
      <c r="IE119" s="1141"/>
      <c r="IF119" s="1115"/>
      <c r="IG119" s="1142"/>
      <c r="IH119" s="1141"/>
      <c r="II119" s="1115"/>
      <c r="IJ119" s="1142"/>
      <c r="IK119" s="1115"/>
      <c r="IL119" s="1152"/>
      <c r="IM119" s="1192"/>
      <c r="IN119" s="1151"/>
      <c r="IO119" s="1151"/>
      <c r="IP119" s="1151"/>
      <c r="IQ119" s="1151"/>
      <c r="IR119" s="844"/>
    </row>
    <row r="120" customFormat="false" ht="13.5" hidden="false" customHeight="false" outlineLevel="0" collapsed="false">
      <c r="A120" s="0" t="str">
        <f aca="false">+D120&amp;"Q"&amp;ROUNDUP(E120/3,0)</f>
        <v>2008Q3</v>
      </c>
      <c r="B120" s="0" t="n">
        <f aca="false">YEAR(C120)</f>
        <v>2008</v>
      </c>
      <c r="C120" s="1153" t="n">
        <f aca="false">EOMONTH(C119,0)+1</f>
        <v>39661</v>
      </c>
      <c r="D120" s="841" t="n">
        <f aca="false">+YEAR(C120)</f>
        <v>2008</v>
      </c>
      <c r="E120" s="807" t="n">
        <f aca="false">MONTH(C120)</f>
        <v>8</v>
      </c>
      <c r="F120" s="1154" t="e">
        <f aca="false">IF(G120="","",Holiday(D120,E120))</f>
        <v>#VALUE!</v>
      </c>
      <c r="G120" s="1155" t="n">
        <v>39661</v>
      </c>
      <c r="H120" s="1156" t="n">
        <v>39691</v>
      </c>
      <c r="I120" s="1157" t="n">
        <f aca="false">I119</f>
        <v>0.0715</v>
      </c>
      <c r="J120" s="1158" t="n">
        <f aca="false">(1+I120/2)^(-2*(DATE(D121,E121,20)-$H$7)/365.25)</f>
        <v>0.540172046156019</v>
      </c>
      <c r="K120" s="1159"/>
      <c r="L120" s="1158"/>
      <c r="M120" s="1082" t="n">
        <v>0</v>
      </c>
      <c r="N120" s="1110" t="n">
        <f aca="false">M120</f>
        <v>0</v>
      </c>
      <c r="O120" s="1174" t="n">
        <f aca="false">N120</f>
        <v>0</v>
      </c>
      <c r="P120" s="1175" t="n">
        <f aca="false">M120</f>
        <v>0</v>
      </c>
      <c r="Q120" s="1110" t="n">
        <f aca="false">P120</f>
        <v>0</v>
      </c>
      <c r="R120" s="1174" t="n">
        <f aca="false">Q120</f>
        <v>0</v>
      </c>
      <c r="S120" s="1110" t="n">
        <f aca="false">R120</f>
        <v>0</v>
      </c>
      <c r="T120" s="1110" t="n">
        <f aca="false">S120</f>
        <v>0</v>
      </c>
      <c r="U120" s="1110" t="n">
        <f aca="false">T120</f>
        <v>0</v>
      </c>
      <c r="V120" s="1175" t="n">
        <f aca="false">U120</f>
        <v>0</v>
      </c>
      <c r="W120" s="1110" t="n">
        <f aca="false">V120</f>
        <v>0</v>
      </c>
      <c r="X120" s="1176" t="n">
        <f aca="false">W120</f>
        <v>0</v>
      </c>
      <c r="Y120" s="1086" t="n">
        <v>0</v>
      </c>
      <c r="Z120" s="1086" t="n">
        <v>0</v>
      </c>
      <c r="AA120" s="1087" t="n">
        <v>0</v>
      </c>
      <c r="AB120" s="1086" t="n">
        <v>0</v>
      </c>
      <c r="AC120" s="1086" t="n">
        <v>0</v>
      </c>
      <c r="AD120" s="1087" t="n">
        <v>0</v>
      </c>
      <c r="AE120" s="1086" t="n">
        <v>0</v>
      </c>
      <c r="AF120" s="1086" t="n">
        <v>0</v>
      </c>
      <c r="AG120" s="1087" t="n">
        <v>0</v>
      </c>
      <c r="AH120" s="1086" t="n">
        <v>0</v>
      </c>
      <c r="AI120" s="1086" t="n">
        <v>0</v>
      </c>
      <c r="AJ120" s="1087" t="n">
        <v>0</v>
      </c>
      <c r="AK120" s="1086" t="n">
        <v>0</v>
      </c>
      <c r="AL120" s="1086" t="n">
        <v>0</v>
      </c>
      <c r="AM120" s="1087" t="n">
        <v>0</v>
      </c>
      <c r="AN120" s="1086" t="n">
        <v>0</v>
      </c>
      <c r="AO120" s="1086" t="n">
        <v>0</v>
      </c>
      <c r="AP120" s="1087" t="n">
        <v>0</v>
      </c>
      <c r="AQ120" s="1086" t="n">
        <v>0</v>
      </c>
      <c r="AR120" s="1086" t="n">
        <v>0</v>
      </c>
      <c r="AS120" s="1087" t="n">
        <v>0</v>
      </c>
      <c r="AT120" s="1086" t="n">
        <v>0</v>
      </c>
      <c r="AU120" s="1086" t="n">
        <v>0</v>
      </c>
      <c r="AV120" s="1086" t="n">
        <v>0</v>
      </c>
      <c r="AW120" s="1172" t="n">
        <v>0</v>
      </c>
      <c r="AX120" s="807" t="n">
        <f aca="false">BB120-SUM(AY120:BA120)</f>
        <v>21</v>
      </c>
      <c r="AY120" s="807" t="n">
        <f aca="false">IF(AND($E120=MONTH(Summary!$E$24),$D120=YEAR(Summary!$E$24)),Summary!$E$25,1)*IF(G120="",0,INT((H120-MOD(H120,7)-G120)/7)+1-IF(BA120,IF(WEEKDAY(F120)=7,1,0),0))</f>
        <v>5</v>
      </c>
      <c r="AZ120" s="807" t="n">
        <f aca="false">IF(AND($E120=MONTH(Summary!$E$24),$D120=YEAR(Summary!$E$24)),Summary!$E$25,1)*IF(G120="",0,INT((H120-MOD(H120-1,7)-G120)/7)+1-IF(BA120,IF(WEEKDAY(F120)=1,1,0),0))</f>
        <v>5</v>
      </c>
      <c r="BA120" s="807" t="n">
        <v>0</v>
      </c>
      <c r="BB120" s="807" t="n">
        <f aca="false">IF(AND($E120=MONTH(Summary!$E$24),$D120=YEAR(Summary!$E$24)),Summary!$E$25,1)*IF(G120="",0,H120-G120+1)</f>
        <v>31</v>
      </c>
      <c r="BC120" s="1089" t="n">
        <f aca="false">Summary!$E$19</f>
        <v>0.015</v>
      </c>
      <c r="BD120" s="1090" t="n">
        <v>14893.2</v>
      </c>
      <c r="BE120" s="1091" t="n">
        <v>3546</v>
      </c>
      <c r="BF120" s="1091" t="n">
        <v>3546</v>
      </c>
      <c r="BG120" s="842"/>
      <c r="BH120" s="1092" t="n">
        <v>1</v>
      </c>
      <c r="BI120" s="1092" t="n">
        <v>1</v>
      </c>
      <c r="BJ120" s="1092" t="n">
        <v>1</v>
      </c>
      <c r="BK120" s="1092" t="n">
        <v>1</v>
      </c>
      <c r="BL120" s="1093" t="n">
        <v>2978.64</v>
      </c>
      <c r="BM120" s="1091" t="n">
        <v>709.2</v>
      </c>
      <c r="BN120" s="1091" t="n">
        <v>709.2</v>
      </c>
      <c r="BO120" s="842"/>
      <c r="BP120" s="1092" t="n">
        <v>1</v>
      </c>
      <c r="BQ120" s="1094" t="n">
        <v>1</v>
      </c>
      <c r="BR120" s="1094" t="n">
        <v>1</v>
      </c>
      <c r="BS120" s="1095" t="n">
        <v>1</v>
      </c>
      <c r="BT120" s="1093" t="n">
        <f aca="false">SUM(BD120:BF120)</f>
        <v>21985.2</v>
      </c>
      <c r="BU120" s="1098" t="n">
        <f aca="false">SUM(BD120:BG120)</f>
        <v>21985.2</v>
      </c>
      <c r="BV120" s="1090" t="n">
        <f aca="false">SUM(BL120:BN120)</f>
        <v>4397.04</v>
      </c>
      <c r="BW120" s="1098" t="n">
        <f aca="false">SUM(BL120:BO120)</f>
        <v>4397.04</v>
      </c>
      <c r="BX120" s="852" t="n">
        <v>8.62970568104038</v>
      </c>
      <c r="BY120" s="1099" t="n">
        <v>0</v>
      </c>
      <c r="BZ120" s="852" t="n">
        <v>0</v>
      </c>
      <c r="CA120" s="852" t="n">
        <v>0</v>
      </c>
      <c r="CB120" s="852" t="n">
        <v>0</v>
      </c>
      <c r="CC120" s="852" t="n">
        <v>0</v>
      </c>
      <c r="CD120" s="852" t="n">
        <v>0</v>
      </c>
      <c r="CE120" s="1100" t="n">
        <v>0</v>
      </c>
      <c r="CF120" s="852" t="n">
        <v>0</v>
      </c>
      <c r="CG120" s="852" t="n">
        <v>0</v>
      </c>
      <c r="CH120" s="852" t="n">
        <v>0</v>
      </c>
      <c r="CI120" s="852" t="n">
        <v>0</v>
      </c>
      <c r="CJ120" s="1101" t="n">
        <v>0</v>
      </c>
      <c r="CK120" s="852" t="n">
        <v>0</v>
      </c>
      <c r="CL120" s="852" t="n">
        <v>0</v>
      </c>
      <c r="CM120" s="852" t="n">
        <v>0</v>
      </c>
      <c r="CN120" s="852" t="n">
        <v>0</v>
      </c>
      <c r="CO120" s="852" t="n">
        <v>0</v>
      </c>
      <c r="CP120" s="852" t="n">
        <v>0</v>
      </c>
      <c r="CQ120" s="1102" t="n">
        <v>0</v>
      </c>
      <c r="CR120" s="1103" t="n">
        <v>0</v>
      </c>
      <c r="CS120" s="1103" t="n">
        <v>0</v>
      </c>
      <c r="CT120" s="1103" t="n">
        <v>0</v>
      </c>
      <c r="CU120" s="1103" t="n">
        <v>0</v>
      </c>
      <c r="CV120" s="1103" t="n">
        <v>0</v>
      </c>
      <c r="CW120" s="1103" t="n">
        <v>0</v>
      </c>
      <c r="CX120" s="1104" t="n">
        <v>0</v>
      </c>
      <c r="CY120" s="1105" t="n">
        <v>7680.24768</v>
      </c>
      <c r="CZ120" s="1099" t="n">
        <v>0</v>
      </c>
      <c r="DA120" s="852" t="n">
        <v>0</v>
      </c>
      <c r="DB120" s="852" t="n">
        <v>0</v>
      </c>
      <c r="DC120" s="852" t="n">
        <v>0</v>
      </c>
      <c r="DD120" s="852" t="n">
        <v>0</v>
      </c>
      <c r="DE120" s="1113" t="n">
        <v>0</v>
      </c>
      <c r="DF120" s="1109" t="n">
        <v>0</v>
      </c>
      <c r="DG120" s="1110" t="n">
        <v>0</v>
      </c>
      <c r="DH120" s="1111" t="n">
        <v>0</v>
      </c>
      <c r="DI120" s="1112" t="n">
        <v>0</v>
      </c>
      <c r="DJ120" s="1112" t="n">
        <v>0</v>
      </c>
      <c r="DK120" s="1112" t="n">
        <v>0</v>
      </c>
      <c r="DL120" s="1113" t="n">
        <v>0</v>
      </c>
      <c r="DM120" s="1114" t="n">
        <v>0</v>
      </c>
      <c r="DN120" s="1114" t="n">
        <v>0</v>
      </c>
      <c r="DO120" s="1114" t="n">
        <v>0</v>
      </c>
      <c r="DP120" s="1114" t="n">
        <v>0</v>
      </c>
      <c r="DQ120" s="1114" t="n">
        <v>0</v>
      </c>
      <c r="DR120" s="1109" t="n">
        <v>0</v>
      </c>
      <c r="DS120" s="852" t="n">
        <v>0</v>
      </c>
      <c r="DT120" s="852" t="n">
        <v>0</v>
      </c>
      <c r="DU120" s="852" t="n">
        <v>0</v>
      </c>
      <c r="DV120" s="852" t="n">
        <v>0</v>
      </c>
      <c r="DW120" s="852" t="n">
        <v>0</v>
      </c>
      <c r="DX120" s="852" t="n">
        <v>0</v>
      </c>
      <c r="DY120" s="852" t="n">
        <v>0</v>
      </c>
      <c r="DZ120" s="852" t="n">
        <v>0</v>
      </c>
      <c r="EA120" s="852" t="n">
        <v>0</v>
      </c>
      <c r="EB120" s="1113" t="n">
        <v>0</v>
      </c>
      <c r="EC120" s="1115" t="n">
        <f aca="false">DS120*BD120</f>
        <v>0</v>
      </c>
      <c r="ED120" s="1115" t="n">
        <f aca="false">DT120*BE120</f>
        <v>0</v>
      </c>
      <c r="EE120" s="1115" t="n">
        <f aca="false">DU120*BF120</f>
        <v>0</v>
      </c>
      <c r="EF120" s="1115" t="n">
        <f aca="false">DV120*BG120</f>
        <v>0</v>
      </c>
      <c r="EG120" s="1115" t="n">
        <f aca="false">DS120*BD120+DT120*BE120+DU120*BF120+DV120*BG120</f>
        <v>0</v>
      </c>
      <c r="EH120" s="1116" t="n">
        <v>0</v>
      </c>
      <c r="EI120" s="1117" t="n">
        <v>0</v>
      </c>
      <c r="EJ120" s="1117" t="n">
        <v>0</v>
      </c>
      <c r="EK120" s="1117" t="n">
        <v>0</v>
      </c>
      <c r="EL120" s="1118" t="n">
        <f aca="false">IF(C120&gt;=Summary!$E$26,MAX(0,SUM(EH120:EK120)),0)</f>
        <v>0</v>
      </c>
      <c r="EM120" s="1115" t="n">
        <f aca="false">IF(C120&gt;=Summary!$E$26,DX120*BL120,0)</f>
        <v>0</v>
      </c>
      <c r="EN120" s="1115" t="n">
        <f aca="false">IF(C120&gt;=Summary!$E$26,DY120*BM120,0)</f>
        <v>0</v>
      </c>
      <c r="EO120" s="1115" t="n">
        <f aca="false">IF(C120&gt;=Summary!$E$26,DZ120*BN120,0)</f>
        <v>0</v>
      </c>
      <c r="EP120" s="1115" t="n">
        <f aca="false">IF(C120&gt;=Summary!$E$26,EA120*BO120,0)</f>
        <v>0</v>
      </c>
      <c r="EQ120" s="1115" t="n">
        <f aca="false">IF(C120&gt;=Summary!$E$26,DX120*BL120+DY120*BM120+DZ120*BN120+EA120*BO120,0)</f>
        <v>0</v>
      </c>
      <c r="ER120" s="1119" t="n">
        <v>0</v>
      </c>
      <c r="ES120" s="1120" t="n">
        <v>0</v>
      </c>
      <c r="ET120" s="1120" t="n">
        <v>0</v>
      </c>
      <c r="EU120" s="1120" t="n">
        <v>0</v>
      </c>
      <c r="EV120" s="1143" t="n">
        <f aca="false">IF(C120&gt;=Summary!$E$26,MAX(0,SUM(ER120:EU120)),0)</f>
        <v>0</v>
      </c>
      <c r="EW120" s="1115"/>
      <c r="EX120" s="1165" t="n">
        <f aca="false">(EQ120-EV120)+IF(EZ120="Yes",(EG120-EL120),0)</f>
        <v>0</v>
      </c>
      <c r="EY120" s="1166" t="str">
        <f aca="false">IF(EX120,EX120/EQ120,"")</f>
        <v/>
      </c>
      <c r="EZ120" s="1122" t="s">
        <v>37</v>
      </c>
      <c r="FA120" s="1096" t="n">
        <f aca="false">FA119</f>
        <v>45</v>
      </c>
      <c r="FB120" s="1167" t="n">
        <f aca="false">IF(EZ120="No",IF((OR(MONTH(C120)=5,MONTH(C120)=6,MONTH(C120)=7,MONTH(C120)=8,MONTH(C120)=9)),$FA120*12*AX120*(1-$BC120),$FA120*10*AX120*(1-$BC120)),0)</f>
        <v>11169.9</v>
      </c>
      <c r="FC120" s="1129" t="n">
        <f aca="false">IF(EZ120="No",IF((OR(MONTH(C120)=5,MONTH(C120)=6,MONTH(C120)=7,MONTH(C120)=8,MONTH(C120)=9)),0,$FA120*3*AX120*(1-$BC120)),0)</f>
        <v>0</v>
      </c>
      <c r="FD120" s="1129" t="n">
        <f aca="false">IF(EZ120="No",IF((OR(MONTH(C120)=5,MONTH(C120)=6,MONTH(C120)=7,MONTH(C120)=8,MONTH(C120)=9)),$FA120*12*AY120*(1-$BC120),$FA120*10*AY120*(1-$BC120)),0)</f>
        <v>2659.5</v>
      </c>
      <c r="FE120" s="1129" t="n">
        <f aca="false">IF(EZ120="No",IF((OR(MONTH(C120)=5,MONTH(C120)=6,MONTH(C120)=7,MONTH(C120)=8,MONTH(C120)=9)),0,$FA120*3*AY120*(1-$BC120)),0)</f>
        <v>0</v>
      </c>
      <c r="FF120" s="1129" t="n">
        <f aca="false">IF(EZ120="No",IF((OR(MONTH(C120)=5,MONTH(C120)=6,MONTH(C120)=7,MONTH(C120)=8,MONTH(C120)=9)),$FA120*12*(AZ120+BA120)*(1-$BC120),$FA120*10*(AZ120+BA120)*(1-$BC120)),0)</f>
        <v>2659.5</v>
      </c>
      <c r="FG120" s="1129" t="n">
        <f aca="false">IF(EZ120="No",IF((OR(MONTH(C120)=5,MONTH(C120)=6,MONTH(C120)=7,MONTH(C120)=8,MONTH(C120)=9)),0,$FA120*3*(AZ120+BA120)*(1-$BC120)),0)</f>
        <v>0</v>
      </c>
      <c r="FH120" s="1170" t="n">
        <f aca="false">IF(EZ120="No",IF((OR(MONTH(C120)=5,MONTH(C120)=6,MONTH(C120)=7,MONTH(C120)=8,MONTH(C120)=9)),Summary!$O$15*12*(AX120+AY120+AZ120+BA120)*(1-$BC120),Summary!$O$15*13*(AX120+AY120+AZ120+BA120)*(1-$BC120)+IF(Summary!$O$16="Yes",(CALC!FA120+Summary!$O$15)*6*(AX120+AY120+AZ120+BA120)*(1-$BC120),0)),0)</f>
        <v>0</v>
      </c>
      <c r="FI120" s="1126" t="n">
        <f aca="false">IF(MONTH(C120)=5,FI119*(IF(Summary!$E$70="no",(1+(Summary!$E$71*0.8)),1+HLOOKUP(YEAR(C120)-1,CCFMODEL!$I$127:$AF$128,2)*0.8)),+FI119)</f>
        <v>32.9323923735024</v>
      </c>
      <c r="FJ120" s="1127" t="n">
        <f aca="false">IF(MONTH(C120)=5,FJ119*(IF(Summary!$E$70="no",(1+(Summary!$E$71*0.8)),1+HLOOKUP(YEAR(CALC!C120)-1,CCFMODEL!$I$127:$AF$128,2)*0.8)),FJ119)</f>
        <v>28.7834295547934</v>
      </c>
      <c r="FK120" s="1128" t="n">
        <f aca="false">SUM(FB120:FG120)*FI120+FH120*FJ120</f>
        <v>543018.924607444</v>
      </c>
      <c r="FL120" s="1126" t="n">
        <f aca="false">IF(MONTH(C120)=5,FL119*(IF(Summary!$E$70="no",(1+(Summary!$E$71*0.8)),1+HLOOKUP(YEAR(CALC!C120)-1,CCFMODEL!$I$127:$AF$128,2)*0.8)),+FL119)</f>
        <v>69.26051324446</v>
      </c>
      <c r="FM120" s="1127" t="n">
        <f aca="false">IF(MONTH(C120)=5,FM119*(IF(Summary!$E$70="no",(1+(Summary!$E$71*0.8)),1+HLOOKUP(YEAR(CALC!C120)-1,CCFMODEL!$I$127:$AF$128,2)*0.8)),+FM119)</f>
        <v>33.0558734097735</v>
      </c>
      <c r="FN120" s="1128" t="n">
        <f aca="false">IF((OR(MONTH(C120)=5,MONTH(C120)=6,MONTH(C120)=7,MONTH(C120)=8,MONTH(C120)=9)),SUM(FB120:FG120)/(1-BC120)*FL120,SUM(FB120:FG120)/(1-BC120)*FM120)</f>
        <v>1159420.99171226</v>
      </c>
      <c r="FO120" s="1129" t="n">
        <f aca="false">FK120+FN120</f>
        <v>1702439.9163197</v>
      </c>
      <c r="FP120" s="1169" t="n">
        <f aca="false">FB120</f>
        <v>11169.9</v>
      </c>
      <c r="FQ120" s="1129" t="n">
        <f aca="false">FC120</f>
        <v>0</v>
      </c>
      <c r="FR120" s="1129" t="n">
        <f aca="false">FD120</f>
        <v>2659.5</v>
      </c>
      <c r="FS120" s="1129" t="n">
        <f aca="false">FE120</f>
        <v>0</v>
      </c>
      <c r="FT120" s="1129" t="n">
        <f aca="false">FF120</f>
        <v>2659.5</v>
      </c>
      <c r="FU120" s="1129" t="n">
        <f aca="false">FG120</f>
        <v>0</v>
      </c>
      <c r="FV120" s="1170" t="n">
        <f aca="false">FH120</f>
        <v>0</v>
      </c>
      <c r="FW120" s="1115" t="n">
        <f aca="false">IF(ER120&gt;0,MIN(FB120-FP120,BL120),0)</f>
        <v>0</v>
      </c>
      <c r="FX120" s="1115" t="n">
        <f aca="false">IF(ES120&gt;0,MIN(FD120-FR120,BM120),0)</f>
        <v>0</v>
      </c>
      <c r="FY120" s="1115" t="n">
        <f aca="false">IF(ET120&gt;0,MIN(FF120-FT120,BN120),0)</f>
        <v>0</v>
      </c>
      <c r="FZ120" s="1143" t="n">
        <f aca="false">IF(EU120&gt;0,MIN(FH120-FV120,BO120),0)</f>
        <v>0</v>
      </c>
      <c r="GA120" s="1132" t="n">
        <f aca="false">(SUM(FP120:FV120)+SUM(GU120:HB120)/(1-Summary!$O$25))*CY120/1000</f>
        <v>202622.137553203</v>
      </c>
      <c r="GB120" s="1133" t="n">
        <f aca="false">IF($C120&lt;Summary!$M$81,+Summary!$O$81,VLOOKUP(C120,GasTable,19))</f>
        <v>2.4</v>
      </c>
      <c r="GC120" s="1134" t="n">
        <f aca="false">IF(H120&lt;=Summary!$N$84,MIN(GA120,Summary!$O$75*(H120-G120+1)),0)</f>
        <v>155000</v>
      </c>
      <c r="GD120" s="1135" t="n">
        <f aca="false">IF(Summary!$O$75*(H120-G120+1)*0.8&gt;GC120,1,0)</f>
        <v>0</v>
      </c>
      <c r="GE120" s="1136" t="n">
        <v>0</v>
      </c>
      <c r="GF120" s="1134" t="n">
        <f aca="false">ABS(MIN(0,GC120-$GA120))</f>
        <v>47622.1375532032</v>
      </c>
      <c r="GG120" s="1135" t="n">
        <f aca="false">GF120*(IF(Summary!$O$74=1,VLOOKUP($C120,GasTable,16)+Summary!$O$92+Summary!$O$93,VLOOKUP($C120,GasTable,19)+Summary!$O$92+Summary!$O$93))</f>
        <v>146950.196051169</v>
      </c>
      <c r="GH120" s="1137" t="n">
        <v>19139.4</v>
      </c>
      <c r="GI120" s="1138" t="n">
        <v>0</v>
      </c>
      <c r="GJ120" s="1139" t="n">
        <f aca="false">+GB120*GC120+GE120+GG120+GH120-GI120</f>
        <v>538089.596051169</v>
      </c>
      <c r="GK120" s="1115" t="n">
        <f aca="false">SUM(FP120:FV120,GU120:GX120,GY120:HB120)</f>
        <v>26035.9731</v>
      </c>
      <c r="GL120" s="1140" t="n">
        <v>0.754200322176</v>
      </c>
      <c r="GM120" s="1141" t="n">
        <f aca="false">IF(GK120&gt;GC120/(CY120/1000),GC120/(CY120/1000),+GK120)*GL120</f>
        <v>15221</v>
      </c>
      <c r="GN120" s="1115" t="n">
        <f aca="false">IF(SUM(GU120:HB120)=0,0,IF(Summary!$O$16="Yes",SUM(GX120:HB120),IF(Summary!$O$17="Yes",SUM(GY120:HB120),SUM(GU120:HB120))))</f>
        <v>9547.0731</v>
      </c>
      <c r="GO120" s="1142" t="n">
        <v>3.01431177140114</v>
      </c>
      <c r="GP120" s="1143" t="n">
        <f aca="false">GN120*GO120</f>
        <v>28777.8548277572</v>
      </c>
      <c r="GQ120" s="1115"/>
      <c r="GR120" s="1115"/>
      <c r="GS120" s="1115"/>
      <c r="GT120" s="1115"/>
      <c r="GU120" s="1150" t="n">
        <v>3592.9845</v>
      </c>
      <c r="GV120" s="1115" t="n">
        <v>855.4725</v>
      </c>
      <c r="GW120" s="1115" t="n">
        <v>855.4725</v>
      </c>
      <c r="GX120" s="1115"/>
      <c r="GY120" s="1151" t="n">
        <v>2874.3876</v>
      </c>
      <c r="GZ120" s="1115" t="n">
        <v>684.378</v>
      </c>
      <c r="HA120" s="1115" t="n">
        <v>684.378</v>
      </c>
      <c r="HB120" s="1141"/>
      <c r="HC120" s="1115" t="n">
        <v>9547.0731</v>
      </c>
      <c r="HD120" s="1115"/>
      <c r="HE120" s="1115" t="n">
        <v>22276.5039</v>
      </c>
      <c r="HF120" s="1115" t="n">
        <v>719779.165927059</v>
      </c>
      <c r="HG120" s="1115"/>
      <c r="HH120" s="1142" t="n">
        <v>79.3811855106569</v>
      </c>
      <c r="HI120" s="1115" t="n">
        <v>1768335.28861477</v>
      </c>
      <c r="HJ120" s="1150" t="n">
        <f aca="false">MAX(FB120-FP120-FW120,0)</f>
        <v>0</v>
      </c>
      <c r="HK120" s="1115" t="n">
        <f aca="false">MAX(FD120-FR120-FX120,0)</f>
        <v>0</v>
      </c>
      <c r="HL120" s="1115" t="n">
        <f aca="false">MAX(FF120-FT120-FY120,0)</f>
        <v>0</v>
      </c>
      <c r="HM120" s="1141" t="n">
        <f aca="false">MAX(FH120-FV120-FZ120,0)</f>
        <v>0</v>
      </c>
      <c r="HN120" s="1115" t="n">
        <f aca="false">SUM(HJ120:HM120)</f>
        <v>0</v>
      </c>
      <c r="HO120" s="1142" t="n">
        <f aca="false">IF(ISERROR(+HP120/HN120),0,+HP120/HN120)</f>
        <v>0</v>
      </c>
      <c r="HP120" s="1143" t="n">
        <f aca="false">(HJ120*CE120+HK120*CF120+HL120*CG120+HM120*CH120)</f>
        <v>0</v>
      </c>
      <c r="HQ120" s="1142"/>
      <c r="HR120" s="1150"/>
      <c r="HS120" s="1110"/>
      <c r="HT120" s="1141"/>
      <c r="HU120" s="1151"/>
      <c r="HV120" s="1142"/>
      <c r="HW120" s="1115"/>
      <c r="HX120" s="1149"/>
      <c r="HY120" s="1143"/>
      <c r="HZ120" s="1150"/>
      <c r="IA120" s="1142"/>
      <c r="IB120" s="1141"/>
      <c r="IC120" s="1151"/>
      <c r="ID120" s="1142"/>
      <c r="IE120" s="1141"/>
      <c r="IF120" s="1115"/>
      <c r="IG120" s="1142"/>
      <c r="IH120" s="1141"/>
      <c r="II120" s="1115"/>
      <c r="IJ120" s="1142"/>
      <c r="IK120" s="1115"/>
      <c r="IL120" s="1152"/>
      <c r="IM120" s="1192"/>
      <c r="IN120" s="1151"/>
      <c r="IO120" s="1151"/>
      <c r="IP120" s="1151"/>
      <c r="IQ120" s="1151"/>
      <c r="IR120" s="844"/>
    </row>
    <row r="121" customFormat="false" ht="13.5" hidden="false" customHeight="false" outlineLevel="0" collapsed="false">
      <c r="A121" s="0" t="str">
        <f aca="false">+D121&amp;"Q"&amp;ROUNDUP(E121/3,0)</f>
        <v>2008Q3</v>
      </c>
      <c r="B121" s="0" t="n">
        <f aca="false">YEAR(C121)</f>
        <v>2008</v>
      </c>
      <c r="C121" s="1153" t="n">
        <f aca="false">EOMONTH(C120,0)+1</f>
        <v>39692</v>
      </c>
      <c r="D121" s="841" t="n">
        <f aca="false">+YEAR(C121)</f>
        <v>2008</v>
      </c>
      <c r="E121" s="807" t="n">
        <f aca="false">MONTH(C121)</f>
        <v>9</v>
      </c>
      <c r="F121" s="1154" t="e">
        <f aca="false">IF(G121="","",Holiday(D121,E121))</f>
        <v>#VALUE!</v>
      </c>
      <c r="G121" s="1155" t="n">
        <v>39692</v>
      </c>
      <c r="H121" s="1156" t="n">
        <v>39721</v>
      </c>
      <c r="I121" s="1157" t="n">
        <f aca="false">I120</f>
        <v>0.0715</v>
      </c>
      <c r="J121" s="1158" t="n">
        <f aca="false">(1+I121/2)^(-2*(DATE(D122,E122,20)-$H$7)/365.25)</f>
        <v>0.537064146345499</v>
      </c>
      <c r="K121" s="1159"/>
      <c r="L121" s="1158"/>
      <c r="M121" s="1082" t="n">
        <v>0</v>
      </c>
      <c r="N121" s="1110" t="n">
        <f aca="false">M121</f>
        <v>0</v>
      </c>
      <c r="O121" s="1174" t="n">
        <f aca="false">N121</f>
        <v>0</v>
      </c>
      <c r="P121" s="1175" t="n">
        <f aca="false">M121</f>
        <v>0</v>
      </c>
      <c r="Q121" s="1110" t="n">
        <f aca="false">P121</f>
        <v>0</v>
      </c>
      <c r="R121" s="1174" t="n">
        <f aca="false">Q121</f>
        <v>0</v>
      </c>
      <c r="S121" s="1110" t="n">
        <f aca="false">R121</f>
        <v>0</v>
      </c>
      <c r="T121" s="1110" t="n">
        <f aca="false">S121</f>
        <v>0</v>
      </c>
      <c r="U121" s="1110" t="n">
        <f aca="false">T121</f>
        <v>0</v>
      </c>
      <c r="V121" s="1175" t="n">
        <f aca="false">U121</f>
        <v>0</v>
      </c>
      <c r="W121" s="1110" t="n">
        <f aca="false">V121</f>
        <v>0</v>
      </c>
      <c r="X121" s="1176" t="n">
        <f aca="false">W121</f>
        <v>0</v>
      </c>
      <c r="Y121" s="1086" t="n">
        <v>0</v>
      </c>
      <c r="Z121" s="1086" t="n">
        <v>0</v>
      </c>
      <c r="AA121" s="1087" t="n">
        <v>0</v>
      </c>
      <c r="AB121" s="1086" t="n">
        <v>0</v>
      </c>
      <c r="AC121" s="1086" t="n">
        <v>0</v>
      </c>
      <c r="AD121" s="1087" t="n">
        <v>0</v>
      </c>
      <c r="AE121" s="1086" t="n">
        <v>0</v>
      </c>
      <c r="AF121" s="1086" t="n">
        <v>0</v>
      </c>
      <c r="AG121" s="1087" t="n">
        <v>0</v>
      </c>
      <c r="AH121" s="1086" t="n">
        <v>0</v>
      </c>
      <c r="AI121" s="1086" t="n">
        <v>0</v>
      </c>
      <c r="AJ121" s="1087" t="n">
        <v>0</v>
      </c>
      <c r="AK121" s="1086" t="n">
        <v>0</v>
      </c>
      <c r="AL121" s="1086" t="n">
        <v>0</v>
      </c>
      <c r="AM121" s="1087" t="n">
        <v>0</v>
      </c>
      <c r="AN121" s="1086" t="n">
        <v>0</v>
      </c>
      <c r="AO121" s="1086" t="n">
        <v>0</v>
      </c>
      <c r="AP121" s="1087" t="n">
        <v>0</v>
      </c>
      <c r="AQ121" s="1086" t="n">
        <v>0</v>
      </c>
      <c r="AR121" s="1086" t="n">
        <v>0</v>
      </c>
      <c r="AS121" s="1087" t="n">
        <v>0</v>
      </c>
      <c r="AT121" s="1086" t="n">
        <v>0</v>
      </c>
      <c r="AU121" s="1086" t="n">
        <v>0</v>
      </c>
      <c r="AV121" s="1086" t="n">
        <v>0</v>
      </c>
      <c r="AW121" s="1172" t="n">
        <v>0</v>
      </c>
      <c r="AX121" s="807" t="e">
        <f aca="false">BB121-SUM(AY121:BA121)</f>
        <v>#VALUE!</v>
      </c>
      <c r="AY121" s="807" t="e">
        <f aca="false">IF(AND($E121=MONTH(Summary!$E$24),$D121=YEAR(Summary!$E$24)),Summary!$E$25,1)*IF(G121="",0,INT((H121-MOD(H121,7)-G121)/7)+1-IF(BA121,IF(WEEKDAY(F121)=7,1,0),0))</f>
        <v>#VALUE!</v>
      </c>
      <c r="AZ121" s="807" t="e">
        <f aca="false">IF(AND($E121=MONTH(Summary!$E$24),$D121=YEAR(Summary!$E$24)),Summary!$E$25,1)*IF(G121="",0,INT((H121-MOD(H121-1,7)-G121)/7)+1-IF(BA121,IF(WEEKDAY(F121)=1,1,0),0))</f>
        <v>#VALUE!</v>
      </c>
      <c r="BA121" s="807" t="n">
        <v>1</v>
      </c>
      <c r="BB121" s="807" t="n">
        <f aca="false">IF(AND($E121=MONTH(Summary!$E$24),$D121=YEAR(Summary!$E$24)),Summary!$E$25,1)*IF(G121="",0,H121-G121+1)</f>
        <v>30</v>
      </c>
      <c r="BC121" s="1089" t="n">
        <f aca="false">Summary!$E$19</f>
        <v>0.015</v>
      </c>
      <c r="BD121" s="1090" t="n">
        <v>14893.2</v>
      </c>
      <c r="BE121" s="1091" t="n">
        <v>2836.8</v>
      </c>
      <c r="BF121" s="1091" t="n">
        <v>3546</v>
      </c>
      <c r="BG121" s="842"/>
      <c r="BH121" s="1092" t="n">
        <v>1</v>
      </c>
      <c r="BI121" s="1092" t="n">
        <v>1</v>
      </c>
      <c r="BJ121" s="1092" t="n">
        <v>1</v>
      </c>
      <c r="BK121" s="1092" t="n">
        <v>1</v>
      </c>
      <c r="BL121" s="1093" t="n">
        <v>2978.64</v>
      </c>
      <c r="BM121" s="1091" t="n">
        <v>567.36</v>
      </c>
      <c r="BN121" s="1091" t="n">
        <v>709.2</v>
      </c>
      <c r="BO121" s="842"/>
      <c r="BP121" s="1092" t="n">
        <v>1</v>
      </c>
      <c r="BQ121" s="1094" t="n">
        <v>1</v>
      </c>
      <c r="BR121" s="1094" t="n">
        <v>1</v>
      </c>
      <c r="BS121" s="1095" t="n">
        <v>1</v>
      </c>
      <c r="BT121" s="1093" t="n">
        <f aca="false">SUM(BD121:BF121)</f>
        <v>21276</v>
      </c>
      <c r="BU121" s="1098" t="n">
        <f aca="false">SUM(BD121:BG121)</f>
        <v>21276</v>
      </c>
      <c r="BV121" s="1090" t="n">
        <f aca="false">SUM(BL121:BN121)</f>
        <v>4255.2</v>
      </c>
      <c r="BW121" s="1098" t="n">
        <f aca="false">SUM(BL121:BO121)</f>
        <v>4255.2</v>
      </c>
      <c r="BX121" s="852" t="n">
        <v>8.71457905544148</v>
      </c>
      <c r="BY121" s="1099" t="n">
        <v>0</v>
      </c>
      <c r="BZ121" s="852" t="n">
        <v>0</v>
      </c>
      <c r="CA121" s="852" t="n">
        <v>0</v>
      </c>
      <c r="CB121" s="852" t="n">
        <v>0</v>
      </c>
      <c r="CC121" s="852" t="n">
        <v>0</v>
      </c>
      <c r="CD121" s="852" t="n">
        <v>0</v>
      </c>
      <c r="CE121" s="1100" t="n">
        <v>0</v>
      </c>
      <c r="CF121" s="852" t="n">
        <v>0</v>
      </c>
      <c r="CG121" s="852" t="n">
        <v>0</v>
      </c>
      <c r="CH121" s="852" t="n">
        <v>0</v>
      </c>
      <c r="CI121" s="852" t="n">
        <v>0</v>
      </c>
      <c r="CJ121" s="1101" t="n">
        <v>0</v>
      </c>
      <c r="CK121" s="852" t="n">
        <v>0</v>
      </c>
      <c r="CL121" s="852" t="n">
        <v>0</v>
      </c>
      <c r="CM121" s="852" t="n">
        <v>0</v>
      </c>
      <c r="CN121" s="852" t="n">
        <v>0</v>
      </c>
      <c r="CO121" s="852" t="n">
        <v>0</v>
      </c>
      <c r="CP121" s="852" t="n">
        <v>0</v>
      </c>
      <c r="CQ121" s="1102" t="n">
        <v>0</v>
      </c>
      <c r="CR121" s="1103" t="n">
        <v>0</v>
      </c>
      <c r="CS121" s="1103" t="n">
        <v>0</v>
      </c>
      <c r="CT121" s="1103" t="n">
        <v>0</v>
      </c>
      <c r="CU121" s="1103" t="n">
        <v>0</v>
      </c>
      <c r="CV121" s="1103" t="n">
        <v>0</v>
      </c>
      <c r="CW121" s="1103" t="n">
        <v>0</v>
      </c>
      <c r="CX121" s="1104" t="n">
        <v>0</v>
      </c>
      <c r="CY121" s="1105" t="n">
        <v>7682.27864</v>
      </c>
      <c r="CZ121" s="1099" t="n">
        <v>0</v>
      </c>
      <c r="DA121" s="852" t="n">
        <v>0</v>
      </c>
      <c r="DB121" s="852" t="n">
        <v>0</v>
      </c>
      <c r="DC121" s="852" t="n">
        <v>0</v>
      </c>
      <c r="DD121" s="852" t="n">
        <v>0</v>
      </c>
      <c r="DE121" s="1113" t="n">
        <v>0</v>
      </c>
      <c r="DF121" s="1109" t="n">
        <v>0</v>
      </c>
      <c r="DG121" s="1110" t="n">
        <v>0</v>
      </c>
      <c r="DH121" s="1111" t="n">
        <v>0</v>
      </c>
      <c r="DI121" s="1112" t="n">
        <v>0</v>
      </c>
      <c r="DJ121" s="1112" t="n">
        <v>0</v>
      </c>
      <c r="DK121" s="1112" t="n">
        <v>0</v>
      </c>
      <c r="DL121" s="1113" t="n">
        <v>0</v>
      </c>
      <c r="DM121" s="1114" t="n">
        <v>0</v>
      </c>
      <c r="DN121" s="1114" t="n">
        <v>0</v>
      </c>
      <c r="DO121" s="1114" t="n">
        <v>0</v>
      </c>
      <c r="DP121" s="1114" t="n">
        <v>0</v>
      </c>
      <c r="DQ121" s="1114" t="n">
        <v>0</v>
      </c>
      <c r="DR121" s="1109" t="n">
        <v>0</v>
      </c>
      <c r="DS121" s="852" t="n">
        <v>0</v>
      </c>
      <c r="DT121" s="852" t="n">
        <v>0</v>
      </c>
      <c r="DU121" s="852" t="n">
        <v>0</v>
      </c>
      <c r="DV121" s="852" t="n">
        <v>0</v>
      </c>
      <c r="DW121" s="852" t="n">
        <v>0</v>
      </c>
      <c r="DX121" s="852" t="n">
        <v>0</v>
      </c>
      <c r="DY121" s="852" t="n">
        <v>0</v>
      </c>
      <c r="DZ121" s="852" t="n">
        <v>0</v>
      </c>
      <c r="EA121" s="852" t="n">
        <v>0</v>
      </c>
      <c r="EB121" s="1113" t="n">
        <v>0</v>
      </c>
      <c r="EC121" s="1115" t="n">
        <f aca="false">DS121*BD121</f>
        <v>0</v>
      </c>
      <c r="ED121" s="1115" t="n">
        <f aca="false">DT121*BE121</f>
        <v>0</v>
      </c>
      <c r="EE121" s="1115" t="n">
        <f aca="false">DU121*BF121</f>
        <v>0</v>
      </c>
      <c r="EF121" s="1115" t="n">
        <f aca="false">DV121*BG121</f>
        <v>0</v>
      </c>
      <c r="EG121" s="1115" t="n">
        <f aca="false">DS121*BD121+DT121*BE121+DU121*BF121+DV121*BG121</f>
        <v>0</v>
      </c>
      <c r="EH121" s="1116" t="n">
        <v>0</v>
      </c>
      <c r="EI121" s="1117" t="n">
        <v>0</v>
      </c>
      <c r="EJ121" s="1117" t="n">
        <v>0</v>
      </c>
      <c r="EK121" s="1117" t="n">
        <v>0</v>
      </c>
      <c r="EL121" s="1118" t="n">
        <f aca="false">IF(C121&gt;=Summary!$E$26,MAX(0,SUM(EH121:EK121)),0)</f>
        <v>0</v>
      </c>
      <c r="EM121" s="1115" t="n">
        <f aca="false">IF(C121&gt;=Summary!$E$26,DX121*BL121,0)</f>
        <v>0</v>
      </c>
      <c r="EN121" s="1115" t="n">
        <f aca="false">IF(C121&gt;=Summary!$E$26,DY121*BM121,0)</f>
        <v>0</v>
      </c>
      <c r="EO121" s="1115" t="n">
        <f aca="false">IF(C121&gt;=Summary!$E$26,DZ121*BN121,0)</f>
        <v>0</v>
      </c>
      <c r="EP121" s="1115" t="n">
        <f aca="false">IF(C121&gt;=Summary!$E$26,EA121*BO121,0)</f>
        <v>0</v>
      </c>
      <c r="EQ121" s="1115" t="n">
        <f aca="false">IF(C121&gt;=Summary!$E$26,DX121*BL121+DY121*BM121+DZ121*BN121+EA121*BO121,0)</f>
        <v>0</v>
      </c>
      <c r="ER121" s="1119" t="n">
        <v>0</v>
      </c>
      <c r="ES121" s="1120" t="n">
        <v>0</v>
      </c>
      <c r="ET121" s="1120" t="n">
        <v>0</v>
      </c>
      <c r="EU121" s="1120" t="n">
        <v>0</v>
      </c>
      <c r="EV121" s="1143" t="n">
        <f aca="false">IF(C121&gt;=Summary!$E$26,MAX(0,SUM(ER121:EU121)),0)</f>
        <v>0</v>
      </c>
      <c r="EW121" s="1115"/>
      <c r="EX121" s="1165" t="n">
        <f aca="false">(EQ121-EV121)+IF(EZ121="Yes",(EG121-EL121),0)</f>
        <v>0</v>
      </c>
      <c r="EY121" s="1166" t="str">
        <f aca="false">IF(EX121,EX121/EQ121,"")</f>
        <v/>
      </c>
      <c r="EZ121" s="1122" t="s">
        <v>37</v>
      </c>
      <c r="FA121" s="1096" t="n">
        <f aca="false">FA120</f>
        <v>45</v>
      </c>
      <c r="FB121" s="1167" t="e">
        <f aca="false">IF(EZ121="No",IF((OR(MONTH(C121)=5,MONTH(C121)=6,MONTH(C121)=7,MONTH(C121)=8,MONTH(C121)=9)),$FA121*12*AX121*(1-$BC121),$FA121*10*AX121*(1-$BC121)),0)</f>
        <v>#VALUE!</v>
      </c>
      <c r="FC121" s="1129" t="n">
        <f aca="false">IF(EZ121="No",IF((OR(MONTH(C121)=5,MONTH(C121)=6,MONTH(C121)=7,MONTH(C121)=8,MONTH(C121)=9)),0,$FA121*3*AX121*(1-$BC121)),0)</f>
        <v>0</v>
      </c>
      <c r="FD121" s="1129" t="e">
        <f aca="false">IF(EZ121="No",IF((OR(MONTH(C121)=5,MONTH(C121)=6,MONTH(C121)=7,MONTH(C121)=8,MONTH(C121)=9)),$FA121*12*AY121*(1-$BC121),$FA121*10*AY121*(1-$BC121)),0)</f>
        <v>#VALUE!</v>
      </c>
      <c r="FE121" s="1129" t="n">
        <f aca="false">IF(EZ121="No",IF((OR(MONTH(C121)=5,MONTH(C121)=6,MONTH(C121)=7,MONTH(C121)=8,MONTH(C121)=9)),0,$FA121*3*AY121*(1-$BC121)),0)</f>
        <v>0</v>
      </c>
      <c r="FF121" s="1129" t="e">
        <f aca="false">IF(EZ121="No",IF((OR(MONTH(C121)=5,MONTH(C121)=6,MONTH(C121)=7,MONTH(C121)=8,MONTH(C121)=9)),$FA121*12*(AZ121+BA121)*(1-$BC121),$FA121*10*(AZ121+BA121)*(1-$BC121)),0)</f>
        <v>#VALUE!</v>
      </c>
      <c r="FG121" s="1129" t="n">
        <f aca="false">IF(EZ121="No",IF((OR(MONTH(C121)=5,MONTH(C121)=6,MONTH(C121)=7,MONTH(C121)=8,MONTH(C121)=9)),0,$FA121*3*(AZ121+BA121)*(1-$BC121)),0)</f>
        <v>0</v>
      </c>
      <c r="FH121" s="1170" t="e">
        <f aca="false">IF(EZ121="No",IF((OR(MONTH(C121)=5,MONTH(C121)=6,MONTH(C121)=7,MONTH(C121)=8,MONTH(C121)=9)),Summary!$O$15*12*(AX121+AY121+AZ121+BA121)*(1-$BC121),Summary!$O$15*13*(AX121+AY121+AZ121+BA121)*(1-$BC121)+IF(Summary!$O$16="Yes",(CALC!FA121+Summary!$O$15)*6*(AX121+AY121+AZ121+BA121)*(1-$BC121),0)),0)</f>
        <v>#VALUE!</v>
      </c>
      <c r="FI121" s="1126" t="n">
        <f aca="false">IF(MONTH(C121)=5,FI120*(IF(Summary!$E$70="no",(1+(Summary!$E$71*0.8)),1+HLOOKUP(YEAR(C121)-1,CCFMODEL!$I$127:$AF$128,2)*0.8)),+FI120)</f>
        <v>32.9323923735024</v>
      </c>
      <c r="FJ121" s="1127" t="n">
        <f aca="false">IF(MONTH(C121)=5,FJ120*(IF(Summary!$E$70="no",(1+(Summary!$E$71*0.8)),1+HLOOKUP(YEAR(CALC!C121)-1,CCFMODEL!$I$127:$AF$128,2)*0.8)),FJ120)</f>
        <v>28.7834295547934</v>
      </c>
      <c r="FK121" s="1128" t="e">
        <f aca="false">SUM(FB121:FG121)*FI121+FH121*FJ121</f>
        <v>#VALUE!</v>
      </c>
      <c r="FL121" s="1126" t="n">
        <f aca="false">IF(MONTH(C121)=5,FL120*(IF(Summary!$E$70="no",(1+(Summary!$E$71*0.8)),1+HLOOKUP(YEAR(CALC!C121)-1,CCFMODEL!$I$127:$AF$128,2)*0.8)),+FL120)</f>
        <v>69.26051324446</v>
      </c>
      <c r="FM121" s="1127" t="n">
        <f aca="false">IF(MONTH(C121)=5,FM120*(IF(Summary!$E$70="no",(1+(Summary!$E$71*0.8)),1+HLOOKUP(YEAR(CALC!C121)-1,CCFMODEL!$I$127:$AF$128,2)*0.8)),+FM120)</f>
        <v>33.0558734097735</v>
      </c>
      <c r="FN121" s="1128" t="e">
        <f aca="false">IF((OR(MONTH(C121)=5,MONTH(C121)=6,MONTH(C121)=7,MONTH(C121)=8,MONTH(C121)=9)),SUM(FB121:FG121)/(1-BC121)*FL121,SUM(FB121:FG121)/(1-BC121)*FM121)</f>
        <v>#VALUE!</v>
      </c>
      <c r="FO121" s="1129" t="e">
        <f aca="false">FK121+FN121</f>
        <v>#VALUE!</v>
      </c>
      <c r="FP121" s="1169" t="e">
        <f aca="false">FB121</f>
        <v>#VALUE!</v>
      </c>
      <c r="FQ121" s="1129" t="n">
        <f aca="false">FC121</f>
        <v>0</v>
      </c>
      <c r="FR121" s="1129" t="e">
        <f aca="false">FD121</f>
        <v>#VALUE!</v>
      </c>
      <c r="FS121" s="1129" t="n">
        <f aca="false">FE121</f>
        <v>0</v>
      </c>
      <c r="FT121" s="1129" t="e">
        <f aca="false">FF121</f>
        <v>#VALUE!</v>
      </c>
      <c r="FU121" s="1129" t="n">
        <f aca="false">FG121</f>
        <v>0</v>
      </c>
      <c r="FV121" s="1170" t="e">
        <f aca="false">FH121</f>
        <v>#VALUE!</v>
      </c>
      <c r="FW121" s="1115" t="n">
        <f aca="false">IF(ER121&gt;0,MIN(FB121-FP121,BL121),0)</f>
        <v>0</v>
      </c>
      <c r="FX121" s="1115" t="n">
        <f aca="false">IF(ES121&gt;0,MIN(FD121-FR121,BM121),0)</f>
        <v>0</v>
      </c>
      <c r="FY121" s="1115" t="n">
        <f aca="false">IF(ET121&gt;0,MIN(FF121-FT121,BN121),0)</f>
        <v>0</v>
      </c>
      <c r="FZ121" s="1143" t="n">
        <f aca="false">IF(EU121&gt;0,MIN(FH121-FV121,BO121),0)</f>
        <v>0</v>
      </c>
      <c r="GA121" s="1132" t="e">
        <f aca="false">(SUM(FP121:FV121)+SUM(GU121:HB121)/(1-Summary!$O$25))*CY121/1000</f>
        <v>#VALUE!</v>
      </c>
      <c r="GB121" s="1133" t="n">
        <f aca="false">IF($C121&lt;Summary!$M$81,+Summary!$O$81,VLOOKUP(C121,GasTable,19))</f>
        <v>2.4</v>
      </c>
      <c r="GC121" s="1134" t="e">
        <f aca="false">IF(H121&lt;=Summary!$N$84,MIN(GA121,Summary!$O$75*(H121-G121+1)),0)</f>
        <v>#VALUE!</v>
      </c>
      <c r="GD121" s="1135" t="e">
        <f aca="false">IF(Summary!$O$75*(H121-G121+1)*0.8&gt;GC121,1,0)</f>
        <v>#VALUE!</v>
      </c>
      <c r="GE121" s="1136" t="n">
        <v>0</v>
      </c>
      <c r="GF121" s="1134" t="e">
        <f aca="false">ABS(MIN(0,GC121-$GA121))</f>
        <v>#VALUE!</v>
      </c>
      <c r="GG121" s="1135" t="e">
        <f aca="false">GF121*(IF(Summary!$O$74=1,VLOOKUP($C121,GasTable,16)+Summary!$O$92+Summary!$O$93,VLOOKUP($C121,GasTable,19)+Summary!$O$92+Summary!$O$93))</f>
        <v>#VALUE!</v>
      </c>
      <c r="GH121" s="1137" t="n">
        <v>18672</v>
      </c>
      <c r="GI121" s="1138" t="n">
        <v>0</v>
      </c>
      <c r="GJ121" s="1139" t="e">
        <f aca="false">+GB121*GC121+GE121+GG121+GH121-GI121</f>
        <v>#VALUE!</v>
      </c>
      <c r="GK121" s="1115" t="e">
        <f aca="false">SUM(FP121:FV121,GU121:GX121,GY121:HB121)</f>
        <v>#VALUE!</v>
      </c>
      <c r="GL121" s="1140" t="n">
        <v>0.754399762448</v>
      </c>
      <c r="GM121" s="1141" t="e">
        <f aca="false">IF(GK121&gt;GC121/(CY121/1000),GC121/(CY121/1000),+GK121)*GL121</f>
        <v>#VALUE!</v>
      </c>
      <c r="GN121" s="1115" t="n">
        <f aca="false">IF(SUM(GU121:HB121)=0,0,IF(Summary!$O$16="Yes",SUM(GX121:HB121),IF(Summary!$O$17="Yes",SUM(GY121:HB121),SUM(GU121:HB121))))</f>
        <v>9239.103</v>
      </c>
      <c r="GO121" s="1142" t="n">
        <v>3.01431177140114</v>
      </c>
      <c r="GP121" s="1143" t="n">
        <f aca="false">GN121*GO121</f>
        <v>27849.5369300876</v>
      </c>
      <c r="GQ121" s="1115"/>
      <c r="GR121" s="1115"/>
      <c r="GS121" s="1115"/>
      <c r="GT121" s="1115"/>
      <c r="GU121" s="1150" t="n">
        <v>3592.9845</v>
      </c>
      <c r="GV121" s="1115" t="n">
        <v>684.378</v>
      </c>
      <c r="GW121" s="1115" t="n">
        <v>855.4725</v>
      </c>
      <c r="GX121" s="1115"/>
      <c r="GY121" s="1151" t="n">
        <v>2874.3876</v>
      </c>
      <c r="GZ121" s="1115" t="n">
        <v>547.5024</v>
      </c>
      <c r="HA121" s="1115" t="n">
        <v>684.378</v>
      </c>
      <c r="HB121" s="1141"/>
      <c r="HC121" s="1115" t="n">
        <v>9239.103</v>
      </c>
      <c r="HD121" s="1115"/>
      <c r="HE121" s="1115" t="n">
        <v>21557.907</v>
      </c>
      <c r="HF121" s="1115" t="n">
        <v>462980.765490539</v>
      </c>
      <c r="HG121" s="1115"/>
      <c r="HH121" s="1142" t="n">
        <v>52.0123083206277</v>
      </c>
      <c r="HI121" s="1115" t="n">
        <v>1121276.50563142</v>
      </c>
      <c r="HJ121" s="1150" t="e">
        <f aca="false">MAX(FB121-FP121-FW121,0)</f>
        <v>#VALUE!</v>
      </c>
      <c r="HK121" s="1115" t="e">
        <f aca="false">MAX(FD121-FR121-FX121,0)</f>
        <v>#VALUE!</v>
      </c>
      <c r="HL121" s="1115" t="e">
        <f aca="false">MAX(FF121-FT121-FY121,0)</f>
        <v>#VALUE!</v>
      </c>
      <c r="HM121" s="1141" t="e">
        <f aca="false">MAX(FH121-FV121-FZ121,0)</f>
        <v>#VALUE!</v>
      </c>
      <c r="HN121" s="1115" t="e">
        <f aca="false">SUM(HJ121:HM121)</f>
        <v>#VALUE!</v>
      </c>
      <c r="HO121" s="1142" t="n">
        <f aca="false">IF(ISERROR(+HP121/HN121),0,+HP121/HN121)</f>
        <v>0</v>
      </c>
      <c r="HP121" s="1143" t="e">
        <f aca="false">(HJ121*CE121+HK121*CF121+HL121*CG121+HM121*CH121)</f>
        <v>#VALUE!</v>
      </c>
      <c r="HQ121" s="1142"/>
      <c r="HR121" s="1150"/>
      <c r="HS121" s="1110"/>
      <c r="HT121" s="1141"/>
      <c r="HU121" s="1151"/>
      <c r="HV121" s="1142"/>
      <c r="HW121" s="1115"/>
      <c r="HX121" s="1149"/>
      <c r="HY121" s="1143"/>
      <c r="HZ121" s="1150"/>
      <c r="IA121" s="1142"/>
      <c r="IB121" s="1141"/>
      <c r="IC121" s="1151"/>
      <c r="ID121" s="1142"/>
      <c r="IE121" s="1141"/>
      <c r="IF121" s="1115"/>
      <c r="IG121" s="1142"/>
      <c r="IH121" s="1141"/>
      <c r="II121" s="1115"/>
      <c r="IJ121" s="1142"/>
      <c r="IK121" s="1115"/>
      <c r="IL121" s="1152"/>
      <c r="IM121" s="1192"/>
      <c r="IN121" s="1151"/>
      <c r="IO121" s="1151"/>
      <c r="IP121" s="1151"/>
      <c r="IQ121" s="1151"/>
      <c r="IR121" s="844"/>
    </row>
    <row r="122" customFormat="false" ht="13.5" hidden="false" customHeight="false" outlineLevel="0" collapsed="false">
      <c r="A122" s="0" t="str">
        <f aca="false">+D122&amp;"Q"&amp;ROUNDUP(E122/3,0)</f>
        <v>2008Q4</v>
      </c>
      <c r="B122" s="0" t="n">
        <f aca="false">YEAR(C122)</f>
        <v>2008</v>
      </c>
      <c r="C122" s="1193" t="n">
        <f aca="false">EOMONTH(C121,0)+1</f>
        <v>39722</v>
      </c>
      <c r="D122" s="841" t="n">
        <f aca="false">+YEAR(C122)</f>
        <v>2008</v>
      </c>
      <c r="E122" s="847" t="n">
        <f aca="false">MONTH(C122)</f>
        <v>10</v>
      </c>
      <c r="F122" s="1154" t="e">
        <f aca="false">IF(G122="","",Holiday(D122,E122))</f>
        <v>#VALUE!</v>
      </c>
      <c r="G122" s="1194" t="n">
        <v>39722</v>
      </c>
      <c r="H122" s="1195" t="n">
        <v>39752</v>
      </c>
      <c r="I122" s="1157" t="n">
        <f aca="false">I121</f>
        <v>0.0715</v>
      </c>
      <c r="J122" s="1158" t="n">
        <f aca="false">(1+I122/2)^(-2*(DATE(D123,E123,20)-$H$7)/365.25)</f>
        <v>0.533871434093275</v>
      </c>
      <c r="K122" s="1159"/>
      <c r="L122" s="1158"/>
      <c r="M122" s="1082" t="n">
        <v>0</v>
      </c>
      <c r="N122" s="1110" t="n">
        <f aca="false">M122</f>
        <v>0</v>
      </c>
      <c r="O122" s="1174" t="n">
        <f aca="false">N122</f>
        <v>0</v>
      </c>
      <c r="P122" s="1175" t="n">
        <f aca="false">M122</f>
        <v>0</v>
      </c>
      <c r="Q122" s="1110" t="n">
        <f aca="false">P122</f>
        <v>0</v>
      </c>
      <c r="R122" s="1174" t="n">
        <f aca="false">Q122</f>
        <v>0</v>
      </c>
      <c r="S122" s="1110" t="n">
        <f aca="false">R122</f>
        <v>0</v>
      </c>
      <c r="T122" s="1110" t="n">
        <f aca="false">S122</f>
        <v>0</v>
      </c>
      <c r="U122" s="1110" t="n">
        <f aca="false">T122</f>
        <v>0</v>
      </c>
      <c r="V122" s="1175" t="n">
        <f aca="false">U122</f>
        <v>0</v>
      </c>
      <c r="W122" s="1110" t="n">
        <f aca="false">V122</f>
        <v>0</v>
      </c>
      <c r="X122" s="1176" t="n">
        <f aca="false">W122</f>
        <v>0</v>
      </c>
      <c r="Y122" s="1086" t="n">
        <v>0</v>
      </c>
      <c r="Z122" s="1086" t="n">
        <v>0</v>
      </c>
      <c r="AA122" s="1087" t="n">
        <v>0</v>
      </c>
      <c r="AB122" s="1086" t="n">
        <v>0</v>
      </c>
      <c r="AC122" s="1086" t="n">
        <v>0</v>
      </c>
      <c r="AD122" s="1087" t="n">
        <v>0</v>
      </c>
      <c r="AE122" s="1086" t="n">
        <v>0</v>
      </c>
      <c r="AF122" s="1086" t="n">
        <v>0</v>
      </c>
      <c r="AG122" s="1087" t="n">
        <v>0</v>
      </c>
      <c r="AH122" s="1086" t="n">
        <v>0</v>
      </c>
      <c r="AI122" s="1086" t="n">
        <v>0</v>
      </c>
      <c r="AJ122" s="1087" t="n">
        <v>0</v>
      </c>
      <c r="AK122" s="1086" t="n">
        <v>0</v>
      </c>
      <c r="AL122" s="1086" t="n">
        <v>0</v>
      </c>
      <c r="AM122" s="1087" t="n">
        <v>0</v>
      </c>
      <c r="AN122" s="1086" t="n">
        <v>0</v>
      </c>
      <c r="AO122" s="1086" t="n">
        <v>0</v>
      </c>
      <c r="AP122" s="1087" t="n">
        <v>0</v>
      </c>
      <c r="AQ122" s="1086" t="n">
        <v>0</v>
      </c>
      <c r="AR122" s="1086" t="n">
        <v>0</v>
      </c>
      <c r="AS122" s="1087" t="n">
        <v>0</v>
      </c>
      <c r="AT122" s="1086" t="n">
        <v>0</v>
      </c>
      <c r="AU122" s="1086" t="n">
        <v>0</v>
      </c>
      <c r="AV122" s="1086" t="n">
        <v>0</v>
      </c>
      <c r="AW122" s="1172" t="n">
        <v>0</v>
      </c>
      <c r="AX122" s="807" t="n">
        <f aca="false">BB122-SUM(AY122:BA122)</f>
        <v>23</v>
      </c>
      <c r="AY122" s="807" t="n">
        <f aca="false">IF(AND($E122=MONTH(Summary!$E$24),$D122=YEAR(Summary!$E$24)),Summary!$E$25,1)*IF(G122="",0,INT((H122-MOD(H122,7)-G122)/7)+1-IF(BA122,IF(WEEKDAY(F122)=7,1,0),0))</f>
        <v>4</v>
      </c>
      <c r="AZ122" s="807" t="n">
        <f aca="false">IF(AND($E122=MONTH(Summary!$E$24),$D122=YEAR(Summary!$E$24)),Summary!$E$25,1)*IF(G122="",0,INT((H122-MOD(H122-1,7)-G122)/7)+1-IF(BA122,IF(WEEKDAY(F122)=1,1,0),0))</f>
        <v>4</v>
      </c>
      <c r="BA122" s="807" t="n">
        <v>0</v>
      </c>
      <c r="BB122" s="807" t="n">
        <f aca="false">IF(AND($E122=MONTH(Summary!$E$24),$D122=YEAR(Summary!$E$24)),Summary!$E$25,1)*IF(G122="",0,H122-G122+1)</f>
        <v>31</v>
      </c>
      <c r="BC122" s="1089" t="n">
        <f aca="false">Summary!$E$19</f>
        <v>0.015</v>
      </c>
      <c r="BD122" s="1090" t="n">
        <v>16311.6</v>
      </c>
      <c r="BE122" s="1091" t="n">
        <v>2836.8</v>
      </c>
      <c r="BF122" s="1091" t="n">
        <v>2836.8</v>
      </c>
      <c r="BG122" s="842"/>
      <c r="BH122" s="1092" t="n">
        <v>1</v>
      </c>
      <c r="BI122" s="1092" t="n">
        <v>1</v>
      </c>
      <c r="BJ122" s="1092" t="n">
        <v>1</v>
      </c>
      <c r="BK122" s="1092" t="n">
        <v>1</v>
      </c>
      <c r="BL122" s="1093" t="n">
        <v>3262.32</v>
      </c>
      <c r="BM122" s="1091" t="n">
        <v>567.36</v>
      </c>
      <c r="BN122" s="1091" t="n">
        <v>567.36</v>
      </c>
      <c r="BO122" s="842"/>
      <c r="BP122" s="1092" t="n">
        <v>1</v>
      </c>
      <c r="BQ122" s="1094" t="n">
        <v>1</v>
      </c>
      <c r="BR122" s="1094" t="n">
        <v>1</v>
      </c>
      <c r="BS122" s="1095" t="n">
        <v>1</v>
      </c>
      <c r="BT122" s="1093" t="n">
        <f aca="false">SUM(BD122:BF122)</f>
        <v>21985.2</v>
      </c>
      <c r="BU122" s="1098" t="n">
        <f aca="false">SUM(BD122:BG122)</f>
        <v>21985.2</v>
      </c>
      <c r="BV122" s="1090" t="n">
        <f aca="false">SUM(BL122:BN122)</f>
        <v>4397.04</v>
      </c>
      <c r="BW122" s="1098" t="n">
        <f aca="false">SUM(BL122:BO122)</f>
        <v>4397.04</v>
      </c>
      <c r="BX122" s="852" t="n">
        <v>8.79671457905544</v>
      </c>
      <c r="BY122" s="1099" t="n">
        <v>0</v>
      </c>
      <c r="BZ122" s="852" t="n">
        <v>0</v>
      </c>
      <c r="CA122" s="852" t="n">
        <v>0</v>
      </c>
      <c r="CB122" s="852" t="n">
        <v>0</v>
      </c>
      <c r="CC122" s="852" t="n">
        <v>0</v>
      </c>
      <c r="CD122" s="852" t="n">
        <v>0</v>
      </c>
      <c r="CE122" s="1100" t="n">
        <v>0</v>
      </c>
      <c r="CF122" s="852" t="n">
        <v>0</v>
      </c>
      <c r="CG122" s="852" t="n">
        <v>0</v>
      </c>
      <c r="CH122" s="852" t="n">
        <v>0</v>
      </c>
      <c r="CI122" s="852" t="n">
        <v>0</v>
      </c>
      <c r="CJ122" s="1101" t="n">
        <v>0</v>
      </c>
      <c r="CK122" s="852" t="n">
        <v>0</v>
      </c>
      <c r="CL122" s="852" t="n">
        <v>0</v>
      </c>
      <c r="CM122" s="852" t="n">
        <v>0</v>
      </c>
      <c r="CN122" s="852" t="n">
        <v>0</v>
      </c>
      <c r="CO122" s="852" t="n">
        <v>0</v>
      </c>
      <c r="CP122" s="852" t="n">
        <v>0</v>
      </c>
      <c r="CQ122" s="1102" t="n">
        <v>0</v>
      </c>
      <c r="CR122" s="1103" t="n">
        <v>0</v>
      </c>
      <c r="CS122" s="1103" t="n">
        <v>0</v>
      </c>
      <c r="CT122" s="1103" t="n">
        <v>0</v>
      </c>
      <c r="CU122" s="1103" t="n">
        <v>0</v>
      </c>
      <c r="CV122" s="1103" t="n">
        <v>0</v>
      </c>
      <c r="CW122" s="1103" t="n">
        <v>0</v>
      </c>
      <c r="CX122" s="1104" t="n">
        <v>0</v>
      </c>
      <c r="CY122" s="1105" t="n">
        <v>7684.3096</v>
      </c>
      <c r="CZ122" s="1099" t="n">
        <v>0</v>
      </c>
      <c r="DA122" s="852" t="n">
        <v>0</v>
      </c>
      <c r="DB122" s="852" t="n">
        <v>0</v>
      </c>
      <c r="DC122" s="852" t="n">
        <v>0</v>
      </c>
      <c r="DD122" s="852" t="n">
        <v>0</v>
      </c>
      <c r="DE122" s="1113" t="n">
        <v>0</v>
      </c>
      <c r="DF122" s="1109" t="n">
        <v>0</v>
      </c>
      <c r="DG122" s="1110" t="n">
        <v>0</v>
      </c>
      <c r="DH122" s="1111" t="n">
        <v>0</v>
      </c>
      <c r="DI122" s="1112" t="n">
        <v>0</v>
      </c>
      <c r="DJ122" s="1112" t="n">
        <v>0</v>
      </c>
      <c r="DK122" s="1112" t="n">
        <v>0</v>
      </c>
      <c r="DL122" s="1113" t="n">
        <v>0</v>
      </c>
      <c r="DM122" s="1114" t="n">
        <v>0</v>
      </c>
      <c r="DN122" s="1114" t="n">
        <v>0</v>
      </c>
      <c r="DO122" s="1114" t="n">
        <v>0</v>
      </c>
      <c r="DP122" s="1114" t="n">
        <v>0</v>
      </c>
      <c r="DQ122" s="1114" t="n">
        <v>0</v>
      </c>
      <c r="DR122" s="1109" t="n">
        <v>0</v>
      </c>
      <c r="DS122" s="852" t="n">
        <v>0</v>
      </c>
      <c r="DT122" s="852" t="n">
        <v>0</v>
      </c>
      <c r="DU122" s="852" t="n">
        <v>0</v>
      </c>
      <c r="DV122" s="852" t="n">
        <v>0</v>
      </c>
      <c r="DW122" s="852" t="n">
        <v>0</v>
      </c>
      <c r="DX122" s="852" t="n">
        <v>0</v>
      </c>
      <c r="DY122" s="852" t="n">
        <v>0</v>
      </c>
      <c r="DZ122" s="852" t="n">
        <v>0</v>
      </c>
      <c r="EA122" s="852" t="n">
        <v>0</v>
      </c>
      <c r="EB122" s="1113" t="n">
        <v>0</v>
      </c>
      <c r="EC122" s="1115" t="n">
        <f aca="false">DS122*BD122</f>
        <v>0</v>
      </c>
      <c r="ED122" s="1115" t="n">
        <f aca="false">DT122*BE122</f>
        <v>0</v>
      </c>
      <c r="EE122" s="1115" t="n">
        <f aca="false">DU122*BF122</f>
        <v>0</v>
      </c>
      <c r="EF122" s="1115" t="n">
        <f aca="false">DV122*BG122</f>
        <v>0</v>
      </c>
      <c r="EG122" s="1115" t="n">
        <f aca="false">DS122*BD122+DT122*BE122+DU122*BF122+DV122*BG122</f>
        <v>0</v>
      </c>
      <c r="EH122" s="1116" t="n">
        <v>0</v>
      </c>
      <c r="EI122" s="1117" t="n">
        <v>0</v>
      </c>
      <c r="EJ122" s="1117" t="n">
        <v>0</v>
      </c>
      <c r="EK122" s="1117" t="n">
        <v>0</v>
      </c>
      <c r="EL122" s="1118" t="n">
        <f aca="false">IF(C122&gt;=Summary!$E$26,MAX(0,SUM(EH122:EK122)),0)</f>
        <v>0</v>
      </c>
      <c r="EM122" s="1115" t="n">
        <f aca="false">IF(C122&gt;=Summary!$E$26,DX122*BL122,0)</f>
        <v>0</v>
      </c>
      <c r="EN122" s="1115" t="n">
        <f aca="false">IF(C122&gt;=Summary!$E$26,DY122*BM122,0)</f>
        <v>0</v>
      </c>
      <c r="EO122" s="1115" t="n">
        <f aca="false">IF(C122&gt;=Summary!$E$26,DZ122*BN122,0)</f>
        <v>0</v>
      </c>
      <c r="EP122" s="1115" t="n">
        <f aca="false">IF(C122&gt;=Summary!$E$26,EA122*BO122,0)</f>
        <v>0</v>
      </c>
      <c r="EQ122" s="1115" t="n">
        <f aca="false">IF(C122&gt;=Summary!$E$26,DX122*BL122+DY122*BM122+DZ122*BN122+EA122*BO122,0)</f>
        <v>0</v>
      </c>
      <c r="ER122" s="1119" t="n">
        <v>0</v>
      </c>
      <c r="ES122" s="1120" t="n">
        <v>0</v>
      </c>
      <c r="ET122" s="1120" t="n">
        <v>0</v>
      </c>
      <c r="EU122" s="1120" t="n">
        <v>0</v>
      </c>
      <c r="EV122" s="1143" t="n">
        <f aca="false">IF(C122&gt;=Summary!$E$26,MAX(0,SUM(ER122:EU122)),0)</f>
        <v>0</v>
      </c>
      <c r="EW122" s="1115"/>
      <c r="EX122" s="1165" t="n">
        <f aca="false">(EQ122-EV122)+IF(EZ122="Yes",(EG122-EL122),0)</f>
        <v>0</v>
      </c>
      <c r="EY122" s="1166" t="str">
        <f aca="false">IF(EX122,EX122/EQ122,"")</f>
        <v/>
      </c>
      <c r="EZ122" s="1122" t="s">
        <v>37</v>
      </c>
      <c r="FA122" s="1096" t="n">
        <f aca="false">FA121</f>
        <v>45</v>
      </c>
      <c r="FB122" s="1167" t="n">
        <f aca="false">IF(EZ122="No",IF((OR(MONTH(C122)=5,MONTH(C122)=6,MONTH(C122)=7,MONTH(C122)=8,MONTH(C122)=9)),$FA122*12*AX122*(1-$BC122),$FA122*10*AX122*(1-$BC122)),0)</f>
        <v>10194.75</v>
      </c>
      <c r="FC122" s="1129" t="n">
        <f aca="false">IF(EZ122="No",IF((OR(MONTH(C122)=5,MONTH(C122)=6,MONTH(C122)=7,MONTH(C122)=8,MONTH(C122)=9)),0,$FA122*3*AX122*(1-$BC122)),0)</f>
        <v>3058.425</v>
      </c>
      <c r="FD122" s="1129" t="n">
        <f aca="false">IF(EZ122="No",IF((OR(MONTH(C122)=5,MONTH(C122)=6,MONTH(C122)=7,MONTH(C122)=8,MONTH(C122)=9)),$FA122*12*AY122*(1-$BC122),$FA122*10*AY122*(1-$BC122)),0)</f>
        <v>1773</v>
      </c>
      <c r="FE122" s="1129" t="n">
        <f aca="false">IF(EZ122="No",IF((OR(MONTH(C122)=5,MONTH(C122)=6,MONTH(C122)=7,MONTH(C122)=8,MONTH(C122)=9)),0,$FA122*3*AY122*(1-$BC122)),0)</f>
        <v>531.9</v>
      </c>
      <c r="FF122" s="1129" t="n">
        <f aca="false">IF(EZ122="No",IF((OR(MONTH(C122)=5,MONTH(C122)=6,MONTH(C122)=7,MONTH(C122)=8,MONTH(C122)=9)),$FA122*12*(AZ122+BA122)*(1-$BC122),$FA122*10*(AZ122+BA122)*(1-$BC122)),0)</f>
        <v>1773</v>
      </c>
      <c r="FG122" s="1129" t="n">
        <f aca="false">IF(EZ122="No",IF((OR(MONTH(C122)=5,MONTH(C122)=6,MONTH(C122)=7,MONTH(C122)=8,MONTH(C122)=9)),0,$FA122*3*(AZ122+BA122)*(1-$BC122)),0)</f>
        <v>531.9</v>
      </c>
      <c r="FH122" s="1170" t="n">
        <f aca="false">IF(EZ122="No",IF((OR(MONTH(C122)=5,MONTH(C122)=6,MONTH(C122)=7,MONTH(C122)=8,MONTH(C122)=9)),Summary!$O$15*12*(AX122+AY122+AZ122+BA122)*(1-$BC122),Summary!$O$15*13*(AX122+AY122+AZ122+BA122)*(1-$BC122)+IF(Summary!$O$16="Yes",(CALC!FA122+Summary!$O$15)*6*(AX122+AY122+AZ122+BA122)*(1-$BC122),0)),0)</f>
        <v>0</v>
      </c>
      <c r="FI122" s="1126" t="n">
        <f aca="false">IF(MONTH(C122)=5,FI121*(IF(Summary!$E$70="no",(1+(Summary!$E$71*0.8)),1+HLOOKUP(YEAR(C122)-1,CCFMODEL!$I$127:$AF$128,2)*0.8)),+FI121)</f>
        <v>32.9323923735024</v>
      </c>
      <c r="FJ122" s="1127" t="n">
        <f aca="false">IF(MONTH(C122)=5,FJ121*(IF(Summary!$E$70="no",(1+(Summary!$E$71*0.8)),1+HLOOKUP(YEAR(CALC!C122)-1,CCFMODEL!$I$127:$AF$128,2)*0.8)),FJ121)</f>
        <v>28.7834295547934</v>
      </c>
      <c r="FK122" s="1128" t="n">
        <f aca="false">SUM(FB122:FG122)*FI122+FH122*FJ122</f>
        <v>588270.501658064</v>
      </c>
      <c r="FL122" s="1126" t="n">
        <f aca="false">IF(MONTH(C122)=5,FL121*(IF(Summary!$E$70="no",(1+(Summary!$E$71*0.8)),1+HLOOKUP(YEAR(CALC!C122)-1,CCFMODEL!$I$127:$AF$128,2)*0.8)),+FL121)</f>
        <v>69.26051324446</v>
      </c>
      <c r="FM122" s="1127" t="n">
        <f aca="false">IF(MONTH(C122)=5,FM121*(IF(Summary!$E$70="no",(1+(Summary!$E$71*0.8)),1+HLOOKUP(YEAR(CALC!C122)-1,CCFMODEL!$I$127:$AF$128,2)*0.8)),+FM121)</f>
        <v>33.0558734097735</v>
      </c>
      <c r="FN122" s="1128" t="n">
        <f aca="false">IF((OR(MONTH(C122)=5,MONTH(C122)=6,MONTH(C122)=7,MONTH(C122)=8,MONTH(C122)=9)),SUM(FB122:FG122)/(1-BC122)*FL122,SUM(FB122:FG122)/(1-BC122)*FM122)</f>
        <v>599468.264286242</v>
      </c>
      <c r="FO122" s="1129" t="n">
        <f aca="false">FK122+FN122</f>
        <v>1187738.76594431</v>
      </c>
      <c r="FP122" s="1169" t="n">
        <f aca="false">FB122</f>
        <v>10194.75</v>
      </c>
      <c r="FQ122" s="1129" t="n">
        <f aca="false">FC122</f>
        <v>3058.425</v>
      </c>
      <c r="FR122" s="1129" t="n">
        <f aca="false">FD122</f>
        <v>1773</v>
      </c>
      <c r="FS122" s="1129" t="n">
        <f aca="false">FE122</f>
        <v>531.9</v>
      </c>
      <c r="FT122" s="1129" t="n">
        <f aca="false">FF122</f>
        <v>1773</v>
      </c>
      <c r="FU122" s="1129" t="n">
        <f aca="false">FG122</f>
        <v>531.9</v>
      </c>
      <c r="FV122" s="1170" t="n">
        <f aca="false">FH122</f>
        <v>0</v>
      </c>
      <c r="FW122" s="1115" t="n">
        <f aca="false">IF(ER122&gt;0,MIN(FB122-FP122,BL122),0)</f>
        <v>0</v>
      </c>
      <c r="FX122" s="1115" t="n">
        <f aca="false">IF(ES122&gt;0,MIN(FD122-FR122,BM122),0)</f>
        <v>0</v>
      </c>
      <c r="FY122" s="1115" t="n">
        <f aca="false">IF(ET122&gt;0,MIN(FF122-FT122,BN122),0)</f>
        <v>0</v>
      </c>
      <c r="FZ122" s="1143" t="n">
        <f aca="false">IF(EU122&gt;0,MIN(FH122-FV122,BO122),0)</f>
        <v>0</v>
      </c>
      <c r="GA122" s="1132" t="n">
        <f aca="false">(SUM(FP122:FV122)+SUM(GU122:HB122)/(1-Summary!$O$25))*CY122/1000</f>
        <v>234405.753242364</v>
      </c>
      <c r="GB122" s="1133" t="n">
        <f aca="false">IF($C122&lt;Summary!$M$81,+Summary!$O$81,VLOOKUP(C122,GasTable,19))</f>
        <v>2.4</v>
      </c>
      <c r="GC122" s="1134" t="n">
        <f aca="false">IF(H122&lt;=Summary!$N$84,MIN(GA122,Summary!$O$75*(H122-G122+1)),0)</f>
        <v>155000</v>
      </c>
      <c r="GD122" s="1135" t="n">
        <f aca="false">IF(Summary!$O$75*(H122-G122+1)*0.8&gt;GC122,1,0)</f>
        <v>0</v>
      </c>
      <c r="GE122" s="1136" t="n">
        <v>0</v>
      </c>
      <c r="GF122" s="1134" t="n">
        <f aca="false">ABS(MIN(0,GC122-$GA122))</f>
        <v>79405.753242364</v>
      </c>
      <c r="GG122" s="1135" t="n">
        <f aca="false">GF122*(IF(Summary!$O$74=1,VLOOKUP($C122,GasTable,16)+Summary!$O$92+Summary!$O$93,VLOOKUP($C122,GasTable,19)+Summary!$O$92+Summary!$O$93))</f>
        <v>266624.320152785</v>
      </c>
      <c r="GH122" s="1137" t="n">
        <v>19356.4</v>
      </c>
      <c r="GI122" s="1138" t="n">
        <v>0</v>
      </c>
      <c r="GJ122" s="1139" t="n">
        <f aca="false">+GB122*GC122+GE122+GG122+GH122-GI122</f>
        <v>657980.720152785</v>
      </c>
      <c r="GK122" s="1115" t="n">
        <f aca="false">SUM(FP122:FV122,GU122:GX122,GY122:HB122)</f>
        <v>30062.01285</v>
      </c>
      <c r="GL122" s="1140" t="n">
        <v>0.75459920272</v>
      </c>
      <c r="GM122" s="1141" t="n">
        <f aca="false">IF(GK122&gt;GC122/(CY122/1000),GC122/(CY122/1000),+GK122)*GL122</f>
        <v>15221</v>
      </c>
      <c r="GN122" s="1115" t="n">
        <f aca="false">IF(SUM(GU122:HB122)=0,0,IF(Summary!$O$16="Yes",SUM(GX122:HB122),IF(Summary!$O$17="Yes",SUM(GY122:HB122),SUM(GU122:HB122))))</f>
        <v>12199.03785</v>
      </c>
      <c r="GO122" s="1142" t="n">
        <v>3.01431177140114</v>
      </c>
      <c r="GP122" s="1143" t="n">
        <f aca="false">GN122*GO122</f>
        <v>36771.703391023</v>
      </c>
      <c r="GQ122" s="1115"/>
      <c r="GR122" s="1115"/>
      <c r="GS122" s="1115"/>
      <c r="GT122" s="1115"/>
      <c r="GU122" s="1150" t="n">
        <v>5902.76025</v>
      </c>
      <c r="GV122" s="1115" t="n">
        <v>1026.567</v>
      </c>
      <c r="GW122" s="1115" t="n">
        <v>1026.567</v>
      </c>
      <c r="GX122" s="1115"/>
      <c r="GY122" s="1151" t="n">
        <v>3148.1388</v>
      </c>
      <c r="GZ122" s="1115" t="n">
        <v>547.5024</v>
      </c>
      <c r="HA122" s="1115" t="n">
        <v>547.5024</v>
      </c>
      <c r="HB122" s="1141"/>
      <c r="HC122" s="1115" t="n">
        <v>12199.03785</v>
      </c>
      <c r="HD122" s="1115"/>
      <c r="HE122" s="1115" t="n">
        <v>20950.521525</v>
      </c>
      <c r="HF122" s="1115" t="n">
        <v>538805.424076204</v>
      </c>
      <c r="HG122" s="1115"/>
      <c r="HH122" s="1142" t="n">
        <v>43.469283272814</v>
      </c>
      <c r="HI122" s="1115" t="n">
        <v>910704.154883411</v>
      </c>
      <c r="HJ122" s="1150" t="n">
        <f aca="false">MAX(FB122-FP122-FW122,0)</f>
        <v>0</v>
      </c>
      <c r="HK122" s="1115" t="n">
        <f aca="false">MAX(FD122-FR122-FX122,0)</f>
        <v>0</v>
      </c>
      <c r="HL122" s="1115" t="n">
        <f aca="false">MAX(FF122-FT122-FY122,0)</f>
        <v>0</v>
      </c>
      <c r="HM122" s="1141" t="n">
        <f aca="false">MAX(FH122-FV122-FZ122,0)</f>
        <v>0</v>
      </c>
      <c r="HN122" s="1115" t="n">
        <f aca="false">SUM(HJ122:HM122)</f>
        <v>0</v>
      </c>
      <c r="HO122" s="1142" t="n">
        <f aca="false">IF(ISERROR(+HP122/HN122),0,+HP122/HN122)</f>
        <v>0</v>
      </c>
      <c r="HP122" s="1143" t="n">
        <f aca="false">(HJ122*CE122+HK122*CF122+HL122*CG122+HM122*CH122)</f>
        <v>0</v>
      </c>
      <c r="HQ122" s="1142"/>
      <c r="HR122" s="1150"/>
      <c r="HS122" s="1110"/>
      <c r="HT122" s="1141"/>
      <c r="HU122" s="1151"/>
      <c r="HV122" s="1142"/>
      <c r="HW122" s="1115"/>
      <c r="HX122" s="1149"/>
      <c r="HY122" s="1143"/>
      <c r="HZ122" s="1150"/>
      <c r="IA122" s="1142"/>
      <c r="IB122" s="1141"/>
      <c r="IC122" s="1151"/>
      <c r="ID122" s="1142"/>
      <c r="IE122" s="1141"/>
      <c r="IF122" s="1115"/>
      <c r="IG122" s="1142"/>
      <c r="IH122" s="1141"/>
      <c r="II122" s="1115"/>
      <c r="IJ122" s="1142"/>
      <c r="IK122" s="1115"/>
      <c r="IL122" s="1152"/>
      <c r="IM122" s="1192"/>
      <c r="IN122" s="1151"/>
      <c r="IO122" s="1151"/>
      <c r="IP122" s="1151"/>
      <c r="IQ122" s="1151"/>
      <c r="IR122" s="844"/>
    </row>
    <row r="123" customFormat="false" ht="13.5" hidden="false" customHeight="false" outlineLevel="0" collapsed="false">
      <c r="A123" s="0" t="str">
        <f aca="false">+D123&amp;"Q"&amp;ROUNDUP(E123/3,0)</f>
        <v>2008Q4</v>
      </c>
      <c r="B123" s="0" t="n">
        <f aca="false">YEAR(C123)</f>
        <v>2008</v>
      </c>
      <c r="C123" s="1153" t="n">
        <f aca="false">EOMONTH(C122,0)+1</f>
        <v>39753</v>
      </c>
      <c r="D123" s="841" t="n">
        <f aca="false">+YEAR(C123)</f>
        <v>2008</v>
      </c>
      <c r="E123" s="807" t="n">
        <f aca="false">MONTH(C123)</f>
        <v>11</v>
      </c>
      <c r="F123" s="1154" t="e">
        <f aca="false">IF(G123="","",Holiday(D123,E123))</f>
        <v>#VALUE!</v>
      </c>
      <c r="G123" s="1155" t="n">
        <v>39753</v>
      </c>
      <c r="H123" s="1156" t="n">
        <v>39782</v>
      </c>
      <c r="I123" s="1157" t="n">
        <f aca="false">I122</f>
        <v>0.0715</v>
      </c>
      <c r="J123" s="1158" t="n">
        <f aca="false">(1+I123/2)^(-2*(DATE(D124,E124,20)-$H$7)/365.25)</f>
        <v>0.530799785086874</v>
      </c>
      <c r="K123" s="1159"/>
      <c r="L123" s="1158"/>
      <c r="M123" s="1082" t="n">
        <v>0</v>
      </c>
      <c r="N123" s="1110" t="n">
        <f aca="false">M123</f>
        <v>0</v>
      </c>
      <c r="O123" s="1174" t="n">
        <f aca="false">N123</f>
        <v>0</v>
      </c>
      <c r="P123" s="1175" t="n">
        <f aca="false">M123</f>
        <v>0</v>
      </c>
      <c r="Q123" s="1110" t="n">
        <f aca="false">P123</f>
        <v>0</v>
      </c>
      <c r="R123" s="1174" t="n">
        <f aca="false">Q123</f>
        <v>0</v>
      </c>
      <c r="S123" s="1110" t="n">
        <f aca="false">R123</f>
        <v>0</v>
      </c>
      <c r="T123" s="1110" t="n">
        <f aca="false">S123</f>
        <v>0</v>
      </c>
      <c r="U123" s="1110" t="n">
        <f aca="false">T123</f>
        <v>0</v>
      </c>
      <c r="V123" s="1175" t="n">
        <f aca="false">U123</f>
        <v>0</v>
      </c>
      <c r="W123" s="1110" t="n">
        <f aca="false">V123</f>
        <v>0</v>
      </c>
      <c r="X123" s="1176" t="n">
        <f aca="false">W123</f>
        <v>0</v>
      </c>
      <c r="Y123" s="1086" t="n">
        <v>0</v>
      </c>
      <c r="Z123" s="1086" t="n">
        <v>0</v>
      </c>
      <c r="AA123" s="1087" t="n">
        <v>0</v>
      </c>
      <c r="AB123" s="1086" t="n">
        <v>0</v>
      </c>
      <c r="AC123" s="1086" t="n">
        <v>0</v>
      </c>
      <c r="AD123" s="1087" t="n">
        <v>0</v>
      </c>
      <c r="AE123" s="1086" t="n">
        <v>0</v>
      </c>
      <c r="AF123" s="1086" t="n">
        <v>0</v>
      </c>
      <c r="AG123" s="1087" t="n">
        <v>0</v>
      </c>
      <c r="AH123" s="1086" t="n">
        <v>0</v>
      </c>
      <c r="AI123" s="1086" t="n">
        <v>0</v>
      </c>
      <c r="AJ123" s="1087" t="n">
        <v>0</v>
      </c>
      <c r="AK123" s="1086" t="n">
        <v>0</v>
      </c>
      <c r="AL123" s="1086" t="n">
        <v>0</v>
      </c>
      <c r="AM123" s="1087" t="n">
        <v>0</v>
      </c>
      <c r="AN123" s="1086" t="n">
        <v>0</v>
      </c>
      <c r="AO123" s="1086" t="n">
        <v>0</v>
      </c>
      <c r="AP123" s="1087" t="n">
        <v>0</v>
      </c>
      <c r="AQ123" s="1086" t="n">
        <v>0</v>
      </c>
      <c r="AR123" s="1086" t="n">
        <v>0</v>
      </c>
      <c r="AS123" s="1087" t="n">
        <v>0</v>
      </c>
      <c r="AT123" s="1086" t="n">
        <v>0</v>
      </c>
      <c r="AU123" s="1086" t="n">
        <v>0</v>
      </c>
      <c r="AV123" s="1086" t="n">
        <v>0</v>
      </c>
      <c r="AW123" s="1172" t="n">
        <v>0</v>
      </c>
      <c r="AX123" s="807" t="e">
        <f aca="false">BB123-SUM(AY123:BA123)</f>
        <v>#VALUE!</v>
      </c>
      <c r="AY123" s="807" t="e">
        <f aca="false">IF(AND($E123=MONTH(Summary!$E$24),$D123=YEAR(Summary!$E$24)),Summary!$E$25,1)*IF(G123="",0,INT((H123-MOD(H123,7)-G123)/7)+1-IF(BA123,IF(WEEKDAY(F123)=7,1,0),0))</f>
        <v>#VALUE!</v>
      </c>
      <c r="AZ123" s="807" t="e">
        <f aca="false">IF(AND($E123=MONTH(Summary!$E$24),$D123=YEAR(Summary!$E$24)),Summary!$E$25,1)*IF(G123="",0,INT((H123-MOD(H123-1,7)-G123)/7)+1-IF(BA123,IF(WEEKDAY(F123)=1,1,0),0))</f>
        <v>#VALUE!</v>
      </c>
      <c r="BA123" s="807" t="n">
        <v>1</v>
      </c>
      <c r="BB123" s="807" t="n">
        <f aca="false">IF(AND($E123=MONTH(Summary!$E$24),$D123=YEAR(Summary!$E$24)),Summary!$E$25,1)*IF(G123="",0,H123-G123+1)</f>
        <v>30</v>
      </c>
      <c r="BC123" s="1089" t="n">
        <f aca="false">Summary!$E$19</f>
        <v>0.015</v>
      </c>
      <c r="BD123" s="1090" t="n">
        <v>13474.8</v>
      </c>
      <c r="BE123" s="1091" t="n">
        <v>3546</v>
      </c>
      <c r="BF123" s="1091" t="n">
        <v>4255.2</v>
      </c>
      <c r="BG123" s="842"/>
      <c r="BH123" s="1092" t="n">
        <v>1</v>
      </c>
      <c r="BI123" s="1092" t="n">
        <v>1</v>
      </c>
      <c r="BJ123" s="1092" t="n">
        <v>1</v>
      </c>
      <c r="BK123" s="1092" t="n">
        <v>1</v>
      </c>
      <c r="BL123" s="1093" t="n">
        <v>2694.96</v>
      </c>
      <c r="BM123" s="1091" t="n">
        <v>709.2</v>
      </c>
      <c r="BN123" s="1091" t="n">
        <v>851.04</v>
      </c>
      <c r="BO123" s="842"/>
      <c r="BP123" s="1092" t="n">
        <v>1</v>
      </c>
      <c r="BQ123" s="1094" t="n">
        <v>1</v>
      </c>
      <c r="BR123" s="1094" t="n">
        <v>1</v>
      </c>
      <c r="BS123" s="1095" t="n">
        <v>1</v>
      </c>
      <c r="BT123" s="1093" t="n">
        <f aca="false">SUM(BD123:BF123)</f>
        <v>21276</v>
      </c>
      <c r="BU123" s="1098" t="n">
        <f aca="false">SUM(BD123:BG123)</f>
        <v>21276</v>
      </c>
      <c r="BV123" s="1090" t="n">
        <f aca="false">SUM(BL123:BN123)</f>
        <v>4255.2</v>
      </c>
      <c r="BW123" s="1098" t="n">
        <f aca="false">SUM(BL123:BO123)</f>
        <v>4255.2</v>
      </c>
      <c r="BX123" s="852" t="n">
        <v>8.88158795345654</v>
      </c>
      <c r="BY123" s="1099" t="n">
        <v>0</v>
      </c>
      <c r="BZ123" s="852" t="n">
        <v>0</v>
      </c>
      <c r="CA123" s="852" t="n">
        <v>0</v>
      </c>
      <c r="CB123" s="852" t="n">
        <v>0</v>
      </c>
      <c r="CC123" s="852" t="n">
        <v>0</v>
      </c>
      <c r="CD123" s="852" t="n">
        <v>0</v>
      </c>
      <c r="CE123" s="1100" t="n">
        <v>0</v>
      </c>
      <c r="CF123" s="852" t="n">
        <v>0</v>
      </c>
      <c r="CG123" s="852" t="n">
        <v>0</v>
      </c>
      <c r="CH123" s="852" t="n">
        <v>0</v>
      </c>
      <c r="CI123" s="852" t="n">
        <v>0</v>
      </c>
      <c r="CJ123" s="1101" t="n">
        <v>0</v>
      </c>
      <c r="CK123" s="852" t="n">
        <v>0</v>
      </c>
      <c r="CL123" s="852" t="n">
        <v>0</v>
      </c>
      <c r="CM123" s="852" t="n">
        <v>0</v>
      </c>
      <c r="CN123" s="852" t="n">
        <v>0</v>
      </c>
      <c r="CO123" s="852" t="n">
        <v>0</v>
      </c>
      <c r="CP123" s="852" t="n">
        <v>0</v>
      </c>
      <c r="CQ123" s="1102" t="n">
        <v>0</v>
      </c>
      <c r="CR123" s="1103" t="n">
        <v>0</v>
      </c>
      <c r="CS123" s="1103" t="n">
        <v>0</v>
      </c>
      <c r="CT123" s="1103" t="n">
        <v>0</v>
      </c>
      <c r="CU123" s="1103" t="n">
        <v>0</v>
      </c>
      <c r="CV123" s="1103" t="n">
        <v>0</v>
      </c>
      <c r="CW123" s="1103" t="n">
        <v>0</v>
      </c>
      <c r="CX123" s="1104" t="n">
        <v>0</v>
      </c>
      <c r="CY123" s="1105" t="n">
        <v>7686.34056</v>
      </c>
      <c r="CZ123" s="1099" t="n">
        <v>0</v>
      </c>
      <c r="DA123" s="852" t="n">
        <v>0</v>
      </c>
      <c r="DB123" s="852" t="n">
        <v>0</v>
      </c>
      <c r="DC123" s="852" t="n">
        <v>0</v>
      </c>
      <c r="DD123" s="852" t="n">
        <v>0</v>
      </c>
      <c r="DE123" s="1113" t="n">
        <v>0</v>
      </c>
      <c r="DF123" s="1109" t="n">
        <v>0</v>
      </c>
      <c r="DG123" s="1110" t="n">
        <v>0</v>
      </c>
      <c r="DH123" s="1111" t="n">
        <v>0</v>
      </c>
      <c r="DI123" s="1112" t="n">
        <v>0</v>
      </c>
      <c r="DJ123" s="1112" t="n">
        <v>0</v>
      </c>
      <c r="DK123" s="1112" t="n">
        <v>0</v>
      </c>
      <c r="DL123" s="1113" t="n">
        <v>0</v>
      </c>
      <c r="DM123" s="1114" t="n">
        <v>0</v>
      </c>
      <c r="DN123" s="1114" t="n">
        <v>0</v>
      </c>
      <c r="DO123" s="1114" t="n">
        <v>0</v>
      </c>
      <c r="DP123" s="1114" t="n">
        <v>0</v>
      </c>
      <c r="DQ123" s="1114" t="n">
        <v>0</v>
      </c>
      <c r="DR123" s="1109" t="n">
        <v>0</v>
      </c>
      <c r="DS123" s="852" t="n">
        <v>0</v>
      </c>
      <c r="DT123" s="852" t="n">
        <v>0</v>
      </c>
      <c r="DU123" s="852" t="n">
        <v>0</v>
      </c>
      <c r="DV123" s="852" t="n">
        <v>0</v>
      </c>
      <c r="DW123" s="852" t="n">
        <v>0</v>
      </c>
      <c r="DX123" s="852" t="n">
        <v>0</v>
      </c>
      <c r="DY123" s="852" t="n">
        <v>0</v>
      </c>
      <c r="DZ123" s="852" t="n">
        <v>0</v>
      </c>
      <c r="EA123" s="852" t="n">
        <v>0</v>
      </c>
      <c r="EB123" s="1113" t="n">
        <v>0</v>
      </c>
      <c r="EC123" s="1115" t="n">
        <f aca="false">DS123*BD123</f>
        <v>0</v>
      </c>
      <c r="ED123" s="1115" t="n">
        <f aca="false">DT123*BE123</f>
        <v>0</v>
      </c>
      <c r="EE123" s="1115" t="n">
        <f aca="false">DU123*BF123</f>
        <v>0</v>
      </c>
      <c r="EF123" s="1115" t="n">
        <f aca="false">DV123*BG123</f>
        <v>0</v>
      </c>
      <c r="EG123" s="1115" t="n">
        <f aca="false">DS123*BD123+DT123*BE123+DU123*BF123+DV123*BG123</f>
        <v>0</v>
      </c>
      <c r="EH123" s="1116" t="n">
        <v>0</v>
      </c>
      <c r="EI123" s="1117" t="n">
        <v>0</v>
      </c>
      <c r="EJ123" s="1117" t="n">
        <v>0</v>
      </c>
      <c r="EK123" s="1117" t="n">
        <v>0</v>
      </c>
      <c r="EL123" s="1118" t="n">
        <f aca="false">IF(C123&gt;=Summary!$E$26,MAX(0,SUM(EH123:EK123)),0)</f>
        <v>0</v>
      </c>
      <c r="EM123" s="1115" t="n">
        <f aca="false">IF(C123&gt;=Summary!$E$26,DX123*BL123,0)</f>
        <v>0</v>
      </c>
      <c r="EN123" s="1115" t="n">
        <f aca="false">IF(C123&gt;=Summary!$E$26,DY123*BM123,0)</f>
        <v>0</v>
      </c>
      <c r="EO123" s="1115" t="n">
        <f aca="false">IF(C123&gt;=Summary!$E$26,DZ123*BN123,0)</f>
        <v>0</v>
      </c>
      <c r="EP123" s="1115" t="n">
        <f aca="false">IF(C123&gt;=Summary!$E$26,EA123*BO123,0)</f>
        <v>0</v>
      </c>
      <c r="EQ123" s="1115" t="n">
        <f aca="false">IF(C123&gt;=Summary!$E$26,DX123*BL123+DY123*BM123+DZ123*BN123+EA123*BO123,0)</f>
        <v>0</v>
      </c>
      <c r="ER123" s="1119" t="n">
        <v>0</v>
      </c>
      <c r="ES123" s="1120" t="n">
        <v>0</v>
      </c>
      <c r="ET123" s="1120" t="n">
        <v>0</v>
      </c>
      <c r="EU123" s="1120" t="n">
        <v>0</v>
      </c>
      <c r="EV123" s="1143" t="n">
        <f aca="false">IF(C123&gt;=Summary!$E$26,MAX(0,SUM(ER123:EU123)),0)</f>
        <v>0</v>
      </c>
      <c r="EW123" s="1115"/>
      <c r="EX123" s="1165" t="n">
        <f aca="false">(EQ123-EV123)+IF(EZ123="Yes",(EG123-EL123),0)</f>
        <v>0</v>
      </c>
      <c r="EY123" s="1166" t="str">
        <f aca="false">IF(EX123,EX123/EQ123,"")</f>
        <v/>
      </c>
      <c r="EZ123" s="1122" t="s">
        <v>37</v>
      </c>
      <c r="FA123" s="1096" t="n">
        <f aca="false">FA122</f>
        <v>45</v>
      </c>
      <c r="FB123" s="1167" t="e">
        <f aca="false">IF(EZ123="No",IF((OR(MONTH(C123)=5,MONTH(C123)=6,MONTH(C123)=7,MONTH(C123)=8,MONTH(C123)=9)),$FA123*12*AX123*(1-$BC123),$FA123*10*AX123*(1-$BC123)),0)</f>
        <v>#VALUE!</v>
      </c>
      <c r="FC123" s="1129" t="e">
        <f aca="false">IF(EZ123="No",IF((OR(MONTH(C123)=5,MONTH(C123)=6,MONTH(C123)=7,MONTH(C123)=8,MONTH(C123)=9)),0,$FA123*3*AX123*(1-$BC123)),0)</f>
        <v>#VALUE!</v>
      </c>
      <c r="FD123" s="1129" t="e">
        <f aca="false">IF(EZ123="No",IF((OR(MONTH(C123)=5,MONTH(C123)=6,MONTH(C123)=7,MONTH(C123)=8,MONTH(C123)=9)),$FA123*12*AY123*(1-$BC123),$FA123*10*AY123*(1-$BC123)),0)</f>
        <v>#VALUE!</v>
      </c>
      <c r="FE123" s="1129" t="e">
        <f aca="false">IF(EZ123="No",IF((OR(MONTH(C123)=5,MONTH(C123)=6,MONTH(C123)=7,MONTH(C123)=8,MONTH(C123)=9)),0,$FA123*3*AY123*(1-$BC123)),0)</f>
        <v>#VALUE!</v>
      </c>
      <c r="FF123" s="1129" t="e">
        <f aca="false">IF(EZ123="No",IF((OR(MONTH(C123)=5,MONTH(C123)=6,MONTH(C123)=7,MONTH(C123)=8,MONTH(C123)=9)),$FA123*12*(AZ123+BA123)*(1-$BC123),$FA123*10*(AZ123+BA123)*(1-$BC123)),0)</f>
        <v>#VALUE!</v>
      </c>
      <c r="FG123" s="1129" t="e">
        <f aca="false">IF(EZ123="No",IF((OR(MONTH(C123)=5,MONTH(C123)=6,MONTH(C123)=7,MONTH(C123)=8,MONTH(C123)=9)),0,$FA123*3*(AZ123+BA123)*(1-$BC123)),0)</f>
        <v>#VALUE!</v>
      </c>
      <c r="FH123" s="1170" t="e">
        <f aca="false">IF(EZ123="No",IF((OR(MONTH(C123)=5,MONTH(C123)=6,MONTH(C123)=7,MONTH(C123)=8,MONTH(C123)=9)),Summary!$O$15*12*(AX123+AY123+AZ123+BA123)*(1-$BC123),Summary!$O$15*13*(AX123+AY123+AZ123+BA123)*(1-$BC123)+IF(Summary!$O$16="Yes",(CALC!FA123+Summary!$O$15)*6*(AX123+AY123+AZ123+BA123)*(1-$BC123),0)),0)</f>
        <v>#VALUE!</v>
      </c>
      <c r="FI123" s="1126" t="n">
        <f aca="false">IF(MONTH(C123)=5,FI122*(IF(Summary!$E$70="no",(1+(Summary!$E$71*0.8)),1+HLOOKUP(YEAR(C123)-1,CCFMODEL!$I$127:$AF$128,2)*0.8)),+FI122)</f>
        <v>32.9323923735024</v>
      </c>
      <c r="FJ123" s="1127" t="n">
        <f aca="false">IF(MONTH(C123)=5,FJ122*(IF(Summary!$E$70="no",(1+(Summary!$E$71*0.8)),1+HLOOKUP(YEAR(CALC!C123)-1,CCFMODEL!$I$127:$AF$128,2)*0.8)),FJ122)</f>
        <v>28.7834295547934</v>
      </c>
      <c r="FK123" s="1128" t="e">
        <f aca="false">SUM(FB123:FG123)*FI123+FH123*FJ123</f>
        <v>#VALUE!</v>
      </c>
      <c r="FL123" s="1126" t="n">
        <f aca="false">IF(MONTH(C123)=5,FL122*(IF(Summary!$E$70="no",(1+(Summary!$E$71*0.8)),1+HLOOKUP(YEAR(CALC!C123)-1,CCFMODEL!$I$127:$AF$128,2)*0.8)),+FL122)</f>
        <v>69.26051324446</v>
      </c>
      <c r="FM123" s="1127" t="n">
        <f aca="false">IF(MONTH(C123)=5,FM122*(IF(Summary!$E$70="no",(1+(Summary!$E$71*0.8)),1+HLOOKUP(YEAR(CALC!C123)-1,CCFMODEL!$I$127:$AF$128,2)*0.8)),+FM122)</f>
        <v>33.0558734097735</v>
      </c>
      <c r="FN123" s="1128" t="e">
        <f aca="false">IF((OR(MONTH(C123)=5,MONTH(C123)=6,MONTH(C123)=7,MONTH(C123)=8,MONTH(C123)=9)),SUM(FB123:FG123)/(1-BC123)*FL123,SUM(FB123:FG123)/(1-BC123)*FM123)</f>
        <v>#VALUE!</v>
      </c>
      <c r="FO123" s="1129" t="e">
        <f aca="false">FK123+FN123</f>
        <v>#VALUE!</v>
      </c>
      <c r="FP123" s="1169" t="e">
        <f aca="false">FB123</f>
        <v>#VALUE!</v>
      </c>
      <c r="FQ123" s="1129" t="e">
        <f aca="false">FC123</f>
        <v>#VALUE!</v>
      </c>
      <c r="FR123" s="1129" t="e">
        <f aca="false">FD123</f>
        <v>#VALUE!</v>
      </c>
      <c r="FS123" s="1129" t="e">
        <f aca="false">FE123</f>
        <v>#VALUE!</v>
      </c>
      <c r="FT123" s="1129" t="e">
        <f aca="false">FF123</f>
        <v>#VALUE!</v>
      </c>
      <c r="FU123" s="1129" t="e">
        <f aca="false">FG123</f>
        <v>#VALUE!</v>
      </c>
      <c r="FV123" s="1170" t="e">
        <f aca="false">FH123</f>
        <v>#VALUE!</v>
      </c>
      <c r="FW123" s="1115" t="n">
        <f aca="false">IF(ER123&gt;0,MIN(FB123-FP123,BL123),0)</f>
        <v>0</v>
      </c>
      <c r="FX123" s="1115" t="n">
        <f aca="false">IF(ES123&gt;0,MIN(FD123-FR123,BM123),0)</f>
        <v>0</v>
      </c>
      <c r="FY123" s="1115" t="n">
        <f aca="false">IF(ET123&gt;0,MIN(FF123-FT123,BN123),0)</f>
        <v>0</v>
      </c>
      <c r="FZ123" s="1143" t="n">
        <f aca="false">IF(EU123&gt;0,MIN(FH123-FV123,BO123),0)</f>
        <v>0</v>
      </c>
      <c r="GA123" s="1132" t="e">
        <f aca="false">(SUM(FP123:FV123)+SUM(GU123:HB123)/(1-Summary!$O$25))*CY123/1000</f>
        <v>#VALUE!</v>
      </c>
      <c r="GB123" s="1133" t="n">
        <f aca="false">IF($C123&lt;Summary!$M$81,+Summary!$O$81,VLOOKUP(C123,GasTable,19))</f>
        <v>2.4</v>
      </c>
      <c r="GC123" s="1134" t="e">
        <f aca="false">IF(H123&lt;=Summary!$N$84,MIN(GA123,Summary!$O$75*(H123-G123+1)),0)</f>
        <v>#VALUE!</v>
      </c>
      <c r="GD123" s="1135" t="e">
        <f aca="false">IF(Summary!$O$75*(H123-G123+1)*0.8&gt;GC123,1,0)</f>
        <v>#VALUE!</v>
      </c>
      <c r="GE123" s="1136" t="n">
        <v>0</v>
      </c>
      <c r="GF123" s="1134" t="e">
        <f aca="false">ABS(MIN(0,GC123-$GA123))</f>
        <v>#VALUE!</v>
      </c>
      <c r="GG123" s="1135" t="e">
        <f aca="false">GF123*(IF(Summary!$O$74=1,VLOOKUP($C123,GasTable,16)+Summary!$O$92+Summary!$O$93,VLOOKUP($C123,GasTable,19)+Summary!$O$92+Summary!$O$93))</f>
        <v>#VALUE!</v>
      </c>
      <c r="GH123" s="1137" t="n">
        <v>19146</v>
      </c>
      <c r="GI123" s="1138" t="n">
        <v>0</v>
      </c>
      <c r="GJ123" s="1139" t="e">
        <f aca="false">+GB123*GC123+GE123+GG123+GH123-GI123</f>
        <v>#VALUE!</v>
      </c>
      <c r="GK123" s="1115" t="e">
        <f aca="false">SUM(FP123:FV123,GU123:GX123,GY123:HB123)</f>
        <v>#VALUE!</v>
      </c>
      <c r="GL123" s="1140" t="n">
        <v>0.754798642992</v>
      </c>
      <c r="GM123" s="1141" t="e">
        <f aca="false">IF(GK123&gt;GC123/(CY123/1000),GC123/(CY123/1000),+GK123)*GL123</f>
        <v>#VALUE!</v>
      </c>
      <c r="GN123" s="1115" t="n">
        <f aca="false">IF(SUM(GU123:HB123)=0,0,IF(Summary!$O$16="Yes",SUM(GX123:HB123),IF(Summary!$O$17="Yes",SUM(GY123:HB123),SUM(GU123:HB123))))</f>
        <v>11805.5205</v>
      </c>
      <c r="GO123" s="1142" t="n">
        <v>3.01431177140114</v>
      </c>
      <c r="GP123" s="1143" t="n">
        <f aca="false">GN123*GO123</f>
        <v>35585.5194106674</v>
      </c>
      <c r="GQ123" s="1115"/>
      <c r="GR123" s="1115"/>
      <c r="GS123" s="1115"/>
      <c r="GT123" s="1115"/>
      <c r="GU123" s="1150" t="n">
        <v>4876.19325</v>
      </c>
      <c r="GV123" s="1115" t="n">
        <v>1283.20875</v>
      </c>
      <c r="GW123" s="1115" t="n">
        <v>1539.8505</v>
      </c>
      <c r="GX123" s="1115"/>
      <c r="GY123" s="1151" t="n">
        <v>2600.6364</v>
      </c>
      <c r="GZ123" s="1115" t="n">
        <v>684.378</v>
      </c>
      <c r="HA123" s="1115" t="n">
        <v>821.2536</v>
      </c>
      <c r="HB123" s="1141"/>
      <c r="HC123" s="1115" t="n">
        <v>11805.5205</v>
      </c>
      <c r="HD123" s="1115"/>
      <c r="HE123" s="1115" t="n">
        <v>20274.69825</v>
      </c>
      <c r="HF123" s="1115" t="n">
        <v>566370.669296455</v>
      </c>
      <c r="HG123" s="1115"/>
      <c r="HH123" s="1142" t="n">
        <v>47.6926527861628</v>
      </c>
      <c r="HI123" s="1115" t="n">
        <v>966954.143981473</v>
      </c>
      <c r="HJ123" s="1150" t="e">
        <f aca="false">MAX(FB123-FP123-FW123,0)</f>
        <v>#VALUE!</v>
      </c>
      <c r="HK123" s="1115" t="e">
        <f aca="false">MAX(FD123-FR123-FX123,0)</f>
        <v>#VALUE!</v>
      </c>
      <c r="HL123" s="1115" t="e">
        <f aca="false">MAX(FF123-FT123-FY123,0)</f>
        <v>#VALUE!</v>
      </c>
      <c r="HM123" s="1141" t="e">
        <f aca="false">MAX(FH123-FV123-FZ123,0)</f>
        <v>#VALUE!</v>
      </c>
      <c r="HN123" s="1115" t="e">
        <f aca="false">SUM(HJ123:HM123)</f>
        <v>#VALUE!</v>
      </c>
      <c r="HO123" s="1142" t="n">
        <f aca="false">IF(ISERROR(+HP123/HN123),0,+HP123/HN123)</f>
        <v>0</v>
      </c>
      <c r="HP123" s="1143" t="e">
        <f aca="false">(HJ123*CE123+HK123*CF123+HL123*CG123+HM123*CH123)</f>
        <v>#VALUE!</v>
      </c>
      <c r="HQ123" s="1142"/>
      <c r="HR123" s="1150"/>
      <c r="HS123" s="1110"/>
      <c r="HT123" s="1141"/>
      <c r="HU123" s="1151"/>
      <c r="HV123" s="1142"/>
      <c r="HW123" s="1115"/>
      <c r="HX123" s="1149"/>
      <c r="HY123" s="1143"/>
      <c r="HZ123" s="1150"/>
      <c r="IA123" s="1142"/>
      <c r="IB123" s="1141"/>
      <c r="IC123" s="1151"/>
      <c r="ID123" s="1142"/>
      <c r="IE123" s="1141"/>
      <c r="IF123" s="1115"/>
      <c r="IG123" s="1142"/>
      <c r="IH123" s="1141"/>
      <c r="II123" s="1115"/>
      <c r="IJ123" s="1142"/>
      <c r="IK123" s="1115"/>
      <c r="IL123" s="1152"/>
      <c r="IM123" s="1192"/>
      <c r="IN123" s="1151"/>
      <c r="IO123" s="1151"/>
      <c r="IP123" s="1151"/>
      <c r="IQ123" s="1151"/>
      <c r="IR123" s="844"/>
    </row>
    <row r="124" customFormat="false" ht="13.5" hidden="false" customHeight="false" outlineLevel="0" collapsed="false">
      <c r="A124" s="0" t="str">
        <f aca="false">+D124&amp;"Q"&amp;ROUNDUP(E124/3,0)</f>
        <v>2008Q4</v>
      </c>
      <c r="B124" s="0" t="n">
        <f aca="false">YEAR(C124)</f>
        <v>2008</v>
      </c>
      <c r="C124" s="1153" t="n">
        <f aca="false">EOMONTH(C123,0)+1</f>
        <v>39783</v>
      </c>
      <c r="D124" s="841" t="n">
        <f aca="false">+YEAR(C124)</f>
        <v>2008</v>
      </c>
      <c r="E124" s="807" t="n">
        <f aca="false">MONTH(C124)</f>
        <v>12</v>
      </c>
      <c r="F124" s="1154" t="e">
        <f aca="false">IF(G124="","",Holiday(D124,E124))</f>
        <v>#VALUE!</v>
      </c>
      <c r="G124" s="1155" t="n">
        <v>39783</v>
      </c>
      <c r="H124" s="1156" t="n">
        <v>39813</v>
      </c>
      <c r="I124" s="1157" t="n">
        <f aca="false">I123</f>
        <v>0.0715</v>
      </c>
      <c r="J124" s="1158" t="n">
        <f aca="false">(1+I124/2)^(-2*(DATE(D125,E125,20)-$H$7)/365.25)</f>
        <v>0.527644312898204</v>
      </c>
      <c r="K124" s="1159"/>
      <c r="L124" s="1158"/>
      <c r="M124" s="1082" t="n">
        <v>0</v>
      </c>
      <c r="N124" s="1110" t="n">
        <f aca="false">M124</f>
        <v>0</v>
      </c>
      <c r="O124" s="1174" t="n">
        <f aca="false">N124</f>
        <v>0</v>
      </c>
      <c r="P124" s="1175" t="n">
        <f aca="false">M124</f>
        <v>0</v>
      </c>
      <c r="Q124" s="1110" t="n">
        <f aca="false">P124</f>
        <v>0</v>
      </c>
      <c r="R124" s="1174" t="n">
        <f aca="false">Q124</f>
        <v>0</v>
      </c>
      <c r="S124" s="1110" t="n">
        <f aca="false">R124</f>
        <v>0</v>
      </c>
      <c r="T124" s="1110" t="n">
        <f aca="false">S124</f>
        <v>0</v>
      </c>
      <c r="U124" s="1110" t="n">
        <f aca="false">T124</f>
        <v>0</v>
      </c>
      <c r="V124" s="1175" t="n">
        <f aca="false">U124</f>
        <v>0</v>
      </c>
      <c r="W124" s="1110" t="n">
        <f aca="false">V124</f>
        <v>0</v>
      </c>
      <c r="X124" s="1176" t="n">
        <f aca="false">W124</f>
        <v>0</v>
      </c>
      <c r="Y124" s="1086" t="n">
        <v>0</v>
      </c>
      <c r="Z124" s="1086" t="n">
        <v>0</v>
      </c>
      <c r="AA124" s="1087" t="n">
        <v>0</v>
      </c>
      <c r="AB124" s="1086" t="n">
        <v>0</v>
      </c>
      <c r="AC124" s="1086" t="n">
        <v>0</v>
      </c>
      <c r="AD124" s="1087" t="n">
        <v>0</v>
      </c>
      <c r="AE124" s="1086" t="n">
        <v>0</v>
      </c>
      <c r="AF124" s="1086" t="n">
        <v>0</v>
      </c>
      <c r="AG124" s="1087" t="n">
        <v>0</v>
      </c>
      <c r="AH124" s="1086" t="n">
        <v>0</v>
      </c>
      <c r="AI124" s="1086" t="n">
        <v>0</v>
      </c>
      <c r="AJ124" s="1087" t="n">
        <v>0</v>
      </c>
      <c r="AK124" s="1086" t="n">
        <v>0</v>
      </c>
      <c r="AL124" s="1086" t="n">
        <v>0</v>
      </c>
      <c r="AM124" s="1087" t="n">
        <v>0</v>
      </c>
      <c r="AN124" s="1086" t="n">
        <v>0</v>
      </c>
      <c r="AO124" s="1086" t="n">
        <v>0</v>
      </c>
      <c r="AP124" s="1087" t="n">
        <v>0</v>
      </c>
      <c r="AQ124" s="1086" t="n">
        <v>0</v>
      </c>
      <c r="AR124" s="1086" t="n">
        <v>0</v>
      </c>
      <c r="AS124" s="1087" t="n">
        <v>0</v>
      </c>
      <c r="AT124" s="1086" t="n">
        <v>0</v>
      </c>
      <c r="AU124" s="1086" t="n">
        <v>0</v>
      </c>
      <c r="AV124" s="1086" t="n">
        <v>0</v>
      </c>
      <c r="AW124" s="1172" t="n">
        <v>0</v>
      </c>
      <c r="AX124" s="807" t="e">
        <f aca="false">BB124-SUM(AY124:BA124)</f>
        <v>#VALUE!</v>
      </c>
      <c r="AY124" s="807" t="e">
        <f aca="false">IF(AND($E124=MONTH(Summary!$E$24),$D124=YEAR(Summary!$E$24)),Summary!$E$25,1)*IF(G124="",0,INT((H124-MOD(H124,7)-G124)/7)+1-IF(BA124,IF(WEEKDAY(F124)=7,1,0),0))</f>
        <v>#VALUE!</v>
      </c>
      <c r="AZ124" s="807" t="e">
        <f aca="false">IF(AND($E124=MONTH(Summary!$E$24),$D124=YEAR(Summary!$E$24)),Summary!$E$25,1)*IF(G124="",0,INT((H124-MOD(H124-1,7)-G124)/7)+1-IF(BA124,IF(WEEKDAY(F124)=1,1,0),0))</f>
        <v>#VALUE!</v>
      </c>
      <c r="BA124" s="807" t="n">
        <v>1</v>
      </c>
      <c r="BB124" s="807" t="n">
        <f aca="false">IF(AND($E124=MONTH(Summary!$E$24),$D124=YEAR(Summary!$E$24)),Summary!$E$25,1)*IF(G124="",0,H124-G124+1)</f>
        <v>31</v>
      </c>
      <c r="BC124" s="1089" t="n">
        <f aca="false">Summary!$E$19</f>
        <v>0.015</v>
      </c>
      <c r="BD124" s="1090" t="n">
        <v>15602.4</v>
      </c>
      <c r="BE124" s="1091" t="n">
        <v>2836.8</v>
      </c>
      <c r="BF124" s="1091" t="n">
        <v>3546</v>
      </c>
      <c r="BG124" s="842"/>
      <c r="BH124" s="1092" t="n">
        <v>1</v>
      </c>
      <c r="BI124" s="1092" t="n">
        <v>1</v>
      </c>
      <c r="BJ124" s="1092" t="n">
        <v>1</v>
      </c>
      <c r="BK124" s="1092" t="n">
        <v>1</v>
      </c>
      <c r="BL124" s="1093" t="n">
        <v>3120.48</v>
      </c>
      <c r="BM124" s="1091" t="n">
        <v>567.36</v>
      </c>
      <c r="BN124" s="1091" t="n">
        <v>709.2</v>
      </c>
      <c r="BO124" s="842"/>
      <c r="BP124" s="1092" t="n">
        <v>1</v>
      </c>
      <c r="BQ124" s="1094" t="n">
        <v>1</v>
      </c>
      <c r="BR124" s="1094" t="n">
        <v>1</v>
      </c>
      <c r="BS124" s="1095" t="n">
        <v>1</v>
      </c>
      <c r="BT124" s="1093" t="n">
        <f aca="false">SUM(BD124:BF124)</f>
        <v>21985.2</v>
      </c>
      <c r="BU124" s="1098" t="n">
        <f aca="false">SUM(BD124:BG124)</f>
        <v>21985.2</v>
      </c>
      <c r="BV124" s="1090" t="n">
        <f aca="false">SUM(BL124:BN124)</f>
        <v>4397.04</v>
      </c>
      <c r="BW124" s="1098" t="n">
        <f aca="false">SUM(BL124:BO124)</f>
        <v>4397.04</v>
      </c>
      <c r="BX124" s="852" t="n">
        <v>8.9637234770705</v>
      </c>
      <c r="BY124" s="1099" t="n">
        <v>0</v>
      </c>
      <c r="BZ124" s="852" t="n">
        <v>0</v>
      </c>
      <c r="CA124" s="852" t="n">
        <v>0</v>
      </c>
      <c r="CB124" s="852" t="n">
        <v>0</v>
      </c>
      <c r="CC124" s="852" t="n">
        <v>0</v>
      </c>
      <c r="CD124" s="852" t="n">
        <v>0</v>
      </c>
      <c r="CE124" s="1100" t="n">
        <v>0</v>
      </c>
      <c r="CF124" s="852" t="n">
        <v>0</v>
      </c>
      <c r="CG124" s="852" t="n">
        <v>0</v>
      </c>
      <c r="CH124" s="852" t="n">
        <v>0</v>
      </c>
      <c r="CI124" s="852" t="n">
        <v>0</v>
      </c>
      <c r="CJ124" s="1101" t="n">
        <v>0</v>
      </c>
      <c r="CK124" s="852" t="n">
        <v>0</v>
      </c>
      <c r="CL124" s="852" t="n">
        <v>0</v>
      </c>
      <c r="CM124" s="852" t="n">
        <v>0</v>
      </c>
      <c r="CN124" s="852" t="n">
        <v>0</v>
      </c>
      <c r="CO124" s="852" t="n">
        <v>0</v>
      </c>
      <c r="CP124" s="852" t="n">
        <v>0</v>
      </c>
      <c r="CQ124" s="1102" t="n">
        <v>0</v>
      </c>
      <c r="CR124" s="1103" t="n">
        <v>0</v>
      </c>
      <c r="CS124" s="1103" t="n">
        <v>0</v>
      </c>
      <c r="CT124" s="1103" t="n">
        <v>0</v>
      </c>
      <c r="CU124" s="1103" t="n">
        <v>0</v>
      </c>
      <c r="CV124" s="1103" t="n">
        <v>0</v>
      </c>
      <c r="CW124" s="1103" t="n">
        <v>0</v>
      </c>
      <c r="CX124" s="1104" t="n">
        <v>0</v>
      </c>
      <c r="CY124" s="1105" t="n">
        <v>7688.37152</v>
      </c>
      <c r="CZ124" s="1099" t="n">
        <v>0</v>
      </c>
      <c r="DA124" s="852" t="n">
        <v>0</v>
      </c>
      <c r="DB124" s="852" t="n">
        <v>0</v>
      </c>
      <c r="DC124" s="852" t="n">
        <v>0</v>
      </c>
      <c r="DD124" s="852" t="n">
        <v>0</v>
      </c>
      <c r="DE124" s="1113" t="n">
        <v>0</v>
      </c>
      <c r="DF124" s="1109" t="n">
        <v>0</v>
      </c>
      <c r="DG124" s="1110" t="n">
        <v>0</v>
      </c>
      <c r="DH124" s="1111" t="n">
        <v>0</v>
      </c>
      <c r="DI124" s="1112" t="n">
        <v>0</v>
      </c>
      <c r="DJ124" s="1112" t="n">
        <v>0</v>
      </c>
      <c r="DK124" s="1112" t="n">
        <v>0</v>
      </c>
      <c r="DL124" s="1113" t="n">
        <v>0</v>
      </c>
      <c r="DM124" s="1114" t="n">
        <v>0</v>
      </c>
      <c r="DN124" s="1114" t="n">
        <v>0</v>
      </c>
      <c r="DO124" s="1114" t="n">
        <v>0</v>
      </c>
      <c r="DP124" s="1114" t="n">
        <v>0</v>
      </c>
      <c r="DQ124" s="1114" t="n">
        <v>0</v>
      </c>
      <c r="DR124" s="1109" t="n">
        <v>0</v>
      </c>
      <c r="DS124" s="852" t="n">
        <v>0</v>
      </c>
      <c r="DT124" s="852" t="n">
        <v>0</v>
      </c>
      <c r="DU124" s="852" t="n">
        <v>0</v>
      </c>
      <c r="DV124" s="852" t="n">
        <v>0</v>
      </c>
      <c r="DW124" s="852" t="n">
        <v>0</v>
      </c>
      <c r="DX124" s="852" t="n">
        <v>0</v>
      </c>
      <c r="DY124" s="852" t="n">
        <v>0</v>
      </c>
      <c r="DZ124" s="852" t="n">
        <v>0</v>
      </c>
      <c r="EA124" s="852" t="n">
        <v>0</v>
      </c>
      <c r="EB124" s="1113" t="n">
        <v>0</v>
      </c>
      <c r="EC124" s="1115" t="n">
        <f aca="false">DS124*BD124</f>
        <v>0</v>
      </c>
      <c r="ED124" s="1115" t="n">
        <f aca="false">DT124*BE124</f>
        <v>0</v>
      </c>
      <c r="EE124" s="1115" t="n">
        <f aca="false">DU124*BF124</f>
        <v>0</v>
      </c>
      <c r="EF124" s="1115" t="n">
        <f aca="false">DV124*BG124</f>
        <v>0</v>
      </c>
      <c r="EG124" s="1115" t="n">
        <f aca="false">DS124*BD124+DT124*BE124+DU124*BF124+DV124*BG124</f>
        <v>0</v>
      </c>
      <c r="EH124" s="1116" t="n">
        <v>0</v>
      </c>
      <c r="EI124" s="1117" t="n">
        <v>0</v>
      </c>
      <c r="EJ124" s="1117" t="n">
        <v>0</v>
      </c>
      <c r="EK124" s="1117" t="n">
        <v>0</v>
      </c>
      <c r="EL124" s="1118" t="n">
        <f aca="false">IF(C124&gt;=Summary!$E$26,MAX(0,SUM(EH124:EK124)),0)</f>
        <v>0</v>
      </c>
      <c r="EM124" s="1115" t="n">
        <f aca="false">IF(C124&gt;=Summary!$E$26,DX124*BL124,0)</f>
        <v>0</v>
      </c>
      <c r="EN124" s="1115" t="n">
        <f aca="false">IF(C124&gt;=Summary!$E$26,DY124*BM124,0)</f>
        <v>0</v>
      </c>
      <c r="EO124" s="1115" t="n">
        <f aca="false">IF(C124&gt;=Summary!$E$26,DZ124*BN124,0)</f>
        <v>0</v>
      </c>
      <c r="EP124" s="1115" t="n">
        <f aca="false">IF(C124&gt;=Summary!$E$26,EA124*BO124,0)</f>
        <v>0</v>
      </c>
      <c r="EQ124" s="1115" t="n">
        <f aca="false">IF(C124&gt;=Summary!$E$26,DX124*BL124+DY124*BM124+DZ124*BN124+EA124*BO124,0)</f>
        <v>0</v>
      </c>
      <c r="ER124" s="1119" t="n">
        <v>0</v>
      </c>
      <c r="ES124" s="1120" t="n">
        <v>0</v>
      </c>
      <c r="ET124" s="1120" t="n">
        <v>0</v>
      </c>
      <c r="EU124" s="1120" t="n">
        <v>0</v>
      </c>
      <c r="EV124" s="1143" t="n">
        <f aca="false">IF(C124&gt;=Summary!$E$26,MAX(0,SUM(ER124:EU124)),0)</f>
        <v>0</v>
      </c>
      <c r="EW124" s="1115"/>
      <c r="EX124" s="1165" t="n">
        <f aca="false">(EQ124-EV124)+IF(EZ124="Yes",(EG124-EL124),0)</f>
        <v>0</v>
      </c>
      <c r="EY124" s="1166" t="str">
        <f aca="false">IF(EX124,EX124/EQ124,"")</f>
        <v/>
      </c>
      <c r="EZ124" s="1122" t="s">
        <v>37</v>
      </c>
      <c r="FA124" s="1096" t="n">
        <f aca="false">FA123</f>
        <v>45</v>
      </c>
      <c r="FB124" s="1167" t="e">
        <f aca="false">IF(EZ124="No",IF((OR(MONTH(C124)=5,MONTH(C124)=6,MONTH(C124)=7,MONTH(C124)=8,MONTH(C124)=9)),$FA124*12*AX124*(1-$BC124),$FA124*10*AX124*(1-$BC124)),0)</f>
        <v>#VALUE!</v>
      </c>
      <c r="FC124" s="1129" t="e">
        <f aca="false">IF(EZ124="No",IF((OR(MONTH(C124)=5,MONTH(C124)=6,MONTH(C124)=7,MONTH(C124)=8,MONTH(C124)=9)),0,$FA124*3*AX124*(1-$BC124)),0)</f>
        <v>#VALUE!</v>
      </c>
      <c r="FD124" s="1129" t="e">
        <f aca="false">IF(EZ124="No",IF((OR(MONTH(C124)=5,MONTH(C124)=6,MONTH(C124)=7,MONTH(C124)=8,MONTH(C124)=9)),$FA124*12*AY124*(1-$BC124),$FA124*10*AY124*(1-$BC124)),0)</f>
        <v>#VALUE!</v>
      </c>
      <c r="FE124" s="1129" t="e">
        <f aca="false">IF(EZ124="No",IF((OR(MONTH(C124)=5,MONTH(C124)=6,MONTH(C124)=7,MONTH(C124)=8,MONTH(C124)=9)),0,$FA124*3*AY124*(1-$BC124)),0)</f>
        <v>#VALUE!</v>
      </c>
      <c r="FF124" s="1129" t="e">
        <f aca="false">IF(EZ124="No",IF((OR(MONTH(C124)=5,MONTH(C124)=6,MONTH(C124)=7,MONTH(C124)=8,MONTH(C124)=9)),$FA124*12*(AZ124+BA124)*(1-$BC124),$FA124*10*(AZ124+BA124)*(1-$BC124)),0)</f>
        <v>#VALUE!</v>
      </c>
      <c r="FG124" s="1129" t="e">
        <f aca="false">IF(EZ124="No",IF((OR(MONTH(C124)=5,MONTH(C124)=6,MONTH(C124)=7,MONTH(C124)=8,MONTH(C124)=9)),0,$FA124*3*(AZ124+BA124)*(1-$BC124)),0)</f>
        <v>#VALUE!</v>
      </c>
      <c r="FH124" s="1170" t="e">
        <f aca="false">IF(EZ124="No",IF((OR(MONTH(C124)=5,MONTH(C124)=6,MONTH(C124)=7,MONTH(C124)=8,MONTH(C124)=9)),Summary!$O$15*12*(AX124+AY124+AZ124+BA124)*(1-$BC124),Summary!$O$15*13*(AX124+AY124+AZ124+BA124)*(1-$BC124)+IF(Summary!$O$16="Yes",(CALC!FA124+Summary!$O$15)*6*(AX124+AY124+AZ124+BA124)*(1-$BC124),0)),0)</f>
        <v>#VALUE!</v>
      </c>
      <c r="FI124" s="1126" t="n">
        <f aca="false">IF(MONTH(C124)=5,FI123*(IF(Summary!$E$70="no",(1+(Summary!$E$71*0.8)),1+HLOOKUP(YEAR(C124)-1,CCFMODEL!$I$127:$AF$128,2)*0.8)),+FI123)</f>
        <v>32.9323923735024</v>
      </c>
      <c r="FJ124" s="1127" t="n">
        <f aca="false">IF(MONTH(C124)=5,FJ123*(IF(Summary!$E$70="no",(1+(Summary!$E$71*0.8)),1+HLOOKUP(YEAR(CALC!C124)-1,CCFMODEL!$I$127:$AF$128,2)*0.8)),FJ123)</f>
        <v>28.7834295547934</v>
      </c>
      <c r="FK124" s="1128" t="e">
        <f aca="false">SUM(FB124:FG124)*FI124+FH124*FJ124</f>
        <v>#VALUE!</v>
      </c>
      <c r="FL124" s="1126" t="n">
        <f aca="false">IF(MONTH(C124)=5,FL123*(IF(Summary!$E$70="no",(1+(Summary!$E$71*0.8)),1+HLOOKUP(YEAR(CALC!C124)-1,CCFMODEL!$I$127:$AF$128,2)*0.8)),+FL123)</f>
        <v>69.26051324446</v>
      </c>
      <c r="FM124" s="1127" t="n">
        <f aca="false">IF(MONTH(C124)=5,FM123*(IF(Summary!$E$70="no",(1+(Summary!$E$71*0.8)),1+HLOOKUP(YEAR(CALC!C124)-1,CCFMODEL!$I$127:$AF$128,2)*0.8)),+FM123)</f>
        <v>33.0558734097735</v>
      </c>
      <c r="FN124" s="1128" t="e">
        <f aca="false">IF((OR(MONTH(C124)=5,MONTH(C124)=6,MONTH(C124)=7,MONTH(C124)=8,MONTH(C124)=9)),SUM(FB124:FG124)/(1-BC124)*FL124,SUM(FB124:FG124)/(1-BC124)*FM124)</f>
        <v>#VALUE!</v>
      </c>
      <c r="FO124" s="1129" t="e">
        <f aca="false">FK124+FN124</f>
        <v>#VALUE!</v>
      </c>
      <c r="FP124" s="1169" t="e">
        <f aca="false">FB124</f>
        <v>#VALUE!</v>
      </c>
      <c r="FQ124" s="1129" t="e">
        <f aca="false">FC124</f>
        <v>#VALUE!</v>
      </c>
      <c r="FR124" s="1129" t="e">
        <f aca="false">FD124</f>
        <v>#VALUE!</v>
      </c>
      <c r="FS124" s="1129" t="e">
        <f aca="false">FE124</f>
        <v>#VALUE!</v>
      </c>
      <c r="FT124" s="1129" t="e">
        <f aca="false">FF124</f>
        <v>#VALUE!</v>
      </c>
      <c r="FU124" s="1129" t="e">
        <f aca="false">FG124</f>
        <v>#VALUE!</v>
      </c>
      <c r="FV124" s="1170" t="e">
        <f aca="false">FH124</f>
        <v>#VALUE!</v>
      </c>
      <c r="FW124" s="1115" t="n">
        <f aca="false">IF(ER124&gt;0,MIN(FB124-FP124,BL124),0)</f>
        <v>0</v>
      </c>
      <c r="FX124" s="1115" t="n">
        <f aca="false">IF(ES124&gt;0,MIN(FD124-FR124,BM124),0)</f>
        <v>0</v>
      </c>
      <c r="FY124" s="1115" t="n">
        <f aca="false">IF(ET124&gt;0,MIN(FF124-FT124,BN124),0)</f>
        <v>0</v>
      </c>
      <c r="FZ124" s="1143" t="n">
        <f aca="false">IF(EU124&gt;0,MIN(FH124-FV124,BO124),0)</f>
        <v>0</v>
      </c>
      <c r="GA124" s="1132" t="e">
        <f aca="false">(SUM(FP124:FV124)+SUM(GU124:HB124)/(1-Summary!$O$25))*CY124/1000</f>
        <v>#VALUE!</v>
      </c>
      <c r="GB124" s="1133" t="n">
        <f aca="false">IF($C124&lt;Summary!$M$81,+Summary!$O$81,VLOOKUP(C124,GasTable,19))</f>
        <v>2.4</v>
      </c>
      <c r="GC124" s="1134" t="e">
        <f aca="false">IF(H124&lt;=Summary!$N$84,MIN(GA124,Summary!$O$75*(H124-G124+1)),0)</f>
        <v>#VALUE!</v>
      </c>
      <c r="GD124" s="1135" t="e">
        <f aca="false">IF(Summary!$O$75*(H124-G124+1)*0.8&gt;GC124,1,0)</f>
        <v>#VALUE!</v>
      </c>
      <c r="GE124" s="1136" t="n">
        <v>0</v>
      </c>
      <c r="GF124" s="1134" t="e">
        <f aca="false">ABS(MIN(0,GC124-$GA124))</f>
        <v>#VALUE!</v>
      </c>
      <c r="GG124" s="1135" t="e">
        <f aca="false">GF124*(IF(Summary!$O$74=1,VLOOKUP($C124,GasTable,16)+Summary!$O$92+Summary!$O$93,VLOOKUP($C124,GasTable,19)+Summary!$O$92+Summary!$O$93))</f>
        <v>#VALUE!</v>
      </c>
      <c r="GH124" s="1137" t="n">
        <v>20255.4</v>
      </c>
      <c r="GI124" s="1138" t="n">
        <v>0</v>
      </c>
      <c r="GJ124" s="1139" t="e">
        <f aca="false">+GB124*GC124+GE124+GG124+GH124-GI124</f>
        <v>#VALUE!</v>
      </c>
      <c r="GK124" s="1115" t="e">
        <f aca="false">SUM(FP124:FV124,GU124:GX124,GY124:HB124)</f>
        <v>#VALUE!</v>
      </c>
      <c r="GL124" s="1140" t="n">
        <v>0.754998083264</v>
      </c>
      <c r="GM124" s="1141" t="e">
        <f aca="false">IF(GK124&gt;GC124/(CY124/1000),GC124/(CY124/1000),+GK124)*GL124</f>
        <v>#VALUE!</v>
      </c>
      <c r="GN124" s="1115" t="n">
        <f aca="false">IF(SUM(GU124:HB124)=0,0,IF(Summary!$O$16="Yes",SUM(GX124:HB124),IF(Summary!$O$17="Yes",SUM(GY124:HB124),SUM(GU124:HB124))))</f>
        <v>12199.03785</v>
      </c>
      <c r="GO124" s="1142" t="n">
        <v>3.01431177140114</v>
      </c>
      <c r="GP124" s="1143" t="n">
        <f aca="false">GN124*GO124</f>
        <v>36771.703391023</v>
      </c>
      <c r="GQ124" s="1115"/>
      <c r="GR124" s="1115"/>
      <c r="GS124" s="1115"/>
      <c r="GT124" s="1115"/>
      <c r="GU124" s="1150" t="n">
        <v>5646.1185</v>
      </c>
      <c r="GV124" s="1115" t="n">
        <v>1026.567</v>
      </c>
      <c r="GW124" s="1115" t="n">
        <v>1283.20875</v>
      </c>
      <c r="GX124" s="1115"/>
      <c r="GY124" s="1151" t="n">
        <v>3011.2632</v>
      </c>
      <c r="GZ124" s="1115" t="n">
        <v>547.5024</v>
      </c>
      <c r="HA124" s="1115" t="n">
        <v>684.378</v>
      </c>
      <c r="HB124" s="1141"/>
      <c r="HC124" s="1115" t="n">
        <v>12199.03785</v>
      </c>
      <c r="HD124" s="1115"/>
      <c r="HE124" s="1115" t="n">
        <v>20950.521525</v>
      </c>
      <c r="HF124" s="1115" t="n">
        <v>566242.011625908</v>
      </c>
      <c r="HG124" s="1115"/>
      <c r="HH124" s="1142" t="n">
        <v>46.1174230128515</v>
      </c>
      <c r="HI124" s="1115" t="n">
        <v>966184.063508275</v>
      </c>
      <c r="HJ124" s="1150" t="e">
        <f aca="false">MAX(FB124-FP124-FW124,0)</f>
        <v>#VALUE!</v>
      </c>
      <c r="HK124" s="1115" t="e">
        <f aca="false">MAX(FD124-FR124-FX124,0)</f>
        <v>#VALUE!</v>
      </c>
      <c r="HL124" s="1115" t="e">
        <f aca="false">MAX(FF124-FT124-FY124,0)</f>
        <v>#VALUE!</v>
      </c>
      <c r="HM124" s="1141" t="e">
        <f aca="false">MAX(FH124-FV124-FZ124,0)</f>
        <v>#VALUE!</v>
      </c>
      <c r="HN124" s="1115" t="e">
        <f aca="false">SUM(HJ124:HM124)</f>
        <v>#VALUE!</v>
      </c>
      <c r="HO124" s="1142" t="n">
        <f aca="false">IF(ISERROR(+HP124/HN124),0,+HP124/HN124)</f>
        <v>0</v>
      </c>
      <c r="HP124" s="1143" t="e">
        <f aca="false">(HJ124*CE124+HK124*CF124+HL124*CG124+HM124*CH124)</f>
        <v>#VALUE!</v>
      </c>
      <c r="HQ124" s="1142"/>
      <c r="HR124" s="1150"/>
      <c r="HS124" s="1110"/>
      <c r="HT124" s="1141"/>
      <c r="HU124" s="1151"/>
      <c r="HV124" s="1142"/>
      <c r="HW124" s="1115"/>
      <c r="HX124" s="1149"/>
      <c r="HY124" s="1143"/>
      <c r="HZ124" s="1150"/>
      <c r="IA124" s="1142"/>
      <c r="IB124" s="1141"/>
      <c r="IC124" s="1151"/>
      <c r="ID124" s="1142"/>
      <c r="IE124" s="1141"/>
      <c r="IF124" s="1115"/>
      <c r="IG124" s="1142"/>
      <c r="IH124" s="1141"/>
      <c r="II124" s="1115"/>
      <c r="IJ124" s="1142"/>
      <c r="IK124" s="1115"/>
      <c r="IL124" s="1152"/>
      <c r="IM124" s="1192"/>
      <c r="IN124" s="1151"/>
      <c r="IO124" s="1151"/>
      <c r="IP124" s="1151"/>
      <c r="IQ124" s="1151"/>
      <c r="IR124" s="844"/>
    </row>
    <row r="125" customFormat="false" ht="13.5" hidden="false" customHeight="false" outlineLevel="0" collapsed="false">
      <c r="A125" s="0" t="str">
        <f aca="false">+D125&amp;"Q"&amp;ROUNDUP(E125/3,0)</f>
        <v>2009Q1</v>
      </c>
      <c r="B125" s="0" t="n">
        <f aca="false">YEAR(C125)</f>
        <v>2009</v>
      </c>
      <c r="C125" s="1153" t="n">
        <f aca="false">EOMONTH(C124,0)+1</f>
        <v>39814</v>
      </c>
      <c r="D125" s="841" t="n">
        <f aca="false">+YEAR(C125)</f>
        <v>2009</v>
      </c>
      <c r="E125" s="807" t="n">
        <f aca="false">MONTH(C125)</f>
        <v>1</v>
      </c>
      <c r="F125" s="1154" t="e">
        <f aca="false">IF(G125="","",Holiday(D125,E125))</f>
        <v>#VALUE!</v>
      </c>
      <c r="G125" s="1155" t="n">
        <v>39814</v>
      </c>
      <c r="H125" s="1156" t="n">
        <v>39844</v>
      </c>
      <c r="I125" s="1157" t="n">
        <f aca="false">I124</f>
        <v>0.0715</v>
      </c>
      <c r="J125" s="1158" t="n">
        <f aca="false">(1+I125/2)^(-2*(DATE(D126,E126,20)-$H$7)/365.25)</f>
        <v>0.524507599203816</v>
      </c>
      <c r="K125" s="1159"/>
      <c r="L125" s="1158"/>
      <c r="M125" s="1082" t="n">
        <v>0</v>
      </c>
      <c r="N125" s="1110" t="n">
        <f aca="false">M125</f>
        <v>0</v>
      </c>
      <c r="O125" s="1174" t="n">
        <f aca="false">N125</f>
        <v>0</v>
      </c>
      <c r="P125" s="1175" t="n">
        <f aca="false">M125</f>
        <v>0</v>
      </c>
      <c r="Q125" s="1110" t="n">
        <f aca="false">P125</f>
        <v>0</v>
      </c>
      <c r="R125" s="1174" t="n">
        <f aca="false">Q125</f>
        <v>0</v>
      </c>
      <c r="S125" s="1110" t="n">
        <f aca="false">R125</f>
        <v>0</v>
      </c>
      <c r="T125" s="1110" t="n">
        <f aca="false">S125</f>
        <v>0</v>
      </c>
      <c r="U125" s="1110" t="n">
        <f aca="false">T125</f>
        <v>0</v>
      </c>
      <c r="V125" s="1175" t="n">
        <f aca="false">U125</f>
        <v>0</v>
      </c>
      <c r="W125" s="1110" t="n">
        <f aca="false">V125</f>
        <v>0</v>
      </c>
      <c r="X125" s="1176" t="n">
        <f aca="false">W125</f>
        <v>0</v>
      </c>
      <c r="Y125" s="1086" t="n">
        <v>0</v>
      </c>
      <c r="Z125" s="1086" t="n">
        <v>0</v>
      </c>
      <c r="AA125" s="1087" t="n">
        <v>0</v>
      </c>
      <c r="AB125" s="1086" t="n">
        <v>0</v>
      </c>
      <c r="AC125" s="1086" t="n">
        <v>0</v>
      </c>
      <c r="AD125" s="1087" t="n">
        <v>0</v>
      </c>
      <c r="AE125" s="1086" t="n">
        <v>0</v>
      </c>
      <c r="AF125" s="1086" t="n">
        <v>0</v>
      </c>
      <c r="AG125" s="1087" t="n">
        <v>0</v>
      </c>
      <c r="AH125" s="1086" t="n">
        <v>0</v>
      </c>
      <c r="AI125" s="1086" t="n">
        <v>0</v>
      </c>
      <c r="AJ125" s="1087" t="n">
        <v>0</v>
      </c>
      <c r="AK125" s="1086" t="n">
        <v>0</v>
      </c>
      <c r="AL125" s="1086" t="n">
        <v>0</v>
      </c>
      <c r="AM125" s="1087" t="n">
        <v>0</v>
      </c>
      <c r="AN125" s="1086" t="n">
        <v>0</v>
      </c>
      <c r="AO125" s="1086" t="n">
        <v>0</v>
      </c>
      <c r="AP125" s="1087" t="n">
        <v>0</v>
      </c>
      <c r="AQ125" s="1086" t="n">
        <v>0</v>
      </c>
      <c r="AR125" s="1086" t="n">
        <v>0</v>
      </c>
      <c r="AS125" s="1087" t="n">
        <v>0</v>
      </c>
      <c r="AT125" s="1086" t="n">
        <v>0</v>
      </c>
      <c r="AU125" s="1086" t="n">
        <v>0</v>
      </c>
      <c r="AV125" s="1086" t="n">
        <v>0</v>
      </c>
      <c r="AW125" s="1172" t="n">
        <v>0</v>
      </c>
      <c r="AX125" s="807" t="e">
        <f aca="false">BB125-SUM(AY125:BA125)</f>
        <v>#VALUE!</v>
      </c>
      <c r="AY125" s="807" t="e">
        <f aca="false">IF(AND($E125=MONTH(Summary!$E$24),$D125=YEAR(Summary!$E$24)),Summary!$E$25,1)*IF(G125="",0,INT((H125-MOD(H125,7)-G125)/7)+1-IF(BA125,IF(WEEKDAY(F125)=7,1,0),0))</f>
        <v>#VALUE!</v>
      </c>
      <c r="AZ125" s="807" t="e">
        <f aca="false">IF(AND($E125=MONTH(Summary!$E$24),$D125=YEAR(Summary!$E$24)),Summary!$E$25,1)*IF(G125="",0,INT((H125-MOD(H125-1,7)-G125)/7)+1-IF(BA125,IF(WEEKDAY(F125)=1,1,0),0))</f>
        <v>#VALUE!</v>
      </c>
      <c r="BA125" s="807" t="n">
        <v>1</v>
      </c>
      <c r="BB125" s="807" t="n">
        <f aca="false">IF(AND($E125=MONTH(Summary!$E$24),$D125=YEAR(Summary!$E$24)),Summary!$E$25,1)*IF(G125="",0,H125-G125+1)</f>
        <v>31</v>
      </c>
      <c r="BC125" s="1089" t="n">
        <f aca="false">Summary!$E$19</f>
        <v>0.015</v>
      </c>
      <c r="BD125" s="1090" t="n">
        <v>14893.2</v>
      </c>
      <c r="BE125" s="1091" t="n">
        <v>3546</v>
      </c>
      <c r="BF125" s="1091" t="n">
        <v>3546</v>
      </c>
      <c r="BG125" s="842"/>
      <c r="BH125" s="1092" t="n">
        <v>1</v>
      </c>
      <c r="BI125" s="1092" t="n">
        <v>1</v>
      </c>
      <c r="BJ125" s="1092" t="n">
        <v>1</v>
      </c>
      <c r="BK125" s="1092" t="n">
        <v>1</v>
      </c>
      <c r="BL125" s="1093" t="n">
        <v>2978.64</v>
      </c>
      <c r="BM125" s="1091" t="n">
        <v>709.2</v>
      </c>
      <c r="BN125" s="1091" t="n">
        <v>709.2</v>
      </c>
      <c r="BO125" s="842"/>
      <c r="BP125" s="1092" t="n">
        <v>1</v>
      </c>
      <c r="BQ125" s="1094" t="n">
        <v>1</v>
      </c>
      <c r="BR125" s="1094" t="n">
        <v>1</v>
      </c>
      <c r="BS125" s="1095" t="n">
        <v>1</v>
      </c>
      <c r="BT125" s="1093" t="n">
        <f aca="false">SUM(BD125:BF125)</f>
        <v>21985.2</v>
      </c>
      <c r="BU125" s="1098" t="n">
        <f aca="false">SUM(BD125:BG125)</f>
        <v>21985.2</v>
      </c>
      <c r="BV125" s="1090" t="n">
        <f aca="false">SUM(BL125:BN125)</f>
        <v>4397.04</v>
      </c>
      <c r="BW125" s="1098" t="n">
        <f aca="false">SUM(BL125:BO125)</f>
        <v>4397.04</v>
      </c>
      <c r="BX125" s="852" t="n">
        <v>9.0485968514716</v>
      </c>
      <c r="BY125" s="1099" t="n">
        <v>0</v>
      </c>
      <c r="BZ125" s="852" t="n">
        <v>0</v>
      </c>
      <c r="CA125" s="852" t="n">
        <v>0</v>
      </c>
      <c r="CB125" s="852" t="n">
        <v>0</v>
      </c>
      <c r="CC125" s="852" t="n">
        <v>0</v>
      </c>
      <c r="CD125" s="852" t="n">
        <v>0</v>
      </c>
      <c r="CE125" s="1100" t="n">
        <v>0</v>
      </c>
      <c r="CF125" s="852" t="n">
        <v>0</v>
      </c>
      <c r="CG125" s="852" t="n">
        <v>0</v>
      </c>
      <c r="CH125" s="852" t="n">
        <v>0</v>
      </c>
      <c r="CI125" s="852" t="n">
        <v>0</v>
      </c>
      <c r="CJ125" s="1101" t="n">
        <v>0</v>
      </c>
      <c r="CK125" s="852" t="n">
        <v>0</v>
      </c>
      <c r="CL125" s="852" t="n">
        <v>0</v>
      </c>
      <c r="CM125" s="852" t="n">
        <v>0</v>
      </c>
      <c r="CN125" s="852" t="n">
        <v>0</v>
      </c>
      <c r="CO125" s="852" t="n">
        <v>0</v>
      </c>
      <c r="CP125" s="852" t="n">
        <v>0</v>
      </c>
      <c r="CQ125" s="1102" t="n">
        <v>0</v>
      </c>
      <c r="CR125" s="1103" t="n">
        <v>0</v>
      </c>
      <c r="CS125" s="1103" t="n">
        <v>0</v>
      </c>
      <c r="CT125" s="1103" t="n">
        <v>0</v>
      </c>
      <c r="CU125" s="1103" t="n">
        <v>0</v>
      </c>
      <c r="CV125" s="1103" t="n">
        <v>0</v>
      </c>
      <c r="CW125" s="1103" t="n">
        <v>0</v>
      </c>
      <c r="CX125" s="1104" t="n">
        <v>0</v>
      </c>
      <c r="CY125" s="1105" t="n">
        <v>7690.40248</v>
      </c>
      <c r="CZ125" s="1099" t="n">
        <v>0</v>
      </c>
      <c r="DA125" s="852" t="n">
        <v>0</v>
      </c>
      <c r="DB125" s="852" t="n">
        <v>0</v>
      </c>
      <c r="DC125" s="852" t="n">
        <v>0</v>
      </c>
      <c r="DD125" s="852" t="n">
        <v>0</v>
      </c>
      <c r="DE125" s="1113" t="n">
        <v>0</v>
      </c>
      <c r="DF125" s="1109" t="n">
        <v>0</v>
      </c>
      <c r="DG125" s="1110" t="n">
        <v>0</v>
      </c>
      <c r="DH125" s="1111" t="n">
        <v>0</v>
      </c>
      <c r="DI125" s="1112" t="n">
        <v>0</v>
      </c>
      <c r="DJ125" s="1112" t="n">
        <v>0</v>
      </c>
      <c r="DK125" s="1112" t="n">
        <v>0</v>
      </c>
      <c r="DL125" s="1113" t="n">
        <v>0</v>
      </c>
      <c r="DM125" s="1114" t="n">
        <v>0</v>
      </c>
      <c r="DN125" s="1114" t="n">
        <v>0</v>
      </c>
      <c r="DO125" s="1114" t="n">
        <v>0</v>
      </c>
      <c r="DP125" s="1114" t="n">
        <v>0</v>
      </c>
      <c r="DQ125" s="1114" t="n">
        <v>0</v>
      </c>
      <c r="DR125" s="1109" t="n">
        <v>0</v>
      </c>
      <c r="DS125" s="852" t="n">
        <v>0</v>
      </c>
      <c r="DT125" s="852" t="n">
        <v>0</v>
      </c>
      <c r="DU125" s="852" t="n">
        <v>0</v>
      </c>
      <c r="DV125" s="852" t="n">
        <v>0</v>
      </c>
      <c r="DW125" s="852" t="n">
        <v>0</v>
      </c>
      <c r="DX125" s="852" t="n">
        <v>0</v>
      </c>
      <c r="DY125" s="852" t="n">
        <v>0</v>
      </c>
      <c r="DZ125" s="852" t="n">
        <v>0</v>
      </c>
      <c r="EA125" s="852" t="n">
        <v>0</v>
      </c>
      <c r="EB125" s="1113" t="n">
        <v>0</v>
      </c>
      <c r="EC125" s="1115" t="n">
        <f aca="false">DS125*BD125</f>
        <v>0</v>
      </c>
      <c r="ED125" s="1115" t="n">
        <f aca="false">DT125*BE125</f>
        <v>0</v>
      </c>
      <c r="EE125" s="1115" t="n">
        <f aca="false">DU125*BF125</f>
        <v>0</v>
      </c>
      <c r="EF125" s="1115" t="n">
        <f aca="false">DV125*BG125</f>
        <v>0</v>
      </c>
      <c r="EG125" s="1115" t="n">
        <f aca="false">DS125*BD125+DT125*BE125+DU125*BF125+DV125*BG125</f>
        <v>0</v>
      </c>
      <c r="EH125" s="1116" t="n">
        <v>0</v>
      </c>
      <c r="EI125" s="1117" t="n">
        <v>0</v>
      </c>
      <c r="EJ125" s="1117" t="n">
        <v>0</v>
      </c>
      <c r="EK125" s="1117" t="n">
        <v>0</v>
      </c>
      <c r="EL125" s="1118" t="n">
        <f aca="false">IF(C125&gt;=Summary!$E$26,MAX(0,SUM(EH125:EK125)),0)</f>
        <v>0</v>
      </c>
      <c r="EM125" s="1115" t="n">
        <f aca="false">IF(C125&gt;=Summary!$E$26,DX125*BL125,0)</f>
        <v>0</v>
      </c>
      <c r="EN125" s="1115" t="n">
        <f aca="false">IF(C125&gt;=Summary!$E$26,DY125*BM125,0)</f>
        <v>0</v>
      </c>
      <c r="EO125" s="1115" t="n">
        <f aca="false">IF(C125&gt;=Summary!$E$26,DZ125*BN125,0)</f>
        <v>0</v>
      </c>
      <c r="EP125" s="1115" t="n">
        <f aca="false">IF(C125&gt;=Summary!$E$26,EA125*BO125,0)</f>
        <v>0</v>
      </c>
      <c r="EQ125" s="1115" t="n">
        <f aca="false">IF(C125&gt;=Summary!$E$26,DX125*BL125+DY125*BM125+DZ125*BN125+EA125*BO125,0)</f>
        <v>0</v>
      </c>
      <c r="ER125" s="1119" t="n">
        <v>0</v>
      </c>
      <c r="ES125" s="1120" t="n">
        <v>0</v>
      </c>
      <c r="ET125" s="1120" t="n">
        <v>0</v>
      </c>
      <c r="EU125" s="1120" t="n">
        <v>0</v>
      </c>
      <c r="EV125" s="1143" t="n">
        <f aca="false">IF(C125&gt;=Summary!$E$26,MAX(0,SUM(ER125:EU125)),0)</f>
        <v>0</v>
      </c>
      <c r="EW125" s="1115"/>
      <c r="EX125" s="1165" t="n">
        <f aca="false">(EQ125-EV125)+IF(EZ125="Yes",(EG125-EL125),0)</f>
        <v>0</v>
      </c>
      <c r="EY125" s="1166" t="str">
        <f aca="false">IF(EX125,EX125/EQ125,"")</f>
        <v/>
      </c>
      <c r="EZ125" s="1122" t="s">
        <v>37</v>
      </c>
      <c r="FA125" s="1096" t="n">
        <f aca="false">FA124</f>
        <v>45</v>
      </c>
      <c r="FB125" s="1167" t="e">
        <f aca="false">IF(EZ125="No",IF((OR(MONTH(C125)=5,MONTH(C125)=6,MONTH(C125)=7,MONTH(C125)=8,MONTH(C125)=9)),$FA125*12*AX125*(1-$BC125),$FA125*10*AX125*(1-$BC125)),0)</f>
        <v>#VALUE!</v>
      </c>
      <c r="FC125" s="1129" t="e">
        <f aca="false">IF(EZ125="No",IF((OR(MONTH(C125)=5,MONTH(C125)=6,MONTH(C125)=7,MONTH(C125)=8,MONTH(C125)=9)),0,$FA125*3*AX125*(1-$BC125)),0)</f>
        <v>#VALUE!</v>
      </c>
      <c r="FD125" s="1129" t="e">
        <f aca="false">IF(EZ125="No",IF((OR(MONTH(C125)=5,MONTH(C125)=6,MONTH(C125)=7,MONTH(C125)=8,MONTH(C125)=9)),$FA125*12*AY125*(1-$BC125),$FA125*10*AY125*(1-$BC125)),0)</f>
        <v>#VALUE!</v>
      </c>
      <c r="FE125" s="1129" t="e">
        <f aca="false">IF(EZ125="No",IF((OR(MONTH(C125)=5,MONTH(C125)=6,MONTH(C125)=7,MONTH(C125)=8,MONTH(C125)=9)),0,$FA125*3*AY125*(1-$BC125)),0)</f>
        <v>#VALUE!</v>
      </c>
      <c r="FF125" s="1129" t="e">
        <f aca="false">IF(EZ125="No",IF((OR(MONTH(C125)=5,MONTH(C125)=6,MONTH(C125)=7,MONTH(C125)=8,MONTH(C125)=9)),$FA125*12*(AZ125+BA125)*(1-$BC125),$FA125*10*(AZ125+BA125)*(1-$BC125)),0)</f>
        <v>#VALUE!</v>
      </c>
      <c r="FG125" s="1129" t="e">
        <f aca="false">IF(EZ125="No",IF((OR(MONTH(C125)=5,MONTH(C125)=6,MONTH(C125)=7,MONTH(C125)=8,MONTH(C125)=9)),0,$FA125*3*(AZ125+BA125)*(1-$BC125)),0)</f>
        <v>#VALUE!</v>
      </c>
      <c r="FH125" s="1170" t="e">
        <f aca="false">IF(EZ125="No",IF((OR(MONTH(C125)=5,MONTH(C125)=6,MONTH(C125)=7,MONTH(C125)=8,MONTH(C125)=9)),Summary!$O$15*12*(AX125+AY125+AZ125+BA125)*(1-$BC125),Summary!$O$15*13*(AX125+AY125+AZ125+BA125)*(1-$BC125)+IF(Summary!$O$16="Yes",(CALC!FA125+Summary!$O$15)*6*(AX125+AY125+AZ125+BA125)*(1-$BC125),0)),0)</f>
        <v>#VALUE!</v>
      </c>
      <c r="FI125" s="1126" t="n">
        <f aca="false">IF(MONTH(C125)=5,FI124*(IF(Summary!$E$70="no",(1+(Summary!$E$71*0.8)),1+HLOOKUP(YEAR(C125)-1,CCFMODEL!$I$127:$AF$128,2)*0.8)),+FI124)</f>
        <v>32.9323923735024</v>
      </c>
      <c r="FJ125" s="1127" t="n">
        <f aca="false">IF(MONTH(C125)=5,FJ124*(IF(Summary!$E$70="no",(1+(Summary!$E$71*0.8)),1+HLOOKUP(YEAR(CALC!C125)-1,CCFMODEL!$I$127:$AF$128,2)*0.8)),FJ124)</f>
        <v>28.7834295547934</v>
      </c>
      <c r="FK125" s="1128" t="e">
        <f aca="false">SUM(FB125:FG125)*FI125+FH125*FJ125</f>
        <v>#VALUE!</v>
      </c>
      <c r="FL125" s="1126" t="n">
        <f aca="false">IF(MONTH(C125)=5,FL124*(IF(Summary!$E$70="no",(1+(Summary!$E$71*0.8)),1+HLOOKUP(YEAR(CALC!C125)-1,CCFMODEL!$I$127:$AF$128,2)*0.8)),+FL124)</f>
        <v>69.26051324446</v>
      </c>
      <c r="FM125" s="1127" t="n">
        <f aca="false">IF(MONTH(C125)=5,FM124*(IF(Summary!$E$70="no",(1+(Summary!$E$71*0.8)),1+HLOOKUP(YEAR(CALC!C125)-1,CCFMODEL!$I$127:$AF$128,2)*0.8)),+FM124)</f>
        <v>33.0558734097735</v>
      </c>
      <c r="FN125" s="1128" t="e">
        <f aca="false">IF((OR(MONTH(C125)=5,MONTH(C125)=6,MONTH(C125)=7,MONTH(C125)=8,MONTH(C125)=9)),SUM(FB125:FG125)/(1-BC125)*FL125,SUM(FB125:FG125)/(1-BC125)*FM125)</f>
        <v>#VALUE!</v>
      </c>
      <c r="FO125" s="1129" t="e">
        <f aca="false">FK125+FN125</f>
        <v>#VALUE!</v>
      </c>
      <c r="FP125" s="1169" t="e">
        <f aca="false">FB125</f>
        <v>#VALUE!</v>
      </c>
      <c r="FQ125" s="1129" t="e">
        <f aca="false">FC125</f>
        <v>#VALUE!</v>
      </c>
      <c r="FR125" s="1129" t="e">
        <f aca="false">FD125</f>
        <v>#VALUE!</v>
      </c>
      <c r="FS125" s="1129" t="e">
        <f aca="false">FE125</f>
        <v>#VALUE!</v>
      </c>
      <c r="FT125" s="1129" t="e">
        <f aca="false">FF125</f>
        <v>#VALUE!</v>
      </c>
      <c r="FU125" s="1129" t="e">
        <f aca="false">FG125</f>
        <v>#VALUE!</v>
      </c>
      <c r="FV125" s="1170" t="e">
        <f aca="false">FH125</f>
        <v>#VALUE!</v>
      </c>
      <c r="FW125" s="1115" t="n">
        <f aca="false">IF(ER125&gt;0,MIN(FB125-FP125,BL125),0)</f>
        <v>0</v>
      </c>
      <c r="FX125" s="1115" t="n">
        <f aca="false">IF(ES125&gt;0,MIN(FD125-FR125,BM125),0)</f>
        <v>0</v>
      </c>
      <c r="FY125" s="1115" t="n">
        <f aca="false">IF(ET125&gt;0,MIN(FF125-FT125,BN125),0)</f>
        <v>0</v>
      </c>
      <c r="FZ125" s="1143" t="n">
        <f aca="false">IF(EU125&gt;0,MIN(FH125-FV125,BO125),0)</f>
        <v>0</v>
      </c>
      <c r="GA125" s="1132" t="e">
        <f aca="false">(SUM(FP125:FV125)+SUM(GU125:HB125)/(1-Summary!$O$25))*CY125/1000</f>
        <v>#VALUE!</v>
      </c>
      <c r="GB125" s="1133" t="n">
        <f aca="false">IF($C125&lt;Summary!$M$81,+Summary!$O$81,VLOOKUP(C125,GasTable,19))</f>
        <v>2.4</v>
      </c>
      <c r="GC125" s="1134" t="e">
        <f aca="false">IF(H125&lt;=Summary!$N$84,MIN(GA125,Summary!$O$75*(H125-G125+1)),0)</f>
        <v>#VALUE!</v>
      </c>
      <c r="GD125" s="1135" t="e">
        <f aca="false">IF(Summary!$O$75*(H125-G125+1)*0.8&gt;GC125,1,0)</f>
        <v>#VALUE!</v>
      </c>
      <c r="GE125" s="1136" t="n">
        <v>0</v>
      </c>
      <c r="GF125" s="1134" t="e">
        <f aca="false">ABS(MIN(0,GC125-$GA125))</f>
        <v>#VALUE!</v>
      </c>
      <c r="GG125" s="1135" t="e">
        <f aca="false">GF125*(IF(Summary!$O$74=1,VLOOKUP($C125,GasTable,16)+Summary!$O$92+Summary!$O$93,VLOOKUP($C125,GasTable,19)+Summary!$O$92+Summary!$O$93))</f>
        <v>#VALUE!</v>
      </c>
      <c r="GH125" s="1137" t="n">
        <v>21290.8</v>
      </c>
      <c r="GI125" s="1138" t="n">
        <v>0</v>
      </c>
      <c r="GJ125" s="1139" t="e">
        <f aca="false">+GB125*GC125+GE125+GG125+GH125-GI125</f>
        <v>#VALUE!</v>
      </c>
      <c r="GK125" s="1115" t="e">
        <f aca="false">SUM(FP125:FV125,GU125:GX125,GY125:HB125)</f>
        <v>#VALUE!</v>
      </c>
      <c r="GL125" s="1140" t="n">
        <v>0.755197523536</v>
      </c>
      <c r="GM125" s="1141" t="e">
        <f aca="false">IF(GK125&gt;GC125/(CY125/1000),GC125/(CY125/1000),+GK125)*GL125</f>
        <v>#VALUE!</v>
      </c>
      <c r="GN125" s="1115" t="n">
        <f aca="false">IF(SUM(GU125:HB125)=0,0,IF(Summary!$O$16="Yes",SUM(GX125:HB125),IF(Summary!$O$17="Yes",SUM(GY125:HB125),SUM(GU125:HB125))))</f>
        <v>12199.03785</v>
      </c>
      <c r="GO125" s="1142" t="n">
        <v>3.10474112454317</v>
      </c>
      <c r="GP125" s="1143" t="n">
        <f aca="false">GN125*GO125</f>
        <v>37874.8544927537</v>
      </c>
      <c r="GQ125" s="1115"/>
      <c r="GR125" s="1115"/>
      <c r="GS125" s="1115"/>
      <c r="GT125" s="1115"/>
      <c r="GU125" s="1150" t="n">
        <v>5389.47675</v>
      </c>
      <c r="GV125" s="1115" t="n">
        <v>1283.20875</v>
      </c>
      <c r="GW125" s="1115" t="n">
        <v>1283.20875</v>
      </c>
      <c r="GX125" s="1115"/>
      <c r="GY125" s="1151" t="n">
        <v>2874.3876</v>
      </c>
      <c r="GZ125" s="1115" t="n">
        <v>684.378</v>
      </c>
      <c r="HA125" s="1115" t="n">
        <v>684.378</v>
      </c>
      <c r="HB125" s="1141"/>
      <c r="HC125" s="1115" t="n">
        <v>12199.03785</v>
      </c>
      <c r="HD125" s="1115"/>
      <c r="HE125" s="1115" t="n">
        <v>20950.521525</v>
      </c>
      <c r="HF125" s="1115" t="n">
        <v>514688.991173435</v>
      </c>
      <c r="HG125" s="1115"/>
      <c r="HH125" s="1142" t="n">
        <v>41.8678669982806</v>
      </c>
      <c r="HI125" s="1115" t="n">
        <v>877153.648753314</v>
      </c>
      <c r="HJ125" s="1150" t="e">
        <f aca="false">MAX(FB125-FP125-FW125,0)</f>
        <v>#VALUE!</v>
      </c>
      <c r="HK125" s="1115" t="e">
        <f aca="false">MAX(FD125-FR125-FX125,0)</f>
        <v>#VALUE!</v>
      </c>
      <c r="HL125" s="1115" t="e">
        <f aca="false">MAX(FF125-FT125-FY125,0)</f>
        <v>#VALUE!</v>
      </c>
      <c r="HM125" s="1141" t="e">
        <f aca="false">MAX(FH125-FV125-FZ125,0)</f>
        <v>#VALUE!</v>
      </c>
      <c r="HN125" s="1115" t="e">
        <f aca="false">SUM(HJ125:HM125)</f>
        <v>#VALUE!</v>
      </c>
      <c r="HO125" s="1142" t="n">
        <f aca="false">IF(ISERROR(+HP125/HN125),0,+HP125/HN125)</f>
        <v>0</v>
      </c>
      <c r="HP125" s="1143" t="e">
        <f aca="false">(HJ125*CE125+HK125*CF125+HL125*CG125+HM125*CH125)</f>
        <v>#VALUE!</v>
      </c>
      <c r="HQ125" s="1142"/>
      <c r="HR125" s="1150"/>
      <c r="HS125" s="1110"/>
      <c r="HT125" s="1141"/>
      <c r="HU125" s="1151"/>
      <c r="HV125" s="1142"/>
      <c r="HW125" s="1115"/>
      <c r="HX125" s="1149"/>
      <c r="HY125" s="1143"/>
      <c r="HZ125" s="1150"/>
      <c r="IA125" s="1142"/>
      <c r="IB125" s="1141"/>
      <c r="IC125" s="1151"/>
      <c r="ID125" s="1142"/>
      <c r="IE125" s="1141"/>
      <c r="IF125" s="1115"/>
      <c r="IG125" s="1142"/>
      <c r="IH125" s="1141"/>
      <c r="II125" s="1115"/>
      <c r="IJ125" s="1142"/>
      <c r="IK125" s="1115"/>
      <c r="IL125" s="1152"/>
      <c r="IM125" s="1192"/>
      <c r="IN125" s="1151"/>
      <c r="IO125" s="1151"/>
      <c r="IP125" s="1151"/>
      <c r="IQ125" s="1151"/>
      <c r="IR125" s="844"/>
    </row>
    <row r="126" customFormat="false" ht="13.5" hidden="false" customHeight="false" outlineLevel="0" collapsed="false">
      <c r="A126" s="0" t="str">
        <f aca="false">+D126&amp;"Q"&amp;ROUNDUP(E126/3,0)</f>
        <v>2009Q1</v>
      </c>
      <c r="B126" s="0" t="n">
        <f aca="false">YEAR(C126)</f>
        <v>2009</v>
      </c>
      <c r="C126" s="1153" t="n">
        <f aca="false">EOMONTH(C125,0)+1</f>
        <v>39845</v>
      </c>
      <c r="D126" s="841" t="n">
        <f aca="false">+YEAR(C126)</f>
        <v>2009</v>
      </c>
      <c r="E126" s="807" t="n">
        <f aca="false">MONTH(C126)</f>
        <v>2</v>
      </c>
      <c r="F126" s="1154" t="e">
        <f aca="false">IF(G126="","",Holiday(D126,E126))</f>
        <v>#VALUE!</v>
      </c>
      <c r="G126" s="1155" t="n">
        <v>39845</v>
      </c>
      <c r="H126" s="1156" t="n">
        <v>39872</v>
      </c>
      <c r="I126" s="1157" t="n">
        <f aca="false">I125</f>
        <v>0.0715</v>
      </c>
      <c r="J126" s="1158" t="n">
        <f aca="false">(1+I126/2)^(-2*(DATE(D127,E127,20)-$H$7)/365.25)</f>
        <v>0.521690469002988</v>
      </c>
      <c r="K126" s="1159"/>
      <c r="L126" s="1158"/>
      <c r="M126" s="1082" t="n">
        <v>0</v>
      </c>
      <c r="N126" s="1110" t="n">
        <f aca="false">M126</f>
        <v>0</v>
      </c>
      <c r="O126" s="1174" t="n">
        <f aca="false">N126</f>
        <v>0</v>
      </c>
      <c r="P126" s="1175" t="n">
        <f aca="false">M126</f>
        <v>0</v>
      </c>
      <c r="Q126" s="1110" t="n">
        <f aca="false">P126</f>
        <v>0</v>
      </c>
      <c r="R126" s="1174" t="n">
        <f aca="false">Q126</f>
        <v>0</v>
      </c>
      <c r="S126" s="1110" t="n">
        <f aca="false">R126</f>
        <v>0</v>
      </c>
      <c r="T126" s="1110" t="n">
        <f aca="false">S126</f>
        <v>0</v>
      </c>
      <c r="U126" s="1110" t="n">
        <f aca="false">T126</f>
        <v>0</v>
      </c>
      <c r="V126" s="1175" t="n">
        <f aca="false">U126</f>
        <v>0</v>
      </c>
      <c r="W126" s="1110" t="n">
        <f aca="false">V126</f>
        <v>0</v>
      </c>
      <c r="X126" s="1176" t="n">
        <f aca="false">W126</f>
        <v>0</v>
      </c>
      <c r="Y126" s="1086" t="n">
        <v>0</v>
      </c>
      <c r="Z126" s="1086" t="n">
        <v>0</v>
      </c>
      <c r="AA126" s="1087" t="n">
        <v>0</v>
      </c>
      <c r="AB126" s="1086" t="n">
        <v>0</v>
      </c>
      <c r="AC126" s="1086" t="n">
        <v>0</v>
      </c>
      <c r="AD126" s="1087" t="n">
        <v>0</v>
      </c>
      <c r="AE126" s="1086" t="n">
        <v>0</v>
      </c>
      <c r="AF126" s="1086" t="n">
        <v>0</v>
      </c>
      <c r="AG126" s="1087" t="n">
        <v>0</v>
      </c>
      <c r="AH126" s="1086" t="n">
        <v>0</v>
      </c>
      <c r="AI126" s="1086" t="n">
        <v>0</v>
      </c>
      <c r="AJ126" s="1087" t="n">
        <v>0</v>
      </c>
      <c r="AK126" s="1086" t="n">
        <v>0</v>
      </c>
      <c r="AL126" s="1086" t="n">
        <v>0</v>
      </c>
      <c r="AM126" s="1087" t="n">
        <v>0</v>
      </c>
      <c r="AN126" s="1086" t="n">
        <v>0</v>
      </c>
      <c r="AO126" s="1086" t="n">
        <v>0</v>
      </c>
      <c r="AP126" s="1087" t="n">
        <v>0</v>
      </c>
      <c r="AQ126" s="1086" t="n">
        <v>0</v>
      </c>
      <c r="AR126" s="1086" t="n">
        <v>0</v>
      </c>
      <c r="AS126" s="1087" t="n">
        <v>0</v>
      </c>
      <c r="AT126" s="1086" t="n">
        <v>0</v>
      </c>
      <c r="AU126" s="1086" t="n">
        <v>0</v>
      </c>
      <c r="AV126" s="1086" t="n">
        <v>0</v>
      </c>
      <c r="AW126" s="1172" t="n">
        <v>0</v>
      </c>
      <c r="AX126" s="807" t="n">
        <f aca="false">BB126-SUM(AY126:BA126)</f>
        <v>20</v>
      </c>
      <c r="AY126" s="807" t="n">
        <f aca="false">IF(AND($E126=MONTH(Summary!$E$24),$D126=YEAR(Summary!$E$24)),Summary!$E$25,1)*IF(G126="",0,INT((H126-MOD(H126,7)-G126)/7)+1-IF(BA126,IF(WEEKDAY(F126)=7,1,0),0))</f>
        <v>4</v>
      </c>
      <c r="AZ126" s="807" t="n">
        <f aca="false">IF(AND($E126=MONTH(Summary!$E$24),$D126=YEAR(Summary!$E$24)),Summary!$E$25,1)*IF(G126="",0,INT((H126-MOD(H126-1,7)-G126)/7)+1-IF(BA126,IF(WEEKDAY(F126)=1,1,0),0))</f>
        <v>4</v>
      </c>
      <c r="BA126" s="807" t="n">
        <v>0</v>
      </c>
      <c r="BB126" s="807" t="n">
        <f aca="false">IF(AND($E126=MONTH(Summary!$E$24),$D126=YEAR(Summary!$E$24)),Summary!$E$25,1)*IF(G126="",0,H126-G126+1)</f>
        <v>28</v>
      </c>
      <c r="BC126" s="1089" t="n">
        <f aca="false">Summary!$E$19</f>
        <v>0.015</v>
      </c>
      <c r="BD126" s="1090" t="n">
        <v>14184</v>
      </c>
      <c r="BE126" s="1091" t="n">
        <v>2836.8</v>
      </c>
      <c r="BF126" s="1091" t="n">
        <v>2836.8</v>
      </c>
      <c r="BG126" s="842"/>
      <c r="BH126" s="1092" t="n">
        <v>1</v>
      </c>
      <c r="BI126" s="1092" t="n">
        <v>1</v>
      </c>
      <c r="BJ126" s="1092" t="n">
        <v>1</v>
      </c>
      <c r="BK126" s="1092" t="n">
        <v>1</v>
      </c>
      <c r="BL126" s="1093" t="n">
        <v>2836.8</v>
      </c>
      <c r="BM126" s="1091" t="n">
        <v>567.36</v>
      </c>
      <c r="BN126" s="1091" t="n">
        <v>567.36</v>
      </c>
      <c r="BO126" s="842"/>
      <c r="BP126" s="1092" t="n">
        <v>1</v>
      </c>
      <c r="BQ126" s="1094" t="n">
        <v>1</v>
      </c>
      <c r="BR126" s="1094" t="n">
        <v>1</v>
      </c>
      <c r="BS126" s="1095" t="n">
        <v>1</v>
      </c>
      <c r="BT126" s="1093" t="n">
        <f aca="false">SUM(BD126:BF126)</f>
        <v>19857.6</v>
      </c>
      <c r="BU126" s="1098" t="n">
        <f aca="false">SUM(BD126:BG126)</f>
        <v>19857.6</v>
      </c>
      <c r="BV126" s="1090" t="n">
        <f aca="false">SUM(BL126:BN126)</f>
        <v>3971.52</v>
      </c>
      <c r="BW126" s="1098" t="n">
        <f aca="false">SUM(BL126:BO126)</f>
        <v>3971.52</v>
      </c>
      <c r="BX126" s="852" t="n">
        <v>9.13347022587269</v>
      </c>
      <c r="BY126" s="1099" t="n">
        <v>0</v>
      </c>
      <c r="BZ126" s="852" t="n">
        <v>0</v>
      </c>
      <c r="CA126" s="852" t="n">
        <v>0</v>
      </c>
      <c r="CB126" s="852" t="n">
        <v>0</v>
      </c>
      <c r="CC126" s="852" t="n">
        <v>0</v>
      </c>
      <c r="CD126" s="852" t="n">
        <v>0</v>
      </c>
      <c r="CE126" s="1100" t="n">
        <v>0</v>
      </c>
      <c r="CF126" s="852" t="n">
        <v>0</v>
      </c>
      <c r="CG126" s="852" t="n">
        <v>0</v>
      </c>
      <c r="CH126" s="852" t="n">
        <v>0</v>
      </c>
      <c r="CI126" s="852" t="n">
        <v>0</v>
      </c>
      <c r="CJ126" s="1101" t="n">
        <v>0</v>
      </c>
      <c r="CK126" s="852" t="n">
        <v>0</v>
      </c>
      <c r="CL126" s="852" t="n">
        <v>0</v>
      </c>
      <c r="CM126" s="852" t="n">
        <v>0</v>
      </c>
      <c r="CN126" s="852" t="n">
        <v>0</v>
      </c>
      <c r="CO126" s="852" t="n">
        <v>0</v>
      </c>
      <c r="CP126" s="852" t="n">
        <v>0</v>
      </c>
      <c r="CQ126" s="1102" t="n">
        <v>0</v>
      </c>
      <c r="CR126" s="1103" t="n">
        <v>0</v>
      </c>
      <c r="CS126" s="1103" t="n">
        <v>0</v>
      </c>
      <c r="CT126" s="1103" t="n">
        <v>0</v>
      </c>
      <c r="CU126" s="1103" t="n">
        <v>0</v>
      </c>
      <c r="CV126" s="1103" t="n">
        <v>0</v>
      </c>
      <c r="CW126" s="1103" t="n">
        <v>0</v>
      </c>
      <c r="CX126" s="1104" t="n">
        <v>0</v>
      </c>
      <c r="CY126" s="1105" t="n">
        <v>7692.43344</v>
      </c>
      <c r="CZ126" s="1099" t="n">
        <v>0</v>
      </c>
      <c r="DA126" s="852" t="n">
        <v>0</v>
      </c>
      <c r="DB126" s="852" t="n">
        <v>0</v>
      </c>
      <c r="DC126" s="852" t="n">
        <v>0</v>
      </c>
      <c r="DD126" s="852" t="n">
        <v>0</v>
      </c>
      <c r="DE126" s="1113" t="n">
        <v>0</v>
      </c>
      <c r="DF126" s="1109" t="n">
        <v>0</v>
      </c>
      <c r="DG126" s="1110" t="n">
        <v>0</v>
      </c>
      <c r="DH126" s="1111" t="n">
        <v>0</v>
      </c>
      <c r="DI126" s="1112" t="n">
        <v>0</v>
      </c>
      <c r="DJ126" s="1112" t="n">
        <v>0</v>
      </c>
      <c r="DK126" s="1112" t="n">
        <v>0</v>
      </c>
      <c r="DL126" s="1113" t="n">
        <v>0</v>
      </c>
      <c r="DM126" s="1114" t="n">
        <v>0</v>
      </c>
      <c r="DN126" s="1114" t="n">
        <v>0</v>
      </c>
      <c r="DO126" s="1114" t="n">
        <v>0</v>
      </c>
      <c r="DP126" s="1114" t="n">
        <v>0</v>
      </c>
      <c r="DQ126" s="1114" t="n">
        <v>0</v>
      </c>
      <c r="DR126" s="1109" t="n">
        <v>0</v>
      </c>
      <c r="DS126" s="852" t="n">
        <v>0</v>
      </c>
      <c r="DT126" s="852" t="n">
        <v>0</v>
      </c>
      <c r="DU126" s="852" t="n">
        <v>0</v>
      </c>
      <c r="DV126" s="852" t="n">
        <v>0</v>
      </c>
      <c r="DW126" s="852" t="n">
        <v>0</v>
      </c>
      <c r="DX126" s="852" t="n">
        <v>0</v>
      </c>
      <c r="DY126" s="852" t="n">
        <v>0</v>
      </c>
      <c r="DZ126" s="852" t="n">
        <v>0</v>
      </c>
      <c r="EA126" s="852" t="n">
        <v>0</v>
      </c>
      <c r="EB126" s="1113" t="n">
        <v>0</v>
      </c>
      <c r="EC126" s="1115" t="n">
        <f aca="false">DS126*BD126</f>
        <v>0</v>
      </c>
      <c r="ED126" s="1115" t="n">
        <f aca="false">DT126*BE126</f>
        <v>0</v>
      </c>
      <c r="EE126" s="1115" t="n">
        <f aca="false">DU126*BF126</f>
        <v>0</v>
      </c>
      <c r="EF126" s="1115" t="n">
        <f aca="false">DV126*BG126</f>
        <v>0</v>
      </c>
      <c r="EG126" s="1115" t="n">
        <f aca="false">DS126*BD126+DT126*BE126+DU126*BF126+DV126*BG126</f>
        <v>0</v>
      </c>
      <c r="EH126" s="1116" t="n">
        <v>0</v>
      </c>
      <c r="EI126" s="1117" t="n">
        <v>0</v>
      </c>
      <c r="EJ126" s="1117" t="n">
        <v>0</v>
      </c>
      <c r="EK126" s="1117" t="n">
        <v>0</v>
      </c>
      <c r="EL126" s="1118" t="n">
        <f aca="false">IF(C126&gt;=Summary!$E$26,MAX(0,SUM(EH126:EK126)),0)</f>
        <v>0</v>
      </c>
      <c r="EM126" s="1115" t="n">
        <f aca="false">IF(C126&gt;=Summary!$E$26,DX126*BL126,0)</f>
        <v>0</v>
      </c>
      <c r="EN126" s="1115" t="n">
        <f aca="false">IF(C126&gt;=Summary!$E$26,DY126*BM126,0)</f>
        <v>0</v>
      </c>
      <c r="EO126" s="1115" t="n">
        <f aca="false">IF(C126&gt;=Summary!$E$26,DZ126*BN126,0)</f>
        <v>0</v>
      </c>
      <c r="EP126" s="1115" t="n">
        <f aca="false">IF(C126&gt;=Summary!$E$26,EA126*BO126,0)</f>
        <v>0</v>
      </c>
      <c r="EQ126" s="1115" t="n">
        <f aca="false">IF(C126&gt;=Summary!$E$26,DX126*BL126+DY126*BM126+DZ126*BN126+EA126*BO126,0)</f>
        <v>0</v>
      </c>
      <c r="ER126" s="1119" t="n">
        <v>0</v>
      </c>
      <c r="ES126" s="1120" t="n">
        <v>0</v>
      </c>
      <c r="ET126" s="1120" t="n">
        <v>0</v>
      </c>
      <c r="EU126" s="1120" t="n">
        <v>0</v>
      </c>
      <c r="EV126" s="1143" t="n">
        <f aca="false">IF(C126&gt;=Summary!$E$26,MAX(0,SUM(ER126:EU126)),0)</f>
        <v>0</v>
      </c>
      <c r="EW126" s="1115"/>
      <c r="EX126" s="1165" t="n">
        <f aca="false">(EQ126-EV126)+IF(EZ126="Yes",(EG126-EL126),0)</f>
        <v>0</v>
      </c>
      <c r="EY126" s="1166" t="str">
        <f aca="false">IF(EX126,EX126/EQ126,"")</f>
        <v/>
      </c>
      <c r="EZ126" s="1122" t="s">
        <v>37</v>
      </c>
      <c r="FA126" s="1096" t="n">
        <f aca="false">FA125</f>
        <v>45</v>
      </c>
      <c r="FB126" s="1167" t="n">
        <f aca="false">IF(EZ126="No",IF((OR(MONTH(C126)=5,MONTH(C126)=6,MONTH(C126)=7,MONTH(C126)=8,MONTH(C126)=9)),$FA126*12*AX126*(1-$BC126),$FA126*10*AX126*(1-$BC126)),0)</f>
        <v>8865</v>
      </c>
      <c r="FC126" s="1129" t="n">
        <f aca="false">IF(EZ126="No",IF((OR(MONTH(C126)=5,MONTH(C126)=6,MONTH(C126)=7,MONTH(C126)=8,MONTH(C126)=9)),0,$FA126*3*AX126*(1-$BC126)),0)</f>
        <v>2659.5</v>
      </c>
      <c r="FD126" s="1129" t="n">
        <f aca="false">IF(EZ126="No",IF((OR(MONTH(C126)=5,MONTH(C126)=6,MONTH(C126)=7,MONTH(C126)=8,MONTH(C126)=9)),$FA126*12*AY126*(1-$BC126),$FA126*10*AY126*(1-$BC126)),0)</f>
        <v>1773</v>
      </c>
      <c r="FE126" s="1129" t="n">
        <f aca="false">IF(EZ126="No",IF((OR(MONTH(C126)=5,MONTH(C126)=6,MONTH(C126)=7,MONTH(C126)=8,MONTH(C126)=9)),0,$FA126*3*AY126*(1-$BC126)),0)</f>
        <v>531.9</v>
      </c>
      <c r="FF126" s="1129" t="n">
        <f aca="false">IF(EZ126="No",IF((OR(MONTH(C126)=5,MONTH(C126)=6,MONTH(C126)=7,MONTH(C126)=8,MONTH(C126)=9)),$FA126*12*(AZ126+BA126)*(1-$BC126),$FA126*10*(AZ126+BA126)*(1-$BC126)),0)</f>
        <v>1773</v>
      </c>
      <c r="FG126" s="1129" t="n">
        <f aca="false">IF(EZ126="No",IF((OR(MONTH(C126)=5,MONTH(C126)=6,MONTH(C126)=7,MONTH(C126)=8,MONTH(C126)=9)),0,$FA126*3*(AZ126+BA126)*(1-$BC126)),0)</f>
        <v>531.9</v>
      </c>
      <c r="FH126" s="1170" t="n">
        <f aca="false">IF(EZ126="No",IF((OR(MONTH(C126)=5,MONTH(C126)=6,MONTH(C126)=7,MONTH(C126)=8,MONTH(C126)=9)),Summary!$O$15*12*(AX126+AY126+AZ126+BA126)*(1-$BC126),Summary!$O$15*13*(AX126+AY126+AZ126+BA126)*(1-$BC126)+IF(Summary!$O$16="Yes",(CALC!FA126+Summary!$O$15)*6*(AX126+AY126+AZ126+BA126)*(1-$BC126),0)),0)</f>
        <v>0</v>
      </c>
      <c r="FI126" s="1126" t="n">
        <f aca="false">IF(MONTH(C126)=5,FI125*(IF(Summary!$E$70="no",(1+(Summary!$E$71*0.8)),1+HLOOKUP(YEAR(C126)-1,CCFMODEL!$I$127:$AF$128,2)*0.8)),+FI125)</f>
        <v>32.9323923735024</v>
      </c>
      <c r="FJ126" s="1127" t="n">
        <f aca="false">IF(MONTH(C126)=5,FJ125*(IF(Summary!$E$70="no",(1+(Summary!$E$71*0.8)),1+HLOOKUP(YEAR(CALC!C126)-1,CCFMODEL!$I$127:$AF$128,2)*0.8)),FJ125)</f>
        <v>28.7834295547934</v>
      </c>
      <c r="FK126" s="1128" t="n">
        <f aca="false">SUM(FB126:FG126)*FI126+FH126*FJ126</f>
        <v>531341.0982718</v>
      </c>
      <c r="FL126" s="1126" t="n">
        <f aca="false">IF(MONTH(C126)=5,FL125*(IF(Summary!$E$70="no",(1+(Summary!$E$71*0.8)),1+HLOOKUP(YEAR(CALC!C126)-1,CCFMODEL!$I$127:$AF$128,2)*0.8)),+FL125)</f>
        <v>69.26051324446</v>
      </c>
      <c r="FM126" s="1127" t="n">
        <f aca="false">IF(MONTH(C126)=5,FM125*(IF(Summary!$E$70="no",(1+(Summary!$E$71*0.8)),1+HLOOKUP(YEAR(CALC!C126)-1,CCFMODEL!$I$127:$AF$128,2)*0.8)),+FM125)</f>
        <v>33.0558734097735</v>
      </c>
      <c r="FN126" s="1128" t="n">
        <f aca="false">IF((OR(MONTH(C126)=5,MONTH(C126)=6,MONTH(C126)=7,MONTH(C126)=8,MONTH(C126)=9)),SUM(FB126:FG126)/(1-BC126)*FL126,SUM(FB126:FG126)/(1-BC126)*FM126)</f>
        <v>541455.20645209</v>
      </c>
      <c r="FO126" s="1129" t="n">
        <f aca="false">FK126+FN126</f>
        <v>1072796.30472389</v>
      </c>
      <c r="FP126" s="1169" t="n">
        <f aca="false">FB126</f>
        <v>8865</v>
      </c>
      <c r="FQ126" s="1129" t="n">
        <f aca="false">FC126</f>
        <v>2659.5</v>
      </c>
      <c r="FR126" s="1129" t="n">
        <f aca="false">FD126</f>
        <v>1773</v>
      </c>
      <c r="FS126" s="1129" t="n">
        <f aca="false">FE126</f>
        <v>531.9</v>
      </c>
      <c r="FT126" s="1129" t="n">
        <f aca="false">FF126</f>
        <v>1773</v>
      </c>
      <c r="FU126" s="1129" t="n">
        <f aca="false">FG126</f>
        <v>531.9</v>
      </c>
      <c r="FV126" s="1170" t="n">
        <f aca="false">FH126</f>
        <v>0</v>
      </c>
      <c r="FW126" s="1115" t="n">
        <f aca="false">IF(ER126&gt;0,MIN(FB126-FP126,BL126),0)</f>
        <v>0</v>
      </c>
      <c r="FX126" s="1115" t="n">
        <f aca="false">IF(ES126&gt;0,MIN(FD126-FR126,BM126),0)</f>
        <v>0</v>
      </c>
      <c r="FY126" s="1115" t="n">
        <f aca="false">IF(ET126&gt;0,MIN(FF126-FT126,BN126),0)</f>
        <v>0</v>
      </c>
      <c r="FZ126" s="1143" t="n">
        <f aca="false">IF(EU126&gt;0,MIN(FH126-FV126,BO126),0)</f>
        <v>0</v>
      </c>
      <c r="GA126" s="1132" t="n">
        <f aca="false">(SUM(FP126:FV126)+SUM(GU126:HB126)/(1-Summary!$O$25))*CY126/1000</f>
        <v>211945.156960925</v>
      </c>
      <c r="GB126" s="1133" t="n">
        <f aca="false">IF($C126&lt;Summary!$M$81,+Summary!$O$81,VLOOKUP(C126,GasTable,19))</f>
        <v>2.4</v>
      </c>
      <c r="GC126" s="1134" t="n">
        <f aca="false">IF(H126&lt;=Summary!$N$84,MIN(GA126,Summary!$O$75*(H126-G126+1)),0)</f>
        <v>140000</v>
      </c>
      <c r="GD126" s="1135" t="n">
        <f aca="false">IF(Summary!$O$75*(H126-G126+1)*0.8&gt;GC126,1,0)</f>
        <v>0</v>
      </c>
      <c r="GE126" s="1136" t="n">
        <v>0</v>
      </c>
      <c r="GF126" s="1134" t="n">
        <f aca="false">ABS(MIN(0,GC126-$GA126))</f>
        <v>71945.1569609248</v>
      </c>
      <c r="GG126" s="1135" t="n">
        <f aca="false">GF126*(IF(Summary!$O$74=1,VLOOKUP($C126,GasTable,16)+Summary!$O$92+Summary!$O$93,VLOOKUP($C126,GasTable,19)+Summary!$O$92+Summary!$O$93))</f>
        <v>231788.571739417</v>
      </c>
      <c r="GH126" s="1137" t="n">
        <v>18636.8</v>
      </c>
      <c r="GI126" s="1138" t="n">
        <v>0</v>
      </c>
      <c r="GJ126" s="1139" t="n">
        <f aca="false">+GB126*GC126+GE126+GG126+GH126-GI126</f>
        <v>586425.371739417</v>
      </c>
      <c r="GK126" s="1115" t="n">
        <f aca="false">SUM(FP126:FV126,GU126:GX126,GY126:HB126)</f>
        <v>27152.7858</v>
      </c>
      <c r="GL126" s="1140" t="n">
        <v>0.755396963808</v>
      </c>
      <c r="GM126" s="1141" t="n">
        <f aca="false">IF(GK126&gt;GC126/(CY126/1000),GC126/(CY126/1000),+GK126)*GL126</f>
        <v>13748</v>
      </c>
      <c r="GN126" s="1115" t="n">
        <f aca="false">IF(SUM(GU126:HB126)=0,0,IF(Summary!$O$16="Yes",SUM(GX126:HB126),IF(Summary!$O$17="Yes",SUM(GY126:HB126),SUM(GU126:HB126))))</f>
        <v>11018.4858</v>
      </c>
      <c r="GO126" s="1142" t="n">
        <v>3.10474112454317</v>
      </c>
      <c r="GP126" s="1143" t="n">
        <f aca="false">GN126*GO126</f>
        <v>34209.545993455</v>
      </c>
      <c r="GQ126" s="1115"/>
      <c r="GR126" s="1115"/>
      <c r="GS126" s="1115"/>
      <c r="GT126" s="1115"/>
      <c r="GU126" s="1150" t="n">
        <v>5132.835</v>
      </c>
      <c r="GV126" s="1115" t="n">
        <v>1026.567</v>
      </c>
      <c r="GW126" s="1115" t="n">
        <v>1026.567</v>
      </c>
      <c r="GX126" s="1115"/>
      <c r="GY126" s="1151" t="n">
        <v>2737.512</v>
      </c>
      <c r="GZ126" s="1115" t="n">
        <v>547.5024</v>
      </c>
      <c r="HA126" s="1115" t="n">
        <v>547.5024</v>
      </c>
      <c r="HB126" s="1141"/>
      <c r="HC126" s="1115" t="n">
        <v>11018.4858</v>
      </c>
      <c r="HD126" s="1115"/>
      <c r="HE126" s="1115" t="n">
        <v>18923.0517</v>
      </c>
      <c r="HF126" s="1115" t="n">
        <v>407691.098828423</v>
      </c>
      <c r="HG126" s="1115"/>
      <c r="HH126" s="1142" t="n">
        <v>36.7244030874887</v>
      </c>
      <c r="HI126" s="1115" t="n">
        <v>694937.778276189</v>
      </c>
      <c r="HJ126" s="1150" t="n">
        <f aca="false">MAX(FB126-FP126-FW126,0)</f>
        <v>0</v>
      </c>
      <c r="HK126" s="1115" t="n">
        <f aca="false">MAX(FD126-FR126-FX126,0)</f>
        <v>0</v>
      </c>
      <c r="HL126" s="1115" t="n">
        <f aca="false">MAX(FF126-FT126-FY126,0)</f>
        <v>0</v>
      </c>
      <c r="HM126" s="1141" t="n">
        <f aca="false">MAX(FH126-FV126-FZ126,0)</f>
        <v>0</v>
      </c>
      <c r="HN126" s="1115" t="n">
        <f aca="false">SUM(HJ126:HM126)</f>
        <v>0</v>
      </c>
      <c r="HO126" s="1142" t="n">
        <f aca="false">IF(ISERROR(+HP126/HN126),0,+HP126/HN126)</f>
        <v>0</v>
      </c>
      <c r="HP126" s="1143" t="n">
        <f aca="false">(HJ126*CE126+HK126*CF126+HL126*CG126+HM126*CH126)</f>
        <v>0</v>
      </c>
      <c r="HQ126" s="1142"/>
      <c r="HR126" s="1150"/>
      <c r="HS126" s="1110"/>
      <c r="HT126" s="1141"/>
      <c r="HU126" s="1151"/>
      <c r="HV126" s="1142"/>
      <c r="HW126" s="1115"/>
      <c r="HX126" s="1149"/>
      <c r="HY126" s="1143"/>
      <c r="HZ126" s="1150"/>
      <c r="IA126" s="1142"/>
      <c r="IB126" s="1141"/>
      <c r="IC126" s="1151"/>
      <c r="ID126" s="1142"/>
      <c r="IE126" s="1141"/>
      <c r="IF126" s="1115"/>
      <c r="IG126" s="1142"/>
      <c r="IH126" s="1141"/>
      <c r="II126" s="1115"/>
      <c r="IJ126" s="1142"/>
      <c r="IK126" s="1115"/>
      <c r="IL126" s="1152"/>
      <c r="IM126" s="1192"/>
      <c r="IN126" s="1151"/>
      <c r="IO126" s="1151"/>
      <c r="IP126" s="1151"/>
      <c r="IQ126" s="1151"/>
      <c r="IR126" s="844"/>
    </row>
    <row r="127" customFormat="false" ht="13.5" hidden="false" customHeight="false" outlineLevel="0" collapsed="false">
      <c r="A127" s="0" t="str">
        <f aca="false">+D127&amp;"Q"&amp;ROUNDUP(E127/3,0)</f>
        <v>2009Q1</v>
      </c>
      <c r="B127" s="0" t="n">
        <f aca="false">YEAR(C127)</f>
        <v>2009</v>
      </c>
      <c r="C127" s="1153" t="n">
        <f aca="false">EOMONTH(C126,0)+1</f>
        <v>39873</v>
      </c>
      <c r="D127" s="841" t="n">
        <f aca="false">+YEAR(C127)</f>
        <v>2009</v>
      </c>
      <c r="E127" s="807" t="n">
        <f aca="false">MONTH(C127)</f>
        <v>3</v>
      </c>
      <c r="F127" s="1154" t="e">
        <f aca="false">IF(G127="","",Holiday(D127,E127))</f>
        <v>#VALUE!</v>
      </c>
      <c r="G127" s="1155" t="n">
        <v>39873</v>
      </c>
      <c r="H127" s="1156" t="n">
        <v>39903</v>
      </c>
      <c r="I127" s="1157" t="n">
        <f aca="false">I126</f>
        <v>0.0715</v>
      </c>
      <c r="J127" s="1158" t="n">
        <f aca="false">(1+I127/2)^(-2*(DATE(D128,E128,20)-$H$7)/365.25)</f>
        <v>0.518589149423961</v>
      </c>
      <c r="K127" s="1159"/>
      <c r="L127" s="1158"/>
      <c r="M127" s="1082" t="n">
        <v>0</v>
      </c>
      <c r="N127" s="1110" t="n">
        <f aca="false">M127</f>
        <v>0</v>
      </c>
      <c r="O127" s="1174" t="n">
        <f aca="false">N127</f>
        <v>0</v>
      </c>
      <c r="P127" s="1175" t="n">
        <f aca="false">M127</f>
        <v>0</v>
      </c>
      <c r="Q127" s="1110" t="n">
        <f aca="false">P127</f>
        <v>0</v>
      </c>
      <c r="R127" s="1174" t="n">
        <f aca="false">Q127</f>
        <v>0</v>
      </c>
      <c r="S127" s="1110" t="n">
        <f aca="false">R127</f>
        <v>0</v>
      </c>
      <c r="T127" s="1110" t="n">
        <f aca="false">S127</f>
        <v>0</v>
      </c>
      <c r="U127" s="1110" t="n">
        <f aca="false">T127</f>
        <v>0</v>
      </c>
      <c r="V127" s="1175" t="n">
        <f aca="false">U127</f>
        <v>0</v>
      </c>
      <c r="W127" s="1110" t="n">
        <f aca="false">V127</f>
        <v>0</v>
      </c>
      <c r="X127" s="1176" t="n">
        <f aca="false">W127</f>
        <v>0</v>
      </c>
      <c r="Y127" s="1086" t="n">
        <v>0</v>
      </c>
      <c r="Z127" s="1086" t="n">
        <v>0</v>
      </c>
      <c r="AA127" s="1087" t="n">
        <v>0</v>
      </c>
      <c r="AB127" s="1086" t="n">
        <v>0</v>
      </c>
      <c r="AC127" s="1086" t="n">
        <v>0</v>
      </c>
      <c r="AD127" s="1087" t="n">
        <v>0</v>
      </c>
      <c r="AE127" s="1086" t="n">
        <v>0</v>
      </c>
      <c r="AF127" s="1086" t="n">
        <v>0</v>
      </c>
      <c r="AG127" s="1087" t="n">
        <v>0</v>
      </c>
      <c r="AH127" s="1086" t="n">
        <v>0</v>
      </c>
      <c r="AI127" s="1086" t="n">
        <v>0</v>
      </c>
      <c r="AJ127" s="1087" t="n">
        <v>0</v>
      </c>
      <c r="AK127" s="1086" t="n">
        <v>0</v>
      </c>
      <c r="AL127" s="1086" t="n">
        <v>0</v>
      </c>
      <c r="AM127" s="1087" t="n">
        <v>0</v>
      </c>
      <c r="AN127" s="1086" t="n">
        <v>0</v>
      </c>
      <c r="AO127" s="1086" t="n">
        <v>0</v>
      </c>
      <c r="AP127" s="1087" t="n">
        <v>0</v>
      </c>
      <c r="AQ127" s="1086" t="n">
        <v>0</v>
      </c>
      <c r="AR127" s="1086" t="n">
        <v>0</v>
      </c>
      <c r="AS127" s="1087" t="n">
        <v>0</v>
      </c>
      <c r="AT127" s="1086" t="n">
        <v>0</v>
      </c>
      <c r="AU127" s="1086" t="n">
        <v>0</v>
      </c>
      <c r="AV127" s="1086" t="n">
        <v>0</v>
      </c>
      <c r="AW127" s="1172" t="n">
        <v>0</v>
      </c>
      <c r="AX127" s="807" t="n">
        <f aca="false">BB127-SUM(AY127:BA127)</f>
        <v>22</v>
      </c>
      <c r="AY127" s="807" t="n">
        <f aca="false">IF(AND($E127=MONTH(Summary!$E$24),$D127=YEAR(Summary!$E$24)),Summary!$E$25,1)*IF(G127="",0,INT((H127-MOD(H127,7)-G127)/7)+1-IF(BA127,IF(WEEKDAY(F127)=7,1,0),0))</f>
        <v>4</v>
      </c>
      <c r="AZ127" s="807" t="n">
        <f aca="false">IF(AND($E127=MONTH(Summary!$E$24),$D127=YEAR(Summary!$E$24)),Summary!$E$25,1)*IF(G127="",0,INT((H127-MOD(H127-1,7)-G127)/7)+1-IF(BA127,IF(WEEKDAY(F127)=1,1,0),0))</f>
        <v>5</v>
      </c>
      <c r="BA127" s="807" t="n">
        <v>0</v>
      </c>
      <c r="BB127" s="807" t="n">
        <f aca="false">IF(AND($E127=MONTH(Summary!$E$24),$D127=YEAR(Summary!$E$24)),Summary!$E$25,1)*IF(G127="",0,H127-G127+1)</f>
        <v>31</v>
      </c>
      <c r="BC127" s="1089" t="n">
        <f aca="false">Summary!$E$19</f>
        <v>0.015</v>
      </c>
      <c r="BD127" s="1090" t="n">
        <v>15602.4</v>
      </c>
      <c r="BE127" s="1091" t="n">
        <v>2836.8</v>
      </c>
      <c r="BF127" s="1091" t="n">
        <v>3546</v>
      </c>
      <c r="BG127" s="842"/>
      <c r="BH127" s="1092" t="n">
        <v>1</v>
      </c>
      <c r="BI127" s="1092" t="n">
        <v>1</v>
      </c>
      <c r="BJ127" s="1092" t="n">
        <v>1</v>
      </c>
      <c r="BK127" s="1092" t="n">
        <v>1</v>
      </c>
      <c r="BL127" s="1093" t="n">
        <v>3120.48</v>
      </c>
      <c r="BM127" s="1091" t="n">
        <v>567.36</v>
      </c>
      <c r="BN127" s="1091" t="n">
        <v>709.2</v>
      </c>
      <c r="BO127" s="842"/>
      <c r="BP127" s="1092" t="n">
        <v>1</v>
      </c>
      <c r="BQ127" s="1094" t="n">
        <v>1</v>
      </c>
      <c r="BR127" s="1094" t="n">
        <v>1</v>
      </c>
      <c r="BS127" s="1095" t="n">
        <v>1</v>
      </c>
      <c r="BT127" s="1093" t="n">
        <f aca="false">SUM(BD127:BF127)</f>
        <v>21985.2</v>
      </c>
      <c r="BU127" s="1098" t="n">
        <f aca="false">SUM(BD127:BG127)</f>
        <v>21985.2</v>
      </c>
      <c r="BV127" s="1090" t="n">
        <f aca="false">SUM(BL127:BN127)</f>
        <v>4397.04</v>
      </c>
      <c r="BW127" s="1098" t="n">
        <f aca="false">SUM(BL127:BO127)</f>
        <v>4397.04</v>
      </c>
      <c r="BX127" s="852" t="n">
        <v>9.21013004791239</v>
      </c>
      <c r="BY127" s="1099" t="n">
        <v>0</v>
      </c>
      <c r="BZ127" s="852" t="n">
        <v>0</v>
      </c>
      <c r="CA127" s="852" t="n">
        <v>0</v>
      </c>
      <c r="CB127" s="852" t="n">
        <v>0</v>
      </c>
      <c r="CC127" s="852" t="n">
        <v>0</v>
      </c>
      <c r="CD127" s="852" t="n">
        <v>0</v>
      </c>
      <c r="CE127" s="1100" t="n">
        <v>0</v>
      </c>
      <c r="CF127" s="852" t="n">
        <v>0</v>
      </c>
      <c r="CG127" s="852" t="n">
        <v>0</v>
      </c>
      <c r="CH127" s="852" t="n">
        <v>0</v>
      </c>
      <c r="CI127" s="852" t="n">
        <v>0</v>
      </c>
      <c r="CJ127" s="1101" t="n">
        <v>0</v>
      </c>
      <c r="CK127" s="852" t="n">
        <v>0</v>
      </c>
      <c r="CL127" s="852" t="n">
        <v>0</v>
      </c>
      <c r="CM127" s="852" t="n">
        <v>0</v>
      </c>
      <c r="CN127" s="852" t="n">
        <v>0</v>
      </c>
      <c r="CO127" s="852" t="n">
        <v>0</v>
      </c>
      <c r="CP127" s="852" t="n">
        <v>0</v>
      </c>
      <c r="CQ127" s="1102" t="n">
        <v>0</v>
      </c>
      <c r="CR127" s="1103" t="n">
        <v>0</v>
      </c>
      <c r="CS127" s="1103" t="n">
        <v>0</v>
      </c>
      <c r="CT127" s="1103" t="n">
        <v>0</v>
      </c>
      <c r="CU127" s="1103" t="n">
        <v>0</v>
      </c>
      <c r="CV127" s="1103" t="n">
        <v>0</v>
      </c>
      <c r="CW127" s="1103" t="n">
        <v>0</v>
      </c>
      <c r="CX127" s="1104" t="n">
        <v>0</v>
      </c>
      <c r="CY127" s="1105" t="n">
        <v>7694.4644</v>
      </c>
      <c r="CZ127" s="1099" t="n">
        <v>0</v>
      </c>
      <c r="DA127" s="852" t="n">
        <v>0</v>
      </c>
      <c r="DB127" s="852" t="n">
        <v>0</v>
      </c>
      <c r="DC127" s="852" t="n">
        <v>0</v>
      </c>
      <c r="DD127" s="852" t="n">
        <v>0</v>
      </c>
      <c r="DE127" s="1113" t="n">
        <v>0</v>
      </c>
      <c r="DF127" s="1109" t="n">
        <v>0</v>
      </c>
      <c r="DG127" s="1110" t="n">
        <v>0</v>
      </c>
      <c r="DH127" s="1111" t="n">
        <v>0</v>
      </c>
      <c r="DI127" s="1112" t="n">
        <v>0</v>
      </c>
      <c r="DJ127" s="1112" t="n">
        <v>0</v>
      </c>
      <c r="DK127" s="1112" t="n">
        <v>0</v>
      </c>
      <c r="DL127" s="1113" t="n">
        <v>0</v>
      </c>
      <c r="DM127" s="1114" t="n">
        <v>0</v>
      </c>
      <c r="DN127" s="1114" t="n">
        <v>0</v>
      </c>
      <c r="DO127" s="1114" t="n">
        <v>0</v>
      </c>
      <c r="DP127" s="1114" t="n">
        <v>0</v>
      </c>
      <c r="DQ127" s="1114" t="n">
        <v>0</v>
      </c>
      <c r="DR127" s="1109" t="n">
        <v>0</v>
      </c>
      <c r="DS127" s="852" t="n">
        <v>0</v>
      </c>
      <c r="DT127" s="852" t="n">
        <v>0</v>
      </c>
      <c r="DU127" s="852" t="n">
        <v>0</v>
      </c>
      <c r="DV127" s="852" t="n">
        <v>0</v>
      </c>
      <c r="DW127" s="852" t="n">
        <v>0</v>
      </c>
      <c r="DX127" s="852" t="n">
        <v>0</v>
      </c>
      <c r="DY127" s="852" t="n">
        <v>0</v>
      </c>
      <c r="DZ127" s="852" t="n">
        <v>0</v>
      </c>
      <c r="EA127" s="852" t="n">
        <v>0</v>
      </c>
      <c r="EB127" s="1113" t="n">
        <v>0</v>
      </c>
      <c r="EC127" s="1115" t="n">
        <f aca="false">DS127*BD127</f>
        <v>0</v>
      </c>
      <c r="ED127" s="1115" t="n">
        <f aca="false">DT127*BE127</f>
        <v>0</v>
      </c>
      <c r="EE127" s="1115" t="n">
        <f aca="false">DU127*BF127</f>
        <v>0</v>
      </c>
      <c r="EF127" s="1115" t="n">
        <f aca="false">DV127*BG127</f>
        <v>0</v>
      </c>
      <c r="EG127" s="1115" t="n">
        <f aca="false">DS127*BD127+DT127*BE127+DU127*BF127+DV127*BG127</f>
        <v>0</v>
      </c>
      <c r="EH127" s="1116" t="n">
        <v>0</v>
      </c>
      <c r="EI127" s="1117" t="n">
        <v>0</v>
      </c>
      <c r="EJ127" s="1117" t="n">
        <v>0</v>
      </c>
      <c r="EK127" s="1117" t="n">
        <v>0</v>
      </c>
      <c r="EL127" s="1118" t="n">
        <f aca="false">IF(C127&gt;=Summary!$E$26,MAX(0,SUM(EH127:EK127)),0)</f>
        <v>0</v>
      </c>
      <c r="EM127" s="1115" t="n">
        <f aca="false">IF(C127&gt;=Summary!$E$26,DX127*BL127,0)</f>
        <v>0</v>
      </c>
      <c r="EN127" s="1115" t="n">
        <f aca="false">IF(C127&gt;=Summary!$E$26,DY127*BM127,0)</f>
        <v>0</v>
      </c>
      <c r="EO127" s="1115" t="n">
        <f aca="false">IF(C127&gt;=Summary!$E$26,DZ127*BN127,0)</f>
        <v>0</v>
      </c>
      <c r="EP127" s="1115" t="n">
        <f aca="false">IF(C127&gt;=Summary!$E$26,EA127*BO127,0)</f>
        <v>0</v>
      </c>
      <c r="EQ127" s="1115" t="n">
        <f aca="false">IF(C127&gt;=Summary!$E$26,DX127*BL127+DY127*BM127+DZ127*BN127+EA127*BO127,0)</f>
        <v>0</v>
      </c>
      <c r="ER127" s="1119" t="n">
        <v>0</v>
      </c>
      <c r="ES127" s="1120" t="n">
        <v>0</v>
      </c>
      <c r="ET127" s="1120" t="n">
        <v>0</v>
      </c>
      <c r="EU127" s="1120" t="n">
        <v>0</v>
      </c>
      <c r="EV127" s="1143" t="n">
        <f aca="false">IF(C127&gt;=Summary!$E$26,MAX(0,SUM(ER127:EU127)),0)</f>
        <v>0</v>
      </c>
      <c r="EW127" s="1115"/>
      <c r="EX127" s="1165" t="n">
        <f aca="false">(EQ127-EV127)+IF(EZ127="Yes",(EG127-EL127),0)</f>
        <v>0</v>
      </c>
      <c r="EY127" s="1166" t="str">
        <f aca="false">IF(EX127,EX127/EQ127,"")</f>
        <v/>
      </c>
      <c r="EZ127" s="1122" t="s">
        <v>37</v>
      </c>
      <c r="FA127" s="1096" t="n">
        <f aca="false">FA126</f>
        <v>45</v>
      </c>
      <c r="FB127" s="1167" t="n">
        <f aca="false">IF(EZ127="No",IF((OR(MONTH(C127)=5,MONTH(C127)=6,MONTH(C127)=7,MONTH(C127)=8,MONTH(C127)=9)),$FA127*12*AX127*(1-$BC127),$FA127*10*AX127*(1-$BC127)),0)</f>
        <v>9751.5</v>
      </c>
      <c r="FC127" s="1129" t="n">
        <f aca="false">IF(EZ127="No",IF((OR(MONTH(C127)=5,MONTH(C127)=6,MONTH(C127)=7,MONTH(C127)=8,MONTH(C127)=9)),0,$FA127*3*AX127*(1-$BC127)),0)</f>
        <v>2925.45</v>
      </c>
      <c r="FD127" s="1129" t="n">
        <f aca="false">IF(EZ127="No",IF((OR(MONTH(C127)=5,MONTH(C127)=6,MONTH(C127)=7,MONTH(C127)=8,MONTH(C127)=9)),$FA127*12*AY127*(1-$BC127),$FA127*10*AY127*(1-$BC127)),0)</f>
        <v>1773</v>
      </c>
      <c r="FE127" s="1129" t="n">
        <f aca="false">IF(EZ127="No",IF((OR(MONTH(C127)=5,MONTH(C127)=6,MONTH(C127)=7,MONTH(C127)=8,MONTH(C127)=9)),0,$FA127*3*AY127*(1-$BC127)),0)</f>
        <v>531.9</v>
      </c>
      <c r="FF127" s="1129" t="n">
        <f aca="false">IF(EZ127="No",IF((OR(MONTH(C127)=5,MONTH(C127)=6,MONTH(C127)=7,MONTH(C127)=8,MONTH(C127)=9)),$FA127*12*(AZ127+BA127)*(1-$BC127),$FA127*10*(AZ127+BA127)*(1-$BC127)),0)</f>
        <v>2216.25</v>
      </c>
      <c r="FG127" s="1129" t="n">
        <f aca="false">IF(EZ127="No",IF((OR(MONTH(C127)=5,MONTH(C127)=6,MONTH(C127)=7,MONTH(C127)=8,MONTH(C127)=9)),0,$FA127*3*(AZ127+BA127)*(1-$BC127)),0)</f>
        <v>664.875</v>
      </c>
      <c r="FH127" s="1170" t="n">
        <f aca="false">IF(EZ127="No",IF((OR(MONTH(C127)=5,MONTH(C127)=6,MONTH(C127)=7,MONTH(C127)=8,MONTH(C127)=9)),Summary!$O$15*12*(AX127+AY127+AZ127+BA127)*(1-$BC127),Summary!$O$15*13*(AX127+AY127+AZ127+BA127)*(1-$BC127)+IF(Summary!$O$16="Yes",(CALC!FA127+Summary!$O$15)*6*(AX127+AY127+AZ127+BA127)*(1-$BC127),0)),0)</f>
        <v>0</v>
      </c>
      <c r="FI127" s="1126" t="n">
        <f aca="false">IF(MONTH(C127)=5,FI126*(IF(Summary!$E$70="no",(1+(Summary!$E$71*0.8)),1+HLOOKUP(YEAR(C127)-1,CCFMODEL!$I$127:$AF$128,2)*0.8)),+FI126)</f>
        <v>32.9323923735024</v>
      </c>
      <c r="FJ127" s="1127" t="n">
        <f aca="false">IF(MONTH(C127)=5,FJ126*(IF(Summary!$E$70="no",(1+(Summary!$E$71*0.8)),1+HLOOKUP(YEAR(CALC!C127)-1,CCFMODEL!$I$127:$AF$128,2)*0.8)),FJ126)</f>
        <v>28.7834295547934</v>
      </c>
      <c r="FK127" s="1128" t="n">
        <f aca="false">SUM(FB127:FG127)*FI127+FH127*FJ127</f>
        <v>588270.501658064</v>
      </c>
      <c r="FL127" s="1126" t="n">
        <f aca="false">IF(MONTH(C127)=5,FL126*(IF(Summary!$E$70="no",(1+(Summary!$E$71*0.8)),1+HLOOKUP(YEAR(CALC!C127)-1,CCFMODEL!$I$127:$AF$128,2)*0.8)),+FL126)</f>
        <v>69.26051324446</v>
      </c>
      <c r="FM127" s="1127" t="n">
        <f aca="false">IF(MONTH(C127)=5,FM126*(IF(Summary!$E$70="no",(1+(Summary!$E$71*0.8)),1+HLOOKUP(YEAR(CALC!C127)-1,CCFMODEL!$I$127:$AF$128,2)*0.8)),+FM126)</f>
        <v>33.0558734097735</v>
      </c>
      <c r="FN127" s="1128" t="n">
        <f aca="false">IF((OR(MONTH(C127)=5,MONTH(C127)=6,MONTH(C127)=7,MONTH(C127)=8,MONTH(C127)=9)),SUM(FB127:FG127)/(1-BC127)*FL127,SUM(FB127:FG127)/(1-BC127)*FM127)</f>
        <v>599468.264286242</v>
      </c>
      <c r="FO127" s="1129" t="n">
        <f aca="false">FK127+FN127</f>
        <v>1187738.76594431</v>
      </c>
      <c r="FP127" s="1169" t="n">
        <f aca="false">FB127</f>
        <v>9751.5</v>
      </c>
      <c r="FQ127" s="1129" t="n">
        <f aca="false">FC127</f>
        <v>2925.45</v>
      </c>
      <c r="FR127" s="1129" t="n">
        <f aca="false">FD127</f>
        <v>1773</v>
      </c>
      <c r="FS127" s="1129" t="n">
        <f aca="false">FE127</f>
        <v>531.9</v>
      </c>
      <c r="FT127" s="1129" t="n">
        <f aca="false">FF127</f>
        <v>2216.25</v>
      </c>
      <c r="FU127" s="1129" t="n">
        <f aca="false">FG127</f>
        <v>664.875</v>
      </c>
      <c r="FV127" s="1170" t="n">
        <f aca="false">FH127</f>
        <v>0</v>
      </c>
      <c r="FW127" s="1115" t="n">
        <f aca="false">IF(ER127&gt;0,MIN(FB127-FP127,BL127),0)</f>
        <v>0</v>
      </c>
      <c r="FX127" s="1115" t="n">
        <f aca="false">IF(ES127&gt;0,MIN(FD127-FR127,BM127),0)</f>
        <v>0</v>
      </c>
      <c r="FY127" s="1115" t="n">
        <f aca="false">IF(ET127&gt;0,MIN(FF127-FT127,BN127),0)</f>
        <v>0</v>
      </c>
      <c r="FZ127" s="1143" t="n">
        <f aca="false">IF(EU127&gt;0,MIN(FH127-FV127,BO127),0)</f>
        <v>0</v>
      </c>
      <c r="GA127" s="1132" t="n">
        <f aca="false">(SUM(FP127:FV127)+SUM(GU127:HB127)/(1-Summary!$O$25))*CY127/1000</f>
        <v>234715.519983546</v>
      </c>
      <c r="GB127" s="1133" t="n">
        <f aca="false">IF($C127&lt;Summary!$M$81,+Summary!$O$81,VLOOKUP(C127,GasTable,19))</f>
        <v>2.4</v>
      </c>
      <c r="GC127" s="1134" t="n">
        <f aca="false">IF(H127&lt;=Summary!$N$84,MIN(GA127,Summary!$O$75*(H127-G127+1)),0)</f>
        <v>155000</v>
      </c>
      <c r="GD127" s="1135" t="n">
        <f aca="false">IF(Summary!$O$75*(H127-G127+1)*0.8&gt;GC127,1,0)</f>
        <v>0</v>
      </c>
      <c r="GE127" s="1136" t="n">
        <v>0</v>
      </c>
      <c r="GF127" s="1134" t="n">
        <f aca="false">ABS(MIN(0,GC127-$GA127))</f>
        <v>79715.519983546</v>
      </c>
      <c r="GG127" s="1135" t="n">
        <f aca="false">GF127*(IF(Summary!$O$74=1,VLOOKUP($C127,GasTable,16)+Summary!$O$92+Summary!$O$93,VLOOKUP($C127,GasTable,19)+Summary!$O$92+Summary!$O$93))</f>
        <v>243258.491354897</v>
      </c>
      <c r="GH127" s="1137" t="n">
        <v>19877.2</v>
      </c>
      <c r="GI127" s="1138" t="n">
        <v>0</v>
      </c>
      <c r="GJ127" s="1139" t="n">
        <f aca="false">+GB127*GC127+GE127+GG127+GH127-GI127</f>
        <v>635135.691354897</v>
      </c>
      <c r="GK127" s="1115" t="n">
        <f aca="false">SUM(FP127:FV127,GU127:GX127,GY127:HB127)</f>
        <v>30062.01285</v>
      </c>
      <c r="GL127" s="1140" t="n">
        <v>0.75559640408</v>
      </c>
      <c r="GM127" s="1141" t="n">
        <f aca="false">IF(GK127&gt;GC127/(CY127/1000),GC127/(CY127/1000),+GK127)*GL127</f>
        <v>15221</v>
      </c>
      <c r="GN127" s="1115" t="n">
        <f aca="false">IF(SUM(GU127:HB127)=0,0,IF(Summary!$O$16="Yes",SUM(GX127:HB127),IF(Summary!$O$17="Yes",SUM(GY127:HB127),SUM(GU127:HB127))))</f>
        <v>12199.03785</v>
      </c>
      <c r="GO127" s="1142" t="n">
        <v>3.10474112454317</v>
      </c>
      <c r="GP127" s="1143" t="n">
        <f aca="false">GN127*GO127</f>
        <v>37874.8544927537</v>
      </c>
      <c r="GQ127" s="1115"/>
      <c r="GR127" s="1115"/>
      <c r="GS127" s="1115"/>
      <c r="GT127" s="1115"/>
      <c r="GU127" s="1150" t="n">
        <v>5646.1185</v>
      </c>
      <c r="GV127" s="1115" t="n">
        <v>1026.567</v>
      </c>
      <c r="GW127" s="1115" t="n">
        <v>1283.20875</v>
      </c>
      <c r="GX127" s="1115"/>
      <c r="GY127" s="1151" t="n">
        <v>3011.2632</v>
      </c>
      <c r="GZ127" s="1115" t="n">
        <v>547.5024</v>
      </c>
      <c r="HA127" s="1115" t="n">
        <v>684.378</v>
      </c>
      <c r="HB127" s="1141"/>
      <c r="HC127" s="1115" t="n">
        <v>12199.03785</v>
      </c>
      <c r="HD127" s="1115"/>
      <c r="HE127" s="1115" t="n">
        <v>20950.521525</v>
      </c>
      <c r="HF127" s="1115" t="n">
        <v>427512.971994972</v>
      </c>
      <c r="HG127" s="1115"/>
      <c r="HH127" s="1142" t="n">
        <v>34.4697109798379</v>
      </c>
      <c r="HI127" s="1115" t="n">
        <v>722158.421843622</v>
      </c>
      <c r="HJ127" s="1150" t="n">
        <f aca="false">MAX(FB127-FP127-FW127,0)</f>
        <v>0</v>
      </c>
      <c r="HK127" s="1115" t="n">
        <f aca="false">MAX(FD127-FR127-FX127,0)</f>
        <v>0</v>
      </c>
      <c r="HL127" s="1115" t="n">
        <f aca="false">MAX(FF127-FT127-FY127,0)</f>
        <v>0</v>
      </c>
      <c r="HM127" s="1141" t="n">
        <f aca="false">MAX(FH127-FV127-FZ127,0)</f>
        <v>0</v>
      </c>
      <c r="HN127" s="1115" t="n">
        <f aca="false">SUM(HJ127:HM127)</f>
        <v>0</v>
      </c>
      <c r="HO127" s="1142" t="n">
        <f aca="false">IF(ISERROR(+HP127/HN127),0,+HP127/HN127)</f>
        <v>0</v>
      </c>
      <c r="HP127" s="1143" t="n">
        <f aca="false">(HJ127*CE127+HK127*CF127+HL127*CG127+HM127*CH127)</f>
        <v>0</v>
      </c>
      <c r="HQ127" s="1142"/>
      <c r="HR127" s="1150"/>
      <c r="HS127" s="1110"/>
      <c r="HT127" s="1141"/>
      <c r="HU127" s="1151"/>
      <c r="HV127" s="1142"/>
      <c r="HW127" s="1115"/>
      <c r="HX127" s="1149"/>
      <c r="HY127" s="1143"/>
      <c r="HZ127" s="1150"/>
      <c r="IA127" s="1142"/>
      <c r="IB127" s="1141"/>
      <c r="IC127" s="1151"/>
      <c r="ID127" s="1142"/>
      <c r="IE127" s="1141"/>
      <c r="IF127" s="1115"/>
      <c r="IG127" s="1142"/>
      <c r="IH127" s="1141"/>
      <c r="II127" s="1115"/>
      <c r="IJ127" s="1142"/>
      <c r="IK127" s="1115"/>
      <c r="IL127" s="1152"/>
      <c r="IM127" s="1192"/>
      <c r="IN127" s="1151"/>
      <c r="IO127" s="1151"/>
      <c r="IP127" s="1151"/>
      <c r="IQ127" s="1151"/>
      <c r="IR127" s="844"/>
    </row>
    <row r="128" customFormat="false" ht="13.5" hidden="false" customHeight="false" outlineLevel="0" collapsed="false">
      <c r="A128" s="0" t="str">
        <f aca="false">+D128&amp;"Q"&amp;ROUNDUP(E128/3,0)</f>
        <v>2009Q2</v>
      </c>
      <c r="B128" s="0" t="n">
        <f aca="false">YEAR(C128)</f>
        <v>2009</v>
      </c>
      <c r="C128" s="1153" t="n">
        <f aca="false">EOMONTH(C127,0)+1</f>
        <v>39904</v>
      </c>
      <c r="D128" s="841" t="n">
        <f aca="false">+YEAR(C128)</f>
        <v>2009</v>
      </c>
      <c r="E128" s="807" t="n">
        <f aca="false">MONTH(C128)</f>
        <v>4</v>
      </c>
      <c r="F128" s="1154" t="e">
        <f aca="false">IF(G128="","",Holiday(D128,E128))</f>
        <v>#VALUE!</v>
      </c>
      <c r="G128" s="1155" t="n">
        <v>39904</v>
      </c>
      <c r="H128" s="1156" t="n">
        <v>39933</v>
      </c>
      <c r="I128" s="1157" t="n">
        <f aca="false">I127</f>
        <v>0.0715</v>
      </c>
      <c r="J128" s="1158" t="n">
        <f aca="false">(1+I128/2)^(-2*(DATE(D129,E129,20)-$H$7)/365.25)</f>
        <v>0.515605427606622</v>
      </c>
      <c r="K128" s="1159"/>
      <c r="L128" s="1158"/>
      <c r="M128" s="1082" t="n">
        <v>0</v>
      </c>
      <c r="N128" s="1110" t="n">
        <f aca="false">M128</f>
        <v>0</v>
      </c>
      <c r="O128" s="1174" t="n">
        <f aca="false">N128</f>
        <v>0</v>
      </c>
      <c r="P128" s="1175" t="n">
        <f aca="false">M128</f>
        <v>0</v>
      </c>
      <c r="Q128" s="1110" t="n">
        <f aca="false">P128</f>
        <v>0</v>
      </c>
      <c r="R128" s="1174" t="n">
        <f aca="false">Q128</f>
        <v>0</v>
      </c>
      <c r="S128" s="1110" t="n">
        <f aca="false">R128</f>
        <v>0</v>
      </c>
      <c r="T128" s="1110" t="n">
        <f aca="false">S128</f>
        <v>0</v>
      </c>
      <c r="U128" s="1110" t="n">
        <f aca="false">T128</f>
        <v>0</v>
      </c>
      <c r="V128" s="1175" t="n">
        <f aca="false">U128</f>
        <v>0</v>
      </c>
      <c r="W128" s="1110" t="n">
        <f aca="false">V128</f>
        <v>0</v>
      </c>
      <c r="X128" s="1176" t="n">
        <f aca="false">W128</f>
        <v>0</v>
      </c>
      <c r="Y128" s="1086" t="n">
        <v>0</v>
      </c>
      <c r="Z128" s="1086" t="n">
        <v>0</v>
      </c>
      <c r="AA128" s="1087" t="n">
        <v>0</v>
      </c>
      <c r="AB128" s="1086" t="n">
        <v>0</v>
      </c>
      <c r="AC128" s="1086" t="n">
        <v>0</v>
      </c>
      <c r="AD128" s="1087" t="n">
        <v>0</v>
      </c>
      <c r="AE128" s="1086" t="n">
        <v>0</v>
      </c>
      <c r="AF128" s="1086" t="n">
        <v>0</v>
      </c>
      <c r="AG128" s="1087" t="n">
        <v>0</v>
      </c>
      <c r="AH128" s="1086" t="n">
        <v>0</v>
      </c>
      <c r="AI128" s="1086" t="n">
        <v>0</v>
      </c>
      <c r="AJ128" s="1087" t="n">
        <v>0</v>
      </c>
      <c r="AK128" s="1086" t="n">
        <v>0</v>
      </c>
      <c r="AL128" s="1086" t="n">
        <v>0</v>
      </c>
      <c r="AM128" s="1087" t="n">
        <v>0</v>
      </c>
      <c r="AN128" s="1086" t="n">
        <v>0</v>
      </c>
      <c r="AO128" s="1086" t="n">
        <v>0</v>
      </c>
      <c r="AP128" s="1087" t="n">
        <v>0</v>
      </c>
      <c r="AQ128" s="1086" t="n">
        <v>0</v>
      </c>
      <c r="AR128" s="1086" t="n">
        <v>0</v>
      </c>
      <c r="AS128" s="1087" t="n">
        <v>0</v>
      </c>
      <c r="AT128" s="1086" t="n">
        <v>0</v>
      </c>
      <c r="AU128" s="1086" t="n">
        <v>0</v>
      </c>
      <c r="AV128" s="1086" t="n">
        <v>0</v>
      </c>
      <c r="AW128" s="1172" t="n">
        <v>0</v>
      </c>
      <c r="AX128" s="807" t="n">
        <f aca="false">BB128-SUM(AY128:BA128)</f>
        <v>22</v>
      </c>
      <c r="AY128" s="807" t="n">
        <f aca="false">IF(AND($E128=MONTH(Summary!$E$24),$D128=YEAR(Summary!$E$24)),Summary!$E$25,1)*IF(G128="",0,INT((H128-MOD(H128,7)-G128)/7)+1-IF(BA128,IF(WEEKDAY(F128)=7,1,0),0))</f>
        <v>4</v>
      </c>
      <c r="AZ128" s="807" t="n">
        <f aca="false">IF(AND($E128=MONTH(Summary!$E$24),$D128=YEAR(Summary!$E$24)),Summary!$E$25,1)*IF(G128="",0,INT((H128-MOD(H128-1,7)-G128)/7)+1-IF(BA128,IF(WEEKDAY(F128)=1,1,0),0))</f>
        <v>4</v>
      </c>
      <c r="BA128" s="807" t="n">
        <v>0</v>
      </c>
      <c r="BB128" s="807" t="n">
        <f aca="false">IF(AND($E128=MONTH(Summary!$E$24),$D128=YEAR(Summary!$E$24)),Summary!$E$25,1)*IF(G128="",0,H128-G128+1)</f>
        <v>30</v>
      </c>
      <c r="BC128" s="1089" t="n">
        <f aca="false">Summary!$E$19</f>
        <v>0.015</v>
      </c>
      <c r="BD128" s="1090" t="n">
        <v>15602.4</v>
      </c>
      <c r="BE128" s="1091" t="n">
        <v>2836.8</v>
      </c>
      <c r="BF128" s="1091" t="n">
        <v>2836.8</v>
      </c>
      <c r="BG128" s="842"/>
      <c r="BH128" s="1092" t="n">
        <v>1</v>
      </c>
      <c r="BI128" s="1092" t="n">
        <v>1</v>
      </c>
      <c r="BJ128" s="1092" t="n">
        <v>1</v>
      </c>
      <c r="BK128" s="1092" t="n">
        <v>1</v>
      </c>
      <c r="BL128" s="1093" t="n">
        <v>3120.48</v>
      </c>
      <c r="BM128" s="1091" t="n">
        <v>567.36</v>
      </c>
      <c r="BN128" s="1091" t="n">
        <v>567.36</v>
      </c>
      <c r="BO128" s="842"/>
      <c r="BP128" s="1092" t="n">
        <v>1</v>
      </c>
      <c r="BQ128" s="1094" t="n">
        <v>1</v>
      </c>
      <c r="BR128" s="1094" t="n">
        <v>1</v>
      </c>
      <c r="BS128" s="1095" t="n">
        <v>1</v>
      </c>
      <c r="BT128" s="1093" t="n">
        <f aca="false">SUM(BD128:BF128)</f>
        <v>21276</v>
      </c>
      <c r="BU128" s="1098" t="n">
        <f aca="false">SUM(BD128:BG128)</f>
        <v>21276</v>
      </c>
      <c r="BV128" s="1090" t="n">
        <f aca="false">SUM(BL128:BN128)</f>
        <v>4255.2</v>
      </c>
      <c r="BW128" s="1098" t="n">
        <f aca="false">SUM(BL128:BO128)</f>
        <v>4255.2</v>
      </c>
      <c r="BX128" s="852" t="n">
        <v>9.29500342231348</v>
      </c>
      <c r="BY128" s="1099" t="n">
        <v>0</v>
      </c>
      <c r="BZ128" s="852" t="n">
        <v>0</v>
      </c>
      <c r="CA128" s="852" t="n">
        <v>0</v>
      </c>
      <c r="CB128" s="852" t="n">
        <v>0</v>
      </c>
      <c r="CC128" s="852" t="n">
        <v>0</v>
      </c>
      <c r="CD128" s="852" t="n">
        <v>0</v>
      </c>
      <c r="CE128" s="1100" t="n">
        <v>0</v>
      </c>
      <c r="CF128" s="852" t="n">
        <v>0</v>
      </c>
      <c r="CG128" s="852" t="n">
        <v>0</v>
      </c>
      <c r="CH128" s="852" t="n">
        <v>0</v>
      </c>
      <c r="CI128" s="852" t="n">
        <v>0</v>
      </c>
      <c r="CJ128" s="1101" t="n">
        <v>0</v>
      </c>
      <c r="CK128" s="852" t="n">
        <v>0</v>
      </c>
      <c r="CL128" s="852" t="n">
        <v>0</v>
      </c>
      <c r="CM128" s="852" t="n">
        <v>0</v>
      </c>
      <c r="CN128" s="852" t="n">
        <v>0</v>
      </c>
      <c r="CO128" s="852" t="n">
        <v>0</v>
      </c>
      <c r="CP128" s="852" t="n">
        <v>0</v>
      </c>
      <c r="CQ128" s="1102" t="n">
        <v>0</v>
      </c>
      <c r="CR128" s="1103" t="n">
        <v>0</v>
      </c>
      <c r="CS128" s="1103" t="n">
        <v>0</v>
      </c>
      <c r="CT128" s="1103" t="n">
        <v>0</v>
      </c>
      <c r="CU128" s="1103" t="n">
        <v>0</v>
      </c>
      <c r="CV128" s="1103" t="n">
        <v>0</v>
      </c>
      <c r="CW128" s="1103" t="n">
        <v>0</v>
      </c>
      <c r="CX128" s="1104" t="n">
        <v>0</v>
      </c>
      <c r="CY128" s="1105" t="n">
        <v>7696.49536</v>
      </c>
      <c r="CZ128" s="1099" t="n">
        <v>0</v>
      </c>
      <c r="DA128" s="852" t="n">
        <v>0</v>
      </c>
      <c r="DB128" s="852" t="n">
        <v>0</v>
      </c>
      <c r="DC128" s="852" t="n">
        <v>0</v>
      </c>
      <c r="DD128" s="852" t="n">
        <v>0</v>
      </c>
      <c r="DE128" s="1113" t="n">
        <v>0</v>
      </c>
      <c r="DF128" s="1109" t="n">
        <v>0</v>
      </c>
      <c r="DG128" s="1110" t="n">
        <v>0</v>
      </c>
      <c r="DH128" s="1111" t="n">
        <v>0</v>
      </c>
      <c r="DI128" s="1112" t="n">
        <v>0</v>
      </c>
      <c r="DJ128" s="1112" t="n">
        <v>0</v>
      </c>
      <c r="DK128" s="1112" t="n">
        <v>0</v>
      </c>
      <c r="DL128" s="1113" t="n">
        <v>0</v>
      </c>
      <c r="DM128" s="1114" t="n">
        <v>0</v>
      </c>
      <c r="DN128" s="1114" t="n">
        <v>0</v>
      </c>
      <c r="DO128" s="1114" t="n">
        <v>0</v>
      </c>
      <c r="DP128" s="1114" t="n">
        <v>0</v>
      </c>
      <c r="DQ128" s="1114" t="n">
        <v>0</v>
      </c>
      <c r="DR128" s="1109" t="n">
        <v>0</v>
      </c>
      <c r="DS128" s="852" t="n">
        <v>0</v>
      </c>
      <c r="DT128" s="852" t="n">
        <v>0</v>
      </c>
      <c r="DU128" s="852" t="n">
        <v>0</v>
      </c>
      <c r="DV128" s="852" t="n">
        <v>0</v>
      </c>
      <c r="DW128" s="852" t="n">
        <v>0</v>
      </c>
      <c r="DX128" s="852" t="n">
        <v>0</v>
      </c>
      <c r="DY128" s="852" t="n">
        <v>0</v>
      </c>
      <c r="DZ128" s="852" t="n">
        <v>0</v>
      </c>
      <c r="EA128" s="852" t="n">
        <v>0</v>
      </c>
      <c r="EB128" s="1113" t="n">
        <v>0</v>
      </c>
      <c r="EC128" s="1115" t="n">
        <f aca="false">DS128*BD128</f>
        <v>0</v>
      </c>
      <c r="ED128" s="1115" t="n">
        <f aca="false">DT128*BE128</f>
        <v>0</v>
      </c>
      <c r="EE128" s="1115" t="n">
        <f aca="false">DU128*BF128</f>
        <v>0</v>
      </c>
      <c r="EF128" s="1115" t="n">
        <f aca="false">DV128*BG128</f>
        <v>0</v>
      </c>
      <c r="EG128" s="1115" t="n">
        <f aca="false">DS128*BD128+DT128*BE128+DU128*BF128+DV128*BG128</f>
        <v>0</v>
      </c>
      <c r="EH128" s="1116" t="n">
        <v>0</v>
      </c>
      <c r="EI128" s="1117" t="n">
        <v>0</v>
      </c>
      <c r="EJ128" s="1117" t="n">
        <v>0</v>
      </c>
      <c r="EK128" s="1117" t="n">
        <v>0</v>
      </c>
      <c r="EL128" s="1118" t="n">
        <f aca="false">IF(C128&gt;=Summary!$E$26,MAX(0,SUM(EH128:EK128)),0)</f>
        <v>0</v>
      </c>
      <c r="EM128" s="1115" t="n">
        <f aca="false">IF(C128&gt;=Summary!$E$26,DX128*BL128,0)</f>
        <v>0</v>
      </c>
      <c r="EN128" s="1115" t="n">
        <f aca="false">IF(C128&gt;=Summary!$E$26,DY128*BM128,0)</f>
        <v>0</v>
      </c>
      <c r="EO128" s="1115" t="n">
        <f aca="false">IF(C128&gt;=Summary!$E$26,DZ128*BN128,0)</f>
        <v>0</v>
      </c>
      <c r="EP128" s="1115" t="n">
        <f aca="false">IF(C128&gt;=Summary!$E$26,EA128*BO128,0)</f>
        <v>0</v>
      </c>
      <c r="EQ128" s="1115" t="n">
        <f aca="false">IF(C128&gt;=Summary!$E$26,DX128*BL128+DY128*BM128+DZ128*BN128+EA128*BO128,0)</f>
        <v>0</v>
      </c>
      <c r="ER128" s="1119" t="n">
        <v>0</v>
      </c>
      <c r="ES128" s="1120" t="n">
        <v>0</v>
      </c>
      <c r="ET128" s="1120" t="n">
        <v>0</v>
      </c>
      <c r="EU128" s="1120" t="n">
        <v>0</v>
      </c>
      <c r="EV128" s="1143" t="n">
        <f aca="false">IF(C128&gt;=Summary!$E$26,MAX(0,SUM(ER128:EU128)),0)</f>
        <v>0</v>
      </c>
      <c r="EW128" s="1115"/>
      <c r="EX128" s="1165" t="n">
        <f aca="false">(EQ128-EV128)+IF(EZ128="Yes",(EG128-EL128),0)</f>
        <v>0</v>
      </c>
      <c r="EY128" s="1166" t="str">
        <f aca="false">IF(EX128,EX128/EQ128,"")</f>
        <v/>
      </c>
      <c r="EZ128" s="1122" t="s">
        <v>37</v>
      </c>
      <c r="FA128" s="1096" t="n">
        <f aca="false">FA127</f>
        <v>45</v>
      </c>
      <c r="FB128" s="1167" t="n">
        <f aca="false">IF(EZ128="No",IF((OR(MONTH(C128)=5,MONTH(C128)=6,MONTH(C128)=7,MONTH(C128)=8,MONTH(C128)=9)),$FA128*12*AX128*(1-$BC128),$FA128*10*AX128*(1-$BC128)),0)</f>
        <v>9751.5</v>
      </c>
      <c r="FC128" s="1129" t="n">
        <f aca="false">IF(EZ128="No",IF((OR(MONTH(C128)=5,MONTH(C128)=6,MONTH(C128)=7,MONTH(C128)=8,MONTH(C128)=9)),0,$FA128*3*AX128*(1-$BC128)),0)</f>
        <v>2925.45</v>
      </c>
      <c r="FD128" s="1129" t="n">
        <f aca="false">IF(EZ128="No",IF((OR(MONTH(C128)=5,MONTH(C128)=6,MONTH(C128)=7,MONTH(C128)=8,MONTH(C128)=9)),$FA128*12*AY128*(1-$BC128),$FA128*10*AY128*(1-$BC128)),0)</f>
        <v>1773</v>
      </c>
      <c r="FE128" s="1129" t="n">
        <f aca="false">IF(EZ128="No",IF((OR(MONTH(C128)=5,MONTH(C128)=6,MONTH(C128)=7,MONTH(C128)=8,MONTH(C128)=9)),0,$FA128*3*AY128*(1-$BC128)),0)</f>
        <v>531.9</v>
      </c>
      <c r="FF128" s="1129" t="n">
        <f aca="false">IF(EZ128="No",IF((OR(MONTH(C128)=5,MONTH(C128)=6,MONTH(C128)=7,MONTH(C128)=8,MONTH(C128)=9)),$FA128*12*(AZ128+BA128)*(1-$BC128),$FA128*10*(AZ128+BA128)*(1-$BC128)),0)</f>
        <v>1773</v>
      </c>
      <c r="FG128" s="1129" t="n">
        <f aca="false">IF(EZ128="No",IF((OR(MONTH(C128)=5,MONTH(C128)=6,MONTH(C128)=7,MONTH(C128)=8,MONTH(C128)=9)),0,$FA128*3*(AZ128+BA128)*(1-$BC128)),0)</f>
        <v>531.9</v>
      </c>
      <c r="FH128" s="1170" t="n">
        <f aca="false">IF(EZ128="No",IF((OR(MONTH(C128)=5,MONTH(C128)=6,MONTH(C128)=7,MONTH(C128)=8,MONTH(C128)=9)),Summary!$O$15*12*(AX128+AY128+AZ128+BA128)*(1-$BC128),Summary!$O$15*13*(AX128+AY128+AZ128+BA128)*(1-$BC128)+IF(Summary!$O$16="Yes",(CALC!FA128+Summary!$O$15)*6*(AX128+AY128+AZ128+BA128)*(1-$BC128),0)),0)</f>
        <v>0</v>
      </c>
      <c r="FI128" s="1126" t="n">
        <f aca="false">IF(MONTH(C128)=5,FI127*(IF(Summary!$E$70="no",(1+(Summary!$E$71*0.8)),1+HLOOKUP(YEAR(C128)-1,CCFMODEL!$I$127:$AF$128,2)*0.8)),+FI127)</f>
        <v>32.9323923735024</v>
      </c>
      <c r="FJ128" s="1127" t="n">
        <f aca="false">IF(MONTH(C128)=5,FJ127*(IF(Summary!$E$70="no",(1+(Summary!$E$71*0.8)),1+HLOOKUP(YEAR(CALC!C128)-1,CCFMODEL!$I$127:$AF$128,2)*0.8)),FJ127)</f>
        <v>28.7834295547934</v>
      </c>
      <c r="FK128" s="1128" t="n">
        <f aca="false">SUM(FB128:FG128)*FI128+FH128*FJ128</f>
        <v>569294.033862643</v>
      </c>
      <c r="FL128" s="1126" t="n">
        <f aca="false">IF(MONTH(C128)=5,FL127*(IF(Summary!$E$70="no",(1+(Summary!$E$71*0.8)),1+HLOOKUP(YEAR(CALC!C128)-1,CCFMODEL!$I$127:$AF$128,2)*0.8)),+FL127)</f>
        <v>69.26051324446</v>
      </c>
      <c r="FM128" s="1127" t="n">
        <f aca="false">IF(MONTH(C128)=5,FM127*(IF(Summary!$E$70="no",(1+(Summary!$E$71*0.8)),1+HLOOKUP(YEAR(CALC!C128)-1,CCFMODEL!$I$127:$AF$128,2)*0.8)),+FM127)</f>
        <v>33.0558734097735</v>
      </c>
      <c r="FN128" s="1128" t="n">
        <f aca="false">IF((OR(MONTH(C128)=5,MONTH(C128)=6,MONTH(C128)=7,MONTH(C128)=8,MONTH(C128)=9)),SUM(FB128:FG128)/(1-BC128)*FL128,SUM(FB128:FG128)/(1-BC128)*FM128)</f>
        <v>580130.578341525</v>
      </c>
      <c r="FO128" s="1129" t="n">
        <f aca="false">FK128+FN128</f>
        <v>1149424.61220417</v>
      </c>
      <c r="FP128" s="1169" t="n">
        <f aca="false">FB128</f>
        <v>9751.5</v>
      </c>
      <c r="FQ128" s="1129" t="n">
        <f aca="false">FC128</f>
        <v>2925.45</v>
      </c>
      <c r="FR128" s="1129" t="n">
        <f aca="false">FD128</f>
        <v>1773</v>
      </c>
      <c r="FS128" s="1129" t="n">
        <f aca="false">FE128</f>
        <v>531.9</v>
      </c>
      <c r="FT128" s="1129" t="n">
        <f aca="false">FF128</f>
        <v>1773</v>
      </c>
      <c r="FU128" s="1129" t="n">
        <f aca="false">FG128</f>
        <v>531.9</v>
      </c>
      <c r="FV128" s="1170" t="n">
        <f aca="false">FH128</f>
        <v>0</v>
      </c>
      <c r="FW128" s="1115" t="n">
        <f aca="false">IF(ER128&gt;0,MIN(FB128-FP128,BL128),0)</f>
        <v>0</v>
      </c>
      <c r="FX128" s="1115" t="n">
        <f aca="false">IF(ES128&gt;0,MIN(FD128-FR128,BM128),0)</f>
        <v>0</v>
      </c>
      <c r="FY128" s="1115" t="n">
        <f aca="false">IF(ET128&gt;0,MIN(FF128-FT128,BN128),0)</f>
        <v>0</v>
      </c>
      <c r="FZ128" s="1143" t="n">
        <f aca="false">IF(EU128&gt;0,MIN(FH128-FV128,BO128),0)</f>
        <v>0</v>
      </c>
      <c r="GA128" s="1132" t="n">
        <f aca="false">(SUM(FP128:FV128)+SUM(GU128:HB128)/(1-Summary!$O$25))*CY128/1000</f>
        <v>227204.006450112</v>
      </c>
      <c r="GB128" s="1133" t="n">
        <f aca="false">IF($C128&lt;Summary!$M$81,+Summary!$O$81,VLOOKUP(C128,GasTable,19))</f>
        <v>2.4</v>
      </c>
      <c r="GC128" s="1134" t="n">
        <f aca="false">IF(H128&lt;=Summary!$N$84,MIN(GA128,Summary!$O$75*(H128-G128+1)),0)</f>
        <v>150000</v>
      </c>
      <c r="GD128" s="1135" t="n">
        <f aca="false">IF(Summary!$O$75*(H128-G128+1)*0.8&gt;GC128,1,0)</f>
        <v>0</v>
      </c>
      <c r="GE128" s="1136" t="n">
        <v>0</v>
      </c>
      <c r="GF128" s="1134" t="n">
        <f aca="false">ABS(MIN(0,GC128-$GA128))</f>
        <v>77204.006450112</v>
      </c>
      <c r="GG128" s="1135" t="n">
        <f aca="false">GF128*(IF(Summary!$O$74=1,VLOOKUP($C128,GasTable,16)+Summary!$O$92+Summary!$O$93,VLOOKUP($C128,GasTable,19)+Summary!$O$92+Summary!$O$93))</f>
        <v>228647.072967724</v>
      </c>
      <c r="GH128" s="1137" t="n">
        <v>18504</v>
      </c>
      <c r="GI128" s="1138" t="n">
        <v>0</v>
      </c>
      <c r="GJ128" s="1139" t="n">
        <f aca="false">+GB128*GC128+GE128+GG128+GH128-GI128</f>
        <v>607151.072967724</v>
      </c>
      <c r="GK128" s="1115" t="n">
        <f aca="false">SUM(FP128:FV128,GU128:GX128,GY128:HB128)</f>
        <v>29092.2705</v>
      </c>
      <c r="GL128" s="1140" t="n">
        <v>0.755795844352</v>
      </c>
      <c r="GM128" s="1141" t="n">
        <f aca="false">IF(GK128&gt;GC128/(CY128/1000),GC128/(CY128/1000),+GK128)*GL128</f>
        <v>14730</v>
      </c>
      <c r="GN128" s="1115" t="n">
        <f aca="false">IF(SUM(GU128:HB128)=0,0,IF(Summary!$O$16="Yes",SUM(GX128:HB128),IF(Summary!$O$17="Yes",SUM(GY128:HB128),SUM(GU128:HB128))))</f>
        <v>11805.5205</v>
      </c>
      <c r="GO128" s="1142" t="n">
        <v>3.10474112454317</v>
      </c>
      <c r="GP128" s="1143" t="n">
        <f aca="false">GN128*GO128</f>
        <v>36653.0849929875</v>
      </c>
      <c r="GQ128" s="1115"/>
      <c r="GR128" s="1115"/>
      <c r="GS128" s="1115"/>
      <c r="GT128" s="1115"/>
      <c r="GU128" s="1150" t="n">
        <v>5646.1185</v>
      </c>
      <c r="GV128" s="1115" t="n">
        <v>1026.567</v>
      </c>
      <c r="GW128" s="1115" t="n">
        <v>1026.567</v>
      </c>
      <c r="GX128" s="1115"/>
      <c r="GY128" s="1151" t="n">
        <v>3011.2632</v>
      </c>
      <c r="GZ128" s="1115" t="n">
        <v>547.5024</v>
      </c>
      <c r="HA128" s="1115" t="n">
        <v>547.5024</v>
      </c>
      <c r="HB128" s="1141"/>
      <c r="HC128" s="1115" t="n">
        <v>11805.5205</v>
      </c>
      <c r="HD128" s="1115"/>
      <c r="HE128" s="1115" t="n">
        <v>20274.69825</v>
      </c>
      <c r="HF128" s="1115" t="n">
        <v>408907.663669288</v>
      </c>
      <c r="HG128" s="1115"/>
      <c r="HH128" s="1142" t="n">
        <v>34.0111100961771</v>
      </c>
      <c r="HI128" s="1115" t="n">
        <v>689564.994347519</v>
      </c>
      <c r="HJ128" s="1150" t="n">
        <f aca="false">MAX(FB128-FP128-FW128,0)</f>
        <v>0</v>
      </c>
      <c r="HK128" s="1115" t="n">
        <f aca="false">MAX(FD128-FR128-FX128,0)</f>
        <v>0</v>
      </c>
      <c r="HL128" s="1115" t="n">
        <f aca="false">MAX(FF128-FT128-FY128,0)</f>
        <v>0</v>
      </c>
      <c r="HM128" s="1141" t="n">
        <f aca="false">MAX(FH128-FV128-FZ128,0)</f>
        <v>0</v>
      </c>
      <c r="HN128" s="1115" t="n">
        <f aca="false">SUM(HJ128:HM128)</f>
        <v>0</v>
      </c>
      <c r="HO128" s="1142" t="n">
        <f aca="false">IF(ISERROR(+HP128/HN128),0,+HP128/HN128)</f>
        <v>0</v>
      </c>
      <c r="HP128" s="1143" t="n">
        <f aca="false">(HJ128*CE128+HK128*CF128+HL128*CG128+HM128*CH128)</f>
        <v>0</v>
      </c>
      <c r="HQ128" s="1142"/>
      <c r="HR128" s="1150"/>
      <c r="HS128" s="1110"/>
      <c r="HT128" s="1141"/>
      <c r="HU128" s="1151"/>
      <c r="HV128" s="1142"/>
      <c r="HW128" s="1115"/>
      <c r="HX128" s="1149"/>
      <c r="HY128" s="1143"/>
      <c r="HZ128" s="1150"/>
      <c r="IA128" s="1142"/>
      <c r="IB128" s="1141"/>
      <c r="IC128" s="1151"/>
      <c r="ID128" s="1142"/>
      <c r="IE128" s="1141"/>
      <c r="IF128" s="1115"/>
      <c r="IG128" s="1142"/>
      <c r="IH128" s="1141"/>
      <c r="II128" s="1115"/>
      <c r="IJ128" s="1142"/>
      <c r="IK128" s="1115"/>
      <c r="IL128" s="1152"/>
      <c r="IM128" s="1192"/>
      <c r="IN128" s="1151"/>
      <c r="IO128" s="1151"/>
      <c r="IP128" s="1151"/>
      <c r="IQ128" s="1151"/>
      <c r="IR128" s="844"/>
    </row>
    <row r="129" customFormat="false" ht="13.5" hidden="false" customHeight="false" outlineLevel="0" collapsed="false">
      <c r="A129" s="0" t="str">
        <f aca="false">+D129&amp;"Q"&amp;ROUNDUP(E129/3,0)</f>
        <v>2009Q2</v>
      </c>
      <c r="B129" s="0" t="n">
        <f aca="false">YEAR(C129)</f>
        <v>2009</v>
      </c>
      <c r="C129" s="1153" t="n">
        <f aca="false">EOMONTH(C128,0)+1</f>
        <v>39934</v>
      </c>
      <c r="D129" s="841" t="n">
        <f aca="false">+YEAR(C129)</f>
        <v>2009</v>
      </c>
      <c r="E129" s="807" t="n">
        <f aca="false">MONTH(C129)</f>
        <v>5</v>
      </c>
      <c r="F129" s="1154" t="e">
        <f aca="false">IF(G129="","",Holiday(D129,E129))</f>
        <v>#VALUE!</v>
      </c>
      <c r="G129" s="1155" t="n">
        <v>39934</v>
      </c>
      <c r="H129" s="1156" t="n">
        <v>39964</v>
      </c>
      <c r="I129" s="1157" t="n">
        <f aca="false">I128</f>
        <v>0.0715</v>
      </c>
      <c r="J129" s="1158" t="n">
        <f aca="false">(1+I129/2)^(-2*(DATE(D130,E130,20)-$H$7)/365.25)</f>
        <v>0.512540282079342</v>
      </c>
      <c r="K129" s="1159"/>
      <c r="L129" s="1158"/>
      <c r="M129" s="1082" t="n">
        <v>0</v>
      </c>
      <c r="N129" s="1110" t="n">
        <f aca="false">M129</f>
        <v>0</v>
      </c>
      <c r="O129" s="1174" t="n">
        <f aca="false">N129</f>
        <v>0</v>
      </c>
      <c r="P129" s="1175" t="n">
        <f aca="false">M129</f>
        <v>0</v>
      </c>
      <c r="Q129" s="1110" t="n">
        <f aca="false">P129</f>
        <v>0</v>
      </c>
      <c r="R129" s="1174" t="n">
        <f aca="false">Q129</f>
        <v>0</v>
      </c>
      <c r="S129" s="1110" t="n">
        <f aca="false">R129</f>
        <v>0</v>
      </c>
      <c r="T129" s="1110" t="n">
        <f aca="false">S129</f>
        <v>0</v>
      </c>
      <c r="U129" s="1110" t="n">
        <f aca="false">T129</f>
        <v>0</v>
      </c>
      <c r="V129" s="1175" t="n">
        <f aca="false">U129</f>
        <v>0</v>
      </c>
      <c r="W129" s="1110" t="n">
        <f aca="false">V129</f>
        <v>0</v>
      </c>
      <c r="X129" s="1176" t="n">
        <f aca="false">W129</f>
        <v>0</v>
      </c>
      <c r="Y129" s="1086" t="n">
        <v>0</v>
      </c>
      <c r="Z129" s="1086" t="n">
        <v>0</v>
      </c>
      <c r="AA129" s="1087" t="n">
        <v>0</v>
      </c>
      <c r="AB129" s="1086" t="n">
        <v>0</v>
      </c>
      <c r="AC129" s="1086" t="n">
        <v>0</v>
      </c>
      <c r="AD129" s="1087" t="n">
        <v>0</v>
      </c>
      <c r="AE129" s="1086" t="n">
        <v>0</v>
      </c>
      <c r="AF129" s="1086" t="n">
        <v>0</v>
      </c>
      <c r="AG129" s="1087" t="n">
        <v>0</v>
      </c>
      <c r="AH129" s="1086" t="n">
        <v>0</v>
      </c>
      <c r="AI129" s="1086" t="n">
        <v>0</v>
      </c>
      <c r="AJ129" s="1087" t="n">
        <v>0</v>
      </c>
      <c r="AK129" s="1086" t="n">
        <v>0</v>
      </c>
      <c r="AL129" s="1086" t="n">
        <v>0</v>
      </c>
      <c r="AM129" s="1087" t="n">
        <v>0</v>
      </c>
      <c r="AN129" s="1086" t="n">
        <v>0</v>
      </c>
      <c r="AO129" s="1086" t="n">
        <v>0</v>
      </c>
      <c r="AP129" s="1087" t="n">
        <v>0</v>
      </c>
      <c r="AQ129" s="1086" t="n">
        <v>0</v>
      </c>
      <c r="AR129" s="1086" t="n">
        <v>0</v>
      </c>
      <c r="AS129" s="1087" t="n">
        <v>0</v>
      </c>
      <c r="AT129" s="1086" t="n">
        <v>0</v>
      </c>
      <c r="AU129" s="1086" t="n">
        <v>0</v>
      </c>
      <c r="AV129" s="1086" t="n">
        <v>0</v>
      </c>
      <c r="AW129" s="1172" t="n">
        <v>0</v>
      </c>
      <c r="AX129" s="807" t="e">
        <f aca="false">BB129-SUM(AY129:BA129)</f>
        <v>#VALUE!</v>
      </c>
      <c r="AY129" s="807" t="e">
        <f aca="false">IF(AND($E129=MONTH(Summary!$E$24),$D129=YEAR(Summary!$E$24)),Summary!$E$25,1)*IF(G129="",0,INT((H129-MOD(H129,7)-G129)/7)+1-IF(BA129,IF(WEEKDAY(F129)=7,1,0),0))</f>
        <v>#VALUE!</v>
      </c>
      <c r="AZ129" s="807" t="e">
        <f aca="false">IF(AND($E129=MONTH(Summary!$E$24),$D129=YEAR(Summary!$E$24)),Summary!$E$25,1)*IF(G129="",0,INT((H129-MOD(H129-1,7)-G129)/7)+1-IF(BA129,IF(WEEKDAY(F129)=1,1,0),0))</f>
        <v>#VALUE!</v>
      </c>
      <c r="BA129" s="807" t="n">
        <v>1</v>
      </c>
      <c r="BB129" s="807" t="n">
        <f aca="false">IF(AND($E129=MONTH(Summary!$E$24),$D129=YEAR(Summary!$E$24)),Summary!$E$25,1)*IF(G129="",0,H129-G129+1)</f>
        <v>31</v>
      </c>
      <c r="BC129" s="1089" t="n">
        <f aca="false">Summary!$E$19</f>
        <v>0.015</v>
      </c>
      <c r="BD129" s="1090" t="n">
        <v>14184</v>
      </c>
      <c r="BE129" s="1091" t="n">
        <v>3546</v>
      </c>
      <c r="BF129" s="1091" t="n">
        <v>4255.2</v>
      </c>
      <c r="BG129" s="842"/>
      <c r="BH129" s="1092" t="n">
        <v>1</v>
      </c>
      <c r="BI129" s="1092" t="n">
        <v>1</v>
      </c>
      <c r="BJ129" s="1092" t="n">
        <v>1</v>
      </c>
      <c r="BK129" s="1092" t="n">
        <v>1</v>
      </c>
      <c r="BL129" s="1093" t="n">
        <v>2836.8</v>
      </c>
      <c r="BM129" s="1091" t="n">
        <v>709.2</v>
      </c>
      <c r="BN129" s="1091" t="n">
        <v>851.04</v>
      </c>
      <c r="BO129" s="842"/>
      <c r="BP129" s="1092" t="n">
        <v>1</v>
      </c>
      <c r="BQ129" s="1094" t="n">
        <v>1</v>
      </c>
      <c r="BR129" s="1094" t="n">
        <v>1</v>
      </c>
      <c r="BS129" s="1095" t="n">
        <v>1</v>
      </c>
      <c r="BT129" s="1093" t="n">
        <f aca="false">SUM(BD129:BF129)</f>
        <v>21985.2</v>
      </c>
      <c r="BU129" s="1098" t="n">
        <f aca="false">SUM(BD129:BG129)</f>
        <v>21985.2</v>
      </c>
      <c r="BV129" s="1090" t="n">
        <f aca="false">SUM(BL129:BN129)</f>
        <v>4397.04</v>
      </c>
      <c r="BW129" s="1098" t="n">
        <f aca="false">SUM(BL129:BO129)</f>
        <v>4397.04</v>
      </c>
      <c r="BX129" s="852" t="n">
        <v>9.37713894592745</v>
      </c>
      <c r="BY129" s="1099" t="n">
        <v>0</v>
      </c>
      <c r="BZ129" s="852" t="n">
        <v>0</v>
      </c>
      <c r="CA129" s="852" t="n">
        <v>0</v>
      </c>
      <c r="CB129" s="852" t="n">
        <v>0</v>
      </c>
      <c r="CC129" s="852" t="n">
        <v>0</v>
      </c>
      <c r="CD129" s="852" t="n">
        <v>0</v>
      </c>
      <c r="CE129" s="1100" t="n">
        <v>0</v>
      </c>
      <c r="CF129" s="852" t="n">
        <v>0</v>
      </c>
      <c r="CG129" s="852" t="n">
        <v>0</v>
      </c>
      <c r="CH129" s="852" t="n">
        <v>0</v>
      </c>
      <c r="CI129" s="852" t="n">
        <v>0</v>
      </c>
      <c r="CJ129" s="1101" t="n">
        <v>0</v>
      </c>
      <c r="CK129" s="852" t="n">
        <v>0</v>
      </c>
      <c r="CL129" s="852" t="n">
        <v>0</v>
      </c>
      <c r="CM129" s="852" t="n">
        <v>0</v>
      </c>
      <c r="CN129" s="852" t="n">
        <v>0</v>
      </c>
      <c r="CO129" s="852" t="n">
        <v>0</v>
      </c>
      <c r="CP129" s="852" t="n">
        <v>0</v>
      </c>
      <c r="CQ129" s="1102" t="n">
        <v>0</v>
      </c>
      <c r="CR129" s="1103" t="n">
        <v>0</v>
      </c>
      <c r="CS129" s="1103" t="n">
        <v>0</v>
      </c>
      <c r="CT129" s="1103" t="n">
        <v>0</v>
      </c>
      <c r="CU129" s="1103" t="n">
        <v>0</v>
      </c>
      <c r="CV129" s="1103" t="n">
        <v>0</v>
      </c>
      <c r="CW129" s="1103" t="n">
        <v>0</v>
      </c>
      <c r="CX129" s="1104" t="n">
        <v>0</v>
      </c>
      <c r="CY129" s="1105" t="n">
        <v>7698.52632</v>
      </c>
      <c r="CZ129" s="1099" t="n">
        <v>0</v>
      </c>
      <c r="DA129" s="852" t="n">
        <v>0</v>
      </c>
      <c r="DB129" s="852" t="n">
        <v>0</v>
      </c>
      <c r="DC129" s="852" t="n">
        <v>0</v>
      </c>
      <c r="DD129" s="852" t="n">
        <v>0</v>
      </c>
      <c r="DE129" s="1113" t="n">
        <v>0</v>
      </c>
      <c r="DF129" s="1109" t="n">
        <v>0</v>
      </c>
      <c r="DG129" s="1110" t="n">
        <v>0</v>
      </c>
      <c r="DH129" s="1111" t="n">
        <v>0</v>
      </c>
      <c r="DI129" s="1112" t="n">
        <v>0</v>
      </c>
      <c r="DJ129" s="1112" t="n">
        <v>0</v>
      </c>
      <c r="DK129" s="1112" t="n">
        <v>0</v>
      </c>
      <c r="DL129" s="1113" t="n">
        <v>0</v>
      </c>
      <c r="DM129" s="1114" t="n">
        <v>0</v>
      </c>
      <c r="DN129" s="1114" t="n">
        <v>0</v>
      </c>
      <c r="DO129" s="1114" t="n">
        <v>0</v>
      </c>
      <c r="DP129" s="1114" t="n">
        <v>0</v>
      </c>
      <c r="DQ129" s="1114" t="n">
        <v>0</v>
      </c>
      <c r="DR129" s="1109" t="n">
        <v>0</v>
      </c>
      <c r="DS129" s="852" t="n">
        <v>0</v>
      </c>
      <c r="DT129" s="852" t="n">
        <v>0</v>
      </c>
      <c r="DU129" s="852" t="n">
        <v>0</v>
      </c>
      <c r="DV129" s="852" t="n">
        <v>0</v>
      </c>
      <c r="DW129" s="852" t="n">
        <v>0</v>
      </c>
      <c r="DX129" s="852" t="n">
        <v>0</v>
      </c>
      <c r="DY129" s="852" t="n">
        <v>0</v>
      </c>
      <c r="DZ129" s="852" t="n">
        <v>0</v>
      </c>
      <c r="EA129" s="852" t="n">
        <v>0</v>
      </c>
      <c r="EB129" s="1113" t="n">
        <v>0</v>
      </c>
      <c r="EC129" s="1115" t="n">
        <f aca="false">DS129*BD129</f>
        <v>0</v>
      </c>
      <c r="ED129" s="1115" t="n">
        <f aca="false">DT129*BE129</f>
        <v>0</v>
      </c>
      <c r="EE129" s="1115" t="n">
        <f aca="false">DU129*BF129</f>
        <v>0</v>
      </c>
      <c r="EF129" s="1115" t="n">
        <f aca="false">DV129*BG129</f>
        <v>0</v>
      </c>
      <c r="EG129" s="1115" t="n">
        <f aca="false">DS129*BD129+DT129*BE129+DU129*BF129+DV129*BG129</f>
        <v>0</v>
      </c>
      <c r="EH129" s="1116" t="n">
        <v>0</v>
      </c>
      <c r="EI129" s="1117" t="n">
        <v>0</v>
      </c>
      <c r="EJ129" s="1117" t="n">
        <v>0</v>
      </c>
      <c r="EK129" s="1117" t="n">
        <v>0</v>
      </c>
      <c r="EL129" s="1118" t="n">
        <f aca="false">IF(C129&gt;=Summary!$E$26,MAX(0,SUM(EH129:EK129)),0)</f>
        <v>0</v>
      </c>
      <c r="EM129" s="1115" t="n">
        <f aca="false">IF(C129&gt;=Summary!$E$26,DX129*BL129,0)</f>
        <v>0</v>
      </c>
      <c r="EN129" s="1115" t="n">
        <f aca="false">IF(C129&gt;=Summary!$E$26,DY129*BM129,0)</f>
        <v>0</v>
      </c>
      <c r="EO129" s="1115" t="n">
        <f aca="false">IF(C129&gt;=Summary!$E$26,DZ129*BN129,0)</f>
        <v>0</v>
      </c>
      <c r="EP129" s="1115" t="n">
        <f aca="false">IF(C129&gt;=Summary!$E$26,EA129*BO129,0)</f>
        <v>0</v>
      </c>
      <c r="EQ129" s="1115" t="n">
        <f aca="false">IF(C129&gt;=Summary!$E$26,DX129*BL129+DY129*BM129+DZ129*BN129+EA129*BO129,0)</f>
        <v>0</v>
      </c>
      <c r="ER129" s="1119" t="n">
        <v>0</v>
      </c>
      <c r="ES129" s="1120" t="n">
        <v>0</v>
      </c>
      <c r="ET129" s="1120" t="n">
        <v>0</v>
      </c>
      <c r="EU129" s="1120" t="n">
        <v>0</v>
      </c>
      <c r="EV129" s="1143" t="n">
        <f aca="false">IF(C129&gt;=Summary!$E$26,MAX(0,SUM(ER129:EU129)),0)</f>
        <v>0</v>
      </c>
      <c r="EW129" s="1115"/>
      <c r="EX129" s="1165" t="n">
        <f aca="false">(EQ129-EV129)+IF(EZ129="Yes",(EG129-EL129),0)</f>
        <v>0</v>
      </c>
      <c r="EY129" s="1166" t="str">
        <f aca="false">IF(EX129,EX129/EQ129,"")</f>
        <v/>
      </c>
      <c r="EZ129" s="1122" t="s">
        <v>37</v>
      </c>
      <c r="FA129" s="1096" t="n">
        <f aca="false">FA128</f>
        <v>45</v>
      </c>
      <c r="FB129" s="1167" t="e">
        <f aca="false">IF(EZ129="No",IF((OR(MONTH(C129)=5,MONTH(C129)=6,MONTH(C129)=7,MONTH(C129)=8,MONTH(C129)=9)),$FA129*12*AX129*(1-$BC129),$FA129*10*AX129*(1-$BC129)),0)</f>
        <v>#VALUE!</v>
      </c>
      <c r="FC129" s="1129" t="n">
        <f aca="false">IF(EZ129="No",IF((OR(MONTH(C129)=5,MONTH(C129)=6,MONTH(C129)=7,MONTH(C129)=8,MONTH(C129)=9)),0,$FA129*3*AX129*(1-$BC129)),0)</f>
        <v>0</v>
      </c>
      <c r="FD129" s="1129" t="e">
        <f aca="false">IF(EZ129="No",IF((OR(MONTH(C129)=5,MONTH(C129)=6,MONTH(C129)=7,MONTH(C129)=8,MONTH(C129)=9)),$FA129*12*AY129*(1-$BC129),$FA129*10*AY129*(1-$BC129)),0)</f>
        <v>#VALUE!</v>
      </c>
      <c r="FE129" s="1129" t="n">
        <f aca="false">IF(EZ129="No",IF((OR(MONTH(C129)=5,MONTH(C129)=6,MONTH(C129)=7,MONTH(C129)=8,MONTH(C129)=9)),0,$FA129*3*AY129*(1-$BC129)),0)</f>
        <v>0</v>
      </c>
      <c r="FF129" s="1129" t="e">
        <f aca="false">IF(EZ129="No",IF((OR(MONTH(C129)=5,MONTH(C129)=6,MONTH(C129)=7,MONTH(C129)=8,MONTH(C129)=9)),$FA129*12*(AZ129+BA129)*(1-$BC129),$FA129*10*(AZ129+BA129)*(1-$BC129)),0)</f>
        <v>#VALUE!</v>
      </c>
      <c r="FG129" s="1129" t="n">
        <f aca="false">IF(EZ129="No",IF((OR(MONTH(C129)=5,MONTH(C129)=6,MONTH(C129)=7,MONTH(C129)=8,MONTH(C129)=9)),0,$FA129*3*(AZ129+BA129)*(1-$BC129)),0)</f>
        <v>0</v>
      </c>
      <c r="FH129" s="1170" t="e">
        <f aca="false">IF(EZ129="No",IF((OR(MONTH(C129)=5,MONTH(C129)=6,MONTH(C129)=7,MONTH(C129)=8,MONTH(C129)=9)),Summary!$O$15*12*(AX129+AY129+AZ129+BA129)*(1-$BC129),Summary!$O$15*13*(AX129+AY129+AZ129+BA129)*(1-$BC129)+IF(Summary!$O$16="Yes",(CALC!FA129+Summary!$O$15)*6*(AX129+AY129+AZ129+BA129)*(1-$BC129),0)),0)</f>
        <v>#VALUE!</v>
      </c>
      <c r="FI129" s="1126" t="n">
        <f aca="false">IF(MONTH(C129)=5,FI128*(IF(Summary!$E$70="no",(1+(Summary!$E$71*0.8)),1+HLOOKUP(YEAR(C129)-1,CCFMODEL!$I$127:$AF$128,2)*0.8)),+FI128)</f>
        <v>33.7227697904665</v>
      </c>
      <c r="FJ129" s="1127" t="n">
        <f aca="false">IF(MONTH(C129)=5,FJ128*(IF(Summary!$E$70="no",(1+(Summary!$E$71*0.8)),1+HLOOKUP(YEAR(CALC!C129)-1,CCFMODEL!$I$127:$AF$128,2)*0.8)),FJ128)</f>
        <v>29.4742318641085</v>
      </c>
      <c r="FK129" s="1128" t="e">
        <f aca="false">SUM(FB129:FG129)*FI129+FH129*FJ129</f>
        <v>#VALUE!</v>
      </c>
      <c r="FL129" s="1126" t="n">
        <f aca="false">IF(MONTH(C129)=5,FL128*(IF(Summary!$E$70="no",(1+(Summary!$E$71*0.8)),1+HLOOKUP(YEAR(CALC!C129)-1,CCFMODEL!$I$127:$AF$128,2)*0.8)),+FL128)</f>
        <v>70.9227655623271</v>
      </c>
      <c r="FM129" s="1127" t="n">
        <f aca="false">IF(MONTH(C129)=5,FM128*(IF(Summary!$E$70="no",(1+(Summary!$E$71*0.8)),1+HLOOKUP(YEAR(CALC!C129)-1,CCFMODEL!$I$127:$AF$128,2)*0.8)),+FM128)</f>
        <v>33.8492143716081</v>
      </c>
      <c r="FN129" s="1128" t="e">
        <f aca="false">IF((OR(MONTH(C129)=5,MONTH(C129)=6,MONTH(C129)=7,MONTH(C129)=8,MONTH(C129)=9)),SUM(FB129:FG129)/(1-BC129)*FL129,SUM(FB129:FG129)/(1-BC129)*FM129)</f>
        <v>#VALUE!</v>
      </c>
      <c r="FO129" s="1129" t="e">
        <f aca="false">FK129+FN129</f>
        <v>#VALUE!</v>
      </c>
      <c r="FP129" s="1169" t="e">
        <f aca="false">FB129</f>
        <v>#VALUE!</v>
      </c>
      <c r="FQ129" s="1129" t="n">
        <f aca="false">FC129</f>
        <v>0</v>
      </c>
      <c r="FR129" s="1129" t="e">
        <f aca="false">FD129</f>
        <v>#VALUE!</v>
      </c>
      <c r="FS129" s="1129" t="n">
        <f aca="false">FE129</f>
        <v>0</v>
      </c>
      <c r="FT129" s="1129" t="e">
        <f aca="false">FF129</f>
        <v>#VALUE!</v>
      </c>
      <c r="FU129" s="1129" t="n">
        <f aca="false">FG129</f>
        <v>0</v>
      </c>
      <c r="FV129" s="1170" t="e">
        <f aca="false">FH129</f>
        <v>#VALUE!</v>
      </c>
      <c r="FW129" s="1115" t="n">
        <f aca="false">IF(ER129&gt;0,MIN(FB129-FP129,BL129),0)</f>
        <v>0</v>
      </c>
      <c r="FX129" s="1115" t="n">
        <f aca="false">IF(ES129&gt;0,MIN(FD129-FR129,BM129),0)</f>
        <v>0</v>
      </c>
      <c r="FY129" s="1115" t="n">
        <f aca="false">IF(ET129&gt;0,MIN(FF129-FT129,BN129),0)</f>
        <v>0</v>
      </c>
      <c r="FZ129" s="1143" t="n">
        <f aca="false">IF(EU129&gt;0,MIN(FH129-FV129,BO129),0)</f>
        <v>0</v>
      </c>
      <c r="GA129" s="1132" t="e">
        <f aca="false">(SUM(FP129:FV129)+SUM(GU129:HB129)/(1-Summary!$O$25))*CY129/1000</f>
        <v>#VALUE!</v>
      </c>
      <c r="GB129" s="1133" t="n">
        <f aca="false">IF($C129&lt;Summary!$M$81,+Summary!$O$81,VLOOKUP(C129,GasTable,19))</f>
        <v>2.4</v>
      </c>
      <c r="GC129" s="1134" t="e">
        <f aca="false">IF(H129&lt;=Summary!$N$84,MIN(GA129,Summary!$O$75*(H129-G129+1)),0)</f>
        <v>#VALUE!</v>
      </c>
      <c r="GD129" s="1135" t="e">
        <f aca="false">IF(Summary!$O$75*(H129-G129+1)*0.8&gt;GC129,1,0)</f>
        <v>#VALUE!</v>
      </c>
      <c r="GE129" s="1136" t="n">
        <v>0</v>
      </c>
      <c r="GF129" s="1134" t="e">
        <f aca="false">ABS(MIN(0,GC129-$GA129))</f>
        <v>#VALUE!</v>
      </c>
      <c r="GG129" s="1135" t="e">
        <f aca="false">GF129*(IF(Summary!$O$74=1,VLOOKUP($C129,GasTable,16)+Summary!$O$92+Summary!$O$93,VLOOKUP($C129,GasTable,19)+Summary!$O$92+Summary!$O$93))</f>
        <v>#VALUE!</v>
      </c>
      <c r="GH129" s="1137" t="n">
        <v>19065</v>
      </c>
      <c r="GI129" s="1138" t="n">
        <v>0</v>
      </c>
      <c r="GJ129" s="1139" t="e">
        <f aca="false">+GB129*GC129+GE129+GG129+GH129-GI129</f>
        <v>#VALUE!</v>
      </c>
      <c r="GK129" s="1115" t="e">
        <f aca="false">SUM(FP129:FV129,GU129:GX129,GY129:HB129)</f>
        <v>#VALUE!</v>
      </c>
      <c r="GL129" s="1140" t="n">
        <v>0.755995284624</v>
      </c>
      <c r="GM129" s="1141" t="e">
        <f aca="false">IF(GK129&gt;GC129/(CY129/1000),GC129/(CY129/1000),+GK129)*GL129</f>
        <v>#VALUE!</v>
      </c>
      <c r="GN129" s="1115" t="n">
        <f aca="false">IF(SUM(GU129:HB129)=0,0,IF(Summary!$O$16="Yes",SUM(GX129:HB129),IF(Summary!$O$17="Yes",SUM(GY129:HB129),SUM(GU129:HB129))))</f>
        <v>9547.0731</v>
      </c>
      <c r="GO129" s="1142" t="n">
        <v>3.10474112454317</v>
      </c>
      <c r="GP129" s="1143" t="n">
        <f aca="false">GN129*GO129</f>
        <v>29641.1904725899</v>
      </c>
      <c r="GQ129" s="1115"/>
      <c r="GR129" s="1115"/>
      <c r="GS129" s="1115"/>
      <c r="GT129" s="1115"/>
      <c r="GU129" s="1150" t="n">
        <v>3421.89</v>
      </c>
      <c r="GV129" s="1115" t="n">
        <v>855.4725</v>
      </c>
      <c r="GW129" s="1115" t="n">
        <v>1026.567</v>
      </c>
      <c r="GX129" s="1115"/>
      <c r="GY129" s="1151" t="n">
        <v>2737.512</v>
      </c>
      <c r="GZ129" s="1115" t="n">
        <v>684.378</v>
      </c>
      <c r="HA129" s="1115" t="n">
        <v>821.2536</v>
      </c>
      <c r="HB129" s="1141"/>
      <c r="HC129" s="1115" t="n">
        <v>9547.0731</v>
      </c>
      <c r="HD129" s="1115"/>
      <c r="HE129" s="1115" t="n">
        <v>22276.5039</v>
      </c>
      <c r="HF129" s="1115" t="n">
        <v>327792.215708521</v>
      </c>
      <c r="HG129" s="1115"/>
      <c r="HH129" s="1142" t="n">
        <v>34.7873433218338</v>
      </c>
      <c r="HI129" s="1115" t="n">
        <v>774940.389179469</v>
      </c>
      <c r="HJ129" s="1150" t="e">
        <f aca="false">MAX(FB129-FP129-FW129,0)</f>
        <v>#VALUE!</v>
      </c>
      <c r="HK129" s="1115" t="e">
        <f aca="false">MAX(FD129-FR129-FX129,0)</f>
        <v>#VALUE!</v>
      </c>
      <c r="HL129" s="1115" t="e">
        <f aca="false">MAX(FF129-FT129-FY129,0)</f>
        <v>#VALUE!</v>
      </c>
      <c r="HM129" s="1141" t="e">
        <f aca="false">MAX(FH129-FV129-FZ129,0)</f>
        <v>#VALUE!</v>
      </c>
      <c r="HN129" s="1115" t="e">
        <f aca="false">SUM(HJ129:HM129)</f>
        <v>#VALUE!</v>
      </c>
      <c r="HO129" s="1142" t="n">
        <f aca="false">IF(ISERROR(+HP129/HN129),0,+HP129/HN129)</f>
        <v>0</v>
      </c>
      <c r="HP129" s="1143" t="e">
        <f aca="false">(HJ129*CE129+HK129*CF129+HL129*CG129+HM129*CH129)</f>
        <v>#VALUE!</v>
      </c>
      <c r="HQ129" s="1142"/>
      <c r="HR129" s="1150"/>
      <c r="HS129" s="1110"/>
      <c r="HT129" s="1141"/>
      <c r="HU129" s="1151"/>
      <c r="HV129" s="1142"/>
      <c r="HW129" s="1115"/>
      <c r="HX129" s="1149"/>
      <c r="HY129" s="1143"/>
      <c r="HZ129" s="1150"/>
      <c r="IA129" s="1142"/>
      <c r="IB129" s="1141"/>
      <c r="IC129" s="1151"/>
      <c r="ID129" s="1142"/>
      <c r="IE129" s="1141"/>
      <c r="IF129" s="1115"/>
      <c r="IG129" s="1142"/>
      <c r="IH129" s="1141"/>
      <c r="II129" s="1115"/>
      <c r="IJ129" s="1142"/>
      <c r="IK129" s="1115"/>
      <c r="IL129" s="1152"/>
      <c r="IM129" s="1192"/>
      <c r="IN129" s="1151"/>
      <c r="IO129" s="1151"/>
      <c r="IP129" s="1151"/>
      <c r="IQ129" s="1151"/>
      <c r="IR129" s="844"/>
    </row>
    <row r="130" customFormat="false" ht="13.5" hidden="false" customHeight="false" outlineLevel="0" collapsed="false">
      <c r="A130" s="0" t="str">
        <f aca="false">+D130&amp;"Q"&amp;ROUNDUP(E130/3,0)</f>
        <v>2009Q2</v>
      </c>
      <c r="B130" s="0" t="n">
        <f aca="false">YEAR(C130)</f>
        <v>2009</v>
      </c>
      <c r="C130" s="1153" t="n">
        <f aca="false">EOMONTH(C129,0)+1</f>
        <v>39965</v>
      </c>
      <c r="D130" s="841" t="n">
        <f aca="false">+YEAR(C130)</f>
        <v>2009</v>
      </c>
      <c r="E130" s="807" t="n">
        <f aca="false">MONTH(C130)</f>
        <v>6</v>
      </c>
      <c r="F130" s="1154" t="e">
        <f aca="false">IF(G130="","",Holiday(D130,E130))</f>
        <v>#VALUE!</v>
      </c>
      <c r="G130" s="1155" t="n">
        <v>39965</v>
      </c>
      <c r="H130" s="1156" t="n">
        <v>39994</v>
      </c>
      <c r="I130" s="1157" t="n">
        <f aca="false">I129</f>
        <v>0.0715</v>
      </c>
      <c r="J130" s="1158" t="n">
        <f aca="false">(1+I130/2)^(-2*(DATE(D131,E131,20)-$H$7)/365.25)</f>
        <v>0.509591362643592</v>
      </c>
      <c r="K130" s="1159"/>
      <c r="L130" s="1158"/>
      <c r="M130" s="1082" t="n">
        <v>0</v>
      </c>
      <c r="N130" s="1110" t="n">
        <f aca="false">M130</f>
        <v>0</v>
      </c>
      <c r="O130" s="1174" t="n">
        <f aca="false">N130</f>
        <v>0</v>
      </c>
      <c r="P130" s="1175" t="n">
        <f aca="false">M130</f>
        <v>0</v>
      </c>
      <c r="Q130" s="1110" t="n">
        <f aca="false">P130</f>
        <v>0</v>
      </c>
      <c r="R130" s="1174" t="n">
        <f aca="false">Q130</f>
        <v>0</v>
      </c>
      <c r="S130" s="1110" t="n">
        <f aca="false">R130</f>
        <v>0</v>
      </c>
      <c r="T130" s="1110" t="n">
        <f aca="false">S130</f>
        <v>0</v>
      </c>
      <c r="U130" s="1110" t="n">
        <f aca="false">T130</f>
        <v>0</v>
      </c>
      <c r="V130" s="1175" t="n">
        <f aca="false">U130</f>
        <v>0</v>
      </c>
      <c r="W130" s="1110" t="n">
        <f aca="false">V130</f>
        <v>0</v>
      </c>
      <c r="X130" s="1176" t="n">
        <f aca="false">W130</f>
        <v>0</v>
      </c>
      <c r="Y130" s="1086" t="n">
        <v>0</v>
      </c>
      <c r="Z130" s="1086" t="n">
        <v>0</v>
      </c>
      <c r="AA130" s="1087" t="n">
        <v>0</v>
      </c>
      <c r="AB130" s="1086" t="n">
        <v>0</v>
      </c>
      <c r="AC130" s="1086" t="n">
        <v>0</v>
      </c>
      <c r="AD130" s="1087" t="n">
        <v>0</v>
      </c>
      <c r="AE130" s="1086" t="n">
        <v>0</v>
      </c>
      <c r="AF130" s="1086" t="n">
        <v>0</v>
      </c>
      <c r="AG130" s="1087" t="n">
        <v>0</v>
      </c>
      <c r="AH130" s="1086" t="n">
        <v>0</v>
      </c>
      <c r="AI130" s="1086" t="n">
        <v>0</v>
      </c>
      <c r="AJ130" s="1087" t="n">
        <v>0</v>
      </c>
      <c r="AK130" s="1086" t="n">
        <v>0</v>
      </c>
      <c r="AL130" s="1086" t="n">
        <v>0</v>
      </c>
      <c r="AM130" s="1087" t="n">
        <v>0</v>
      </c>
      <c r="AN130" s="1086" t="n">
        <v>0</v>
      </c>
      <c r="AO130" s="1086" t="n">
        <v>0</v>
      </c>
      <c r="AP130" s="1087" t="n">
        <v>0</v>
      </c>
      <c r="AQ130" s="1086" t="n">
        <v>0</v>
      </c>
      <c r="AR130" s="1086" t="n">
        <v>0</v>
      </c>
      <c r="AS130" s="1087" t="n">
        <v>0</v>
      </c>
      <c r="AT130" s="1086" t="n">
        <v>0</v>
      </c>
      <c r="AU130" s="1086" t="n">
        <v>0</v>
      </c>
      <c r="AV130" s="1086" t="n">
        <v>0</v>
      </c>
      <c r="AW130" s="1172" t="n">
        <v>0</v>
      </c>
      <c r="AX130" s="807" t="n">
        <f aca="false">BB130-SUM(AY130:BA130)</f>
        <v>22</v>
      </c>
      <c r="AY130" s="807" t="n">
        <f aca="false">IF(AND($E130=MONTH(Summary!$E$24),$D130=YEAR(Summary!$E$24)),Summary!$E$25,1)*IF(G130="",0,INT((H130-MOD(H130,7)-G130)/7)+1-IF(BA130,IF(WEEKDAY(F130)=7,1,0),0))</f>
        <v>4</v>
      </c>
      <c r="AZ130" s="807" t="n">
        <f aca="false">IF(AND($E130=MONTH(Summary!$E$24),$D130=YEAR(Summary!$E$24)),Summary!$E$25,1)*IF(G130="",0,INT((H130-MOD(H130-1,7)-G130)/7)+1-IF(BA130,IF(WEEKDAY(F130)=1,1,0),0))</f>
        <v>4</v>
      </c>
      <c r="BA130" s="807" t="n">
        <v>0</v>
      </c>
      <c r="BB130" s="807" t="n">
        <f aca="false">IF(AND($E130=MONTH(Summary!$E$24),$D130=YEAR(Summary!$E$24)),Summary!$E$25,1)*IF(G130="",0,H130-G130+1)</f>
        <v>30</v>
      </c>
      <c r="BC130" s="1089" t="n">
        <f aca="false">Summary!$E$19</f>
        <v>0.015</v>
      </c>
      <c r="BD130" s="1090" t="n">
        <v>15602.4</v>
      </c>
      <c r="BE130" s="1091" t="n">
        <v>2836.8</v>
      </c>
      <c r="BF130" s="1091" t="n">
        <v>2836.8</v>
      </c>
      <c r="BG130" s="842"/>
      <c r="BH130" s="1092" t="n">
        <v>1</v>
      </c>
      <c r="BI130" s="1092" t="n">
        <v>1</v>
      </c>
      <c r="BJ130" s="1092" t="n">
        <v>1</v>
      </c>
      <c r="BK130" s="1092" t="n">
        <v>1</v>
      </c>
      <c r="BL130" s="1093" t="n">
        <v>3120.48</v>
      </c>
      <c r="BM130" s="1091" t="n">
        <v>567.36</v>
      </c>
      <c r="BN130" s="1091" t="n">
        <v>567.36</v>
      </c>
      <c r="BO130" s="842"/>
      <c r="BP130" s="1092" t="n">
        <v>1</v>
      </c>
      <c r="BQ130" s="1094" t="n">
        <v>1</v>
      </c>
      <c r="BR130" s="1094" t="n">
        <v>1</v>
      </c>
      <c r="BS130" s="1095" t="n">
        <v>1</v>
      </c>
      <c r="BT130" s="1093" t="n">
        <f aca="false">SUM(BD130:BF130)</f>
        <v>21276</v>
      </c>
      <c r="BU130" s="1098" t="n">
        <f aca="false">SUM(BD130:BG130)</f>
        <v>21276</v>
      </c>
      <c r="BV130" s="1090" t="n">
        <f aca="false">SUM(BL130:BN130)</f>
        <v>4255.2</v>
      </c>
      <c r="BW130" s="1098" t="n">
        <f aca="false">SUM(BL130:BO130)</f>
        <v>4255.2</v>
      </c>
      <c r="BX130" s="852" t="n">
        <v>9.46201232032854</v>
      </c>
      <c r="BY130" s="1099" t="n">
        <v>0</v>
      </c>
      <c r="BZ130" s="852" t="n">
        <v>0</v>
      </c>
      <c r="CA130" s="852" t="n">
        <v>0</v>
      </c>
      <c r="CB130" s="852" t="n">
        <v>0</v>
      </c>
      <c r="CC130" s="852" t="n">
        <v>0</v>
      </c>
      <c r="CD130" s="852" t="n">
        <v>0</v>
      </c>
      <c r="CE130" s="1100" t="n">
        <v>0</v>
      </c>
      <c r="CF130" s="852" t="n">
        <v>0</v>
      </c>
      <c r="CG130" s="852" t="n">
        <v>0</v>
      </c>
      <c r="CH130" s="852" t="n">
        <v>0</v>
      </c>
      <c r="CI130" s="852" t="n">
        <v>0</v>
      </c>
      <c r="CJ130" s="1101" t="n">
        <v>0</v>
      </c>
      <c r="CK130" s="852" t="n">
        <v>0</v>
      </c>
      <c r="CL130" s="852" t="n">
        <v>0</v>
      </c>
      <c r="CM130" s="852" t="n">
        <v>0</v>
      </c>
      <c r="CN130" s="852" t="n">
        <v>0</v>
      </c>
      <c r="CO130" s="852" t="n">
        <v>0</v>
      </c>
      <c r="CP130" s="852" t="n">
        <v>0</v>
      </c>
      <c r="CQ130" s="1102" t="n">
        <v>0</v>
      </c>
      <c r="CR130" s="1103" t="n">
        <v>0</v>
      </c>
      <c r="CS130" s="1103" t="n">
        <v>0</v>
      </c>
      <c r="CT130" s="1103" t="n">
        <v>0</v>
      </c>
      <c r="CU130" s="1103" t="n">
        <v>0</v>
      </c>
      <c r="CV130" s="1103" t="n">
        <v>0</v>
      </c>
      <c r="CW130" s="1103" t="n">
        <v>0</v>
      </c>
      <c r="CX130" s="1104" t="n">
        <v>0</v>
      </c>
      <c r="CY130" s="1105" t="n">
        <v>7700.55728</v>
      </c>
      <c r="CZ130" s="1099" t="n">
        <v>0</v>
      </c>
      <c r="DA130" s="852" t="n">
        <v>0</v>
      </c>
      <c r="DB130" s="852" t="n">
        <v>0</v>
      </c>
      <c r="DC130" s="852" t="n">
        <v>0</v>
      </c>
      <c r="DD130" s="852" t="n">
        <v>0</v>
      </c>
      <c r="DE130" s="1113" t="n">
        <v>0</v>
      </c>
      <c r="DF130" s="1109" t="n">
        <v>0</v>
      </c>
      <c r="DG130" s="1110" t="n">
        <v>0</v>
      </c>
      <c r="DH130" s="1111" t="n">
        <v>0</v>
      </c>
      <c r="DI130" s="1112" t="n">
        <v>0</v>
      </c>
      <c r="DJ130" s="1112" t="n">
        <v>0</v>
      </c>
      <c r="DK130" s="1112" t="n">
        <v>0</v>
      </c>
      <c r="DL130" s="1113" t="n">
        <v>0</v>
      </c>
      <c r="DM130" s="1114" t="n">
        <v>0</v>
      </c>
      <c r="DN130" s="1114" t="n">
        <v>0</v>
      </c>
      <c r="DO130" s="1114" t="n">
        <v>0</v>
      </c>
      <c r="DP130" s="1114" t="n">
        <v>0</v>
      </c>
      <c r="DQ130" s="1114" t="n">
        <v>0</v>
      </c>
      <c r="DR130" s="1109" t="n">
        <v>0</v>
      </c>
      <c r="DS130" s="852" t="n">
        <v>0</v>
      </c>
      <c r="DT130" s="852" t="n">
        <v>0</v>
      </c>
      <c r="DU130" s="852" t="n">
        <v>0</v>
      </c>
      <c r="DV130" s="852" t="n">
        <v>0</v>
      </c>
      <c r="DW130" s="852" t="n">
        <v>0</v>
      </c>
      <c r="DX130" s="852" t="n">
        <v>0</v>
      </c>
      <c r="DY130" s="852" t="n">
        <v>0</v>
      </c>
      <c r="DZ130" s="852" t="n">
        <v>0</v>
      </c>
      <c r="EA130" s="852" t="n">
        <v>0</v>
      </c>
      <c r="EB130" s="1113" t="n">
        <v>0</v>
      </c>
      <c r="EC130" s="1115" t="n">
        <f aca="false">DS130*BD130</f>
        <v>0</v>
      </c>
      <c r="ED130" s="1115" t="n">
        <f aca="false">DT130*BE130</f>
        <v>0</v>
      </c>
      <c r="EE130" s="1115" t="n">
        <f aca="false">DU130*BF130</f>
        <v>0</v>
      </c>
      <c r="EF130" s="1115" t="n">
        <f aca="false">DV130*BG130</f>
        <v>0</v>
      </c>
      <c r="EG130" s="1115" t="n">
        <f aca="false">DS130*BD130+DT130*BE130+DU130*BF130+DV130*BG130</f>
        <v>0</v>
      </c>
      <c r="EH130" s="1116" t="n">
        <v>0</v>
      </c>
      <c r="EI130" s="1117" t="n">
        <v>0</v>
      </c>
      <c r="EJ130" s="1117" t="n">
        <v>0</v>
      </c>
      <c r="EK130" s="1117" t="n">
        <v>0</v>
      </c>
      <c r="EL130" s="1118" t="n">
        <f aca="false">IF(C130&gt;=Summary!$E$26,MAX(0,SUM(EH130:EK130)),0)</f>
        <v>0</v>
      </c>
      <c r="EM130" s="1115" t="n">
        <f aca="false">IF(C130&gt;=Summary!$E$26,DX130*BL130,0)</f>
        <v>0</v>
      </c>
      <c r="EN130" s="1115" t="n">
        <f aca="false">IF(C130&gt;=Summary!$E$26,DY130*BM130,0)</f>
        <v>0</v>
      </c>
      <c r="EO130" s="1115" t="n">
        <f aca="false">IF(C130&gt;=Summary!$E$26,DZ130*BN130,0)</f>
        <v>0</v>
      </c>
      <c r="EP130" s="1115" t="n">
        <f aca="false">IF(C130&gt;=Summary!$E$26,EA130*BO130,0)</f>
        <v>0</v>
      </c>
      <c r="EQ130" s="1115" t="n">
        <f aca="false">IF(C130&gt;=Summary!$E$26,DX130*BL130+DY130*BM130+DZ130*BN130+EA130*BO130,0)</f>
        <v>0</v>
      </c>
      <c r="ER130" s="1119" t="n">
        <v>0</v>
      </c>
      <c r="ES130" s="1120" t="n">
        <v>0</v>
      </c>
      <c r="ET130" s="1120" t="n">
        <v>0</v>
      </c>
      <c r="EU130" s="1120" t="n">
        <v>0</v>
      </c>
      <c r="EV130" s="1143" t="n">
        <f aca="false">IF(C130&gt;=Summary!$E$26,MAX(0,SUM(ER130:EU130)),0)</f>
        <v>0</v>
      </c>
      <c r="EW130" s="1115"/>
      <c r="EX130" s="1165" t="n">
        <f aca="false">(EQ130-EV130)+IF(EZ130="Yes",(EG130-EL130),0)</f>
        <v>0</v>
      </c>
      <c r="EY130" s="1166" t="str">
        <f aca="false">IF(EX130,EX130/EQ130,"")</f>
        <v/>
      </c>
      <c r="EZ130" s="1122" t="s">
        <v>37</v>
      </c>
      <c r="FA130" s="1096" t="n">
        <f aca="false">FA129</f>
        <v>45</v>
      </c>
      <c r="FB130" s="1167" t="n">
        <f aca="false">IF(EZ130="No",IF((OR(MONTH(C130)=5,MONTH(C130)=6,MONTH(C130)=7,MONTH(C130)=8,MONTH(C130)=9)),$FA130*12*AX130*(1-$BC130),$FA130*10*AX130*(1-$BC130)),0)</f>
        <v>11701.8</v>
      </c>
      <c r="FC130" s="1129" t="n">
        <f aca="false">IF(EZ130="No",IF((OR(MONTH(C130)=5,MONTH(C130)=6,MONTH(C130)=7,MONTH(C130)=8,MONTH(C130)=9)),0,$FA130*3*AX130*(1-$BC130)),0)</f>
        <v>0</v>
      </c>
      <c r="FD130" s="1129" t="n">
        <f aca="false">IF(EZ130="No",IF((OR(MONTH(C130)=5,MONTH(C130)=6,MONTH(C130)=7,MONTH(C130)=8,MONTH(C130)=9)),$FA130*12*AY130*(1-$BC130),$FA130*10*AY130*(1-$BC130)),0)</f>
        <v>2127.6</v>
      </c>
      <c r="FE130" s="1129" t="n">
        <f aca="false">IF(EZ130="No",IF((OR(MONTH(C130)=5,MONTH(C130)=6,MONTH(C130)=7,MONTH(C130)=8,MONTH(C130)=9)),0,$FA130*3*AY130*(1-$BC130)),0)</f>
        <v>0</v>
      </c>
      <c r="FF130" s="1129" t="n">
        <f aca="false">IF(EZ130="No",IF((OR(MONTH(C130)=5,MONTH(C130)=6,MONTH(C130)=7,MONTH(C130)=8,MONTH(C130)=9)),$FA130*12*(AZ130+BA130)*(1-$BC130),$FA130*10*(AZ130+BA130)*(1-$BC130)),0)</f>
        <v>2127.6</v>
      </c>
      <c r="FG130" s="1129" t="n">
        <f aca="false">IF(EZ130="No",IF((OR(MONTH(C130)=5,MONTH(C130)=6,MONTH(C130)=7,MONTH(C130)=8,MONTH(C130)=9)),0,$FA130*3*(AZ130+BA130)*(1-$BC130)),0)</f>
        <v>0</v>
      </c>
      <c r="FH130" s="1170" t="n">
        <f aca="false">IF(EZ130="No",IF((OR(MONTH(C130)=5,MONTH(C130)=6,MONTH(C130)=7,MONTH(C130)=8,MONTH(C130)=9)),Summary!$O$15*12*(AX130+AY130+AZ130+BA130)*(1-$BC130),Summary!$O$15*13*(AX130+AY130+AZ130+BA130)*(1-$BC130)+IF(Summary!$O$16="Yes",(CALC!FA130+Summary!$O$15)*6*(AX130+AY130+AZ130+BA130)*(1-$BC130),0)),0)</f>
        <v>0</v>
      </c>
      <c r="FI130" s="1126" t="n">
        <f aca="false">IF(MONTH(C130)=5,FI129*(IF(Summary!$E$70="no",(1+(Summary!$E$71*0.8)),1+HLOOKUP(YEAR(C130)-1,CCFMODEL!$I$127:$AF$128,2)*0.8)),+FI129)</f>
        <v>33.7227697904665</v>
      </c>
      <c r="FJ130" s="1127" t="n">
        <f aca="false">IF(MONTH(C130)=5,FJ129*(IF(Summary!$E$70="no",(1+(Summary!$E$71*0.8)),1+HLOOKUP(YEAR(CALC!C130)-1,CCFMODEL!$I$127:$AF$128,2)*0.8)),FJ129)</f>
        <v>29.4742318641085</v>
      </c>
      <c r="FK130" s="1128" t="n">
        <f aca="false">SUM(FB130:FG130)*FI130+FH130*FJ130</f>
        <v>538114.237546473</v>
      </c>
      <c r="FL130" s="1126" t="n">
        <f aca="false">IF(MONTH(C130)=5,FL129*(IF(Summary!$E$70="no",(1+(Summary!$E$71*0.8)),1+HLOOKUP(YEAR(CALC!C130)-1,CCFMODEL!$I$127:$AF$128,2)*0.8)),+FL129)</f>
        <v>70.9227655623271</v>
      </c>
      <c r="FM130" s="1127" t="n">
        <f aca="false">IF(MONTH(C130)=5,FM129*(IF(Summary!$E$70="no",(1+(Summary!$E$71*0.8)),1+HLOOKUP(YEAR(CALC!C130)-1,CCFMODEL!$I$127:$AF$128,2)*0.8)),+FM129)</f>
        <v>33.8492143716081</v>
      </c>
      <c r="FN130" s="1128" t="n">
        <f aca="false">IF((OR(MONTH(C130)=5,MONTH(C130)=6,MONTH(C130)=7,MONTH(C130)=8,MONTH(C130)=9)),SUM(FB130:FG130)/(1-BC130)*FL130,SUM(FB130:FG130)/(1-BC130)*FM130)</f>
        <v>1148948.8021097</v>
      </c>
      <c r="FO130" s="1129" t="n">
        <f aca="false">FK130+FN130</f>
        <v>1687063.03965617</v>
      </c>
      <c r="FP130" s="1169" t="n">
        <f aca="false">FB130</f>
        <v>11701.8</v>
      </c>
      <c r="FQ130" s="1129" t="n">
        <f aca="false">FC130</f>
        <v>0</v>
      </c>
      <c r="FR130" s="1129" t="n">
        <f aca="false">FD130</f>
        <v>2127.6</v>
      </c>
      <c r="FS130" s="1129" t="n">
        <f aca="false">FE130</f>
        <v>0</v>
      </c>
      <c r="FT130" s="1129" t="n">
        <f aca="false">FF130</f>
        <v>2127.6</v>
      </c>
      <c r="FU130" s="1129" t="n">
        <f aca="false">FG130</f>
        <v>0</v>
      </c>
      <c r="FV130" s="1170" t="n">
        <f aca="false">FH130</f>
        <v>0</v>
      </c>
      <c r="FW130" s="1115" t="n">
        <f aca="false">IF(ER130&gt;0,MIN(FB130-FP130,BL130),0)</f>
        <v>0</v>
      </c>
      <c r="FX130" s="1115" t="n">
        <f aca="false">IF(ES130&gt;0,MIN(FD130-FR130,BM130),0)</f>
        <v>0</v>
      </c>
      <c r="FY130" s="1115" t="n">
        <f aca="false">IF(ET130&gt;0,MIN(FF130-FT130,BN130),0)</f>
        <v>0</v>
      </c>
      <c r="FZ130" s="1143" t="n">
        <f aca="false">IF(EU130&gt;0,MIN(FH130-FV130,BO130),0)</f>
        <v>0</v>
      </c>
      <c r="GA130" s="1132" t="n">
        <f aca="false">(SUM(FP130:FV130)+SUM(GU130:HB130)/(1-Summary!$O$25))*CY130/1000</f>
        <v>196604.468027136</v>
      </c>
      <c r="GB130" s="1133" t="n">
        <f aca="false">IF($C130&lt;Summary!$M$81,+Summary!$O$81,VLOOKUP(C130,GasTable,19))</f>
        <v>2.4</v>
      </c>
      <c r="GC130" s="1134" t="n">
        <f aca="false">IF(H130&lt;=Summary!$N$84,MIN(GA130,Summary!$O$75*(H130-G130+1)),0)</f>
        <v>150000</v>
      </c>
      <c r="GD130" s="1135" t="n">
        <f aca="false">IF(Summary!$O$75*(H130-G130+1)*0.8&gt;GC130,1,0)</f>
        <v>0</v>
      </c>
      <c r="GE130" s="1136" t="n">
        <v>0</v>
      </c>
      <c r="GF130" s="1134" t="n">
        <f aca="false">ABS(MIN(0,GC130-$GA130))</f>
        <v>46604.468027136</v>
      </c>
      <c r="GG130" s="1135" t="n">
        <f aca="false">GF130*(IF(Summary!$O$74=1,VLOOKUP($C130,GasTable,16)+Summary!$O$92+Summary!$O$93,VLOOKUP($C130,GasTable,19)+Summary!$O$92+Summary!$O$93))</f>
        <v>138626.547285966</v>
      </c>
      <c r="GH130" s="1137" t="n">
        <v>18678</v>
      </c>
      <c r="GI130" s="1138" t="n">
        <v>0</v>
      </c>
      <c r="GJ130" s="1139" t="n">
        <f aca="false">+GB130*GC130+GE130+GG130+GH130-GI130</f>
        <v>517304.547285966</v>
      </c>
      <c r="GK130" s="1115" t="n">
        <f aca="false">SUM(FP130:FV130,GU130:GX130,GY130:HB130)</f>
        <v>25196.103</v>
      </c>
      <c r="GL130" s="1140" t="n">
        <v>0.756194724896</v>
      </c>
      <c r="GM130" s="1141" t="n">
        <f aca="false">IF(GK130&gt;GC130/(CY130/1000),GC130/(CY130/1000),+GK130)*GL130</f>
        <v>14730</v>
      </c>
      <c r="GN130" s="1115" t="n">
        <f aca="false">IF(SUM(GU130:HB130)=0,0,IF(Summary!$O$16="Yes",SUM(GX130:HB130),IF(Summary!$O$17="Yes",SUM(GY130:HB130),SUM(GU130:HB130))))</f>
        <v>9239.103</v>
      </c>
      <c r="GO130" s="1142" t="n">
        <v>3.10474112454317</v>
      </c>
      <c r="GP130" s="1143" t="n">
        <f aca="false">GN130*GO130</f>
        <v>28685.0230379902</v>
      </c>
      <c r="GQ130" s="1115"/>
      <c r="GR130" s="1115"/>
      <c r="GS130" s="1115"/>
      <c r="GT130" s="1115"/>
      <c r="GU130" s="1150" t="n">
        <v>3764.079</v>
      </c>
      <c r="GV130" s="1115" t="n">
        <v>684.378</v>
      </c>
      <c r="GW130" s="1115" t="n">
        <v>684.378</v>
      </c>
      <c r="GX130" s="1115"/>
      <c r="GY130" s="1151" t="n">
        <v>3011.2632</v>
      </c>
      <c r="GZ130" s="1115" t="n">
        <v>547.5024</v>
      </c>
      <c r="HA130" s="1115" t="n">
        <v>547.5024</v>
      </c>
      <c r="HB130" s="1141"/>
      <c r="HC130" s="1115" t="n">
        <v>9239.103</v>
      </c>
      <c r="HD130" s="1115"/>
      <c r="HE130" s="1115" t="n">
        <v>21557.907</v>
      </c>
      <c r="HF130" s="1115" t="n">
        <v>301604.011166674</v>
      </c>
      <c r="HG130" s="1115"/>
      <c r="HH130" s="1142" t="n">
        <v>33.7709629787874</v>
      </c>
      <c r="HI130" s="1115" t="n">
        <v>728031.279197141</v>
      </c>
      <c r="HJ130" s="1150" t="n">
        <f aca="false">MAX(FB130-FP130-FW130,0)</f>
        <v>0</v>
      </c>
      <c r="HK130" s="1115" t="n">
        <f aca="false">MAX(FD130-FR130-FX130,0)</f>
        <v>0</v>
      </c>
      <c r="HL130" s="1115" t="n">
        <f aca="false">MAX(FF130-FT130-FY130,0)</f>
        <v>0</v>
      </c>
      <c r="HM130" s="1141" t="n">
        <f aca="false">MAX(FH130-FV130-FZ130,0)</f>
        <v>0</v>
      </c>
      <c r="HN130" s="1115" t="n">
        <f aca="false">SUM(HJ130:HM130)</f>
        <v>0</v>
      </c>
      <c r="HO130" s="1142" t="n">
        <f aca="false">IF(ISERROR(+HP130/HN130),0,+HP130/HN130)</f>
        <v>0</v>
      </c>
      <c r="HP130" s="1143" t="n">
        <f aca="false">(HJ130*CE130+HK130*CF130+HL130*CG130+HM130*CH130)</f>
        <v>0</v>
      </c>
      <c r="HQ130" s="1142"/>
      <c r="HR130" s="1150"/>
      <c r="HS130" s="1110"/>
      <c r="HT130" s="1141"/>
      <c r="HU130" s="1151"/>
      <c r="HV130" s="1142"/>
      <c r="HW130" s="1115"/>
      <c r="HX130" s="1149"/>
      <c r="HY130" s="1143"/>
      <c r="HZ130" s="1150"/>
      <c r="IA130" s="1142"/>
      <c r="IB130" s="1141"/>
      <c r="IC130" s="1151"/>
      <c r="ID130" s="1142"/>
      <c r="IE130" s="1141"/>
      <c r="IF130" s="1115"/>
      <c r="IG130" s="1142"/>
      <c r="IH130" s="1141"/>
      <c r="II130" s="1115"/>
      <c r="IJ130" s="1142"/>
      <c r="IK130" s="1115"/>
      <c r="IL130" s="1152"/>
      <c r="IM130" s="1192"/>
      <c r="IN130" s="1151"/>
      <c r="IO130" s="1151"/>
      <c r="IP130" s="1151"/>
      <c r="IQ130" s="1151"/>
      <c r="IR130" s="844"/>
    </row>
    <row r="131" customFormat="false" ht="13.5" hidden="false" customHeight="false" outlineLevel="0" collapsed="false">
      <c r="A131" s="0" t="str">
        <f aca="false">+D131&amp;"Q"&amp;ROUNDUP(E131/3,0)</f>
        <v>2009Q3</v>
      </c>
      <c r="B131" s="0" t="n">
        <f aca="false">YEAR(C131)</f>
        <v>2009</v>
      </c>
      <c r="C131" s="1153" t="n">
        <f aca="false">EOMONTH(C130,0)+1</f>
        <v>39995</v>
      </c>
      <c r="D131" s="841" t="n">
        <f aca="false">+YEAR(C131)</f>
        <v>2009</v>
      </c>
      <c r="E131" s="807" t="n">
        <f aca="false">MONTH(C131)</f>
        <v>7</v>
      </c>
      <c r="F131" s="1154" t="e">
        <f aca="false">IF(G131="","",Holiday(D131,E131))</f>
        <v>#VALUE!</v>
      </c>
      <c r="G131" s="1155" t="n">
        <v>39995</v>
      </c>
      <c r="H131" s="1156" t="n">
        <v>40025</v>
      </c>
      <c r="I131" s="1157" t="n">
        <f aca="false">I130</f>
        <v>0.0715</v>
      </c>
      <c r="J131" s="1158" t="n">
        <f aca="false">(1+I131/2)^(-2*(DATE(D132,E132,20)-$H$7)/365.25)</f>
        <v>0.506561969230885</v>
      </c>
      <c r="K131" s="1159"/>
      <c r="L131" s="1158"/>
      <c r="M131" s="1082" t="n">
        <v>0</v>
      </c>
      <c r="N131" s="1110" t="n">
        <f aca="false">M131</f>
        <v>0</v>
      </c>
      <c r="O131" s="1174" t="n">
        <f aca="false">N131</f>
        <v>0</v>
      </c>
      <c r="P131" s="1175" t="n">
        <f aca="false">M131</f>
        <v>0</v>
      </c>
      <c r="Q131" s="1110" t="n">
        <f aca="false">P131</f>
        <v>0</v>
      </c>
      <c r="R131" s="1174" t="n">
        <f aca="false">Q131</f>
        <v>0</v>
      </c>
      <c r="S131" s="1110" t="n">
        <f aca="false">R131</f>
        <v>0</v>
      </c>
      <c r="T131" s="1110" t="n">
        <f aca="false">S131</f>
        <v>0</v>
      </c>
      <c r="U131" s="1110" t="n">
        <f aca="false">T131</f>
        <v>0</v>
      </c>
      <c r="V131" s="1175" t="n">
        <f aca="false">U131</f>
        <v>0</v>
      </c>
      <c r="W131" s="1110" t="n">
        <f aca="false">V131</f>
        <v>0</v>
      </c>
      <c r="X131" s="1176" t="n">
        <f aca="false">W131</f>
        <v>0</v>
      </c>
      <c r="Y131" s="1086" t="n">
        <v>0</v>
      </c>
      <c r="Z131" s="1086" t="n">
        <v>0</v>
      </c>
      <c r="AA131" s="1087" t="n">
        <v>0</v>
      </c>
      <c r="AB131" s="1086" t="n">
        <v>0</v>
      </c>
      <c r="AC131" s="1086" t="n">
        <v>0</v>
      </c>
      <c r="AD131" s="1087" t="n">
        <v>0</v>
      </c>
      <c r="AE131" s="1086" t="n">
        <v>0</v>
      </c>
      <c r="AF131" s="1086" t="n">
        <v>0</v>
      </c>
      <c r="AG131" s="1087" t="n">
        <v>0</v>
      </c>
      <c r="AH131" s="1086" t="n">
        <v>0</v>
      </c>
      <c r="AI131" s="1086" t="n">
        <v>0</v>
      </c>
      <c r="AJ131" s="1087" t="n">
        <v>0</v>
      </c>
      <c r="AK131" s="1086" t="n">
        <v>0</v>
      </c>
      <c r="AL131" s="1086" t="n">
        <v>0</v>
      </c>
      <c r="AM131" s="1087" t="n">
        <v>0</v>
      </c>
      <c r="AN131" s="1086" t="n">
        <v>0</v>
      </c>
      <c r="AO131" s="1086" t="n">
        <v>0</v>
      </c>
      <c r="AP131" s="1087" t="n">
        <v>0</v>
      </c>
      <c r="AQ131" s="1086" t="n">
        <v>0</v>
      </c>
      <c r="AR131" s="1086" t="n">
        <v>0</v>
      </c>
      <c r="AS131" s="1087" t="n">
        <v>0</v>
      </c>
      <c r="AT131" s="1086" t="n">
        <v>0</v>
      </c>
      <c r="AU131" s="1086" t="n">
        <v>0</v>
      </c>
      <c r="AV131" s="1086" t="n">
        <v>0</v>
      </c>
      <c r="AW131" s="1172" t="n">
        <v>0</v>
      </c>
      <c r="AX131" s="807" t="e">
        <f aca="false">BB131-SUM(AY131:BA131)</f>
        <v>#VALUE!</v>
      </c>
      <c r="AY131" s="807" t="e">
        <f aca="false">IF(AND($E131=MONTH(Summary!$E$24),$D131=YEAR(Summary!$E$24)),Summary!$E$25,1)*IF(G131="",0,INT((H131-MOD(H131,7)-G131)/7)+1-IF(BA131,IF(WEEKDAY(F131)=7,1,0),0))</f>
        <v>#VALUE!</v>
      </c>
      <c r="AZ131" s="807" t="e">
        <f aca="false">IF(AND($E131=MONTH(Summary!$E$24),$D131=YEAR(Summary!$E$24)),Summary!$E$25,1)*IF(G131="",0,INT((H131-MOD(H131-1,7)-G131)/7)+1-IF(BA131,IF(WEEKDAY(F131)=1,1,0),0))</f>
        <v>#VALUE!</v>
      </c>
      <c r="BA131" s="807" t="n">
        <v>1</v>
      </c>
      <c r="BB131" s="807" t="n">
        <f aca="false">IF(AND($E131=MONTH(Summary!$E$24),$D131=YEAR(Summary!$E$24)),Summary!$E$25,1)*IF(G131="",0,H131-G131+1)</f>
        <v>31</v>
      </c>
      <c r="BC131" s="1089" t="n">
        <f aca="false">Summary!$E$19</f>
        <v>0.015</v>
      </c>
      <c r="BD131" s="1090" t="n">
        <v>16311.6</v>
      </c>
      <c r="BE131" s="1091" t="n">
        <v>2127.6</v>
      </c>
      <c r="BF131" s="1091" t="n">
        <v>3546</v>
      </c>
      <c r="BG131" s="842"/>
      <c r="BH131" s="1092" t="n">
        <v>1</v>
      </c>
      <c r="BI131" s="1092" t="n">
        <v>1</v>
      </c>
      <c r="BJ131" s="1092" t="n">
        <v>1</v>
      </c>
      <c r="BK131" s="1092" t="n">
        <v>1</v>
      </c>
      <c r="BL131" s="1093" t="n">
        <v>3262.32</v>
      </c>
      <c r="BM131" s="1091" t="n">
        <v>425.52</v>
      </c>
      <c r="BN131" s="1091" t="n">
        <v>709.2</v>
      </c>
      <c r="BO131" s="842"/>
      <c r="BP131" s="1092" t="n">
        <v>1</v>
      </c>
      <c r="BQ131" s="1094" t="n">
        <v>1</v>
      </c>
      <c r="BR131" s="1094" t="n">
        <v>1</v>
      </c>
      <c r="BS131" s="1095" t="n">
        <v>1</v>
      </c>
      <c r="BT131" s="1093" t="n">
        <f aca="false">SUM(BD131:BF131)</f>
        <v>21985.2</v>
      </c>
      <c r="BU131" s="1098" t="n">
        <f aca="false">SUM(BD131:BG131)</f>
        <v>21985.2</v>
      </c>
      <c r="BV131" s="1090" t="n">
        <f aca="false">SUM(BL131:BN131)</f>
        <v>4397.04</v>
      </c>
      <c r="BW131" s="1098" t="n">
        <f aca="false">SUM(BL131:BO131)</f>
        <v>4397.04</v>
      </c>
      <c r="BX131" s="852" t="n">
        <v>9.54414784394251</v>
      </c>
      <c r="BY131" s="1099" t="n">
        <v>0</v>
      </c>
      <c r="BZ131" s="852" t="n">
        <v>0</v>
      </c>
      <c r="CA131" s="852" t="n">
        <v>0</v>
      </c>
      <c r="CB131" s="852" t="n">
        <v>0</v>
      </c>
      <c r="CC131" s="852" t="n">
        <v>0</v>
      </c>
      <c r="CD131" s="852" t="n">
        <v>0</v>
      </c>
      <c r="CE131" s="1100" t="n">
        <v>0</v>
      </c>
      <c r="CF131" s="852" t="n">
        <v>0</v>
      </c>
      <c r="CG131" s="852" t="n">
        <v>0</v>
      </c>
      <c r="CH131" s="852" t="n">
        <v>0</v>
      </c>
      <c r="CI131" s="852" t="n">
        <v>0</v>
      </c>
      <c r="CJ131" s="1101" t="n">
        <v>0</v>
      </c>
      <c r="CK131" s="852" t="n">
        <v>0</v>
      </c>
      <c r="CL131" s="852" t="n">
        <v>0</v>
      </c>
      <c r="CM131" s="852" t="n">
        <v>0</v>
      </c>
      <c r="CN131" s="852" t="n">
        <v>0</v>
      </c>
      <c r="CO131" s="852" t="n">
        <v>0</v>
      </c>
      <c r="CP131" s="852" t="n">
        <v>0</v>
      </c>
      <c r="CQ131" s="1102" t="n">
        <v>0</v>
      </c>
      <c r="CR131" s="1103" t="n">
        <v>0</v>
      </c>
      <c r="CS131" s="1103" t="n">
        <v>0</v>
      </c>
      <c r="CT131" s="1103" t="n">
        <v>0</v>
      </c>
      <c r="CU131" s="1103" t="n">
        <v>0</v>
      </c>
      <c r="CV131" s="1103" t="n">
        <v>0</v>
      </c>
      <c r="CW131" s="1103" t="n">
        <v>0</v>
      </c>
      <c r="CX131" s="1104" t="n">
        <v>0</v>
      </c>
      <c r="CY131" s="1105" t="n">
        <v>7702.58824</v>
      </c>
      <c r="CZ131" s="1099" t="n">
        <v>0</v>
      </c>
      <c r="DA131" s="852" t="n">
        <v>0</v>
      </c>
      <c r="DB131" s="852" t="n">
        <v>0</v>
      </c>
      <c r="DC131" s="852" t="n">
        <v>0</v>
      </c>
      <c r="DD131" s="852" t="n">
        <v>0</v>
      </c>
      <c r="DE131" s="1113" t="n">
        <v>0</v>
      </c>
      <c r="DF131" s="1109" t="n">
        <v>0</v>
      </c>
      <c r="DG131" s="1110" t="n">
        <v>0</v>
      </c>
      <c r="DH131" s="1111" t="n">
        <v>0</v>
      </c>
      <c r="DI131" s="1112" t="n">
        <v>0</v>
      </c>
      <c r="DJ131" s="1112" t="n">
        <v>0</v>
      </c>
      <c r="DK131" s="1112" t="n">
        <v>0</v>
      </c>
      <c r="DL131" s="1113" t="n">
        <v>0</v>
      </c>
      <c r="DM131" s="1114" t="n">
        <v>0</v>
      </c>
      <c r="DN131" s="1114" t="n">
        <v>0</v>
      </c>
      <c r="DO131" s="1114" t="n">
        <v>0</v>
      </c>
      <c r="DP131" s="1114" t="n">
        <v>0</v>
      </c>
      <c r="DQ131" s="1114" t="n">
        <v>0</v>
      </c>
      <c r="DR131" s="1109" t="n">
        <v>0</v>
      </c>
      <c r="DS131" s="852" t="n">
        <v>0</v>
      </c>
      <c r="DT131" s="852" t="n">
        <v>0</v>
      </c>
      <c r="DU131" s="852" t="n">
        <v>0</v>
      </c>
      <c r="DV131" s="852" t="n">
        <v>0</v>
      </c>
      <c r="DW131" s="852" t="n">
        <v>0</v>
      </c>
      <c r="DX131" s="852" t="n">
        <v>0</v>
      </c>
      <c r="DY131" s="852" t="n">
        <v>0</v>
      </c>
      <c r="DZ131" s="852" t="n">
        <v>0</v>
      </c>
      <c r="EA131" s="852" t="n">
        <v>0</v>
      </c>
      <c r="EB131" s="1113" t="n">
        <v>0</v>
      </c>
      <c r="EC131" s="1115" t="n">
        <f aca="false">DS131*BD131</f>
        <v>0</v>
      </c>
      <c r="ED131" s="1115" t="n">
        <f aca="false">DT131*BE131</f>
        <v>0</v>
      </c>
      <c r="EE131" s="1115" t="n">
        <f aca="false">DU131*BF131</f>
        <v>0</v>
      </c>
      <c r="EF131" s="1115" t="n">
        <f aca="false">DV131*BG131</f>
        <v>0</v>
      </c>
      <c r="EG131" s="1115" t="n">
        <f aca="false">DS131*BD131+DT131*BE131+DU131*BF131+DV131*BG131</f>
        <v>0</v>
      </c>
      <c r="EH131" s="1116" t="n">
        <v>0</v>
      </c>
      <c r="EI131" s="1117" t="n">
        <v>0</v>
      </c>
      <c r="EJ131" s="1117" t="n">
        <v>0</v>
      </c>
      <c r="EK131" s="1117" t="n">
        <v>0</v>
      </c>
      <c r="EL131" s="1118" t="n">
        <f aca="false">IF(C131&gt;=Summary!$E$26,MAX(0,SUM(EH131:EK131)),0)</f>
        <v>0</v>
      </c>
      <c r="EM131" s="1115" t="n">
        <f aca="false">IF(C131&gt;=Summary!$E$26,DX131*BL131,0)</f>
        <v>0</v>
      </c>
      <c r="EN131" s="1115" t="n">
        <f aca="false">IF(C131&gt;=Summary!$E$26,DY131*BM131,0)</f>
        <v>0</v>
      </c>
      <c r="EO131" s="1115" t="n">
        <f aca="false">IF(C131&gt;=Summary!$E$26,DZ131*BN131,0)</f>
        <v>0</v>
      </c>
      <c r="EP131" s="1115" t="n">
        <f aca="false">IF(C131&gt;=Summary!$E$26,EA131*BO131,0)</f>
        <v>0</v>
      </c>
      <c r="EQ131" s="1115" t="n">
        <f aca="false">IF(C131&gt;=Summary!$E$26,DX131*BL131+DY131*BM131+DZ131*BN131+EA131*BO131,0)</f>
        <v>0</v>
      </c>
      <c r="ER131" s="1119" t="n">
        <v>0</v>
      </c>
      <c r="ES131" s="1120" t="n">
        <v>0</v>
      </c>
      <c r="ET131" s="1120" t="n">
        <v>0</v>
      </c>
      <c r="EU131" s="1120" t="n">
        <v>0</v>
      </c>
      <c r="EV131" s="1143" t="n">
        <f aca="false">IF(C131&gt;=Summary!$E$26,MAX(0,SUM(ER131:EU131)),0)</f>
        <v>0</v>
      </c>
      <c r="EW131" s="1115"/>
      <c r="EX131" s="1165" t="n">
        <f aca="false">(EQ131-EV131)+IF(EZ131="Yes",(EG131-EL131),0)</f>
        <v>0</v>
      </c>
      <c r="EY131" s="1166" t="str">
        <f aca="false">IF(EX131,EX131/EQ131,"")</f>
        <v/>
      </c>
      <c r="EZ131" s="1122" t="s">
        <v>37</v>
      </c>
      <c r="FA131" s="1096" t="n">
        <f aca="false">FA130</f>
        <v>45</v>
      </c>
      <c r="FB131" s="1167" t="e">
        <f aca="false">IF(EZ131="No",IF((OR(MONTH(C131)=5,MONTH(C131)=6,MONTH(C131)=7,MONTH(C131)=8,MONTH(C131)=9)),$FA131*12*AX131*(1-$BC131),$FA131*10*AX131*(1-$BC131)),0)</f>
        <v>#VALUE!</v>
      </c>
      <c r="FC131" s="1129" t="n">
        <f aca="false">IF(EZ131="No",IF((OR(MONTH(C131)=5,MONTH(C131)=6,MONTH(C131)=7,MONTH(C131)=8,MONTH(C131)=9)),0,$FA131*3*AX131*(1-$BC131)),0)</f>
        <v>0</v>
      </c>
      <c r="FD131" s="1129" t="e">
        <f aca="false">IF(EZ131="No",IF((OR(MONTH(C131)=5,MONTH(C131)=6,MONTH(C131)=7,MONTH(C131)=8,MONTH(C131)=9)),$FA131*12*AY131*(1-$BC131),$FA131*10*AY131*(1-$BC131)),0)</f>
        <v>#VALUE!</v>
      </c>
      <c r="FE131" s="1129" t="n">
        <f aca="false">IF(EZ131="No",IF((OR(MONTH(C131)=5,MONTH(C131)=6,MONTH(C131)=7,MONTH(C131)=8,MONTH(C131)=9)),0,$FA131*3*AY131*(1-$BC131)),0)</f>
        <v>0</v>
      </c>
      <c r="FF131" s="1129" t="e">
        <f aca="false">IF(EZ131="No",IF((OR(MONTH(C131)=5,MONTH(C131)=6,MONTH(C131)=7,MONTH(C131)=8,MONTH(C131)=9)),$FA131*12*(AZ131+BA131)*(1-$BC131),$FA131*10*(AZ131+BA131)*(1-$BC131)),0)</f>
        <v>#VALUE!</v>
      </c>
      <c r="FG131" s="1129" t="n">
        <f aca="false">IF(EZ131="No",IF((OR(MONTH(C131)=5,MONTH(C131)=6,MONTH(C131)=7,MONTH(C131)=8,MONTH(C131)=9)),0,$FA131*3*(AZ131+BA131)*(1-$BC131)),0)</f>
        <v>0</v>
      </c>
      <c r="FH131" s="1170" t="e">
        <f aca="false">IF(EZ131="No",IF((OR(MONTH(C131)=5,MONTH(C131)=6,MONTH(C131)=7,MONTH(C131)=8,MONTH(C131)=9)),Summary!$O$15*12*(AX131+AY131+AZ131+BA131)*(1-$BC131),Summary!$O$15*13*(AX131+AY131+AZ131+BA131)*(1-$BC131)+IF(Summary!$O$16="Yes",(CALC!FA131+Summary!$O$15)*6*(AX131+AY131+AZ131+BA131)*(1-$BC131),0)),0)</f>
        <v>#VALUE!</v>
      </c>
      <c r="FI131" s="1126" t="n">
        <f aca="false">IF(MONTH(C131)=5,FI130*(IF(Summary!$E$70="no",(1+(Summary!$E$71*0.8)),1+HLOOKUP(YEAR(C131)-1,CCFMODEL!$I$127:$AF$128,2)*0.8)),+FI130)</f>
        <v>33.7227697904665</v>
      </c>
      <c r="FJ131" s="1127" t="n">
        <f aca="false">IF(MONTH(C131)=5,FJ130*(IF(Summary!$E$70="no",(1+(Summary!$E$71*0.8)),1+HLOOKUP(YEAR(CALC!C131)-1,CCFMODEL!$I$127:$AF$128,2)*0.8)),FJ130)</f>
        <v>29.4742318641085</v>
      </c>
      <c r="FK131" s="1128" t="e">
        <f aca="false">SUM(FB131:FG131)*FI131+FH131*FJ131</f>
        <v>#VALUE!</v>
      </c>
      <c r="FL131" s="1126" t="n">
        <f aca="false">IF(MONTH(C131)=5,FL130*(IF(Summary!$E$70="no",(1+(Summary!$E$71*0.8)),1+HLOOKUP(YEAR(CALC!C131)-1,CCFMODEL!$I$127:$AF$128,2)*0.8)),+FL130)</f>
        <v>70.9227655623271</v>
      </c>
      <c r="FM131" s="1127" t="n">
        <f aca="false">IF(MONTH(C131)=5,FM130*(IF(Summary!$E$70="no",(1+(Summary!$E$71*0.8)),1+HLOOKUP(YEAR(CALC!C131)-1,CCFMODEL!$I$127:$AF$128,2)*0.8)),+FM130)</f>
        <v>33.8492143716081</v>
      </c>
      <c r="FN131" s="1128" t="e">
        <f aca="false">IF((OR(MONTH(C131)=5,MONTH(C131)=6,MONTH(C131)=7,MONTH(C131)=8,MONTH(C131)=9)),SUM(FB131:FG131)/(1-BC131)*FL131,SUM(FB131:FG131)/(1-BC131)*FM131)</f>
        <v>#VALUE!</v>
      </c>
      <c r="FO131" s="1129" t="e">
        <f aca="false">FK131+FN131</f>
        <v>#VALUE!</v>
      </c>
      <c r="FP131" s="1169" t="e">
        <f aca="false">FB131</f>
        <v>#VALUE!</v>
      </c>
      <c r="FQ131" s="1129" t="n">
        <f aca="false">FC131</f>
        <v>0</v>
      </c>
      <c r="FR131" s="1129" t="e">
        <f aca="false">FD131</f>
        <v>#VALUE!</v>
      </c>
      <c r="FS131" s="1129" t="n">
        <f aca="false">FE131</f>
        <v>0</v>
      </c>
      <c r="FT131" s="1129" t="e">
        <f aca="false">FF131</f>
        <v>#VALUE!</v>
      </c>
      <c r="FU131" s="1129" t="n">
        <f aca="false">FG131</f>
        <v>0</v>
      </c>
      <c r="FV131" s="1170" t="e">
        <f aca="false">FH131</f>
        <v>#VALUE!</v>
      </c>
      <c r="FW131" s="1115" t="n">
        <f aca="false">IF(ER131&gt;0,MIN(FB131-FP131,BL131),0)</f>
        <v>0</v>
      </c>
      <c r="FX131" s="1115" t="n">
        <f aca="false">IF(ES131&gt;0,MIN(FD131-FR131,BM131),0)</f>
        <v>0</v>
      </c>
      <c r="FY131" s="1115" t="n">
        <f aca="false">IF(ET131&gt;0,MIN(FF131-FT131,BN131),0)</f>
        <v>0</v>
      </c>
      <c r="FZ131" s="1143" t="n">
        <f aca="false">IF(EU131&gt;0,MIN(FH131-FV131,BO131),0)</f>
        <v>0</v>
      </c>
      <c r="GA131" s="1132" t="e">
        <f aca="false">(SUM(FP131:FV131)+SUM(GU131:HB131)/(1-Summary!$O$25))*CY131/1000</f>
        <v>#VALUE!</v>
      </c>
      <c r="GB131" s="1133" t="n">
        <f aca="false">IF($C131&lt;Summary!$M$81,+Summary!$O$81,VLOOKUP(C131,GasTable,19))</f>
        <v>2.4</v>
      </c>
      <c r="GC131" s="1134" t="e">
        <f aca="false">IF(H131&lt;=Summary!$N$84,MIN(GA131,Summary!$O$75*(H131-G131+1)),0)</f>
        <v>#VALUE!</v>
      </c>
      <c r="GD131" s="1135" t="e">
        <f aca="false">IF(Summary!$O$75*(H131-G131+1)*0.8&gt;GC131,1,0)</f>
        <v>#VALUE!</v>
      </c>
      <c r="GE131" s="1136" t="n">
        <v>0</v>
      </c>
      <c r="GF131" s="1134" t="e">
        <f aca="false">ABS(MIN(0,GC131-$GA131))</f>
        <v>#VALUE!</v>
      </c>
      <c r="GG131" s="1135" t="e">
        <f aca="false">GF131*(IF(Summary!$O$74=1,VLOOKUP($C131,GasTable,16)+Summary!$O$92+Summary!$O$93,VLOOKUP($C131,GasTable,19)+Summary!$O$92+Summary!$O$93))</f>
        <v>#VALUE!</v>
      </c>
      <c r="GH131" s="1137" t="n">
        <v>19375</v>
      </c>
      <c r="GI131" s="1138" t="n">
        <v>0</v>
      </c>
      <c r="GJ131" s="1139" t="e">
        <f aca="false">+GB131*GC131+GE131+GG131+GH131-GI131</f>
        <v>#VALUE!</v>
      </c>
      <c r="GK131" s="1115" t="e">
        <f aca="false">SUM(FP131:FV131,GU131:GX131,GY131:HB131)</f>
        <v>#VALUE!</v>
      </c>
      <c r="GL131" s="1140" t="n">
        <v>0.756394165168</v>
      </c>
      <c r="GM131" s="1141" t="e">
        <f aca="false">IF(GK131&gt;GC131/(CY131/1000),GC131/(CY131/1000),+GK131)*GL131</f>
        <v>#VALUE!</v>
      </c>
      <c r="GN131" s="1115" t="n">
        <f aca="false">IF(SUM(GU131:HB131)=0,0,IF(Summary!$O$16="Yes",SUM(GX131:HB131),IF(Summary!$O$17="Yes",SUM(GY131:HB131),SUM(GU131:HB131))))</f>
        <v>9547.0731</v>
      </c>
      <c r="GO131" s="1142" t="n">
        <v>3.10474112454317</v>
      </c>
      <c r="GP131" s="1143" t="n">
        <f aca="false">GN131*GO131</f>
        <v>29641.1904725899</v>
      </c>
      <c r="GQ131" s="1115"/>
      <c r="GR131" s="1115"/>
      <c r="GS131" s="1115"/>
      <c r="GT131" s="1115"/>
      <c r="GU131" s="1150" t="n">
        <v>3935.1735</v>
      </c>
      <c r="GV131" s="1115" t="n">
        <v>513.2835</v>
      </c>
      <c r="GW131" s="1115" t="n">
        <v>855.4725</v>
      </c>
      <c r="GX131" s="1115"/>
      <c r="GY131" s="1151" t="n">
        <v>3148.1388</v>
      </c>
      <c r="GZ131" s="1115" t="n">
        <v>410.6268</v>
      </c>
      <c r="HA131" s="1115" t="n">
        <v>684.378</v>
      </c>
      <c r="HB131" s="1141"/>
      <c r="HC131" s="1115" t="n">
        <v>9547.0731</v>
      </c>
      <c r="HD131" s="1115"/>
      <c r="HE131" s="1115" t="n">
        <v>22276.5039</v>
      </c>
      <c r="HF131" s="1115" t="n">
        <v>431902.124793931</v>
      </c>
      <c r="HG131" s="1115"/>
      <c r="HH131" s="1142" t="n">
        <v>47.90719893713</v>
      </c>
      <c r="HI131" s="1115" t="n">
        <v>1067204.90396105</v>
      </c>
      <c r="HJ131" s="1150" t="e">
        <f aca="false">MAX(FB131-FP131-FW131,0)</f>
        <v>#VALUE!</v>
      </c>
      <c r="HK131" s="1115" t="e">
        <f aca="false">MAX(FD131-FR131-FX131,0)</f>
        <v>#VALUE!</v>
      </c>
      <c r="HL131" s="1115" t="e">
        <f aca="false">MAX(FF131-FT131-FY131,0)</f>
        <v>#VALUE!</v>
      </c>
      <c r="HM131" s="1141" t="e">
        <f aca="false">MAX(FH131-FV131-FZ131,0)</f>
        <v>#VALUE!</v>
      </c>
      <c r="HN131" s="1115" t="e">
        <f aca="false">SUM(HJ131:HM131)</f>
        <v>#VALUE!</v>
      </c>
      <c r="HO131" s="1142" t="n">
        <f aca="false">IF(ISERROR(+HP131/HN131),0,+HP131/HN131)</f>
        <v>0</v>
      </c>
      <c r="HP131" s="1143" t="e">
        <f aca="false">(HJ131*CE131+HK131*CF131+HL131*CG131+HM131*CH131)</f>
        <v>#VALUE!</v>
      </c>
      <c r="HQ131" s="1142"/>
      <c r="HR131" s="1150"/>
      <c r="HS131" s="1110"/>
      <c r="HT131" s="1141"/>
      <c r="HU131" s="1151"/>
      <c r="HV131" s="1142"/>
      <c r="HW131" s="1115"/>
      <c r="HX131" s="1149"/>
      <c r="HY131" s="1143"/>
      <c r="HZ131" s="1150"/>
      <c r="IA131" s="1142"/>
      <c r="IB131" s="1141"/>
      <c r="IC131" s="1151"/>
      <c r="ID131" s="1142"/>
      <c r="IE131" s="1141"/>
      <c r="IF131" s="1115"/>
      <c r="IG131" s="1142"/>
      <c r="IH131" s="1141"/>
      <c r="II131" s="1115"/>
      <c r="IJ131" s="1142"/>
      <c r="IK131" s="1115"/>
      <c r="IL131" s="1152"/>
      <c r="IM131" s="1192"/>
      <c r="IN131" s="1151"/>
      <c r="IO131" s="1151"/>
      <c r="IP131" s="1151"/>
      <c r="IQ131" s="1151"/>
      <c r="IR131" s="844"/>
    </row>
    <row r="132" customFormat="false" ht="13.5" hidden="false" customHeight="false" outlineLevel="0" collapsed="false">
      <c r="A132" s="0" t="str">
        <f aca="false">+D132&amp;"Q"&amp;ROUNDUP(E132/3,0)</f>
        <v>2009Q3</v>
      </c>
      <c r="B132" s="0" t="n">
        <f aca="false">YEAR(C132)</f>
        <v>2009</v>
      </c>
      <c r="C132" s="1153" t="n">
        <f aca="false">EOMONTH(C131,0)+1</f>
        <v>40026</v>
      </c>
      <c r="D132" s="841" t="n">
        <f aca="false">+YEAR(C132)</f>
        <v>2009</v>
      </c>
      <c r="E132" s="807" t="n">
        <f aca="false">MONTH(C132)</f>
        <v>8</v>
      </c>
      <c r="F132" s="1154" t="e">
        <f aca="false">IF(G132="","",Holiday(D132,E132))</f>
        <v>#VALUE!</v>
      </c>
      <c r="G132" s="1155" t="n">
        <v>40026</v>
      </c>
      <c r="H132" s="1156" t="n">
        <v>40056</v>
      </c>
      <c r="I132" s="1157" t="n">
        <f aca="false">I131</f>
        <v>0.0715</v>
      </c>
      <c r="J132" s="1158" t="n">
        <f aca="false">(1+I132/2)^(-2*(DATE(D133,E133,20)-$H$7)/365.25)</f>
        <v>0.503550584805618</v>
      </c>
      <c r="K132" s="1159"/>
      <c r="L132" s="1158"/>
      <c r="M132" s="1082" t="n">
        <v>0</v>
      </c>
      <c r="N132" s="1110" t="n">
        <f aca="false">M132</f>
        <v>0</v>
      </c>
      <c r="O132" s="1174" t="n">
        <f aca="false">N132</f>
        <v>0</v>
      </c>
      <c r="P132" s="1175" t="n">
        <f aca="false">M132</f>
        <v>0</v>
      </c>
      <c r="Q132" s="1110" t="n">
        <f aca="false">P132</f>
        <v>0</v>
      </c>
      <c r="R132" s="1174" t="n">
        <f aca="false">Q132</f>
        <v>0</v>
      </c>
      <c r="S132" s="1110" t="n">
        <f aca="false">R132</f>
        <v>0</v>
      </c>
      <c r="T132" s="1110" t="n">
        <f aca="false">S132</f>
        <v>0</v>
      </c>
      <c r="U132" s="1110" t="n">
        <f aca="false">T132</f>
        <v>0</v>
      </c>
      <c r="V132" s="1175" t="n">
        <f aca="false">U132</f>
        <v>0</v>
      </c>
      <c r="W132" s="1110" t="n">
        <f aca="false">V132</f>
        <v>0</v>
      </c>
      <c r="X132" s="1176" t="n">
        <f aca="false">W132</f>
        <v>0</v>
      </c>
      <c r="Y132" s="1086" t="n">
        <v>0</v>
      </c>
      <c r="Z132" s="1086" t="n">
        <v>0</v>
      </c>
      <c r="AA132" s="1087" t="n">
        <v>0</v>
      </c>
      <c r="AB132" s="1086" t="n">
        <v>0</v>
      </c>
      <c r="AC132" s="1086" t="n">
        <v>0</v>
      </c>
      <c r="AD132" s="1087" t="n">
        <v>0</v>
      </c>
      <c r="AE132" s="1086" t="n">
        <v>0</v>
      </c>
      <c r="AF132" s="1086" t="n">
        <v>0</v>
      </c>
      <c r="AG132" s="1087" t="n">
        <v>0</v>
      </c>
      <c r="AH132" s="1086" t="n">
        <v>0</v>
      </c>
      <c r="AI132" s="1086" t="n">
        <v>0</v>
      </c>
      <c r="AJ132" s="1087" t="n">
        <v>0</v>
      </c>
      <c r="AK132" s="1086" t="n">
        <v>0</v>
      </c>
      <c r="AL132" s="1086" t="n">
        <v>0</v>
      </c>
      <c r="AM132" s="1087" t="n">
        <v>0</v>
      </c>
      <c r="AN132" s="1086" t="n">
        <v>0</v>
      </c>
      <c r="AO132" s="1086" t="n">
        <v>0</v>
      </c>
      <c r="AP132" s="1087" t="n">
        <v>0</v>
      </c>
      <c r="AQ132" s="1086" t="n">
        <v>0</v>
      </c>
      <c r="AR132" s="1086" t="n">
        <v>0</v>
      </c>
      <c r="AS132" s="1087" t="n">
        <v>0</v>
      </c>
      <c r="AT132" s="1086" t="n">
        <v>0</v>
      </c>
      <c r="AU132" s="1086" t="n">
        <v>0</v>
      </c>
      <c r="AV132" s="1086" t="n">
        <v>0</v>
      </c>
      <c r="AW132" s="1172" t="n">
        <v>0</v>
      </c>
      <c r="AX132" s="807" t="n">
        <f aca="false">BB132-SUM(AY132:BA132)</f>
        <v>21</v>
      </c>
      <c r="AY132" s="807" t="n">
        <f aca="false">IF(AND($E132=MONTH(Summary!$E$24),$D132=YEAR(Summary!$E$24)),Summary!$E$25,1)*IF(G132="",0,INT((H132-MOD(H132,7)-G132)/7)+1-IF(BA132,IF(WEEKDAY(F132)=7,1,0),0))</f>
        <v>5</v>
      </c>
      <c r="AZ132" s="807" t="n">
        <f aca="false">IF(AND($E132=MONTH(Summary!$E$24),$D132=YEAR(Summary!$E$24)),Summary!$E$25,1)*IF(G132="",0,INT((H132-MOD(H132-1,7)-G132)/7)+1-IF(BA132,IF(WEEKDAY(F132)=1,1,0),0))</f>
        <v>5</v>
      </c>
      <c r="BA132" s="807" t="n">
        <v>0</v>
      </c>
      <c r="BB132" s="807" t="n">
        <f aca="false">IF(AND($E132=MONTH(Summary!$E$24),$D132=YEAR(Summary!$E$24)),Summary!$E$25,1)*IF(G132="",0,H132-G132+1)</f>
        <v>31</v>
      </c>
      <c r="BC132" s="1089" t="n">
        <f aca="false">Summary!$E$19</f>
        <v>0.015</v>
      </c>
      <c r="BD132" s="1090" t="n">
        <v>14893.2</v>
      </c>
      <c r="BE132" s="1091" t="n">
        <v>3546</v>
      </c>
      <c r="BF132" s="1091" t="n">
        <v>3546</v>
      </c>
      <c r="BG132" s="842"/>
      <c r="BH132" s="1092" t="n">
        <v>1</v>
      </c>
      <c r="BI132" s="1092" t="n">
        <v>1</v>
      </c>
      <c r="BJ132" s="1092" t="n">
        <v>1</v>
      </c>
      <c r="BK132" s="1092" t="n">
        <v>1</v>
      </c>
      <c r="BL132" s="1093" t="n">
        <v>2978.64</v>
      </c>
      <c r="BM132" s="1091" t="n">
        <v>709.2</v>
      </c>
      <c r="BN132" s="1091" t="n">
        <v>709.2</v>
      </c>
      <c r="BO132" s="842"/>
      <c r="BP132" s="1092" t="n">
        <v>1</v>
      </c>
      <c r="BQ132" s="1094" t="n">
        <v>1</v>
      </c>
      <c r="BR132" s="1094" t="n">
        <v>1</v>
      </c>
      <c r="BS132" s="1095" t="n">
        <v>1</v>
      </c>
      <c r="BT132" s="1093" t="n">
        <f aca="false">SUM(BD132:BF132)</f>
        <v>21985.2</v>
      </c>
      <c r="BU132" s="1098" t="n">
        <f aca="false">SUM(BD132:BG132)</f>
        <v>21985.2</v>
      </c>
      <c r="BV132" s="1090" t="n">
        <f aca="false">SUM(BL132:BN132)</f>
        <v>4397.04</v>
      </c>
      <c r="BW132" s="1098" t="n">
        <f aca="false">SUM(BL132:BO132)</f>
        <v>4397.04</v>
      </c>
      <c r="BX132" s="852" t="n">
        <v>9.6290212183436</v>
      </c>
      <c r="BY132" s="1099" t="n">
        <v>0</v>
      </c>
      <c r="BZ132" s="852" t="n">
        <v>0</v>
      </c>
      <c r="CA132" s="852" t="n">
        <v>0</v>
      </c>
      <c r="CB132" s="852" t="n">
        <v>0</v>
      </c>
      <c r="CC132" s="852" t="n">
        <v>0</v>
      </c>
      <c r="CD132" s="852" t="n">
        <v>0</v>
      </c>
      <c r="CE132" s="1100" t="n">
        <v>0</v>
      </c>
      <c r="CF132" s="852" t="n">
        <v>0</v>
      </c>
      <c r="CG132" s="852" t="n">
        <v>0</v>
      </c>
      <c r="CH132" s="852" t="n">
        <v>0</v>
      </c>
      <c r="CI132" s="852" t="n">
        <v>0</v>
      </c>
      <c r="CJ132" s="1101" t="n">
        <v>0</v>
      </c>
      <c r="CK132" s="852" t="n">
        <v>0</v>
      </c>
      <c r="CL132" s="852" t="n">
        <v>0</v>
      </c>
      <c r="CM132" s="852" t="n">
        <v>0</v>
      </c>
      <c r="CN132" s="852" t="n">
        <v>0</v>
      </c>
      <c r="CO132" s="852" t="n">
        <v>0</v>
      </c>
      <c r="CP132" s="852" t="n">
        <v>0</v>
      </c>
      <c r="CQ132" s="1102" t="n">
        <v>0</v>
      </c>
      <c r="CR132" s="1103" t="n">
        <v>0</v>
      </c>
      <c r="CS132" s="1103" t="n">
        <v>0</v>
      </c>
      <c r="CT132" s="1103" t="n">
        <v>0</v>
      </c>
      <c r="CU132" s="1103" t="n">
        <v>0</v>
      </c>
      <c r="CV132" s="1103" t="n">
        <v>0</v>
      </c>
      <c r="CW132" s="1103" t="n">
        <v>0</v>
      </c>
      <c r="CX132" s="1104" t="n">
        <v>0</v>
      </c>
      <c r="CY132" s="1105" t="n">
        <v>7704.6192</v>
      </c>
      <c r="CZ132" s="1099" t="n">
        <v>0</v>
      </c>
      <c r="DA132" s="852" t="n">
        <v>0</v>
      </c>
      <c r="DB132" s="852" t="n">
        <v>0</v>
      </c>
      <c r="DC132" s="852" t="n">
        <v>0</v>
      </c>
      <c r="DD132" s="852" t="n">
        <v>0</v>
      </c>
      <c r="DE132" s="1113" t="n">
        <v>0</v>
      </c>
      <c r="DF132" s="1109" t="n">
        <v>0</v>
      </c>
      <c r="DG132" s="1110" t="n">
        <v>0</v>
      </c>
      <c r="DH132" s="1111" t="n">
        <v>0</v>
      </c>
      <c r="DI132" s="1112" t="n">
        <v>0</v>
      </c>
      <c r="DJ132" s="1112" t="n">
        <v>0</v>
      </c>
      <c r="DK132" s="1112" t="n">
        <v>0</v>
      </c>
      <c r="DL132" s="1113" t="n">
        <v>0</v>
      </c>
      <c r="DM132" s="1114" t="n">
        <v>0</v>
      </c>
      <c r="DN132" s="1114" t="n">
        <v>0</v>
      </c>
      <c r="DO132" s="1114" t="n">
        <v>0</v>
      </c>
      <c r="DP132" s="1114" t="n">
        <v>0</v>
      </c>
      <c r="DQ132" s="1114" t="n">
        <v>0</v>
      </c>
      <c r="DR132" s="1109" t="n">
        <v>0</v>
      </c>
      <c r="DS132" s="852" t="n">
        <v>0</v>
      </c>
      <c r="DT132" s="852" t="n">
        <v>0</v>
      </c>
      <c r="DU132" s="852" t="n">
        <v>0</v>
      </c>
      <c r="DV132" s="852" t="n">
        <v>0</v>
      </c>
      <c r="DW132" s="852" t="n">
        <v>0</v>
      </c>
      <c r="DX132" s="852" t="n">
        <v>0</v>
      </c>
      <c r="DY132" s="852" t="n">
        <v>0</v>
      </c>
      <c r="DZ132" s="852" t="n">
        <v>0</v>
      </c>
      <c r="EA132" s="852" t="n">
        <v>0</v>
      </c>
      <c r="EB132" s="1113" t="n">
        <v>0</v>
      </c>
      <c r="EC132" s="1115" t="n">
        <f aca="false">DS132*BD132</f>
        <v>0</v>
      </c>
      <c r="ED132" s="1115" t="n">
        <f aca="false">DT132*BE132</f>
        <v>0</v>
      </c>
      <c r="EE132" s="1115" t="n">
        <f aca="false">DU132*BF132</f>
        <v>0</v>
      </c>
      <c r="EF132" s="1115" t="n">
        <f aca="false">DV132*BG132</f>
        <v>0</v>
      </c>
      <c r="EG132" s="1115" t="n">
        <f aca="false">DS132*BD132+DT132*BE132+DU132*BF132+DV132*BG132</f>
        <v>0</v>
      </c>
      <c r="EH132" s="1116" t="n">
        <v>0</v>
      </c>
      <c r="EI132" s="1117" t="n">
        <v>0</v>
      </c>
      <c r="EJ132" s="1117" t="n">
        <v>0</v>
      </c>
      <c r="EK132" s="1117" t="n">
        <v>0</v>
      </c>
      <c r="EL132" s="1118" t="n">
        <f aca="false">IF(C132&gt;=Summary!$E$26,MAX(0,SUM(EH132:EK132)),0)</f>
        <v>0</v>
      </c>
      <c r="EM132" s="1115" t="n">
        <f aca="false">IF(C132&gt;=Summary!$E$26,DX132*BL132,0)</f>
        <v>0</v>
      </c>
      <c r="EN132" s="1115" t="n">
        <f aca="false">IF(C132&gt;=Summary!$E$26,DY132*BM132,0)</f>
        <v>0</v>
      </c>
      <c r="EO132" s="1115" t="n">
        <f aca="false">IF(C132&gt;=Summary!$E$26,DZ132*BN132,0)</f>
        <v>0</v>
      </c>
      <c r="EP132" s="1115" t="n">
        <f aca="false">IF(C132&gt;=Summary!$E$26,EA132*BO132,0)</f>
        <v>0</v>
      </c>
      <c r="EQ132" s="1115" t="n">
        <f aca="false">IF(C132&gt;=Summary!$E$26,DX132*BL132+DY132*BM132+DZ132*BN132+EA132*BO132,0)</f>
        <v>0</v>
      </c>
      <c r="ER132" s="1119" t="n">
        <v>0</v>
      </c>
      <c r="ES132" s="1120" t="n">
        <v>0</v>
      </c>
      <c r="ET132" s="1120" t="n">
        <v>0</v>
      </c>
      <c r="EU132" s="1120" t="n">
        <v>0</v>
      </c>
      <c r="EV132" s="1143" t="n">
        <f aca="false">IF(C132&gt;=Summary!$E$26,MAX(0,SUM(ER132:EU132)),0)</f>
        <v>0</v>
      </c>
      <c r="EW132" s="1115"/>
      <c r="EX132" s="1165" t="n">
        <f aca="false">(EQ132-EV132)+IF(EZ132="Yes",(EG132-EL132),0)</f>
        <v>0</v>
      </c>
      <c r="EY132" s="1166" t="str">
        <f aca="false">IF(EX132,EX132/EQ132,"")</f>
        <v/>
      </c>
      <c r="EZ132" s="1122" t="s">
        <v>37</v>
      </c>
      <c r="FA132" s="1096" t="n">
        <f aca="false">FA131</f>
        <v>45</v>
      </c>
      <c r="FB132" s="1167" t="n">
        <f aca="false">IF(EZ132="No",IF((OR(MONTH(C132)=5,MONTH(C132)=6,MONTH(C132)=7,MONTH(C132)=8,MONTH(C132)=9)),$FA132*12*AX132*(1-$BC132),$FA132*10*AX132*(1-$BC132)),0)</f>
        <v>11169.9</v>
      </c>
      <c r="FC132" s="1129" t="n">
        <f aca="false">IF(EZ132="No",IF((OR(MONTH(C132)=5,MONTH(C132)=6,MONTH(C132)=7,MONTH(C132)=8,MONTH(C132)=9)),0,$FA132*3*AX132*(1-$BC132)),0)</f>
        <v>0</v>
      </c>
      <c r="FD132" s="1129" t="n">
        <f aca="false">IF(EZ132="No",IF((OR(MONTH(C132)=5,MONTH(C132)=6,MONTH(C132)=7,MONTH(C132)=8,MONTH(C132)=9)),$FA132*12*AY132*(1-$BC132),$FA132*10*AY132*(1-$BC132)),0)</f>
        <v>2659.5</v>
      </c>
      <c r="FE132" s="1129" t="n">
        <f aca="false">IF(EZ132="No",IF((OR(MONTH(C132)=5,MONTH(C132)=6,MONTH(C132)=7,MONTH(C132)=8,MONTH(C132)=9)),0,$FA132*3*AY132*(1-$BC132)),0)</f>
        <v>0</v>
      </c>
      <c r="FF132" s="1129" t="n">
        <f aca="false">IF(EZ132="No",IF((OR(MONTH(C132)=5,MONTH(C132)=6,MONTH(C132)=7,MONTH(C132)=8,MONTH(C132)=9)),$FA132*12*(AZ132+BA132)*(1-$BC132),$FA132*10*(AZ132+BA132)*(1-$BC132)),0)</f>
        <v>2659.5</v>
      </c>
      <c r="FG132" s="1129" t="n">
        <f aca="false">IF(EZ132="No",IF((OR(MONTH(C132)=5,MONTH(C132)=6,MONTH(C132)=7,MONTH(C132)=8,MONTH(C132)=9)),0,$FA132*3*(AZ132+BA132)*(1-$BC132)),0)</f>
        <v>0</v>
      </c>
      <c r="FH132" s="1170" t="n">
        <f aca="false">IF(EZ132="No",IF((OR(MONTH(C132)=5,MONTH(C132)=6,MONTH(C132)=7,MONTH(C132)=8,MONTH(C132)=9)),Summary!$O$15*12*(AX132+AY132+AZ132+BA132)*(1-$BC132),Summary!$O$15*13*(AX132+AY132+AZ132+BA132)*(1-$BC132)+IF(Summary!$O$16="Yes",(CALC!FA132+Summary!$O$15)*6*(AX132+AY132+AZ132+BA132)*(1-$BC132),0)),0)</f>
        <v>0</v>
      </c>
      <c r="FI132" s="1126" t="n">
        <f aca="false">IF(MONTH(C132)=5,FI131*(IF(Summary!$E$70="no",(1+(Summary!$E$71*0.8)),1+HLOOKUP(YEAR(C132)-1,CCFMODEL!$I$127:$AF$128,2)*0.8)),+FI131)</f>
        <v>33.7227697904665</v>
      </c>
      <c r="FJ132" s="1127" t="n">
        <f aca="false">IF(MONTH(C132)=5,FJ131*(IF(Summary!$E$70="no",(1+(Summary!$E$71*0.8)),1+HLOOKUP(YEAR(CALC!C132)-1,CCFMODEL!$I$127:$AF$128,2)*0.8)),FJ131)</f>
        <v>29.4742318641085</v>
      </c>
      <c r="FK132" s="1128" t="n">
        <f aca="false">SUM(FB132:FG132)*FI132+FH132*FJ132</f>
        <v>556051.378798022</v>
      </c>
      <c r="FL132" s="1126" t="n">
        <f aca="false">IF(MONTH(C132)=5,FL131*(IF(Summary!$E$70="no",(1+(Summary!$E$71*0.8)),1+HLOOKUP(YEAR(CALC!C132)-1,CCFMODEL!$I$127:$AF$128,2)*0.8)),+FL131)</f>
        <v>70.9227655623271</v>
      </c>
      <c r="FM132" s="1127" t="n">
        <f aca="false">IF(MONTH(C132)=5,FM131*(IF(Summary!$E$70="no",(1+(Summary!$E$71*0.8)),1+HLOOKUP(YEAR(CALC!C132)-1,CCFMODEL!$I$127:$AF$128,2)*0.8)),+FM131)</f>
        <v>33.8492143716081</v>
      </c>
      <c r="FN132" s="1128" t="n">
        <f aca="false">IF((OR(MONTH(C132)=5,MONTH(C132)=6,MONTH(C132)=7,MONTH(C132)=8,MONTH(C132)=9)),SUM(FB132:FG132)/(1-BC132)*FL132,SUM(FB132:FG132)/(1-BC132)*FM132)</f>
        <v>1187247.09551336</v>
      </c>
      <c r="FO132" s="1129" t="n">
        <f aca="false">FK132+FN132</f>
        <v>1743298.47431138</v>
      </c>
      <c r="FP132" s="1169" t="n">
        <f aca="false">FB132</f>
        <v>11169.9</v>
      </c>
      <c r="FQ132" s="1129" t="n">
        <f aca="false">FC132</f>
        <v>0</v>
      </c>
      <c r="FR132" s="1129" t="n">
        <f aca="false">FD132</f>
        <v>2659.5</v>
      </c>
      <c r="FS132" s="1129" t="n">
        <f aca="false">FE132</f>
        <v>0</v>
      </c>
      <c r="FT132" s="1129" t="n">
        <f aca="false">FF132</f>
        <v>2659.5</v>
      </c>
      <c r="FU132" s="1129" t="n">
        <f aca="false">FG132</f>
        <v>0</v>
      </c>
      <c r="FV132" s="1170" t="n">
        <f aca="false">FH132</f>
        <v>0</v>
      </c>
      <c r="FW132" s="1115" t="n">
        <f aca="false">IF(ER132&gt;0,MIN(FB132-FP132,BL132),0)</f>
        <v>0</v>
      </c>
      <c r="FX132" s="1115" t="n">
        <f aca="false">IF(ES132&gt;0,MIN(FD132-FR132,BM132),0)</f>
        <v>0</v>
      </c>
      <c r="FY132" s="1115" t="n">
        <f aca="false">IF(ET132&gt;0,MIN(FF132-FT132,BN132),0)</f>
        <v>0</v>
      </c>
      <c r="FZ132" s="1143" t="n">
        <f aca="false">IF(EU132&gt;0,MIN(FH132-FV132,BO132),0)</f>
        <v>0</v>
      </c>
      <c r="GA132" s="1132" t="n">
        <f aca="false">(SUM(FP132:FV132)+SUM(GU132:HB132)/(1-Summary!$O$25))*CY132/1000</f>
        <v>203265.112843008</v>
      </c>
      <c r="GB132" s="1133" t="n">
        <f aca="false">IF($C132&lt;Summary!$M$81,+Summary!$O$81,VLOOKUP(C132,GasTable,19))</f>
        <v>2.4</v>
      </c>
      <c r="GC132" s="1134" t="n">
        <f aca="false">IF(H132&lt;=Summary!$N$84,MIN(GA132,Summary!$O$75*(H132-G132+1)),0)</f>
        <v>155000</v>
      </c>
      <c r="GD132" s="1135" t="n">
        <f aca="false">IF(Summary!$O$75*(H132-G132+1)*0.8&gt;GC132,1,0)</f>
        <v>0</v>
      </c>
      <c r="GE132" s="1136" t="n">
        <v>0</v>
      </c>
      <c r="GF132" s="1134" t="n">
        <f aca="false">ABS(MIN(0,GC132-$GA132))</f>
        <v>48265.1128430081</v>
      </c>
      <c r="GG132" s="1135" t="n">
        <f aca="false">GF132*(IF(Summary!$O$74=1,VLOOKUP($C132,GasTable,16)+Summary!$O$92+Summary!$O$93,VLOOKUP($C132,GasTable,19)+Summary!$O$92+Summary!$O$93))</f>
        <v>152884.369458551</v>
      </c>
      <c r="GH132" s="1137" t="n">
        <v>19505.2</v>
      </c>
      <c r="GI132" s="1138" t="n">
        <v>0</v>
      </c>
      <c r="GJ132" s="1139" t="n">
        <f aca="false">+GB132*GC132+GE132+GG132+GH132-GI132</f>
        <v>544389.569458551</v>
      </c>
      <c r="GK132" s="1115" t="n">
        <f aca="false">SUM(FP132:FV132,GU132:GX132,GY132:HB132)</f>
        <v>26035.9731</v>
      </c>
      <c r="GL132" s="1140" t="n">
        <v>0.75659360544</v>
      </c>
      <c r="GM132" s="1141" t="n">
        <f aca="false">IF(GK132&gt;GC132/(CY132/1000),GC132/(CY132/1000),+GK132)*GL132</f>
        <v>15221</v>
      </c>
      <c r="GN132" s="1115" t="n">
        <f aca="false">IF(SUM(GU132:HB132)=0,0,IF(Summary!$O$16="Yes",SUM(GX132:HB132),IF(Summary!$O$17="Yes",SUM(GY132:HB132),SUM(GU132:HB132))))</f>
        <v>9547.0731</v>
      </c>
      <c r="GO132" s="1142" t="n">
        <v>3.10474112454317</v>
      </c>
      <c r="GP132" s="1143" t="n">
        <f aca="false">GN132*GO132</f>
        <v>29641.1904725899</v>
      </c>
      <c r="GQ132" s="1115"/>
      <c r="GR132" s="1115"/>
      <c r="GS132" s="1115"/>
      <c r="GT132" s="1115"/>
      <c r="GU132" s="1150" t="n">
        <v>3592.9845</v>
      </c>
      <c r="GV132" s="1115" t="n">
        <v>855.4725</v>
      </c>
      <c r="GW132" s="1115" t="n">
        <v>855.4725</v>
      </c>
      <c r="GX132" s="1115"/>
      <c r="GY132" s="1151" t="n">
        <v>2874.3876</v>
      </c>
      <c r="GZ132" s="1115" t="n">
        <v>684.378</v>
      </c>
      <c r="HA132" s="1115" t="n">
        <v>684.378</v>
      </c>
      <c r="HB132" s="1141"/>
      <c r="HC132" s="1115" t="n">
        <v>9547.0731</v>
      </c>
      <c r="HD132" s="1115"/>
      <c r="HE132" s="1115" t="n">
        <v>22276.5039</v>
      </c>
      <c r="HF132" s="1115" t="n">
        <v>737117.582821697</v>
      </c>
      <c r="HG132" s="1115"/>
      <c r="HH132" s="1142" t="n">
        <v>81.2933610127107</v>
      </c>
      <c r="HI132" s="1115" t="n">
        <v>1810931.87364376</v>
      </c>
      <c r="HJ132" s="1150" t="n">
        <f aca="false">MAX(FB132-FP132-FW132,0)</f>
        <v>0</v>
      </c>
      <c r="HK132" s="1115" t="n">
        <f aca="false">MAX(FD132-FR132-FX132,0)</f>
        <v>0</v>
      </c>
      <c r="HL132" s="1115" t="n">
        <f aca="false">MAX(FF132-FT132-FY132,0)</f>
        <v>0</v>
      </c>
      <c r="HM132" s="1141" t="n">
        <f aca="false">MAX(FH132-FV132-FZ132,0)</f>
        <v>0</v>
      </c>
      <c r="HN132" s="1115" t="n">
        <f aca="false">SUM(HJ132:HM132)</f>
        <v>0</v>
      </c>
      <c r="HO132" s="1142" t="n">
        <f aca="false">IF(ISERROR(+HP132/HN132),0,+HP132/HN132)</f>
        <v>0</v>
      </c>
      <c r="HP132" s="1143" t="n">
        <f aca="false">(HJ132*CE132+HK132*CF132+HL132*CG132+HM132*CH132)</f>
        <v>0</v>
      </c>
      <c r="HQ132" s="1142"/>
      <c r="HR132" s="1150"/>
      <c r="HS132" s="1110"/>
      <c r="HT132" s="1141"/>
      <c r="HU132" s="1151"/>
      <c r="HV132" s="1142"/>
      <c r="HW132" s="1115"/>
      <c r="HX132" s="1149"/>
      <c r="HY132" s="1143"/>
      <c r="HZ132" s="1150"/>
      <c r="IA132" s="1142"/>
      <c r="IB132" s="1141"/>
      <c r="IC132" s="1151"/>
      <c r="ID132" s="1142"/>
      <c r="IE132" s="1141"/>
      <c r="IF132" s="1115"/>
      <c r="IG132" s="1142"/>
      <c r="IH132" s="1141"/>
      <c r="II132" s="1115"/>
      <c r="IJ132" s="1142"/>
      <c r="IK132" s="1115"/>
      <c r="IL132" s="1152"/>
      <c r="IM132" s="1192"/>
      <c r="IN132" s="1151"/>
      <c r="IO132" s="1151"/>
      <c r="IP132" s="1151"/>
      <c r="IQ132" s="1151"/>
      <c r="IR132" s="844"/>
    </row>
    <row r="133" customFormat="false" ht="13.5" hidden="false" customHeight="false" outlineLevel="0" collapsed="false">
      <c r="A133" s="0" t="str">
        <f aca="false">+D133&amp;"Q"&amp;ROUNDUP(E133/3,0)</f>
        <v>2009Q3</v>
      </c>
      <c r="B133" s="0" t="n">
        <f aca="false">YEAR(C133)</f>
        <v>2009</v>
      </c>
      <c r="C133" s="1153" t="n">
        <f aca="false">EOMONTH(C132,0)+1</f>
        <v>40057</v>
      </c>
      <c r="D133" s="841" t="n">
        <f aca="false">+YEAR(C133)</f>
        <v>2009</v>
      </c>
      <c r="E133" s="807" t="n">
        <f aca="false">MONTH(C133)</f>
        <v>9</v>
      </c>
      <c r="F133" s="1154" t="e">
        <f aca="false">IF(G133="","",Holiday(D133,E133))</f>
        <v>#VALUE!</v>
      </c>
      <c r="G133" s="1155" t="n">
        <v>40057</v>
      </c>
      <c r="H133" s="1156" t="n">
        <v>40086</v>
      </c>
      <c r="I133" s="1157" t="n">
        <f aca="false">I132</f>
        <v>0.0715</v>
      </c>
      <c r="J133" s="1158" t="n">
        <f aca="false">(1+I133/2)^(-2*(DATE(D134,E134,20)-$H$7)/365.25)</f>
        <v>0.500653387925029</v>
      </c>
      <c r="K133" s="1159"/>
      <c r="L133" s="1158"/>
      <c r="M133" s="1082" t="n">
        <v>0</v>
      </c>
      <c r="N133" s="1110" t="n">
        <f aca="false">M133</f>
        <v>0</v>
      </c>
      <c r="O133" s="1174" t="n">
        <f aca="false">N133</f>
        <v>0</v>
      </c>
      <c r="P133" s="1175" t="n">
        <f aca="false">M133</f>
        <v>0</v>
      </c>
      <c r="Q133" s="1110" t="n">
        <f aca="false">P133</f>
        <v>0</v>
      </c>
      <c r="R133" s="1174" t="n">
        <f aca="false">Q133</f>
        <v>0</v>
      </c>
      <c r="S133" s="1110" t="n">
        <f aca="false">R133</f>
        <v>0</v>
      </c>
      <c r="T133" s="1110" t="n">
        <f aca="false">S133</f>
        <v>0</v>
      </c>
      <c r="U133" s="1110" t="n">
        <f aca="false">T133</f>
        <v>0</v>
      </c>
      <c r="V133" s="1175" t="n">
        <f aca="false">U133</f>
        <v>0</v>
      </c>
      <c r="W133" s="1110" t="n">
        <f aca="false">V133</f>
        <v>0</v>
      </c>
      <c r="X133" s="1176" t="n">
        <f aca="false">W133</f>
        <v>0</v>
      </c>
      <c r="Y133" s="1086" t="n">
        <v>0</v>
      </c>
      <c r="Z133" s="1086" t="n">
        <v>0</v>
      </c>
      <c r="AA133" s="1087" t="n">
        <v>0</v>
      </c>
      <c r="AB133" s="1086" t="n">
        <v>0</v>
      </c>
      <c r="AC133" s="1086" t="n">
        <v>0</v>
      </c>
      <c r="AD133" s="1087" t="n">
        <v>0</v>
      </c>
      <c r="AE133" s="1086" t="n">
        <v>0</v>
      </c>
      <c r="AF133" s="1086" t="n">
        <v>0</v>
      </c>
      <c r="AG133" s="1087" t="n">
        <v>0</v>
      </c>
      <c r="AH133" s="1086" t="n">
        <v>0</v>
      </c>
      <c r="AI133" s="1086" t="n">
        <v>0</v>
      </c>
      <c r="AJ133" s="1087" t="n">
        <v>0</v>
      </c>
      <c r="AK133" s="1086" t="n">
        <v>0</v>
      </c>
      <c r="AL133" s="1086" t="n">
        <v>0</v>
      </c>
      <c r="AM133" s="1087" t="n">
        <v>0</v>
      </c>
      <c r="AN133" s="1086" t="n">
        <v>0</v>
      </c>
      <c r="AO133" s="1086" t="n">
        <v>0</v>
      </c>
      <c r="AP133" s="1087" t="n">
        <v>0</v>
      </c>
      <c r="AQ133" s="1086" t="n">
        <v>0</v>
      </c>
      <c r="AR133" s="1086" t="n">
        <v>0</v>
      </c>
      <c r="AS133" s="1087" t="n">
        <v>0</v>
      </c>
      <c r="AT133" s="1086" t="n">
        <v>0</v>
      </c>
      <c r="AU133" s="1086" t="n">
        <v>0</v>
      </c>
      <c r="AV133" s="1086" t="n">
        <v>0</v>
      </c>
      <c r="AW133" s="1172" t="n">
        <v>0</v>
      </c>
      <c r="AX133" s="807" t="e">
        <f aca="false">BB133-SUM(AY133:BA133)</f>
        <v>#VALUE!</v>
      </c>
      <c r="AY133" s="807" t="e">
        <f aca="false">IF(AND($E133=MONTH(Summary!$E$24),$D133=YEAR(Summary!$E$24)),Summary!$E$25,1)*IF(G133="",0,INT((H133-MOD(H133,7)-G133)/7)+1-IF(BA133,IF(WEEKDAY(F133)=7,1,0),0))</f>
        <v>#VALUE!</v>
      </c>
      <c r="AZ133" s="807" t="e">
        <f aca="false">IF(AND($E133=MONTH(Summary!$E$24),$D133=YEAR(Summary!$E$24)),Summary!$E$25,1)*IF(G133="",0,INT((H133-MOD(H133-1,7)-G133)/7)+1-IF(BA133,IF(WEEKDAY(F133)=1,1,0),0))</f>
        <v>#VALUE!</v>
      </c>
      <c r="BA133" s="807" t="n">
        <v>1</v>
      </c>
      <c r="BB133" s="807" t="n">
        <f aca="false">IF(AND($E133=MONTH(Summary!$E$24),$D133=YEAR(Summary!$E$24)),Summary!$E$25,1)*IF(G133="",0,H133-G133+1)</f>
        <v>30</v>
      </c>
      <c r="BC133" s="1089" t="n">
        <f aca="false">Summary!$E$19</f>
        <v>0.015</v>
      </c>
      <c r="BD133" s="1090" t="n">
        <v>14893.2</v>
      </c>
      <c r="BE133" s="1091" t="n">
        <v>2836.8</v>
      </c>
      <c r="BF133" s="1091" t="n">
        <v>3546</v>
      </c>
      <c r="BG133" s="842"/>
      <c r="BH133" s="1092" t="n">
        <v>1</v>
      </c>
      <c r="BI133" s="1092" t="n">
        <v>1</v>
      </c>
      <c r="BJ133" s="1092" t="n">
        <v>1</v>
      </c>
      <c r="BK133" s="1092" t="n">
        <v>1</v>
      </c>
      <c r="BL133" s="1093" t="n">
        <v>2978.64</v>
      </c>
      <c r="BM133" s="1091" t="n">
        <v>567.36</v>
      </c>
      <c r="BN133" s="1091" t="n">
        <v>709.2</v>
      </c>
      <c r="BO133" s="842"/>
      <c r="BP133" s="1092" t="n">
        <v>1</v>
      </c>
      <c r="BQ133" s="1094" t="n">
        <v>1</v>
      </c>
      <c r="BR133" s="1094" t="n">
        <v>1</v>
      </c>
      <c r="BS133" s="1095" t="n">
        <v>1</v>
      </c>
      <c r="BT133" s="1093" t="n">
        <f aca="false">SUM(BD133:BF133)</f>
        <v>21276</v>
      </c>
      <c r="BU133" s="1098" t="n">
        <f aca="false">SUM(BD133:BG133)</f>
        <v>21276</v>
      </c>
      <c r="BV133" s="1090" t="n">
        <f aca="false">SUM(BL133:BN133)</f>
        <v>4255.2</v>
      </c>
      <c r="BW133" s="1098" t="n">
        <f aca="false">SUM(BL133:BO133)</f>
        <v>4255.2</v>
      </c>
      <c r="BX133" s="852" t="n">
        <v>9.7138945927447</v>
      </c>
      <c r="BY133" s="1099" t="n">
        <v>0</v>
      </c>
      <c r="BZ133" s="852" t="n">
        <v>0</v>
      </c>
      <c r="CA133" s="852" t="n">
        <v>0</v>
      </c>
      <c r="CB133" s="852" t="n">
        <v>0</v>
      </c>
      <c r="CC133" s="852" t="n">
        <v>0</v>
      </c>
      <c r="CD133" s="852" t="n">
        <v>0</v>
      </c>
      <c r="CE133" s="1100" t="n">
        <v>0</v>
      </c>
      <c r="CF133" s="852" t="n">
        <v>0</v>
      </c>
      <c r="CG133" s="852" t="n">
        <v>0</v>
      </c>
      <c r="CH133" s="852" t="n">
        <v>0</v>
      </c>
      <c r="CI133" s="852" t="n">
        <v>0</v>
      </c>
      <c r="CJ133" s="1101" t="n">
        <v>0</v>
      </c>
      <c r="CK133" s="852" t="n">
        <v>0</v>
      </c>
      <c r="CL133" s="852" t="n">
        <v>0</v>
      </c>
      <c r="CM133" s="852" t="n">
        <v>0</v>
      </c>
      <c r="CN133" s="852" t="n">
        <v>0</v>
      </c>
      <c r="CO133" s="852" t="n">
        <v>0</v>
      </c>
      <c r="CP133" s="852" t="n">
        <v>0</v>
      </c>
      <c r="CQ133" s="1102" t="n">
        <v>0</v>
      </c>
      <c r="CR133" s="1103" t="n">
        <v>0</v>
      </c>
      <c r="CS133" s="1103" t="n">
        <v>0</v>
      </c>
      <c r="CT133" s="1103" t="n">
        <v>0</v>
      </c>
      <c r="CU133" s="1103" t="n">
        <v>0</v>
      </c>
      <c r="CV133" s="1103" t="n">
        <v>0</v>
      </c>
      <c r="CW133" s="1103" t="n">
        <v>0</v>
      </c>
      <c r="CX133" s="1104" t="n">
        <v>0</v>
      </c>
      <c r="CY133" s="1105" t="n">
        <v>7706.65016</v>
      </c>
      <c r="CZ133" s="1099" t="n">
        <v>0</v>
      </c>
      <c r="DA133" s="852" t="n">
        <v>0</v>
      </c>
      <c r="DB133" s="852" t="n">
        <v>0</v>
      </c>
      <c r="DC133" s="852" t="n">
        <v>0</v>
      </c>
      <c r="DD133" s="852" t="n">
        <v>0</v>
      </c>
      <c r="DE133" s="1113" t="n">
        <v>0</v>
      </c>
      <c r="DF133" s="1109" t="n">
        <v>0</v>
      </c>
      <c r="DG133" s="1110" t="n">
        <v>0</v>
      </c>
      <c r="DH133" s="1111" t="n">
        <v>0</v>
      </c>
      <c r="DI133" s="1112" t="n">
        <v>0</v>
      </c>
      <c r="DJ133" s="1112" t="n">
        <v>0</v>
      </c>
      <c r="DK133" s="1112" t="n">
        <v>0</v>
      </c>
      <c r="DL133" s="1113" t="n">
        <v>0</v>
      </c>
      <c r="DM133" s="1114" t="n">
        <v>0</v>
      </c>
      <c r="DN133" s="1114" t="n">
        <v>0</v>
      </c>
      <c r="DO133" s="1114" t="n">
        <v>0</v>
      </c>
      <c r="DP133" s="1114" t="n">
        <v>0</v>
      </c>
      <c r="DQ133" s="1114" t="n">
        <v>0</v>
      </c>
      <c r="DR133" s="1109" t="n">
        <v>0</v>
      </c>
      <c r="DS133" s="852" t="n">
        <v>0</v>
      </c>
      <c r="DT133" s="852" t="n">
        <v>0</v>
      </c>
      <c r="DU133" s="852" t="n">
        <v>0</v>
      </c>
      <c r="DV133" s="852" t="n">
        <v>0</v>
      </c>
      <c r="DW133" s="852" t="n">
        <v>0</v>
      </c>
      <c r="DX133" s="852" t="n">
        <v>0</v>
      </c>
      <c r="DY133" s="852" t="n">
        <v>0</v>
      </c>
      <c r="DZ133" s="852" t="n">
        <v>0</v>
      </c>
      <c r="EA133" s="852" t="n">
        <v>0</v>
      </c>
      <c r="EB133" s="1113" t="n">
        <v>0</v>
      </c>
      <c r="EC133" s="1115" t="n">
        <f aca="false">DS133*BD133</f>
        <v>0</v>
      </c>
      <c r="ED133" s="1115" t="n">
        <f aca="false">DT133*BE133</f>
        <v>0</v>
      </c>
      <c r="EE133" s="1115" t="n">
        <f aca="false">DU133*BF133</f>
        <v>0</v>
      </c>
      <c r="EF133" s="1115" t="n">
        <f aca="false">DV133*BG133</f>
        <v>0</v>
      </c>
      <c r="EG133" s="1115" t="n">
        <f aca="false">DS133*BD133+DT133*BE133+DU133*BF133+DV133*BG133</f>
        <v>0</v>
      </c>
      <c r="EH133" s="1116" t="n">
        <v>0</v>
      </c>
      <c r="EI133" s="1117" t="n">
        <v>0</v>
      </c>
      <c r="EJ133" s="1117" t="n">
        <v>0</v>
      </c>
      <c r="EK133" s="1117" t="n">
        <v>0</v>
      </c>
      <c r="EL133" s="1118" t="n">
        <f aca="false">IF(C133&gt;=Summary!$E$26,MAX(0,SUM(EH133:EK133)),0)</f>
        <v>0</v>
      </c>
      <c r="EM133" s="1115" t="n">
        <f aca="false">IF(C133&gt;=Summary!$E$26,DX133*BL133,0)</f>
        <v>0</v>
      </c>
      <c r="EN133" s="1115" t="n">
        <f aca="false">IF(C133&gt;=Summary!$E$26,DY133*BM133,0)</f>
        <v>0</v>
      </c>
      <c r="EO133" s="1115" t="n">
        <f aca="false">IF(C133&gt;=Summary!$E$26,DZ133*BN133,0)</f>
        <v>0</v>
      </c>
      <c r="EP133" s="1115" t="n">
        <f aca="false">IF(C133&gt;=Summary!$E$26,EA133*BO133,0)</f>
        <v>0</v>
      </c>
      <c r="EQ133" s="1115" t="n">
        <f aca="false">IF(C133&gt;=Summary!$E$26,DX133*BL133+DY133*BM133+DZ133*BN133+EA133*BO133,0)</f>
        <v>0</v>
      </c>
      <c r="ER133" s="1119" t="n">
        <v>0</v>
      </c>
      <c r="ES133" s="1120" t="n">
        <v>0</v>
      </c>
      <c r="ET133" s="1120" t="n">
        <v>0</v>
      </c>
      <c r="EU133" s="1120" t="n">
        <v>0</v>
      </c>
      <c r="EV133" s="1143" t="n">
        <f aca="false">IF(C133&gt;=Summary!$E$26,MAX(0,SUM(ER133:EU133)),0)</f>
        <v>0</v>
      </c>
      <c r="EW133" s="1115"/>
      <c r="EX133" s="1165" t="n">
        <f aca="false">(EQ133-EV133)+IF(EZ133="Yes",(EG133-EL133),0)</f>
        <v>0</v>
      </c>
      <c r="EY133" s="1166" t="str">
        <f aca="false">IF(EX133,EX133/EQ133,"")</f>
        <v/>
      </c>
      <c r="EZ133" s="1122" t="s">
        <v>37</v>
      </c>
      <c r="FA133" s="1096" t="n">
        <f aca="false">FA132</f>
        <v>45</v>
      </c>
      <c r="FB133" s="1167" t="e">
        <f aca="false">IF(EZ133="No",IF((OR(MONTH(C133)=5,MONTH(C133)=6,MONTH(C133)=7,MONTH(C133)=8,MONTH(C133)=9)),$FA133*12*AX133*(1-$BC133),$FA133*10*AX133*(1-$BC133)),0)</f>
        <v>#VALUE!</v>
      </c>
      <c r="FC133" s="1129" t="n">
        <f aca="false">IF(EZ133="No",IF((OR(MONTH(C133)=5,MONTH(C133)=6,MONTH(C133)=7,MONTH(C133)=8,MONTH(C133)=9)),0,$FA133*3*AX133*(1-$BC133)),0)</f>
        <v>0</v>
      </c>
      <c r="FD133" s="1129" t="e">
        <f aca="false">IF(EZ133="No",IF((OR(MONTH(C133)=5,MONTH(C133)=6,MONTH(C133)=7,MONTH(C133)=8,MONTH(C133)=9)),$FA133*12*AY133*(1-$BC133),$FA133*10*AY133*(1-$BC133)),0)</f>
        <v>#VALUE!</v>
      </c>
      <c r="FE133" s="1129" t="n">
        <f aca="false">IF(EZ133="No",IF((OR(MONTH(C133)=5,MONTH(C133)=6,MONTH(C133)=7,MONTH(C133)=8,MONTH(C133)=9)),0,$FA133*3*AY133*(1-$BC133)),0)</f>
        <v>0</v>
      </c>
      <c r="FF133" s="1129" t="e">
        <f aca="false">IF(EZ133="No",IF((OR(MONTH(C133)=5,MONTH(C133)=6,MONTH(C133)=7,MONTH(C133)=8,MONTH(C133)=9)),$FA133*12*(AZ133+BA133)*(1-$BC133),$FA133*10*(AZ133+BA133)*(1-$BC133)),0)</f>
        <v>#VALUE!</v>
      </c>
      <c r="FG133" s="1129" t="n">
        <f aca="false">IF(EZ133="No",IF((OR(MONTH(C133)=5,MONTH(C133)=6,MONTH(C133)=7,MONTH(C133)=8,MONTH(C133)=9)),0,$FA133*3*(AZ133+BA133)*(1-$BC133)),0)</f>
        <v>0</v>
      </c>
      <c r="FH133" s="1170" t="e">
        <f aca="false">IF(EZ133="No",IF((OR(MONTH(C133)=5,MONTH(C133)=6,MONTH(C133)=7,MONTH(C133)=8,MONTH(C133)=9)),Summary!$O$15*12*(AX133+AY133+AZ133+BA133)*(1-$BC133),Summary!$O$15*13*(AX133+AY133+AZ133+BA133)*(1-$BC133)+IF(Summary!$O$16="Yes",(CALC!FA133+Summary!$O$15)*6*(AX133+AY133+AZ133+BA133)*(1-$BC133),0)),0)</f>
        <v>#VALUE!</v>
      </c>
      <c r="FI133" s="1126" t="n">
        <f aca="false">IF(MONTH(C133)=5,FI132*(IF(Summary!$E$70="no",(1+(Summary!$E$71*0.8)),1+HLOOKUP(YEAR(C133)-1,CCFMODEL!$I$127:$AF$128,2)*0.8)),+FI132)</f>
        <v>33.7227697904665</v>
      </c>
      <c r="FJ133" s="1127" t="n">
        <f aca="false">IF(MONTH(C133)=5,FJ132*(IF(Summary!$E$70="no",(1+(Summary!$E$71*0.8)),1+HLOOKUP(YEAR(CALC!C133)-1,CCFMODEL!$I$127:$AF$128,2)*0.8)),FJ132)</f>
        <v>29.4742318641085</v>
      </c>
      <c r="FK133" s="1128" t="e">
        <f aca="false">SUM(FB133:FG133)*FI133+FH133*FJ133</f>
        <v>#VALUE!</v>
      </c>
      <c r="FL133" s="1126" t="n">
        <f aca="false">IF(MONTH(C133)=5,FL132*(IF(Summary!$E$70="no",(1+(Summary!$E$71*0.8)),1+HLOOKUP(YEAR(CALC!C133)-1,CCFMODEL!$I$127:$AF$128,2)*0.8)),+FL132)</f>
        <v>70.9227655623271</v>
      </c>
      <c r="FM133" s="1127" t="n">
        <f aca="false">IF(MONTH(C133)=5,FM132*(IF(Summary!$E$70="no",(1+(Summary!$E$71*0.8)),1+HLOOKUP(YEAR(CALC!C133)-1,CCFMODEL!$I$127:$AF$128,2)*0.8)),+FM132)</f>
        <v>33.8492143716081</v>
      </c>
      <c r="FN133" s="1128" t="e">
        <f aca="false">IF((OR(MONTH(C133)=5,MONTH(C133)=6,MONTH(C133)=7,MONTH(C133)=8,MONTH(C133)=9)),SUM(FB133:FG133)/(1-BC133)*FL133,SUM(FB133:FG133)/(1-BC133)*FM133)</f>
        <v>#VALUE!</v>
      </c>
      <c r="FO133" s="1129" t="e">
        <f aca="false">FK133+FN133</f>
        <v>#VALUE!</v>
      </c>
      <c r="FP133" s="1169" t="e">
        <f aca="false">FB133</f>
        <v>#VALUE!</v>
      </c>
      <c r="FQ133" s="1129" t="n">
        <f aca="false">FC133</f>
        <v>0</v>
      </c>
      <c r="FR133" s="1129" t="e">
        <f aca="false">FD133</f>
        <v>#VALUE!</v>
      </c>
      <c r="FS133" s="1129" t="n">
        <f aca="false">FE133</f>
        <v>0</v>
      </c>
      <c r="FT133" s="1129" t="e">
        <f aca="false">FF133</f>
        <v>#VALUE!</v>
      </c>
      <c r="FU133" s="1129" t="n">
        <f aca="false">FG133</f>
        <v>0</v>
      </c>
      <c r="FV133" s="1170" t="e">
        <f aca="false">FH133</f>
        <v>#VALUE!</v>
      </c>
      <c r="FW133" s="1115" t="n">
        <f aca="false">IF(ER133&gt;0,MIN(FB133-FP133,BL133),0)</f>
        <v>0</v>
      </c>
      <c r="FX133" s="1115" t="n">
        <f aca="false">IF(ES133&gt;0,MIN(FD133-FR133,BM133),0)</f>
        <v>0</v>
      </c>
      <c r="FY133" s="1115" t="n">
        <f aca="false">IF(ET133&gt;0,MIN(FF133-FT133,BN133),0)</f>
        <v>0</v>
      </c>
      <c r="FZ133" s="1143" t="n">
        <f aca="false">IF(EU133&gt;0,MIN(FH133-FV133,BO133),0)</f>
        <v>0</v>
      </c>
      <c r="GA133" s="1132" t="e">
        <f aca="false">(SUM(FP133:FV133)+SUM(GU133:HB133)/(1-Summary!$O$25))*CY133/1000</f>
        <v>#VALUE!</v>
      </c>
      <c r="GB133" s="1133" t="n">
        <f aca="false">IF($C133&lt;Summary!$M$81,+Summary!$O$81,VLOOKUP(C133,GasTable,19))</f>
        <v>2.4</v>
      </c>
      <c r="GC133" s="1134" t="e">
        <f aca="false">IF(H133&lt;=Summary!$N$84,MIN(GA133,Summary!$O$75*(H133-G133+1)),0)</f>
        <v>#VALUE!</v>
      </c>
      <c r="GD133" s="1135" t="e">
        <f aca="false">IF(Summary!$O$75*(H133-G133+1)*0.8&gt;GC133,1,0)</f>
        <v>#VALUE!</v>
      </c>
      <c r="GE133" s="1136" t="n">
        <v>0</v>
      </c>
      <c r="GF133" s="1134" t="e">
        <f aca="false">ABS(MIN(0,GC133-$GA133))</f>
        <v>#VALUE!</v>
      </c>
      <c r="GG133" s="1135" t="e">
        <f aca="false">GF133*(IF(Summary!$O$74=1,VLOOKUP($C133,GasTable,16)+Summary!$O$92+Summary!$O$93,VLOOKUP($C133,GasTable,19)+Summary!$O$92+Summary!$O$93))</f>
        <v>#VALUE!</v>
      </c>
      <c r="GH133" s="1137" t="n">
        <v>19020</v>
      </c>
      <c r="GI133" s="1138" t="n">
        <v>0</v>
      </c>
      <c r="GJ133" s="1139" t="e">
        <f aca="false">+GB133*GC133+GE133+GG133+GH133-GI133</f>
        <v>#VALUE!</v>
      </c>
      <c r="GK133" s="1115" t="e">
        <f aca="false">SUM(FP133:FV133,GU133:GX133,GY133:HB133)</f>
        <v>#VALUE!</v>
      </c>
      <c r="GL133" s="1140" t="n">
        <v>0.756793045712</v>
      </c>
      <c r="GM133" s="1141" t="e">
        <f aca="false">IF(GK133&gt;GC133/(CY133/1000),GC133/(CY133/1000),+GK133)*GL133</f>
        <v>#VALUE!</v>
      </c>
      <c r="GN133" s="1115" t="n">
        <f aca="false">IF(SUM(GU133:HB133)=0,0,IF(Summary!$O$16="Yes",SUM(GX133:HB133),IF(Summary!$O$17="Yes",SUM(GY133:HB133),SUM(GU133:HB133))))</f>
        <v>9239.103</v>
      </c>
      <c r="GO133" s="1142" t="n">
        <v>3.10474112454317</v>
      </c>
      <c r="GP133" s="1143" t="n">
        <f aca="false">GN133*GO133</f>
        <v>28685.0230379902</v>
      </c>
      <c r="GQ133" s="1115"/>
      <c r="GR133" s="1115"/>
      <c r="GS133" s="1115"/>
      <c r="GT133" s="1115"/>
      <c r="GU133" s="1150" t="n">
        <v>3592.9845</v>
      </c>
      <c r="GV133" s="1115" t="n">
        <v>684.378</v>
      </c>
      <c r="GW133" s="1115" t="n">
        <v>855.4725</v>
      </c>
      <c r="GX133" s="1115"/>
      <c r="GY133" s="1151" t="n">
        <v>2874.3876</v>
      </c>
      <c r="GZ133" s="1115" t="n">
        <v>547.5024</v>
      </c>
      <c r="HA133" s="1115" t="n">
        <v>684.378</v>
      </c>
      <c r="HB133" s="1141"/>
      <c r="HC133" s="1115" t="n">
        <v>9239.103</v>
      </c>
      <c r="HD133" s="1115"/>
      <c r="HE133" s="1115" t="n">
        <v>21557.907</v>
      </c>
      <c r="HF133" s="1115" t="n">
        <v>473042.140381197</v>
      </c>
      <c r="HG133" s="1115"/>
      <c r="HH133" s="1142" t="n">
        <v>53.1426259751589</v>
      </c>
      <c r="HI133" s="1115" t="n">
        <v>1145643.78850826</v>
      </c>
      <c r="HJ133" s="1150" t="e">
        <f aca="false">MAX(FB133-FP133-FW133,0)</f>
        <v>#VALUE!</v>
      </c>
      <c r="HK133" s="1115" t="e">
        <f aca="false">MAX(FD133-FR133-FX133,0)</f>
        <v>#VALUE!</v>
      </c>
      <c r="HL133" s="1115" t="e">
        <f aca="false">MAX(FF133-FT133-FY133,0)</f>
        <v>#VALUE!</v>
      </c>
      <c r="HM133" s="1141" t="e">
        <f aca="false">MAX(FH133-FV133-FZ133,0)</f>
        <v>#VALUE!</v>
      </c>
      <c r="HN133" s="1115" t="e">
        <f aca="false">SUM(HJ133:HM133)</f>
        <v>#VALUE!</v>
      </c>
      <c r="HO133" s="1142" t="n">
        <f aca="false">IF(ISERROR(+HP133/HN133),0,+HP133/HN133)</f>
        <v>0</v>
      </c>
      <c r="HP133" s="1143" t="e">
        <f aca="false">(HJ133*CE133+HK133*CF133+HL133*CG133+HM133*CH133)</f>
        <v>#VALUE!</v>
      </c>
      <c r="HQ133" s="1142"/>
      <c r="HR133" s="1150"/>
      <c r="HS133" s="1110"/>
      <c r="HT133" s="1141"/>
      <c r="HU133" s="1151"/>
      <c r="HV133" s="1142"/>
      <c r="HW133" s="1115"/>
      <c r="HX133" s="1149"/>
      <c r="HY133" s="1143"/>
      <c r="HZ133" s="1150"/>
      <c r="IA133" s="1142"/>
      <c r="IB133" s="1141"/>
      <c r="IC133" s="1151"/>
      <c r="ID133" s="1142"/>
      <c r="IE133" s="1141"/>
      <c r="IF133" s="1115"/>
      <c r="IG133" s="1142"/>
      <c r="IH133" s="1141"/>
      <c r="II133" s="1115"/>
      <c r="IJ133" s="1142"/>
      <c r="IK133" s="1115"/>
      <c r="IL133" s="1152"/>
      <c r="IM133" s="1192"/>
      <c r="IN133" s="1151"/>
      <c r="IO133" s="1151"/>
      <c r="IP133" s="1151"/>
      <c r="IQ133" s="1151"/>
      <c r="IR133" s="844"/>
    </row>
    <row r="134" customFormat="false" ht="13.5" hidden="false" customHeight="false" outlineLevel="0" collapsed="false">
      <c r="A134" s="0" t="str">
        <f aca="false">+D134&amp;"Q"&amp;ROUNDUP(E134/3,0)</f>
        <v>2009Q4</v>
      </c>
      <c r="B134" s="0" t="n">
        <f aca="false">YEAR(C134)</f>
        <v>2009</v>
      </c>
      <c r="C134" s="1153" t="n">
        <f aca="false">EOMONTH(C133,0)+1</f>
        <v>40087</v>
      </c>
      <c r="D134" s="841" t="n">
        <f aca="false">+YEAR(C134)</f>
        <v>2009</v>
      </c>
      <c r="E134" s="807" t="n">
        <f aca="false">MONTH(C134)</f>
        <v>10</v>
      </c>
      <c r="F134" s="1154" t="e">
        <f aca="false">IF(G134="","",Holiday(D134,E134))</f>
        <v>#VALUE!</v>
      </c>
      <c r="G134" s="1155" t="n">
        <v>40087</v>
      </c>
      <c r="H134" s="1156" t="n">
        <v>40117</v>
      </c>
      <c r="I134" s="1157" t="n">
        <f aca="false">I133</f>
        <v>0.0715</v>
      </c>
      <c r="J134" s="1158" t="n">
        <f aca="false">(1+I134/2)^(-2*(DATE(D135,E135,20)-$H$7)/365.25)</f>
        <v>0.49767712854033</v>
      </c>
      <c r="K134" s="1159"/>
      <c r="L134" s="1158"/>
      <c r="M134" s="1082" t="n">
        <v>0</v>
      </c>
      <c r="N134" s="1110" t="n">
        <f aca="false">M134</f>
        <v>0</v>
      </c>
      <c r="O134" s="1174" t="n">
        <f aca="false">N134</f>
        <v>0</v>
      </c>
      <c r="P134" s="1175" t="n">
        <f aca="false">M134</f>
        <v>0</v>
      </c>
      <c r="Q134" s="1110" t="n">
        <f aca="false">P134</f>
        <v>0</v>
      </c>
      <c r="R134" s="1174" t="n">
        <f aca="false">Q134</f>
        <v>0</v>
      </c>
      <c r="S134" s="1110" t="n">
        <f aca="false">R134</f>
        <v>0</v>
      </c>
      <c r="T134" s="1110" t="n">
        <f aca="false">S134</f>
        <v>0</v>
      </c>
      <c r="U134" s="1110" t="n">
        <f aca="false">T134</f>
        <v>0</v>
      </c>
      <c r="V134" s="1175" t="n">
        <f aca="false">U134</f>
        <v>0</v>
      </c>
      <c r="W134" s="1110" t="n">
        <f aca="false">V134</f>
        <v>0</v>
      </c>
      <c r="X134" s="1176" t="n">
        <f aca="false">W134</f>
        <v>0</v>
      </c>
      <c r="Y134" s="1086" t="n">
        <v>0</v>
      </c>
      <c r="Z134" s="1086" t="n">
        <v>0</v>
      </c>
      <c r="AA134" s="1087" t="n">
        <v>0</v>
      </c>
      <c r="AB134" s="1086" t="n">
        <v>0</v>
      </c>
      <c r="AC134" s="1086" t="n">
        <v>0</v>
      </c>
      <c r="AD134" s="1087" t="n">
        <v>0</v>
      </c>
      <c r="AE134" s="1086" t="n">
        <v>0</v>
      </c>
      <c r="AF134" s="1086" t="n">
        <v>0</v>
      </c>
      <c r="AG134" s="1087" t="n">
        <v>0</v>
      </c>
      <c r="AH134" s="1086" t="n">
        <v>0</v>
      </c>
      <c r="AI134" s="1086" t="n">
        <v>0</v>
      </c>
      <c r="AJ134" s="1087" t="n">
        <v>0</v>
      </c>
      <c r="AK134" s="1086" t="n">
        <v>0</v>
      </c>
      <c r="AL134" s="1086" t="n">
        <v>0</v>
      </c>
      <c r="AM134" s="1087" t="n">
        <v>0</v>
      </c>
      <c r="AN134" s="1086" t="n">
        <v>0</v>
      </c>
      <c r="AO134" s="1086" t="n">
        <v>0</v>
      </c>
      <c r="AP134" s="1087" t="n">
        <v>0</v>
      </c>
      <c r="AQ134" s="1086" t="n">
        <v>0</v>
      </c>
      <c r="AR134" s="1086" t="n">
        <v>0</v>
      </c>
      <c r="AS134" s="1087" t="n">
        <v>0</v>
      </c>
      <c r="AT134" s="1086" t="n">
        <v>0</v>
      </c>
      <c r="AU134" s="1086" t="n">
        <v>0</v>
      </c>
      <c r="AV134" s="1086" t="n">
        <v>0</v>
      </c>
      <c r="AW134" s="1172" t="n">
        <v>0</v>
      </c>
      <c r="AX134" s="807" t="n">
        <f aca="false">BB134-SUM(AY134:BA134)</f>
        <v>22</v>
      </c>
      <c r="AY134" s="807" t="n">
        <f aca="false">IF(AND($E134=MONTH(Summary!$E$24),$D134=YEAR(Summary!$E$24)),Summary!$E$25,1)*IF(G134="",0,INT((H134-MOD(H134,7)-G134)/7)+1-IF(BA134,IF(WEEKDAY(F134)=7,1,0),0))</f>
        <v>5</v>
      </c>
      <c r="AZ134" s="807" t="n">
        <f aca="false">IF(AND($E134=MONTH(Summary!$E$24),$D134=YEAR(Summary!$E$24)),Summary!$E$25,1)*IF(G134="",0,INT((H134-MOD(H134-1,7)-G134)/7)+1-IF(BA134,IF(WEEKDAY(F134)=1,1,0),0))</f>
        <v>4</v>
      </c>
      <c r="BA134" s="807" t="n">
        <v>0</v>
      </c>
      <c r="BB134" s="807" t="n">
        <f aca="false">IF(AND($E134=MONTH(Summary!$E$24),$D134=YEAR(Summary!$E$24)),Summary!$E$25,1)*IF(G134="",0,H134-G134+1)</f>
        <v>31</v>
      </c>
      <c r="BC134" s="1089" t="n">
        <f aca="false">Summary!$E$19</f>
        <v>0.015</v>
      </c>
      <c r="BD134" s="1090" t="n">
        <v>15602.4</v>
      </c>
      <c r="BE134" s="1091" t="n">
        <v>3546</v>
      </c>
      <c r="BF134" s="1091" t="n">
        <v>2836.8</v>
      </c>
      <c r="BG134" s="842"/>
      <c r="BH134" s="1092" t="n">
        <v>1</v>
      </c>
      <c r="BI134" s="1092" t="n">
        <v>1</v>
      </c>
      <c r="BJ134" s="1092" t="n">
        <v>1</v>
      </c>
      <c r="BK134" s="1092" t="n">
        <v>1</v>
      </c>
      <c r="BL134" s="1093" t="n">
        <v>3120.48</v>
      </c>
      <c r="BM134" s="1091" t="n">
        <v>709.2</v>
      </c>
      <c r="BN134" s="1091" t="n">
        <v>567.36</v>
      </c>
      <c r="BO134" s="842"/>
      <c r="BP134" s="1092" t="n">
        <v>1</v>
      </c>
      <c r="BQ134" s="1094" t="n">
        <v>1</v>
      </c>
      <c r="BR134" s="1094" t="n">
        <v>1</v>
      </c>
      <c r="BS134" s="1095" t="n">
        <v>1</v>
      </c>
      <c r="BT134" s="1093" t="n">
        <f aca="false">SUM(BD134:BF134)</f>
        <v>21985.2</v>
      </c>
      <c r="BU134" s="1098" t="n">
        <f aca="false">SUM(BD134:BG134)</f>
        <v>21985.2</v>
      </c>
      <c r="BV134" s="1090" t="n">
        <f aca="false">SUM(BL134:BN134)</f>
        <v>4397.04</v>
      </c>
      <c r="BW134" s="1098" t="n">
        <f aca="false">SUM(BL134:BO134)</f>
        <v>4397.04</v>
      </c>
      <c r="BX134" s="852" t="n">
        <v>9.79603011635866</v>
      </c>
      <c r="BY134" s="1099" t="n">
        <v>0</v>
      </c>
      <c r="BZ134" s="852" t="n">
        <v>0</v>
      </c>
      <c r="CA134" s="852" t="n">
        <v>0</v>
      </c>
      <c r="CB134" s="852" t="n">
        <v>0</v>
      </c>
      <c r="CC134" s="852" t="n">
        <v>0</v>
      </c>
      <c r="CD134" s="852" t="n">
        <v>0</v>
      </c>
      <c r="CE134" s="1100" t="n">
        <v>0</v>
      </c>
      <c r="CF134" s="852" t="n">
        <v>0</v>
      </c>
      <c r="CG134" s="852" t="n">
        <v>0</v>
      </c>
      <c r="CH134" s="852" t="n">
        <v>0</v>
      </c>
      <c r="CI134" s="852" t="n">
        <v>0</v>
      </c>
      <c r="CJ134" s="1101" t="n">
        <v>0</v>
      </c>
      <c r="CK134" s="852" t="n">
        <v>0</v>
      </c>
      <c r="CL134" s="852" t="n">
        <v>0</v>
      </c>
      <c r="CM134" s="852" t="n">
        <v>0</v>
      </c>
      <c r="CN134" s="852" t="n">
        <v>0</v>
      </c>
      <c r="CO134" s="852" t="n">
        <v>0</v>
      </c>
      <c r="CP134" s="852" t="n">
        <v>0</v>
      </c>
      <c r="CQ134" s="1102" t="n">
        <v>0</v>
      </c>
      <c r="CR134" s="1103" t="n">
        <v>0</v>
      </c>
      <c r="CS134" s="1103" t="n">
        <v>0</v>
      </c>
      <c r="CT134" s="1103" t="n">
        <v>0</v>
      </c>
      <c r="CU134" s="1103" t="n">
        <v>0</v>
      </c>
      <c r="CV134" s="1103" t="n">
        <v>0</v>
      </c>
      <c r="CW134" s="1103" t="n">
        <v>0</v>
      </c>
      <c r="CX134" s="1104" t="n">
        <v>0</v>
      </c>
      <c r="CY134" s="1105" t="n">
        <v>7708.68112</v>
      </c>
      <c r="CZ134" s="1099" t="n">
        <v>0</v>
      </c>
      <c r="DA134" s="852" t="n">
        <v>0</v>
      </c>
      <c r="DB134" s="852" t="n">
        <v>0</v>
      </c>
      <c r="DC134" s="852" t="n">
        <v>0</v>
      </c>
      <c r="DD134" s="852" t="n">
        <v>0</v>
      </c>
      <c r="DE134" s="1113" t="n">
        <v>0</v>
      </c>
      <c r="DF134" s="1109" t="n">
        <v>0</v>
      </c>
      <c r="DG134" s="1110" t="n">
        <v>0</v>
      </c>
      <c r="DH134" s="1111" t="n">
        <v>0</v>
      </c>
      <c r="DI134" s="1112" t="n">
        <v>0</v>
      </c>
      <c r="DJ134" s="1112" t="n">
        <v>0</v>
      </c>
      <c r="DK134" s="1112" t="n">
        <v>0</v>
      </c>
      <c r="DL134" s="1113" t="n">
        <v>0</v>
      </c>
      <c r="DM134" s="1114" t="n">
        <v>0</v>
      </c>
      <c r="DN134" s="1114" t="n">
        <v>0</v>
      </c>
      <c r="DO134" s="1114" t="n">
        <v>0</v>
      </c>
      <c r="DP134" s="1114" t="n">
        <v>0</v>
      </c>
      <c r="DQ134" s="1114" t="n">
        <v>0</v>
      </c>
      <c r="DR134" s="1109" t="n">
        <v>0</v>
      </c>
      <c r="DS134" s="852" t="n">
        <v>0</v>
      </c>
      <c r="DT134" s="852" t="n">
        <v>0</v>
      </c>
      <c r="DU134" s="852" t="n">
        <v>0</v>
      </c>
      <c r="DV134" s="852" t="n">
        <v>0</v>
      </c>
      <c r="DW134" s="852" t="n">
        <v>0</v>
      </c>
      <c r="DX134" s="852" t="n">
        <v>0</v>
      </c>
      <c r="DY134" s="852" t="n">
        <v>0</v>
      </c>
      <c r="DZ134" s="852" t="n">
        <v>0</v>
      </c>
      <c r="EA134" s="852" t="n">
        <v>0</v>
      </c>
      <c r="EB134" s="1113" t="n">
        <v>0</v>
      </c>
      <c r="EC134" s="1115" t="n">
        <f aca="false">DS134*BD134</f>
        <v>0</v>
      </c>
      <c r="ED134" s="1115" t="n">
        <f aca="false">DT134*BE134</f>
        <v>0</v>
      </c>
      <c r="EE134" s="1115" t="n">
        <f aca="false">DU134*BF134</f>
        <v>0</v>
      </c>
      <c r="EF134" s="1115" t="n">
        <f aca="false">DV134*BG134</f>
        <v>0</v>
      </c>
      <c r="EG134" s="1115" t="n">
        <f aca="false">DS134*BD134+DT134*BE134+DU134*BF134+DV134*BG134</f>
        <v>0</v>
      </c>
      <c r="EH134" s="1116" t="n">
        <v>0</v>
      </c>
      <c r="EI134" s="1117" t="n">
        <v>0</v>
      </c>
      <c r="EJ134" s="1117" t="n">
        <v>0</v>
      </c>
      <c r="EK134" s="1117" t="n">
        <v>0</v>
      </c>
      <c r="EL134" s="1118" t="n">
        <f aca="false">IF(C134&gt;=Summary!$E$26,MAX(0,SUM(EH134:EK134)),0)</f>
        <v>0</v>
      </c>
      <c r="EM134" s="1115" t="n">
        <f aca="false">IF(C134&gt;=Summary!$E$26,DX134*BL134,0)</f>
        <v>0</v>
      </c>
      <c r="EN134" s="1115" t="n">
        <f aca="false">IF(C134&gt;=Summary!$E$26,DY134*BM134,0)</f>
        <v>0</v>
      </c>
      <c r="EO134" s="1115" t="n">
        <f aca="false">IF(C134&gt;=Summary!$E$26,DZ134*BN134,0)</f>
        <v>0</v>
      </c>
      <c r="EP134" s="1115" t="n">
        <f aca="false">IF(C134&gt;=Summary!$E$26,EA134*BO134,0)</f>
        <v>0</v>
      </c>
      <c r="EQ134" s="1115" t="n">
        <f aca="false">IF(C134&gt;=Summary!$E$26,DX134*BL134+DY134*BM134+DZ134*BN134+EA134*BO134,0)</f>
        <v>0</v>
      </c>
      <c r="ER134" s="1119" t="n">
        <v>0</v>
      </c>
      <c r="ES134" s="1120" t="n">
        <v>0</v>
      </c>
      <c r="ET134" s="1120" t="n">
        <v>0</v>
      </c>
      <c r="EU134" s="1120" t="n">
        <v>0</v>
      </c>
      <c r="EV134" s="1143" t="n">
        <f aca="false">IF(C134&gt;=Summary!$E$26,MAX(0,SUM(ER134:EU134)),0)</f>
        <v>0</v>
      </c>
      <c r="EW134" s="1115"/>
      <c r="EX134" s="1165" t="n">
        <f aca="false">(EQ134-EV134)+IF(EZ134="Yes",(EG134-EL134),0)</f>
        <v>0</v>
      </c>
      <c r="EY134" s="1166" t="str">
        <f aca="false">IF(EX134,EX134/EQ134,"")</f>
        <v/>
      </c>
      <c r="EZ134" s="1122" t="s">
        <v>37</v>
      </c>
      <c r="FA134" s="1096" t="n">
        <f aca="false">FA133</f>
        <v>45</v>
      </c>
      <c r="FB134" s="1167" t="n">
        <f aca="false">IF(EZ134="No",IF((OR(MONTH(C134)=5,MONTH(C134)=6,MONTH(C134)=7,MONTH(C134)=8,MONTH(C134)=9)),$FA134*12*AX134*(1-$BC134),$FA134*10*AX134*(1-$BC134)),0)</f>
        <v>9751.5</v>
      </c>
      <c r="FC134" s="1129" t="n">
        <f aca="false">IF(EZ134="No",IF((OR(MONTH(C134)=5,MONTH(C134)=6,MONTH(C134)=7,MONTH(C134)=8,MONTH(C134)=9)),0,$FA134*3*AX134*(1-$BC134)),0)</f>
        <v>2925.45</v>
      </c>
      <c r="FD134" s="1129" t="n">
        <f aca="false">IF(EZ134="No",IF((OR(MONTH(C134)=5,MONTH(C134)=6,MONTH(C134)=7,MONTH(C134)=8,MONTH(C134)=9)),$FA134*12*AY134*(1-$BC134),$FA134*10*AY134*(1-$BC134)),0)</f>
        <v>2216.25</v>
      </c>
      <c r="FE134" s="1129" t="n">
        <f aca="false">IF(EZ134="No",IF((OR(MONTH(C134)=5,MONTH(C134)=6,MONTH(C134)=7,MONTH(C134)=8,MONTH(C134)=9)),0,$FA134*3*AY134*(1-$BC134)),0)</f>
        <v>664.875</v>
      </c>
      <c r="FF134" s="1129" t="n">
        <f aca="false">IF(EZ134="No",IF((OR(MONTH(C134)=5,MONTH(C134)=6,MONTH(C134)=7,MONTH(C134)=8,MONTH(C134)=9)),$FA134*12*(AZ134+BA134)*(1-$BC134),$FA134*10*(AZ134+BA134)*(1-$BC134)),0)</f>
        <v>1773</v>
      </c>
      <c r="FG134" s="1129" t="n">
        <f aca="false">IF(EZ134="No",IF((OR(MONTH(C134)=5,MONTH(C134)=6,MONTH(C134)=7,MONTH(C134)=8,MONTH(C134)=9)),0,$FA134*3*(AZ134+BA134)*(1-$BC134)),0)</f>
        <v>531.9</v>
      </c>
      <c r="FH134" s="1170" t="n">
        <f aca="false">IF(EZ134="No",IF((OR(MONTH(C134)=5,MONTH(C134)=6,MONTH(C134)=7,MONTH(C134)=8,MONTH(C134)=9)),Summary!$O$15*12*(AX134+AY134+AZ134+BA134)*(1-$BC134),Summary!$O$15*13*(AX134+AY134+AZ134+BA134)*(1-$BC134)+IF(Summary!$O$16="Yes",(CALC!FA134+Summary!$O$15)*6*(AX134+AY134+AZ134+BA134)*(1-$BC134),0)),0)</f>
        <v>0</v>
      </c>
      <c r="FI134" s="1126" t="n">
        <f aca="false">IF(MONTH(C134)=5,FI133*(IF(Summary!$E$70="no",(1+(Summary!$E$71*0.8)),1+HLOOKUP(YEAR(C134)-1,CCFMODEL!$I$127:$AF$128,2)*0.8)),+FI133)</f>
        <v>33.7227697904665</v>
      </c>
      <c r="FJ134" s="1127" t="n">
        <f aca="false">IF(MONTH(C134)=5,FJ133*(IF(Summary!$E$70="no",(1+(Summary!$E$71*0.8)),1+HLOOKUP(YEAR(CALC!C134)-1,CCFMODEL!$I$127:$AF$128,2)*0.8)),FJ133)</f>
        <v>29.4742318641085</v>
      </c>
      <c r="FK134" s="1128" t="n">
        <f aca="false">SUM(FB134:FG134)*FI134+FH134*FJ134</f>
        <v>602388.993697858</v>
      </c>
      <c r="FL134" s="1126" t="n">
        <f aca="false">IF(MONTH(C134)=5,FL133*(IF(Summary!$E$70="no",(1+(Summary!$E$71*0.8)),1+HLOOKUP(YEAR(CALC!C134)-1,CCFMODEL!$I$127:$AF$128,2)*0.8)),+FL133)</f>
        <v>70.9227655623271</v>
      </c>
      <c r="FM134" s="1127" t="n">
        <f aca="false">IF(MONTH(C134)=5,FM133*(IF(Summary!$E$70="no",(1+(Summary!$E$71*0.8)),1+HLOOKUP(YEAR(CALC!C134)-1,CCFMODEL!$I$127:$AF$128,2)*0.8)),+FM133)</f>
        <v>33.8492143716081</v>
      </c>
      <c r="FN134" s="1128" t="n">
        <f aca="false">IF((OR(MONTH(C134)=5,MONTH(C134)=6,MONTH(C134)=7,MONTH(C134)=8,MONTH(C134)=9)),SUM(FB134:FG134)/(1-BC134)*FL134,SUM(FB134:FG134)/(1-BC134)*FM134)</f>
        <v>613855.502629112</v>
      </c>
      <c r="FO134" s="1129" t="n">
        <f aca="false">FK134+FN134</f>
        <v>1216244.49632697</v>
      </c>
      <c r="FP134" s="1169" t="n">
        <f aca="false">FB134</f>
        <v>9751.5</v>
      </c>
      <c r="FQ134" s="1129" t="n">
        <f aca="false">FC134</f>
        <v>2925.45</v>
      </c>
      <c r="FR134" s="1129" t="n">
        <f aca="false">FD134</f>
        <v>2216.25</v>
      </c>
      <c r="FS134" s="1129" t="n">
        <f aca="false">FE134</f>
        <v>664.875</v>
      </c>
      <c r="FT134" s="1129" t="n">
        <f aca="false">FF134</f>
        <v>1773</v>
      </c>
      <c r="FU134" s="1129" t="n">
        <f aca="false">FG134</f>
        <v>531.9</v>
      </c>
      <c r="FV134" s="1170" t="n">
        <f aca="false">FH134</f>
        <v>0</v>
      </c>
      <c r="FW134" s="1115" t="n">
        <f aca="false">IF(ER134&gt;0,MIN(FB134-FP134,BL134),0)</f>
        <v>0</v>
      </c>
      <c r="FX134" s="1115" t="n">
        <f aca="false">IF(ES134&gt;0,MIN(FD134-FR134,BM134),0)</f>
        <v>0</v>
      </c>
      <c r="FY134" s="1115" t="n">
        <f aca="false">IF(ET134&gt;0,MIN(FF134-FT134,BN134),0)</f>
        <v>0</v>
      </c>
      <c r="FZ134" s="1143" t="n">
        <f aca="false">IF(EU134&gt;0,MIN(FH134-FV134,BO134),0)</f>
        <v>0</v>
      </c>
      <c r="GA134" s="1132" t="n">
        <f aca="false">(SUM(FP134:FV134)+SUM(GU134:HB134)/(1-Summary!$O$25))*CY134/1000</f>
        <v>235149.193421201</v>
      </c>
      <c r="GB134" s="1133" t="n">
        <f aca="false">IF($C134&lt;Summary!$M$81,+Summary!$O$81,VLOOKUP(C134,GasTable,19))</f>
        <v>2.4</v>
      </c>
      <c r="GC134" s="1134" t="n">
        <f aca="false">IF(H134&lt;=Summary!$N$84,MIN(GA134,Summary!$O$75*(H134-G134+1)),0)</f>
        <v>155000</v>
      </c>
      <c r="GD134" s="1135" t="n">
        <f aca="false">IF(Summary!$O$75*(H134-G134+1)*0.8&gt;GC134,1,0)</f>
        <v>0</v>
      </c>
      <c r="GE134" s="1136" t="n">
        <v>0</v>
      </c>
      <c r="GF134" s="1134" t="n">
        <f aca="false">ABS(MIN(0,GC134-$GA134))</f>
        <v>80149.1934212009</v>
      </c>
      <c r="GG134" s="1135" t="n">
        <f aca="false">GF134*(IF(Summary!$O$74=1,VLOOKUP($C134,GasTable,16)+Summary!$O$92+Summary!$O$93,VLOOKUP($C134,GasTable,19)+Summary!$O$92+Summary!$O$93))</f>
        <v>276268.285991393</v>
      </c>
      <c r="GH134" s="1137" t="n">
        <v>19709.8</v>
      </c>
      <c r="GI134" s="1138" t="n">
        <v>0</v>
      </c>
      <c r="GJ134" s="1139" t="n">
        <f aca="false">+GB134*GC134+GE134+GG134+GH134-GI134</f>
        <v>667978.085991394</v>
      </c>
      <c r="GK134" s="1115" t="n">
        <f aca="false">SUM(FP134:FV134,GU134:GX134,GY134:HB134)</f>
        <v>30062.01285</v>
      </c>
      <c r="GL134" s="1140" t="n">
        <v>0.756992485984</v>
      </c>
      <c r="GM134" s="1141" t="n">
        <f aca="false">IF(GK134&gt;GC134/(CY134/1000),GC134/(CY134/1000),+GK134)*GL134</f>
        <v>15221</v>
      </c>
      <c r="GN134" s="1115" t="n">
        <f aca="false">IF(SUM(GU134:HB134)=0,0,IF(Summary!$O$16="Yes",SUM(GX134:HB134),IF(Summary!$O$17="Yes",SUM(GY134:HB134),SUM(GU134:HB134))))</f>
        <v>12199.03785</v>
      </c>
      <c r="GO134" s="1142" t="n">
        <v>3.10474112454317</v>
      </c>
      <c r="GP134" s="1143" t="n">
        <f aca="false">GN134*GO134</f>
        <v>37874.8544927537</v>
      </c>
      <c r="GQ134" s="1115"/>
      <c r="GR134" s="1115"/>
      <c r="GS134" s="1115"/>
      <c r="GT134" s="1115"/>
      <c r="GU134" s="1150" t="n">
        <v>5646.1185</v>
      </c>
      <c r="GV134" s="1115" t="n">
        <v>1283.20875</v>
      </c>
      <c r="GW134" s="1115" t="n">
        <v>1026.567</v>
      </c>
      <c r="GX134" s="1115"/>
      <c r="GY134" s="1151" t="n">
        <v>3011.2632</v>
      </c>
      <c r="GZ134" s="1115" t="n">
        <v>684.378</v>
      </c>
      <c r="HA134" s="1115" t="n">
        <v>547.5024</v>
      </c>
      <c r="HB134" s="1141"/>
      <c r="HC134" s="1115" t="n">
        <v>12199.03785</v>
      </c>
      <c r="HD134" s="1115"/>
      <c r="HE134" s="1115" t="n">
        <v>20950.521525</v>
      </c>
      <c r="HF134" s="1115" t="n">
        <v>566918.029277374</v>
      </c>
      <c r="HG134" s="1115"/>
      <c r="HH134" s="1142" t="n">
        <v>45.7373279962345</v>
      </c>
      <c r="HI134" s="1115" t="n">
        <v>958220.874681096</v>
      </c>
      <c r="HJ134" s="1150" t="n">
        <f aca="false">MAX(FB134-FP134-FW134,0)</f>
        <v>0</v>
      </c>
      <c r="HK134" s="1115" t="n">
        <f aca="false">MAX(FD134-FR134-FX134,0)</f>
        <v>0</v>
      </c>
      <c r="HL134" s="1115" t="n">
        <f aca="false">MAX(FF134-FT134-FY134,0)</f>
        <v>0</v>
      </c>
      <c r="HM134" s="1141" t="n">
        <f aca="false">MAX(FH134-FV134-FZ134,0)</f>
        <v>0</v>
      </c>
      <c r="HN134" s="1115" t="n">
        <f aca="false">SUM(HJ134:HM134)</f>
        <v>0</v>
      </c>
      <c r="HO134" s="1142" t="n">
        <f aca="false">IF(ISERROR(+HP134/HN134),0,+HP134/HN134)</f>
        <v>0</v>
      </c>
      <c r="HP134" s="1143" t="n">
        <f aca="false">(HJ134*CE134+HK134*CF134+HL134*CG134+HM134*CH134)</f>
        <v>0</v>
      </c>
      <c r="HQ134" s="1142"/>
      <c r="HR134" s="1150"/>
      <c r="HS134" s="1110"/>
      <c r="HT134" s="1141"/>
      <c r="HU134" s="1151"/>
      <c r="HV134" s="1142"/>
      <c r="HW134" s="1115"/>
      <c r="HX134" s="1149"/>
      <c r="HY134" s="1143"/>
      <c r="HZ134" s="1150"/>
      <c r="IA134" s="1142"/>
      <c r="IB134" s="1141"/>
      <c r="IC134" s="1151"/>
      <c r="ID134" s="1142"/>
      <c r="IE134" s="1141"/>
      <c r="IF134" s="1115"/>
      <c r="IG134" s="1142"/>
      <c r="IH134" s="1141"/>
      <c r="II134" s="1115"/>
      <c r="IJ134" s="1142"/>
      <c r="IK134" s="1115"/>
      <c r="IL134" s="1152"/>
      <c r="IM134" s="1192"/>
      <c r="IN134" s="1151"/>
      <c r="IO134" s="1151"/>
      <c r="IP134" s="1151"/>
      <c r="IQ134" s="1151"/>
      <c r="IR134" s="844"/>
    </row>
    <row r="135" customFormat="false" ht="13.5" hidden="false" customHeight="false" outlineLevel="0" collapsed="false">
      <c r="A135" s="0" t="str">
        <f aca="false">+D135&amp;"Q"&amp;ROUNDUP(E135/3,0)</f>
        <v>2009Q4</v>
      </c>
      <c r="B135" s="0" t="n">
        <f aca="false">YEAR(C135)</f>
        <v>2009</v>
      </c>
      <c r="C135" s="1153" t="n">
        <f aca="false">EOMONTH(C134,0)+1</f>
        <v>40118</v>
      </c>
      <c r="D135" s="841" t="n">
        <f aca="false">+YEAR(C135)</f>
        <v>2009</v>
      </c>
      <c r="E135" s="807" t="n">
        <f aca="false">MONTH(C135)</f>
        <v>11</v>
      </c>
      <c r="F135" s="1154" t="e">
        <f aca="false">IF(G135="","",Holiday(D135,E135))</f>
        <v>#VALUE!</v>
      </c>
      <c r="G135" s="1155" t="n">
        <v>40118</v>
      </c>
      <c r="H135" s="1156" t="n">
        <v>40147</v>
      </c>
      <c r="I135" s="1157" t="n">
        <f aca="false">I134</f>
        <v>0.0715</v>
      </c>
      <c r="J135" s="1158" t="n">
        <f aca="false">(1+I135/2)^(-2*(DATE(D136,E136,20)-$H$7)/365.25)</f>
        <v>0.494813724807209</v>
      </c>
      <c r="K135" s="1159"/>
      <c r="L135" s="1158"/>
      <c r="M135" s="1082" t="n">
        <v>0</v>
      </c>
      <c r="N135" s="1110" t="n">
        <f aca="false">M135</f>
        <v>0</v>
      </c>
      <c r="O135" s="1174" t="n">
        <f aca="false">N135</f>
        <v>0</v>
      </c>
      <c r="P135" s="1175" t="n">
        <f aca="false">M135</f>
        <v>0</v>
      </c>
      <c r="Q135" s="1110" t="n">
        <f aca="false">P135</f>
        <v>0</v>
      </c>
      <c r="R135" s="1174" t="n">
        <f aca="false">Q135</f>
        <v>0</v>
      </c>
      <c r="S135" s="1110" t="n">
        <f aca="false">R135</f>
        <v>0</v>
      </c>
      <c r="T135" s="1110" t="n">
        <f aca="false">S135</f>
        <v>0</v>
      </c>
      <c r="U135" s="1110" t="n">
        <f aca="false">T135</f>
        <v>0</v>
      </c>
      <c r="V135" s="1175" t="n">
        <f aca="false">U135</f>
        <v>0</v>
      </c>
      <c r="W135" s="1110" t="n">
        <f aca="false">V135</f>
        <v>0</v>
      </c>
      <c r="X135" s="1176" t="n">
        <f aca="false">W135</f>
        <v>0</v>
      </c>
      <c r="Y135" s="1086" t="n">
        <v>0</v>
      </c>
      <c r="Z135" s="1086" t="n">
        <v>0</v>
      </c>
      <c r="AA135" s="1087" t="n">
        <v>0</v>
      </c>
      <c r="AB135" s="1086" t="n">
        <v>0</v>
      </c>
      <c r="AC135" s="1086" t="n">
        <v>0</v>
      </c>
      <c r="AD135" s="1087" t="n">
        <v>0</v>
      </c>
      <c r="AE135" s="1086" t="n">
        <v>0</v>
      </c>
      <c r="AF135" s="1086" t="n">
        <v>0</v>
      </c>
      <c r="AG135" s="1087" t="n">
        <v>0</v>
      </c>
      <c r="AH135" s="1086" t="n">
        <v>0</v>
      </c>
      <c r="AI135" s="1086" t="n">
        <v>0</v>
      </c>
      <c r="AJ135" s="1087" t="n">
        <v>0</v>
      </c>
      <c r="AK135" s="1086" t="n">
        <v>0</v>
      </c>
      <c r="AL135" s="1086" t="n">
        <v>0</v>
      </c>
      <c r="AM135" s="1087" t="n">
        <v>0</v>
      </c>
      <c r="AN135" s="1086" t="n">
        <v>0</v>
      </c>
      <c r="AO135" s="1086" t="n">
        <v>0</v>
      </c>
      <c r="AP135" s="1087" t="n">
        <v>0</v>
      </c>
      <c r="AQ135" s="1086" t="n">
        <v>0</v>
      </c>
      <c r="AR135" s="1086" t="n">
        <v>0</v>
      </c>
      <c r="AS135" s="1087" t="n">
        <v>0</v>
      </c>
      <c r="AT135" s="1086" t="n">
        <v>0</v>
      </c>
      <c r="AU135" s="1086" t="n">
        <v>0</v>
      </c>
      <c r="AV135" s="1086" t="n">
        <v>0</v>
      </c>
      <c r="AW135" s="1172" t="n">
        <v>0</v>
      </c>
      <c r="AX135" s="807" t="e">
        <f aca="false">BB135-SUM(AY135:BA135)</f>
        <v>#VALUE!</v>
      </c>
      <c r="AY135" s="807" t="e">
        <f aca="false">IF(AND($E135=MONTH(Summary!$E$24),$D135=YEAR(Summary!$E$24)),Summary!$E$25,1)*IF(G135="",0,INT((H135-MOD(H135,7)-G135)/7)+1-IF(BA135,IF(WEEKDAY(F135)=7,1,0),0))</f>
        <v>#VALUE!</v>
      </c>
      <c r="AZ135" s="807" t="e">
        <f aca="false">IF(AND($E135=MONTH(Summary!$E$24),$D135=YEAR(Summary!$E$24)),Summary!$E$25,1)*IF(G135="",0,INT((H135-MOD(H135-1,7)-G135)/7)+1-IF(BA135,IF(WEEKDAY(F135)=1,1,0),0))</f>
        <v>#VALUE!</v>
      </c>
      <c r="BA135" s="807" t="n">
        <v>1</v>
      </c>
      <c r="BB135" s="807" t="n">
        <f aca="false">IF(AND($E135=MONTH(Summary!$E$24),$D135=YEAR(Summary!$E$24)),Summary!$E$25,1)*IF(G135="",0,H135-G135+1)</f>
        <v>30</v>
      </c>
      <c r="BC135" s="1089" t="n">
        <f aca="false">Summary!$E$19</f>
        <v>0.015</v>
      </c>
      <c r="BD135" s="1090" t="n">
        <v>14184</v>
      </c>
      <c r="BE135" s="1091" t="n">
        <v>2836.8</v>
      </c>
      <c r="BF135" s="1091" t="n">
        <v>4255.2</v>
      </c>
      <c r="BG135" s="842"/>
      <c r="BH135" s="1092" t="n">
        <v>1</v>
      </c>
      <c r="BI135" s="1092" t="n">
        <v>1</v>
      </c>
      <c r="BJ135" s="1092" t="n">
        <v>1</v>
      </c>
      <c r="BK135" s="1092" t="n">
        <v>1</v>
      </c>
      <c r="BL135" s="1093" t="n">
        <v>2836.8</v>
      </c>
      <c r="BM135" s="1091" t="n">
        <v>567.36</v>
      </c>
      <c r="BN135" s="1091" t="n">
        <v>851.04</v>
      </c>
      <c r="BO135" s="842"/>
      <c r="BP135" s="1092" t="n">
        <v>1</v>
      </c>
      <c r="BQ135" s="1094" t="n">
        <v>1</v>
      </c>
      <c r="BR135" s="1094" t="n">
        <v>1</v>
      </c>
      <c r="BS135" s="1095" t="n">
        <v>1</v>
      </c>
      <c r="BT135" s="1093" t="n">
        <f aca="false">SUM(BD135:BF135)</f>
        <v>21276</v>
      </c>
      <c r="BU135" s="1098" t="n">
        <f aca="false">SUM(BD135:BG135)</f>
        <v>21276</v>
      </c>
      <c r="BV135" s="1090" t="n">
        <f aca="false">SUM(BL135:BN135)</f>
        <v>4255.2</v>
      </c>
      <c r="BW135" s="1098" t="n">
        <f aca="false">SUM(BL135:BO135)</f>
        <v>4255.2</v>
      </c>
      <c r="BX135" s="852" t="n">
        <v>9.88090349075975</v>
      </c>
      <c r="BY135" s="1099" t="n">
        <v>0</v>
      </c>
      <c r="BZ135" s="852" t="n">
        <v>0</v>
      </c>
      <c r="CA135" s="852" t="n">
        <v>0</v>
      </c>
      <c r="CB135" s="852" t="n">
        <v>0</v>
      </c>
      <c r="CC135" s="852" t="n">
        <v>0</v>
      </c>
      <c r="CD135" s="852" t="n">
        <v>0</v>
      </c>
      <c r="CE135" s="1100" t="n">
        <v>0</v>
      </c>
      <c r="CF135" s="852" t="n">
        <v>0</v>
      </c>
      <c r="CG135" s="852" t="n">
        <v>0</v>
      </c>
      <c r="CH135" s="852" t="n">
        <v>0</v>
      </c>
      <c r="CI135" s="852" t="n">
        <v>0</v>
      </c>
      <c r="CJ135" s="1101" t="n">
        <v>0</v>
      </c>
      <c r="CK135" s="852" t="n">
        <v>0</v>
      </c>
      <c r="CL135" s="852" t="n">
        <v>0</v>
      </c>
      <c r="CM135" s="852" t="n">
        <v>0</v>
      </c>
      <c r="CN135" s="852" t="n">
        <v>0</v>
      </c>
      <c r="CO135" s="852" t="n">
        <v>0</v>
      </c>
      <c r="CP135" s="852" t="n">
        <v>0</v>
      </c>
      <c r="CQ135" s="1102" t="n">
        <v>0</v>
      </c>
      <c r="CR135" s="1103" t="n">
        <v>0</v>
      </c>
      <c r="CS135" s="1103" t="n">
        <v>0</v>
      </c>
      <c r="CT135" s="1103" t="n">
        <v>0</v>
      </c>
      <c r="CU135" s="1103" t="n">
        <v>0</v>
      </c>
      <c r="CV135" s="1103" t="n">
        <v>0</v>
      </c>
      <c r="CW135" s="1103" t="n">
        <v>0</v>
      </c>
      <c r="CX135" s="1104" t="n">
        <v>0</v>
      </c>
      <c r="CY135" s="1105" t="n">
        <v>7710.71208</v>
      </c>
      <c r="CZ135" s="1099" t="n">
        <v>0</v>
      </c>
      <c r="DA135" s="852" t="n">
        <v>0</v>
      </c>
      <c r="DB135" s="852" t="n">
        <v>0</v>
      </c>
      <c r="DC135" s="852" t="n">
        <v>0</v>
      </c>
      <c r="DD135" s="852" t="n">
        <v>0</v>
      </c>
      <c r="DE135" s="1113" t="n">
        <v>0</v>
      </c>
      <c r="DF135" s="1109" t="n">
        <v>0</v>
      </c>
      <c r="DG135" s="1110" t="n">
        <v>0</v>
      </c>
      <c r="DH135" s="1111" t="n">
        <v>0</v>
      </c>
      <c r="DI135" s="1112" t="n">
        <v>0</v>
      </c>
      <c r="DJ135" s="1112" t="n">
        <v>0</v>
      </c>
      <c r="DK135" s="1112" t="n">
        <v>0</v>
      </c>
      <c r="DL135" s="1113" t="n">
        <v>0</v>
      </c>
      <c r="DM135" s="1114" t="n">
        <v>0</v>
      </c>
      <c r="DN135" s="1114" t="n">
        <v>0</v>
      </c>
      <c r="DO135" s="1114" t="n">
        <v>0</v>
      </c>
      <c r="DP135" s="1114" t="n">
        <v>0</v>
      </c>
      <c r="DQ135" s="1114" t="n">
        <v>0</v>
      </c>
      <c r="DR135" s="1109" t="n">
        <v>0</v>
      </c>
      <c r="DS135" s="852" t="n">
        <v>0</v>
      </c>
      <c r="DT135" s="852" t="n">
        <v>0</v>
      </c>
      <c r="DU135" s="852" t="n">
        <v>0</v>
      </c>
      <c r="DV135" s="852" t="n">
        <v>0</v>
      </c>
      <c r="DW135" s="852" t="n">
        <v>0</v>
      </c>
      <c r="DX135" s="852" t="n">
        <v>0</v>
      </c>
      <c r="DY135" s="852" t="n">
        <v>0</v>
      </c>
      <c r="DZ135" s="852" t="n">
        <v>0</v>
      </c>
      <c r="EA135" s="852" t="n">
        <v>0</v>
      </c>
      <c r="EB135" s="1113" t="n">
        <v>0</v>
      </c>
      <c r="EC135" s="1115" t="n">
        <f aca="false">DS135*BD135</f>
        <v>0</v>
      </c>
      <c r="ED135" s="1115" t="n">
        <f aca="false">DT135*BE135</f>
        <v>0</v>
      </c>
      <c r="EE135" s="1115" t="n">
        <f aca="false">DU135*BF135</f>
        <v>0</v>
      </c>
      <c r="EF135" s="1115" t="n">
        <f aca="false">DV135*BG135</f>
        <v>0</v>
      </c>
      <c r="EG135" s="1115" t="n">
        <f aca="false">DS135*BD135+DT135*BE135+DU135*BF135+DV135*BG135</f>
        <v>0</v>
      </c>
      <c r="EH135" s="1116" t="n">
        <v>0</v>
      </c>
      <c r="EI135" s="1117" t="n">
        <v>0</v>
      </c>
      <c r="EJ135" s="1117" t="n">
        <v>0</v>
      </c>
      <c r="EK135" s="1117" t="n">
        <v>0</v>
      </c>
      <c r="EL135" s="1118" t="n">
        <f aca="false">IF(C135&gt;=Summary!$E$26,MAX(0,SUM(EH135:EK135)),0)</f>
        <v>0</v>
      </c>
      <c r="EM135" s="1115" t="n">
        <f aca="false">IF(C135&gt;=Summary!$E$26,DX135*BL135,0)</f>
        <v>0</v>
      </c>
      <c r="EN135" s="1115" t="n">
        <f aca="false">IF(C135&gt;=Summary!$E$26,DY135*BM135,0)</f>
        <v>0</v>
      </c>
      <c r="EO135" s="1115" t="n">
        <f aca="false">IF(C135&gt;=Summary!$E$26,DZ135*BN135,0)</f>
        <v>0</v>
      </c>
      <c r="EP135" s="1115" t="n">
        <f aca="false">IF(C135&gt;=Summary!$E$26,EA135*BO135,0)</f>
        <v>0</v>
      </c>
      <c r="EQ135" s="1115" t="n">
        <f aca="false">IF(C135&gt;=Summary!$E$26,DX135*BL135+DY135*BM135+DZ135*BN135+EA135*BO135,0)</f>
        <v>0</v>
      </c>
      <c r="ER135" s="1119" t="n">
        <v>0</v>
      </c>
      <c r="ES135" s="1120" t="n">
        <v>0</v>
      </c>
      <c r="ET135" s="1120" t="n">
        <v>0</v>
      </c>
      <c r="EU135" s="1120" t="n">
        <v>0</v>
      </c>
      <c r="EV135" s="1143" t="n">
        <f aca="false">IF(C135&gt;=Summary!$E$26,MAX(0,SUM(ER135:EU135)),0)</f>
        <v>0</v>
      </c>
      <c r="EW135" s="1115"/>
      <c r="EX135" s="1165" t="n">
        <f aca="false">(EQ135-EV135)+IF(EZ135="Yes",(EG135-EL135),0)</f>
        <v>0</v>
      </c>
      <c r="EY135" s="1166" t="str">
        <f aca="false">IF(EX135,EX135/EQ135,"")</f>
        <v/>
      </c>
      <c r="EZ135" s="1122" t="s">
        <v>37</v>
      </c>
      <c r="FA135" s="1096" t="n">
        <f aca="false">FA134</f>
        <v>45</v>
      </c>
      <c r="FB135" s="1167" t="e">
        <f aca="false">IF(EZ135="No",IF((OR(MONTH(C135)=5,MONTH(C135)=6,MONTH(C135)=7,MONTH(C135)=8,MONTH(C135)=9)),$FA135*12*AX135*(1-$BC135),$FA135*10*AX135*(1-$BC135)),0)</f>
        <v>#VALUE!</v>
      </c>
      <c r="FC135" s="1129" t="e">
        <f aca="false">IF(EZ135="No",IF((OR(MONTH(C135)=5,MONTH(C135)=6,MONTH(C135)=7,MONTH(C135)=8,MONTH(C135)=9)),0,$FA135*3*AX135*(1-$BC135)),0)</f>
        <v>#VALUE!</v>
      </c>
      <c r="FD135" s="1129" t="e">
        <f aca="false">IF(EZ135="No",IF((OR(MONTH(C135)=5,MONTH(C135)=6,MONTH(C135)=7,MONTH(C135)=8,MONTH(C135)=9)),$FA135*12*AY135*(1-$BC135),$FA135*10*AY135*(1-$BC135)),0)</f>
        <v>#VALUE!</v>
      </c>
      <c r="FE135" s="1129" t="e">
        <f aca="false">IF(EZ135="No",IF((OR(MONTH(C135)=5,MONTH(C135)=6,MONTH(C135)=7,MONTH(C135)=8,MONTH(C135)=9)),0,$FA135*3*AY135*(1-$BC135)),0)</f>
        <v>#VALUE!</v>
      </c>
      <c r="FF135" s="1129" t="e">
        <f aca="false">IF(EZ135="No",IF((OR(MONTH(C135)=5,MONTH(C135)=6,MONTH(C135)=7,MONTH(C135)=8,MONTH(C135)=9)),$FA135*12*(AZ135+BA135)*(1-$BC135),$FA135*10*(AZ135+BA135)*(1-$BC135)),0)</f>
        <v>#VALUE!</v>
      </c>
      <c r="FG135" s="1129" t="e">
        <f aca="false">IF(EZ135="No",IF((OR(MONTH(C135)=5,MONTH(C135)=6,MONTH(C135)=7,MONTH(C135)=8,MONTH(C135)=9)),0,$FA135*3*(AZ135+BA135)*(1-$BC135)),0)</f>
        <v>#VALUE!</v>
      </c>
      <c r="FH135" s="1170" t="e">
        <f aca="false">IF(EZ135="No",IF((OR(MONTH(C135)=5,MONTH(C135)=6,MONTH(C135)=7,MONTH(C135)=8,MONTH(C135)=9)),Summary!$O$15*12*(AX135+AY135+AZ135+BA135)*(1-$BC135),Summary!$O$15*13*(AX135+AY135+AZ135+BA135)*(1-$BC135)+IF(Summary!$O$16="Yes",(CALC!FA135+Summary!$O$15)*6*(AX135+AY135+AZ135+BA135)*(1-$BC135),0)),0)</f>
        <v>#VALUE!</v>
      </c>
      <c r="FI135" s="1126" t="n">
        <f aca="false">IF(MONTH(C135)=5,FI134*(IF(Summary!$E$70="no",(1+(Summary!$E$71*0.8)),1+HLOOKUP(YEAR(C135)-1,CCFMODEL!$I$127:$AF$128,2)*0.8)),+FI134)</f>
        <v>33.7227697904665</v>
      </c>
      <c r="FJ135" s="1127" t="n">
        <f aca="false">IF(MONTH(C135)=5,FJ134*(IF(Summary!$E$70="no",(1+(Summary!$E$71*0.8)),1+HLOOKUP(YEAR(CALC!C135)-1,CCFMODEL!$I$127:$AF$128,2)*0.8)),FJ134)</f>
        <v>29.4742318641085</v>
      </c>
      <c r="FK135" s="1128" t="e">
        <f aca="false">SUM(FB135:FG135)*FI135+FH135*FJ135</f>
        <v>#VALUE!</v>
      </c>
      <c r="FL135" s="1126" t="n">
        <f aca="false">IF(MONTH(C135)=5,FL134*(IF(Summary!$E$70="no",(1+(Summary!$E$71*0.8)),1+HLOOKUP(YEAR(CALC!C135)-1,CCFMODEL!$I$127:$AF$128,2)*0.8)),+FL134)</f>
        <v>70.9227655623271</v>
      </c>
      <c r="FM135" s="1127" t="n">
        <f aca="false">IF(MONTH(C135)=5,FM134*(IF(Summary!$E$70="no",(1+(Summary!$E$71*0.8)),1+HLOOKUP(YEAR(CALC!C135)-1,CCFMODEL!$I$127:$AF$128,2)*0.8)),+FM134)</f>
        <v>33.8492143716081</v>
      </c>
      <c r="FN135" s="1128" t="e">
        <f aca="false">IF((OR(MONTH(C135)=5,MONTH(C135)=6,MONTH(C135)=7,MONTH(C135)=8,MONTH(C135)=9)),SUM(FB135:FG135)/(1-BC135)*FL135,SUM(FB135:FG135)/(1-BC135)*FM135)</f>
        <v>#VALUE!</v>
      </c>
      <c r="FO135" s="1129" t="e">
        <f aca="false">FK135+FN135</f>
        <v>#VALUE!</v>
      </c>
      <c r="FP135" s="1169" t="e">
        <f aca="false">FB135</f>
        <v>#VALUE!</v>
      </c>
      <c r="FQ135" s="1129" t="e">
        <f aca="false">FC135</f>
        <v>#VALUE!</v>
      </c>
      <c r="FR135" s="1129" t="e">
        <f aca="false">FD135</f>
        <v>#VALUE!</v>
      </c>
      <c r="FS135" s="1129" t="e">
        <f aca="false">FE135</f>
        <v>#VALUE!</v>
      </c>
      <c r="FT135" s="1129" t="e">
        <f aca="false">FF135</f>
        <v>#VALUE!</v>
      </c>
      <c r="FU135" s="1129" t="e">
        <f aca="false">FG135</f>
        <v>#VALUE!</v>
      </c>
      <c r="FV135" s="1170" t="e">
        <f aca="false">FH135</f>
        <v>#VALUE!</v>
      </c>
      <c r="FW135" s="1115" t="n">
        <f aca="false">IF(ER135&gt;0,MIN(FB135-FP135,BL135),0)</f>
        <v>0</v>
      </c>
      <c r="FX135" s="1115" t="n">
        <f aca="false">IF(ES135&gt;0,MIN(FD135-FR135,BM135),0)</f>
        <v>0</v>
      </c>
      <c r="FY135" s="1115" t="n">
        <f aca="false">IF(ET135&gt;0,MIN(FF135-FT135,BN135),0)</f>
        <v>0</v>
      </c>
      <c r="FZ135" s="1143" t="n">
        <f aca="false">IF(EU135&gt;0,MIN(FH135-FV135,BO135),0)</f>
        <v>0</v>
      </c>
      <c r="GA135" s="1132" t="e">
        <f aca="false">(SUM(FP135:FV135)+SUM(GU135:HB135)/(1-Summary!$O$25))*CY135/1000</f>
        <v>#VALUE!</v>
      </c>
      <c r="GB135" s="1133" t="n">
        <f aca="false">IF($C135&lt;Summary!$M$81,+Summary!$O$81,VLOOKUP(C135,GasTable,19))</f>
        <v>2.4</v>
      </c>
      <c r="GC135" s="1134" t="e">
        <f aca="false">IF(H135&lt;=Summary!$N$84,MIN(GA135,Summary!$O$75*(H135-G135+1)),0)</f>
        <v>#VALUE!</v>
      </c>
      <c r="GD135" s="1135" t="e">
        <f aca="false">IF(Summary!$O$75*(H135-G135+1)*0.8&gt;GC135,1,0)</f>
        <v>#VALUE!</v>
      </c>
      <c r="GE135" s="1136" t="n">
        <v>0</v>
      </c>
      <c r="GF135" s="1134" t="e">
        <f aca="false">ABS(MIN(0,GC135-$GA135))</f>
        <v>#VALUE!</v>
      </c>
      <c r="GG135" s="1135" t="e">
        <f aca="false">GF135*(IF(Summary!$O$74=1,VLOOKUP($C135,GasTable,16)+Summary!$O$92+Summary!$O$93,VLOOKUP($C135,GasTable,19)+Summary!$O$92+Summary!$O$93))</f>
        <v>#VALUE!</v>
      </c>
      <c r="GH135" s="1137" t="n">
        <v>19458</v>
      </c>
      <c r="GI135" s="1138" t="n">
        <v>0</v>
      </c>
      <c r="GJ135" s="1139" t="e">
        <f aca="false">+GB135*GC135+GE135+GG135+GH135-GI135</f>
        <v>#VALUE!</v>
      </c>
      <c r="GK135" s="1115" t="e">
        <f aca="false">SUM(FP135:FV135,GU135:GX135,GY135:HB135)</f>
        <v>#VALUE!</v>
      </c>
      <c r="GL135" s="1140" t="n">
        <v>0.757191926256</v>
      </c>
      <c r="GM135" s="1141" t="e">
        <f aca="false">IF(GK135&gt;GC135/(CY135/1000),GC135/(CY135/1000),+GK135)*GL135</f>
        <v>#VALUE!</v>
      </c>
      <c r="GN135" s="1115" t="n">
        <f aca="false">IF(SUM(GU135:HB135)=0,0,IF(Summary!$O$16="Yes",SUM(GX135:HB135),IF(Summary!$O$17="Yes",SUM(GY135:HB135),SUM(GU135:HB135))))</f>
        <v>11805.5205</v>
      </c>
      <c r="GO135" s="1142" t="n">
        <v>3.10474112454317</v>
      </c>
      <c r="GP135" s="1143" t="n">
        <f aca="false">GN135*GO135</f>
        <v>36653.0849929875</v>
      </c>
      <c r="GQ135" s="1115"/>
      <c r="GR135" s="1115"/>
      <c r="GS135" s="1115"/>
      <c r="GT135" s="1115"/>
      <c r="GU135" s="1150" t="n">
        <v>5132.835</v>
      </c>
      <c r="GV135" s="1115" t="n">
        <v>1026.567</v>
      </c>
      <c r="GW135" s="1115" t="n">
        <v>1539.8505</v>
      </c>
      <c r="GX135" s="1115"/>
      <c r="GY135" s="1151" t="n">
        <v>2737.512</v>
      </c>
      <c r="GZ135" s="1115" t="n">
        <v>547.5024</v>
      </c>
      <c r="HA135" s="1115" t="n">
        <v>821.2536</v>
      </c>
      <c r="HB135" s="1141"/>
      <c r="HC135" s="1115" t="n">
        <v>11805.5205</v>
      </c>
      <c r="HD135" s="1115"/>
      <c r="HE135" s="1115" t="n">
        <v>20274.69825</v>
      </c>
      <c r="HF135" s="1115" t="n">
        <v>596366.813354844</v>
      </c>
      <c r="HG135" s="1115"/>
      <c r="HH135" s="1142" t="n">
        <v>50.2185528036858</v>
      </c>
      <c r="HI135" s="1115" t="n">
        <v>1018166.00464642</v>
      </c>
      <c r="HJ135" s="1150" t="e">
        <f aca="false">MAX(FB135-FP135-FW135,0)</f>
        <v>#VALUE!</v>
      </c>
      <c r="HK135" s="1115" t="e">
        <f aca="false">MAX(FD135-FR135-FX135,0)</f>
        <v>#VALUE!</v>
      </c>
      <c r="HL135" s="1115" t="e">
        <f aca="false">MAX(FF135-FT135-FY135,0)</f>
        <v>#VALUE!</v>
      </c>
      <c r="HM135" s="1141" t="e">
        <f aca="false">MAX(FH135-FV135-FZ135,0)</f>
        <v>#VALUE!</v>
      </c>
      <c r="HN135" s="1115" t="e">
        <f aca="false">SUM(HJ135:HM135)</f>
        <v>#VALUE!</v>
      </c>
      <c r="HO135" s="1142" t="n">
        <f aca="false">IF(ISERROR(+HP135/HN135),0,+HP135/HN135)</f>
        <v>0</v>
      </c>
      <c r="HP135" s="1143" t="e">
        <f aca="false">(HJ135*CE135+HK135*CF135+HL135*CG135+HM135*CH135)</f>
        <v>#VALUE!</v>
      </c>
      <c r="HQ135" s="1142"/>
      <c r="HR135" s="1150"/>
      <c r="HS135" s="1110"/>
      <c r="HT135" s="1141"/>
      <c r="HU135" s="1151"/>
      <c r="HV135" s="1142"/>
      <c r="HW135" s="1115"/>
      <c r="HX135" s="1149"/>
      <c r="HY135" s="1143"/>
      <c r="HZ135" s="1150"/>
      <c r="IA135" s="1142"/>
      <c r="IB135" s="1141"/>
      <c r="IC135" s="1151"/>
      <c r="ID135" s="1142"/>
      <c r="IE135" s="1141"/>
      <c r="IF135" s="1115"/>
      <c r="IG135" s="1142"/>
      <c r="IH135" s="1141"/>
      <c r="II135" s="1115"/>
      <c r="IJ135" s="1142"/>
      <c r="IK135" s="1115"/>
      <c r="IL135" s="1152"/>
      <c r="IM135" s="1192"/>
      <c r="IN135" s="1151"/>
      <c r="IO135" s="1151"/>
      <c r="IP135" s="1151"/>
      <c r="IQ135" s="1151"/>
      <c r="IR135" s="844"/>
    </row>
    <row r="136" customFormat="false" ht="13.5" hidden="false" customHeight="false" outlineLevel="0" collapsed="false">
      <c r="A136" s="0" t="str">
        <f aca="false">+D136&amp;"Q"&amp;ROUNDUP(E136/3,0)</f>
        <v>2009Q4</v>
      </c>
      <c r="B136" s="0" t="n">
        <f aca="false">YEAR(C136)</f>
        <v>2009</v>
      </c>
      <c r="C136" s="1153" t="n">
        <f aca="false">EOMONTH(C135,0)+1</f>
        <v>40148</v>
      </c>
      <c r="D136" s="841" t="n">
        <f aca="false">+YEAR(C136)</f>
        <v>2009</v>
      </c>
      <c r="E136" s="807" t="n">
        <f aca="false">MONTH(C136)</f>
        <v>12</v>
      </c>
      <c r="F136" s="1154" t="e">
        <f aca="false">IF(G136="","",Holiday(D136,E136))</f>
        <v>#VALUE!</v>
      </c>
      <c r="G136" s="1155" t="n">
        <v>40148</v>
      </c>
      <c r="H136" s="1156" t="n">
        <v>40178</v>
      </c>
      <c r="I136" s="1157" t="n">
        <f aca="false">I135</f>
        <v>0.0715</v>
      </c>
      <c r="J136" s="1158" t="n">
        <f aca="false">(1+I136/2)^(-2*(DATE(D137,E137,20)-$H$7)/365.25)</f>
        <v>0.491872180761659</v>
      </c>
      <c r="K136" s="1159"/>
      <c r="L136" s="1158"/>
      <c r="M136" s="1082" t="n">
        <v>0</v>
      </c>
      <c r="N136" s="1110" t="n">
        <f aca="false">M136</f>
        <v>0</v>
      </c>
      <c r="O136" s="1174" t="n">
        <f aca="false">N136</f>
        <v>0</v>
      </c>
      <c r="P136" s="1175" t="n">
        <f aca="false">M136</f>
        <v>0</v>
      </c>
      <c r="Q136" s="1110" t="n">
        <f aca="false">P136</f>
        <v>0</v>
      </c>
      <c r="R136" s="1174" t="n">
        <f aca="false">Q136</f>
        <v>0</v>
      </c>
      <c r="S136" s="1110" t="n">
        <f aca="false">R136</f>
        <v>0</v>
      </c>
      <c r="T136" s="1110" t="n">
        <f aca="false">S136</f>
        <v>0</v>
      </c>
      <c r="U136" s="1110" t="n">
        <f aca="false">T136</f>
        <v>0</v>
      </c>
      <c r="V136" s="1175" t="n">
        <f aca="false">U136</f>
        <v>0</v>
      </c>
      <c r="W136" s="1110" t="n">
        <f aca="false">V136</f>
        <v>0</v>
      </c>
      <c r="X136" s="1176" t="n">
        <f aca="false">W136</f>
        <v>0</v>
      </c>
      <c r="Y136" s="1086" t="n">
        <v>0</v>
      </c>
      <c r="Z136" s="1086" t="n">
        <v>0</v>
      </c>
      <c r="AA136" s="1087" t="n">
        <v>0</v>
      </c>
      <c r="AB136" s="1086" t="n">
        <v>0</v>
      </c>
      <c r="AC136" s="1086" t="n">
        <v>0</v>
      </c>
      <c r="AD136" s="1087" t="n">
        <v>0</v>
      </c>
      <c r="AE136" s="1086" t="n">
        <v>0</v>
      </c>
      <c r="AF136" s="1086" t="n">
        <v>0</v>
      </c>
      <c r="AG136" s="1087" t="n">
        <v>0</v>
      </c>
      <c r="AH136" s="1086" t="n">
        <v>0</v>
      </c>
      <c r="AI136" s="1086" t="n">
        <v>0</v>
      </c>
      <c r="AJ136" s="1087" t="n">
        <v>0</v>
      </c>
      <c r="AK136" s="1086" t="n">
        <v>0</v>
      </c>
      <c r="AL136" s="1086" t="n">
        <v>0</v>
      </c>
      <c r="AM136" s="1087" t="n">
        <v>0</v>
      </c>
      <c r="AN136" s="1086" t="n">
        <v>0</v>
      </c>
      <c r="AO136" s="1086" t="n">
        <v>0</v>
      </c>
      <c r="AP136" s="1087" t="n">
        <v>0</v>
      </c>
      <c r="AQ136" s="1086" t="n">
        <v>0</v>
      </c>
      <c r="AR136" s="1086" t="n">
        <v>0</v>
      </c>
      <c r="AS136" s="1087" t="n">
        <v>0</v>
      </c>
      <c r="AT136" s="1086" t="n">
        <v>0</v>
      </c>
      <c r="AU136" s="1086" t="n">
        <v>0</v>
      </c>
      <c r="AV136" s="1086" t="n">
        <v>0</v>
      </c>
      <c r="AW136" s="1172" t="n">
        <v>0</v>
      </c>
      <c r="AX136" s="807" t="e">
        <f aca="false">BB136-SUM(AY136:BA136)</f>
        <v>#VALUE!</v>
      </c>
      <c r="AY136" s="807" t="e">
        <f aca="false">IF(AND($E136=MONTH(Summary!$E$24),$D136=YEAR(Summary!$E$24)),Summary!$E$25,1)*IF(G136="",0,INT((H136-MOD(H136,7)-G136)/7)+1-IF(BA136,IF(WEEKDAY(F136)=7,1,0),0))</f>
        <v>#VALUE!</v>
      </c>
      <c r="AZ136" s="807" t="e">
        <f aca="false">IF(AND($E136=MONTH(Summary!$E$24),$D136=YEAR(Summary!$E$24)),Summary!$E$25,1)*IF(G136="",0,INT((H136-MOD(H136-1,7)-G136)/7)+1-IF(BA136,IF(WEEKDAY(F136)=1,1,0),0))</f>
        <v>#VALUE!</v>
      </c>
      <c r="BA136" s="807" t="n">
        <v>1</v>
      </c>
      <c r="BB136" s="807" t="n">
        <f aca="false">IF(AND($E136=MONTH(Summary!$E$24),$D136=YEAR(Summary!$E$24)),Summary!$E$25,1)*IF(G136="",0,H136-G136+1)</f>
        <v>31</v>
      </c>
      <c r="BC136" s="1089" t="n">
        <f aca="false">Summary!$E$19</f>
        <v>0.015</v>
      </c>
      <c r="BD136" s="1090" t="n">
        <v>15602.4</v>
      </c>
      <c r="BE136" s="1091" t="n">
        <v>2836.8</v>
      </c>
      <c r="BF136" s="1091" t="n">
        <v>3546</v>
      </c>
      <c r="BG136" s="842"/>
      <c r="BH136" s="1092" t="n">
        <v>1</v>
      </c>
      <c r="BI136" s="1092" t="n">
        <v>1</v>
      </c>
      <c r="BJ136" s="1092" t="n">
        <v>1</v>
      </c>
      <c r="BK136" s="1092" t="n">
        <v>1</v>
      </c>
      <c r="BL136" s="1093" t="n">
        <v>3120.48</v>
      </c>
      <c r="BM136" s="1091" t="n">
        <v>567.36</v>
      </c>
      <c r="BN136" s="1091" t="n">
        <v>709.2</v>
      </c>
      <c r="BO136" s="842"/>
      <c r="BP136" s="1092" t="n">
        <v>1</v>
      </c>
      <c r="BQ136" s="1094" t="n">
        <v>1</v>
      </c>
      <c r="BR136" s="1094" t="n">
        <v>1</v>
      </c>
      <c r="BS136" s="1095" t="n">
        <v>1</v>
      </c>
      <c r="BT136" s="1093" t="n">
        <f aca="false">SUM(BD136:BF136)</f>
        <v>21985.2</v>
      </c>
      <c r="BU136" s="1098" t="n">
        <f aca="false">SUM(BD136:BG136)</f>
        <v>21985.2</v>
      </c>
      <c r="BV136" s="1090" t="n">
        <f aca="false">SUM(BL136:BN136)</f>
        <v>4397.04</v>
      </c>
      <c r="BW136" s="1098" t="n">
        <f aca="false">SUM(BL136:BO136)</f>
        <v>4397.04</v>
      </c>
      <c r="BX136" s="852" t="n">
        <v>9.96303901437372</v>
      </c>
      <c r="BY136" s="1099" t="n">
        <v>0</v>
      </c>
      <c r="BZ136" s="852" t="n">
        <v>0</v>
      </c>
      <c r="CA136" s="852" t="n">
        <v>0</v>
      </c>
      <c r="CB136" s="852" t="n">
        <v>0</v>
      </c>
      <c r="CC136" s="852" t="n">
        <v>0</v>
      </c>
      <c r="CD136" s="852" t="n">
        <v>0</v>
      </c>
      <c r="CE136" s="1100" t="n">
        <v>0</v>
      </c>
      <c r="CF136" s="852" t="n">
        <v>0</v>
      </c>
      <c r="CG136" s="852" t="n">
        <v>0</v>
      </c>
      <c r="CH136" s="852" t="n">
        <v>0</v>
      </c>
      <c r="CI136" s="852" t="n">
        <v>0</v>
      </c>
      <c r="CJ136" s="1101" t="n">
        <v>0</v>
      </c>
      <c r="CK136" s="852" t="n">
        <v>0</v>
      </c>
      <c r="CL136" s="852" t="n">
        <v>0</v>
      </c>
      <c r="CM136" s="852" t="n">
        <v>0</v>
      </c>
      <c r="CN136" s="852" t="n">
        <v>0</v>
      </c>
      <c r="CO136" s="852" t="n">
        <v>0</v>
      </c>
      <c r="CP136" s="852" t="n">
        <v>0</v>
      </c>
      <c r="CQ136" s="1102" t="n">
        <v>0</v>
      </c>
      <c r="CR136" s="1103" t="n">
        <v>0</v>
      </c>
      <c r="CS136" s="1103" t="n">
        <v>0</v>
      </c>
      <c r="CT136" s="1103" t="n">
        <v>0</v>
      </c>
      <c r="CU136" s="1103" t="n">
        <v>0</v>
      </c>
      <c r="CV136" s="1103" t="n">
        <v>0</v>
      </c>
      <c r="CW136" s="1103" t="n">
        <v>0</v>
      </c>
      <c r="CX136" s="1104" t="n">
        <v>0</v>
      </c>
      <c r="CY136" s="1105" t="n">
        <v>7712.74304</v>
      </c>
      <c r="CZ136" s="1099" t="n">
        <v>0</v>
      </c>
      <c r="DA136" s="852" t="n">
        <v>0</v>
      </c>
      <c r="DB136" s="852" t="n">
        <v>0</v>
      </c>
      <c r="DC136" s="852" t="n">
        <v>0</v>
      </c>
      <c r="DD136" s="852" t="n">
        <v>0</v>
      </c>
      <c r="DE136" s="1113" t="n">
        <v>0</v>
      </c>
      <c r="DF136" s="1109" t="n">
        <v>0</v>
      </c>
      <c r="DG136" s="1110" t="n">
        <v>0</v>
      </c>
      <c r="DH136" s="1111" t="n">
        <v>0</v>
      </c>
      <c r="DI136" s="1112" t="n">
        <v>0</v>
      </c>
      <c r="DJ136" s="1112" t="n">
        <v>0</v>
      </c>
      <c r="DK136" s="1112" t="n">
        <v>0</v>
      </c>
      <c r="DL136" s="1113" t="n">
        <v>0</v>
      </c>
      <c r="DM136" s="1114" t="n">
        <v>0</v>
      </c>
      <c r="DN136" s="1114" t="n">
        <v>0</v>
      </c>
      <c r="DO136" s="1114" t="n">
        <v>0</v>
      </c>
      <c r="DP136" s="1114" t="n">
        <v>0</v>
      </c>
      <c r="DQ136" s="1114" t="n">
        <v>0</v>
      </c>
      <c r="DR136" s="1109" t="n">
        <v>0</v>
      </c>
      <c r="DS136" s="852" t="n">
        <v>0</v>
      </c>
      <c r="DT136" s="852" t="n">
        <v>0</v>
      </c>
      <c r="DU136" s="852" t="n">
        <v>0</v>
      </c>
      <c r="DV136" s="852" t="n">
        <v>0</v>
      </c>
      <c r="DW136" s="852" t="n">
        <v>0</v>
      </c>
      <c r="DX136" s="852" t="n">
        <v>0</v>
      </c>
      <c r="DY136" s="852" t="n">
        <v>0</v>
      </c>
      <c r="DZ136" s="852" t="n">
        <v>0</v>
      </c>
      <c r="EA136" s="852" t="n">
        <v>0</v>
      </c>
      <c r="EB136" s="1113" t="n">
        <v>0</v>
      </c>
      <c r="EC136" s="1115" t="n">
        <f aca="false">DS136*BD136</f>
        <v>0</v>
      </c>
      <c r="ED136" s="1115" t="n">
        <f aca="false">DT136*BE136</f>
        <v>0</v>
      </c>
      <c r="EE136" s="1115" t="n">
        <f aca="false">DU136*BF136</f>
        <v>0</v>
      </c>
      <c r="EF136" s="1115" t="n">
        <f aca="false">DV136*BG136</f>
        <v>0</v>
      </c>
      <c r="EG136" s="1115" t="n">
        <f aca="false">DS136*BD136+DT136*BE136+DU136*BF136+DV136*BG136</f>
        <v>0</v>
      </c>
      <c r="EH136" s="1116" t="n">
        <v>0</v>
      </c>
      <c r="EI136" s="1117" t="n">
        <v>0</v>
      </c>
      <c r="EJ136" s="1117" t="n">
        <v>0</v>
      </c>
      <c r="EK136" s="1117" t="n">
        <v>0</v>
      </c>
      <c r="EL136" s="1118" t="n">
        <f aca="false">IF(C136&gt;=Summary!$E$26,MAX(0,SUM(EH136:EK136)),0)</f>
        <v>0</v>
      </c>
      <c r="EM136" s="1115" t="n">
        <f aca="false">IF(C136&gt;=Summary!$E$26,DX136*BL136,0)</f>
        <v>0</v>
      </c>
      <c r="EN136" s="1115" t="n">
        <f aca="false">IF(C136&gt;=Summary!$E$26,DY136*BM136,0)</f>
        <v>0</v>
      </c>
      <c r="EO136" s="1115" t="n">
        <f aca="false">IF(C136&gt;=Summary!$E$26,DZ136*BN136,0)</f>
        <v>0</v>
      </c>
      <c r="EP136" s="1115" t="n">
        <f aca="false">IF(C136&gt;=Summary!$E$26,EA136*BO136,0)</f>
        <v>0</v>
      </c>
      <c r="EQ136" s="1115" t="n">
        <f aca="false">IF(C136&gt;=Summary!$E$26,DX136*BL136+DY136*BM136+DZ136*BN136+EA136*BO136,0)</f>
        <v>0</v>
      </c>
      <c r="ER136" s="1119" t="n">
        <v>0</v>
      </c>
      <c r="ES136" s="1120" t="n">
        <v>0</v>
      </c>
      <c r="ET136" s="1120" t="n">
        <v>0</v>
      </c>
      <c r="EU136" s="1120" t="n">
        <v>0</v>
      </c>
      <c r="EV136" s="1143" t="n">
        <f aca="false">IF(C136&gt;=Summary!$E$26,MAX(0,SUM(ER136:EU136)),0)</f>
        <v>0</v>
      </c>
      <c r="EW136" s="1115"/>
      <c r="EX136" s="1165" t="n">
        <f aca="false">(EQ136-EV136)+IF(EZ136="Yes",(EG136-EL136),0)</f>
        <v>0</v>
      </c>
      <c r="EY136" s="1166" t="str">
        <f aca="false">IF(EX136,EX136/EQ136,"")</f>
        <v/>
      </c>
      <c r="EZ136" s="1122" t="s">
        <v>37</v>
      </c>
      <c r="FA136" s="1096" t="n">
        <f aca="false">FA135</f>
        <v>45</v>
      </c>
      <c r="FB136" s="1167" t="e">
        <f aca="false">IF(EZ136="No",IF((OR(MONTH(C136)=5,MONTH(C136)=6,MONTH(C136)=7,MONTH(C136)=8,MONTH(C136)=9)),$FA136*12*AX136*(1-$BC136),$FA136*10*AX136*(1-$BC136)),0)</f>
        <v>#VALUE!</v>
      </c>
      <c r="FC136" s="1129" t="e">
        <f aca="false">IF(EZ136="No",IF((OR(MONTH(C136)=5,MONTH(C136)=6,MONTH(C136)=7,MONTH(C136)=8,MONTH(C136)=9)),0,$FA136*3*AX136*(1-$BC136)),0)</f>
        <v>#VALUE!</v>
      </c>
      <c r="FD136" s="1129" t="e">
        <f aca="false">IF(EZ136="No",IF((OR(MONTH(C136)=5,MONTH(C136)=6,MONTH(C136)=7,MONTH(C136)=8,MONTH(C136)=9)),$FA136*12*AY136*(1-$BC136),$FA136*10*AY136*(1-$BC136)),0)</f>
        <v>#VALUE!</v>
      </c>
      <c r="FE136" s="1129" t="e">
        <f aca="false">IF(EZ136="No",IF((OR(MONTH(C136)=5,MONTH(C136)=6,MONTH(C136)=7,MONTH(C136)=8,MONTH(C136)=9)),0,$FA136*3*AY136*(1-$BC136)),0)</f>
        <v>#VALUE!</v>
      </c>
      <c r="FF136" s="1129" t="e">
        <f aca="false">IF(EZ136="No",IF((OR(MONTH(C136)=5,MONTH(C136)=6,MONTH(C136)=7,MONTH(C136)=8,MONTH(C136)=9)),$FA136*12*(AZ136+BA136)*(1-$BC136),$FA136*10*(AZ136+BA136)*(1-$BC136)),0)</f>
        <v>#VALUE!</v>
      </c>
      <c r="FG136" s="1129" t="e">
        <f aca="false">IF(EZ136="No",IF((OR(MONTH(C136)=5,MONTH(C136)=6,MONTH(C136)=7,MONTH(C136)=8,MONTH(C136)=9)),0,$FA136*3*(AZ136+BA136)*(1-$BC136)),0)</f>
        <v>#VALUE!</v>
      </c>
      <c r="FH136" s="1170" t="e">
        <f aca="false">IF(EZ136="No",IF((OR(MONTH(C136)=5,MONTH(C136)=6,MONTH(C136)=7,MONTH(C136)=8,MONTH(C136)=9)),Summary!$O$15*12*(AX136+AY136+AZ136+BA136)*(1-$BC136),Summary!$O$15*13*(AX136+AY136+AZ136+BA136)*(1-$BC136)+IF(Summary!$O$16="Yes",(CALC!FA136+Summary!$O$15)*6*(AX136+AY136+AZ136+BA136)*(1-$BC136),0)),0)</f>
        <v>#VALUE!</v>
      </c>
      <c r="FI136" s="1126" t="n">
        <f aca="false">IF(MONTH(C136)=5,FI135*(IF(Summary!$E$70="no",(1+(Summary!$E$71*0.8)),1+HLOOKUP(YEAR(C136)-1,CCFMODEL!$I$127:$AF$128,2)*0.8)),+FI135)</f>
        <v>33.7227697904665</v>
      </c>
      <c r="FJ136" s="1127" t="n">
        <f aca="false">IF(MONTH(C136)=5,FJ135*(IF(Summary!$E$70="no",(1+(Summary!$E$71*0.8)),1+HLOOKUP(YEAR(CALC!C136)-1,CCFMODEL!$I$127:$AF$128,2)*0.8)),FJ135)</f>
        <v>29.4742318641085</v>
      </c>
      <c r="FK136" s="1128" t="e">
        <f aca="false">SUM(FB136:FG136)*FI136+FH136*FJ136</f>
        <v>#VALUE!</v>
      </c>
      <c r="FL136" s="1126" t="n">
        <f aca="false">IF(MONTH(C136)=5,FL135*(IF(Summary!$E$70="no",(1+(Summary!$E$71*0.8)),1+HLOOKUP(YEAR(CALC!C136)-1,CCFMODEL!$I$127:$AF$128,2)*0.8)),+FL135)</f>
        <v>70.9227655623271</v>
      </c>
      <c r="FM136" s="1127" t="n">
        <f aca="false">IF(MONTH(C136)=5,FM135*(IF(Summary!$E$70="no",(1+(Summary!$E$71*0.8)),1+HLOOKUP(YEAR(CALC!C136)-1,CCFMODEL!$I$127:$AF$128,2)*0.8)),+FM135)</f>
        <v>33.8492143716081</v>
      </c>
      <c r="FN136" s="1128" t="e">
        <f aca="false">IF((OR(MONTH(C136)=5,MONTH(C136)=6,MONTH(C136)=7,MONTH(C136)=8,MONTH(C136)=9)),SUM(FB136:FG136)/(1-BC136)*FL136,SUM(FB136:FG136)/(1-BC136)*FM136)</f>
        <v>#VALUE!</v>
      </c>
      <c r="FO136" s="1129" t="e">
        <f aca="false">FK136+FN136</f>
        <v>#VALUE!</v>
      </c>
      <c r="FP136" s="1169" t="e">
        <f aca="false">FB136</f>
        <v>#VALUE!</v>
      </c>
      <c r="FQ136" s="1129" t="e">
        <f aca="false">FC136</f>
        <v>#VALUE!</v>
      </c>
      <c r="FR136" s="1129" t="e">
        <f aca="false">FD136</f>
        <v>#VALUE!</v>
      </c>
      <c r="FS136" s="1129" t="e">
        <f aca="false">FE136</f>
        <v>#VALUE!</v>
      </c>
      <c r="FT136" s="1129" t="e">
        <f aca="false">FF136</f>
        <v>#VALUE!</v>
      </c>
      <c r="FU136" s="1129" t="e">
        <f aca="false">FG136</f>
        <v>#VALUE!</v>
      </c>
      <c r="FV136" s="1170" t="e">
        <f aca="false">FH136</f>
        <v>#VALUE!</v>
      </c>
      <c r="FW136" s="1115" t="n">
        <f aca="false">IF(ER136&gt;0,MIN(FB136-FP136,BL136),0)</f>
        <v>0</v>
      </c>
      <c r="FX136" s="1115" t="n">
        <f aca="false">IF(ES136&gt;0,MIN(FD136-FR136,BM136),0)</f>
        <v>0</v>
      </c>
      <c r="FY136" s="1115" t="n">
        <f aca="false">IF(ET136&gt;0,MIN(FF136-FT136,BN136),0)</f>
        <v>0</v>
      </c>
      <c r="FZ136" s="1143" t="n">
        <f aca="false">IF(EU136&gt;0,MIN(FH136-FV136,BO136),0)</f>
        <v>0</v>
      </c>
      <c r="GA136" s="1132" t="e">
        <f aca="false">(SUM(FP136:FV136)+SUM(GU136:HB136)/(1-Summary!$O$25))*CY136/1000</f>
        <v>#VALUE!</v>
      </c>
      <c r="GB136" s="1133" t="n">
        <f aca="false">IF($C136&lt;Summary!$M$81,+Summary!$O$81,VLOOKUP(C136,GasTable,19))</f>
        <v>2.4</v>
      </c>
      <c r="GC136" s="1134" t="e">
        <f aca="false">IF(H136&lt;=Summary!$N$84,MIN(GA136,Summary!$O$75*(H136-G136+1)),0)</f>
        <v>#VALUE!</v>
      </c>
      <c r="GD136" s="1135" t="e">
        <f aca="false">IF(Summary!$O$75*(H136-G136+1)*0.8&gt;GC136,1,0)</f>
        <v>#VALUE!</v>
      </c>
      <c r="GE136" s="1136" t="n">
        <v>0</v>
      </c>
      <c r="GF136" s="1134" t="e">
        <f aca="false">ABS(MIN(0,GC136-$GA136))</f>
        <v>#VALUE!</v>
      </c>
      <c r="GG136" s="1135" t="e">
        <f aca="false">GF136*(IF(Summary!$O$74=1,VLOOKUP($C136,GasTable,16)+Summary!$O$92+Summary!$O$93,VLOOKUP($C136,GasTable,19)+Summary!$O$92+Summary!$O$93))</f>
        <v>#VALUE!</v>
      </c>
      <c r="GH136" s="1137" t="n">
        <v>20559.2</v>
      </c>
      <c r="GI136" s="1138" t="n">
        <v>0</v>
      </c>
      <c r="GJ136" s="1139" t="e">
        <f aca="false">+GB136*GC136+GE136+GG136+GH136-GI136</f>
        <v>#VALUE!</v>
      </c>
      <c r="GK136" s="1115" t="e">
        <f aca="false">SUM(FP136:FV136,GU136:GX136,GY136:HB136)</f>
        <v>#VALUE!</v>
      </c>
      <c r="GL136" s="1140" t="n">
        <v>0.757391366528</v>
      </c>
      <c r="GM136" s="1141" t="e">
        <f aca="false">IF(GK136&gt;GC136/(CY136/1000),GC136/(CY136/1000),+GK136)*GL136</f>
        <v>#VALUE!</v>
      </c>
      <c r="GN136" s="1115" t="n">
        <f aca="false">IF(SUM(GU136:HB136)=0,0,IF(Summary!$O$16="Yes",SUM(GX136:HB136),IF(Summary!$O$17="Yes",SUM(GY136:HB136),SUM(GU136:HB136))))</f>
        <v>12199.03785</v>
      </c>
      <c r="GO136" s="1142" t="n">
        <v>3.10474112454317</v>
      </c>
      <c r="GP136" s="1143" t="n">
        <f aca="false">GN136*GO136</f>
        <v>37874.8544927537</v>
      </c>
      <c r="GQ136" s="1115"/>
      <c r="GR136" s="1115"/>
      <c r="GS136" s="1115"/>
      <c r="GT136" s="1115"/>
      <c r="GU136" s="1150" t="n">
        <v>5646.1185</v>
      </c>
      <c r="GV136" s="1115" t="n">
        <v>1026.567</v>
      </c>
      <c r="GW136" s="1115" t="n">
        <v>1283.20875</v>
      </c>
      <c r="GX136" s="1115"/>
      <c r="GY136" s="1151" t="n">
        <v>3011.2632</v>
      </c>
      <c r="GZ136" s="1115" t="n">
        <v>547.5024</v>
      </c>
      <c r="HA136" s="1115" t="n">
        <v>684.378</v>
      </c>
      <c r="HB136" s="1141"/>
      <c r="HC136" s="1115" t="n">
        <v>12199.03785</v>
      </c>
      <c r="HD136" s="1115"/>
      <c r="HE136" s="1115" t="n">
        <v>20950.521525</v>
      </c>
      <c r="HF136" s="1115" t="n">
        <v>568837.327730753</v>
      </c>
      <c r="HG136" s="1115"/>
      <c r="HH136" s="1142" t="n">
        <v>46.3287978105559</v>
      </c>
      <c r="HI136" s="1115" t="n">
        <v>970612.475757424</v>
      </c>
      <c r="HJ136" s="1150" t="e">
        <f aca="false">MAX(FB136-FP136-FW136,0)</f>
        <v>#VALUE!</v>
      </c>
      <c r="HK136" s="1115" t="e">
        <f aca="false">MAX(FD136-FR136-FX136,0)</f>
        <v>#VALUE!</v>
      </c>
      <c r="HL136" s="1115" t="e">
        <f aca="false">MAX(FF136-FT136-FY136,0)</f>
        <v>#VALUE!</v>
      </c>
      <c r="HM136" s="1141" t="e">
        <f aca="false">MAX(FH136-FV136-FZ136,0)</f>
        <v>#VALUE!</v>
      </c>
      <c r="HN136" s="1115" t="e">
        <f aca="false">SUM(HJ136:HM136)</f>
        <v>#VALUE!</v>
      </c>
      <c r="HO136" s="1142" t="n">
        <f aca="false">IF(ISERROR(+HP136/HN136),0,+HP136/HN136)</f>
        <v>0</v>
      </c>
      <c r="HP136" s="1143" t="e">
        <f aca="false">(HJ136*CE136+HK136*CF136+HL136*CG136+HM136*CH136)</f>
        <v>#VALUE!</v>
      </c>
      <c r="HQ136" s="1142"/>
      <c r="HR136" s="1150"/>
      <c r="HS136" s="1110"/>
      <c r="HT136" s="1141"/>
      <c r="HU136" s="1151"/>
      <c r="HV136" s="1142"/>
      <c r="HW136" s="1115"/>
      <c r="HX136" s="1149"/>
      <c r="HY136" s="1143"/>
      <c r="HZ136" s="1150"/>
      <c r="IA136" s="1142"/>
      <c r="IB136" s="1141"/>
      <c r="IC136" s="1151"/>
      <c r="ID136" s="1142"/>
      <c r="IE136" s="1141"/>
      <c r="IF136" s="1115"/>
      <c r="IG136" s="1142"/>
      <c r="IH136" s="1141"/>
      <c r="II136" s="1115"/>
      <c r="IJ136" s="1142"/>
      <c r="IK136" s="1115"/>
      <c r="IL136" s="1152"/>
      <c r="IM136" s="1192"/>
      <c r="IN136" s="1151"/>
      <c r="IO136" s="1151"/>
      <c r="IP136" s="1151"/>
      <c r="IQ136" s="1151"/>
      <c r="IR136" s="844"/>
    </row>
    <row r="137" customFormat="false" ht="13.5" hidden="false" customHeight="false" outlineLevel="0" collapsed="false">
      <c r="A137" s="0" t="str">
        <f aca="false">+D137&amp;"Q"&amp;ROUNDUP(E137/3,0)</f>
        <v>2010Q1</v>
      </c>
      <c r="B137" s="0" t="n">
        <f aca="false">YEAR(C137)</f>
        <v>2010</v>
      </c>
      <c r="C137" s="1153" t="n">
        <f aca="false">EOMONTH(C136,0)+1</f>
        <v>40179</v>
      </c>
      <c r="D137" s="841" t="n">
        <f aca="false">+YEAR(C137)</f>
        <v>2010</v>
      </c>
      <c r="E137" s="807" t="n">
        <f aca="false">MONTH(C137)</f>
        <v>1</v>
      </c>
      <c r="F137" s="1154" t="e">
        <f aca="false">IF(G137="","",Holiday(D137,E137))</f>
        <v>#VALUE!</v>
      </c>
      <c r="G137" s="1155" t="n">
        <v>40179</v>
      </c>
      <c r="H137" s="1156" t="n">
        <v>40209</v>
      </c>
      <c r="I137" s="1157" t="n">
        <f aca="false">I136</f>
        <v>0.0715</v>
      </c>
      <c r="J137" s="1158" t="n">
        <f aca="false">(1+I137/2)^(-2*(DATE(D138,E138,20)-$H$7)/365.25)</f>
        <v>0.488948123460996</v>
      </c>
      <c r="K137" s="1159"/>
      <c r="L137" s="1158"/>
      <c r="M137" s="1082" t="n">
        <v>0</v>
      </c>
      <c r="N137" s="1110" t="n">
        <f aca="false">M137</f>
        <v>0</v>
      </c>
      <c r="O137" s="1174" t="n">
        <f aca="false">N137</f>
        <v>0</v>
      </c>
      <c r="P137" s="1175" t="n">
        <f aca="false">M137</f>
        <v>0</v>
      </c>
      <c r="Q137" s="1110" t="n">
        <f aca="false">P137</f>
        <v>0</v>
      </c>
      <c r="R137" s="1174" t="n">
        <f aca="false">Q137</f>
        <v>0</v>
      </c>
      <c r="S137" s="1110" t="n">
        <f aca="false">R137</f>
        <v>0</v>
      </c>
      <c r="T137" s="1110" t="n">
        <f aca="false">S137</f>
        <v>0</v>
      </c>
      <c r="U137" s="1110" t="n">
        <f aca="false">T137</f>
        <v>0</v>
      </c>
      <c r="V137" s="1175" t="n">
        <f aca="false">U137</f>
        <v>0</v>
      </c>
      <c r="W137" s="1110" t="n">
        <f aca="false">V137</f>
        <v>0</v>
      </c>
      <c r="X137" s="1176" t="n">
        <f aca="false">W137</f>
        <v>0</v>
      </c>
      <c r="Y137" s="1086" t="n">
        <v>0</v>
      </c>
      <c r="Z137" s="1086" t="n">
        <v>0</v>
      </c>
      <c r="AA137" s="1087" t="n">
        <v>0</v>
      </c>
      <c r="AB137" s="1086" t="n">
        <v>0</v>
      </c>
      <c r="AC137" s="1086" t="n">
        <v>0</v>
      </c>
      <c r="AD137" s="1087" t="n">
        <v>0</v>
      </c>
      <c r="AE137" s="1086" t="n">
        <v>0</v>
      </c>
      <c r="AF137" s="1086" t="n">
        <v>0</v>
      </c>
      <c r="AG137" s="1087" t="n">
        <v>0</v>
      </c>
      <c r="AH137" s="1086" t="n">
        <v>0</v>
      </c>
      <c r="AI137" s="1086" t="n">
        <v>0</v>
      </c>
      <c r="AJ137" s="1087" t="n">
        <v>0</v>
      </c>
      <c r="AK137" s="1086" t="n">
        <v>0</v>
      </c>
      <c r="AL137" s="1086" t="n">
        <v>0</v>
      </c>
      <c r="AM137" s="1087" t="n">
        <v>0</v>
      </c>
      <c r="AN137" s="1086" t="n">
        <v>0</v>
      </c>
      <c r="AO137" s="1086" t="n">
        <v>0</v>
      </c>
      <c r="AP137" s="1087" t="n">
        <v>0</v>
      </c>
      <c r="AQ137" s="1086" t="n">
        <v>0</v>
      </c>
      <c r="AR137" s="1086" t="n">
        <v>0</v>
      </c>
      <c r="AS137" s="1087" t="n">
        <v>0</v>
      </c>
      <c r="AT137" s="1086" t="n">
        <v>0</v>
      </c>
      <c r="AU137" s="1086" t="n">
        <v>0</v>
      </c>
      <c r="AV137" s="1086" t="n">
        <v>0</v>
      </c>
      <c r="AW137" s="1172" t="n">
        <v>0</v>
      </c>
      <c r="AX137" s="807" t="e">
        <f aca="false">BB137-SUM(AY137:BA137)</f>
        <v>#VALUE!</v>
      </c>
      <c r="AY137" s="807" t="e">
        <f aca="false">IF(AND($E137=MONTH(Summary!$E$24),$D137=YEAR(Summary!$E$24)),Summary!$E$25,1)*IF(G137="",0,INT((H137-MOD(H137,7)-G137)/7)+1-IF(BA137,IF(WEEKDAY(F137)=7,1,0),0))</f>
        <v>#VALUE!</v>
      </c>
      <c r="AZ137" s="807" t="e">
        <f aca="false">IF(AND($E137=MONTH(Summary!$E$24),$D137=YEAR(Summary!$E$24)),Summary!$E$25,1)*IF(G137="",0,INT((H137-MOD(H137-1,7)-G137)/7)+1-IF(BA137,IF(WEEKDAY(F137)=1,1,0),0))</f>
        <v>#VALUE!</v>
      </c>
      <c r="BA137" s="807" t="n">
        <v>1</v>
      </c>
      <c r="BB137" s="807" t="n">
        <f aca="false">IF(AND($E137=MONTH(Summary!$E$24),$D137=YEAR(Summary!$E$24)),Summary!$E$25,1)*IF(G137="",0,H137-G137+1)</f>
        <v>31</v>
      </c>
      <c r="BC137" s="1089" t="n">
        <f aca="false">Summary!$E$19</f>
        <v>0.015</v>
      </c>
      <c r="BD137" s="1090" t="n">
        <v>14184</v>
      </c>
      <c r="BE137" s="1091" t="n">
        <v>3546</v>
      </c>
      <c r="BF137" s="1091" t="n">
        <v>4255.2</v>
      </c>
      <c r="BG137" s="842"/>
      <c r="BH137" s="1092" t="n">
        <v>1</v>
      </c>
      <c r="BI137" s="1092" t="n">
        <v>1</v>
      </c>
      <c r="BJ137" s="1092" t="n">
        <v>1</v>
      </c>
      <c r="BK137" s="1092" t="n">
        <v>1</v>
      </c>
      <c r="BL137" s="1093" t="n">
        <v>2836.8</v>
      </c>
      <c r="BM137" s="1091" t="n">
        <v>709.2</v>
      </c>
      <c r="BN137" s="1091" t="n">
        <v>851.04</v>
      </c>
      <c r="BO137" s="842"/>
      <c r="BP137" s="1092" t="n">
        <v>1</v>
      </c>
      <c r="BQ137" s="1094" t="n">
        <v>1</v>
      </c>
      <c r="BR137" s="1094" t="n">
        <v>1</v>
      </c>
      <c r="BS137" s="1095" t="n">
        <v>1</v>
      </c>
      <c r="BT137" s="1093" t="n">
        <f aca="false">SUM(BD137:BF137)</f>
        <v>21985.2</v>
      </c>
      <c r="BU137" s="1098" t="n">
        <f aca="false">SUM(BD137:BG137)</f>
        <v>21985.2</v>
      </c>
      <c r="BV137" s="1090" t="n">
        <f aca="false">SUM(BL137:BN137)</f>
        <v>4397.04</v>
      </c>
      <c r="BW137" s="1098" t="n">
        <f aca="false">SUM(BL137:BO137)</f>
        <v>4397.04</v>
      </c>
      <c r="BX137" s="852" t="n">
        <v>10.0479123887748</v>
      </c>
      <c r="BY137" s="1099" t="n">
        <v>0</v>
      </c>
      <c r="BZ137" s="852" t="n">
        <v>0</v>
      </c>
      <c r="CA137" s="852" t="n">
        <v>0</v>
      </c>
      <c r="CB137" s="852" t="n">
        <v>0</v>
      </c>
      <c r="CC137" s="852" t="n">
        <v>0</v>
      </c>
      <c r="CD137" s="852" t="n">
        <v>0</v>
      </c>
      <c r="CE137" s="1100" t="n">
        <v>0</v>
      </c>
      <c r="CF137" s="852" t="n">
        <v>0</v>
      </c>
      <c r="CG137" s="852" t="n">
        <v>0</v>
      </c>
      <c r="CH137" s="852" t="n">
        <v>0</v>
      </c>
      <c r="CI137" s="852" t="n">
        <v>0</v>
      </c>
      <c r="CJ137" s="1101" t="n">
        <v>0</v>
      </c>
      <c r="CK137" s="852" t="n">
        <v>0</v>
      </c>
      <c r="CL137" s="852" t="n">
        <v>0</v>
      </c>
      <c r="CM137" s="852" t="n">
        <v>0</v>
      </c>
      <c r="CN137" s="852" t="n">
        <v>0</v>
      </c>
      <c r="CO137" s="852" t="n">
        <v>0</v>
      </c>
      <c r="CP137" s="852" t="n">
        <v>0</v>
      </c>
      <c r="CQ137" s="1102" t="n">
        <v>0</v>
      </c>
      <c r="CR137" s="1103" t="n">
        <v>0</v>
      </c>
      <c r="CS137" s="1103" t="n">
        <v>0</v>
      </c>
      <c r="CT137" s="1103" t="n">
        <v>0</v>
      </c>
      <c r="CU137" s="1103" t="n">
        <v>0</v>
      </c>
      <c r="CV137" s="1103" t="n">
        <v>0</v>
      </c>
      <c r="CW137" s="1103" t="n">
        <v>0</v>
      </c>
      <c r="CX137" s="1104" t="n">
        <v>0</v>
      </c>
      <c r="CY137" s="1105" t="n">
        <v>7714.774</v>
      </c>
      <c r="CZ137" s="1099" t="n">
        <v>0</v>
      </c>
      <c r="DA137" s="852" t="n">
        <v>0</v>
      </c>
      <c r="DB137" s="852" t="n">
        <v>0</v>
      </c>
      <c r="DC137" s="852" t="n">
        <v>0</v>
      </c>
      <c r="DD137" s="852" t="n">
        <v>0</v>
      </c>
      <c r="DE137" s="1113" t="n">
        <v>0</v>
      </c>
      <c r="DF137" s="1109" t="n">
        <v>0</v>
      </c>
      <c r="DG137" s="1110" t="n">
        <v>0</v>
      </c>
      <c r="DH137" s="1111" t="n">
        <v>0</v>
      </c>
      <c r="DI137" s="1112" t="n">
        <v>0</v>
      </c>
      <c r="DJ137" s="1112" t="n">
        <v>0</v>
      </c>
      <c r="DK137" s="1112" t="n">
        <v>0</v>
      </c>
      <c r="DL137" s="1113" t="n">
        <v>0</v>
      </c>
      <c r="DM137" s="1114" t="n">
        <v>0</v>
      </c>
      <c r="DN137" s="1114" t="n">
        <v>0</v>
      </c>
      <c r="DO137" s="1114" t="n">
        <v>0</v>
      </c>
      <c r="DP137" s="1114" t="n">
        <v>0</v>
      </c>
      <c r="DQ137" s="1114" t="n">
        <v>0</v>
      </c>
      <c r="DR137" s="1109" t="n">
        <v>0</v>
      </c>
      <c r="DS137" s="852" t="n">
        <v>0</v>
      </c>
      <c r="DT137" s="852" t="n">
        <v>0</v>
      </c>
      <c r="DU137" s="852" t="n">
        <v>0</v>
      </c>
      <c r="DV137" s="852" t="n">
        <v>0</v>
      </c>
      <c r="DW137" s="852" t="n">
        <v>0</v>
      </c>
      <c r="DX137" s="852" t="n">
        <v>0</v>
      </c>
      <c r="DY137" s="852" t="n">
        <v>0</v>
      </c>
      <c r="DZ137" s="852" t="n">
        <v>0</v>
      </c>
      <c r="EA137" s="852" t="n">
        <v>0</v>
      </c>
      <c r="EB137" s="1113" t="n">
        <v>0</v>
      </c>
      <c r="EC137" s="1115" t="n">
        <f aca="false">DS137*BD137</f>
        <v>0</v>
      </c>
      <c r="ED137" s="1115" t="n">
        <f aca="false">DT137*BE137</f>
        <v>0</v>
      </c>
      <c r="EE137" s="1115" t="n">
        <f aca="false">DU137*BF137</f>
        <v>0</v>
      </c>
      <c r="EF137" s="1115" t="n">
        <f aca="false">DV137*BG137</f>
        <v>0</v>
      </c>
      <c r="EG137" s="1115" t="n">
        <f aca="false">DS137*BD137+DT137*BE137+DU137*BF137+DV137*BG137</f>
        <v>0</v>
      </c>
      <c r="EH137" s="1116" t="n">
        <v>0</v>
      </c>
      <c r="EI137" s="1117" t="n">
        <v>0</v>
      </c>
      <c r="EJ137" s="1117" t="n">
        <v>0</v>
      </c>
      <c r="EK137" s="1117" t="n">
        <v>0</v>
      </c>
      <c r="EL137" s="1118" t="n">
        <f aca="false">IF(C137&gt;=Summary!$E$26,MAX(0,SUM(EH137:EK137)),0)</f>
        <v>0</v>
      </c>
      <c r="EM137" s="1115" t="n">
        <f aca="false">IF(C137&gt;=Summary!$E$26,DX137*BL137,0)</f>
        <v>0</v>
      </c>
      <c r="EN137" s="1115" t="n">
        <f aca="false">IF(C137&gt;=Summary!$E$26,DY137*BM137,0)</f>
        <v>0</v>
      </c>
      <c r="EO137" s="1115" t="n">
        <f aca="false">IF(C137&gt;=Summary!$E$26,DZ137*BN137,0)</f>
        <v>0</v>
      </c>
      <c r="EP137" s="1115" t="n">
        <f aca="false">IF(C137&gt;=Summary!$E$26,EA137*BO137,0)</f>
        <v>0</v>
      </c>
      <c r="EQ137" s="1115" t="n">
        <f aca="false">IF(C137&gt;=Summary!$E$26,DX137*BL137+DY137*BM137+DZ137*BN137+EA137*BO137,0)</f>
        <v>0</v>
      </c>
      <c r="ER137" s="1119" t="n">
        <v>0</v>
      </c>
      <c r="ES137" s="1120" t="n">
        <v>0</v>
      </c>
      <c r="ET137" s="1120" t="n">
        <v>0</v>
      </c>
      <c r="EU137" s="1120" t="n">
        <v>0</v>
      </c>
      <c r="EV137" s="1143" t="n">
        <f aca="false">IF(C137&gt;=Summary!$E$26,MAX(0,SUM(ER137:EU137)),0)</f>
        <v>0</v>
      </c>
      <c r="EW137" s="1115"/>
      <c r="EX137" s="1165" t="n">
        <f aca="false">(EQ137-EV137)+IF(EZ137="Yes",(EG137-EL137),0)</f>
        <v>0</v>
      </c>
      <c r="EY137" s="1166" t="str">
        <f aca="false">IF(EX137,EX137/EQ137,"")</f>
        <v/>
      </c>
      <c r="EZ137" s="1122" t="s">
        <v>37</v>
      </c>
      <c r="FA137" s="1096" t="n">
        <f aca="false">FA136</f>
        <v>45</v>
      </c>
      <c r="FB137" s="1167" t="e">
        <f aca="false">IF(EZ137="No",IF((OR(MONTH(C137)=5,MONTH(C137)=6,MONTH(C137)=7,MONTH(C137)=8,MONTH(C137)=9)),$FA137*12*AX137*(1-$BC137),$FA137*10*AX137*(1-$BC137)),0)</f>
        <v>#VALUE!</v>
      </c>
      <c r="FC137" s="1129" t="e">
        <f aca="false">IF(EZ137="No",IF((OR(MONTH(C137)=5,MONTH(C137)=6,MONTH(C137)=7,MONTH(C137)=8,MONTH(C137)=9)),0,$FA137*3*AX137*(1-$BC137)),0)</f>
        <v>#VALUE!</v>
      </c>
      <c r="FD137" s="1129" t="e">
        <f aca="false">IF(EZ137="No",IF((OR(MONTH(C137)=5,MONTH(C137)=6,MONTH(C137)=7,MONTH(C137)=8,MONTH(C137)=9)),$FA137*12*AY137*(1-$BC137),$FA137*10*AY137*(1-$BC137)),0)</f>
        <v>#VALUE!</v>
      </c>
      <c r="FE137" s="1129" t="e">
        <f aca="false">IF(EZ137="No",IF((OR(MONTH(C137)=5,MONTH(C137)=6,MONTH(C137)=7,MONTH(C137)=8,MONTH(C137)=9)),0,$FA137*3*AY137*(1-$BC137)),0)</f>
        <v>#VALUE!</v>
      </c>
      <c r="FF137" s="1129" t="e">
        <f aca="false">IF(EZ137="No",IF((OR(MONTH(C137)=5,MONTH(C137)=6,MONTH(C137)=7,MONTH(C137)=8,MONTH(C137)=9)),$FA137*12*(AZ137+BA137)*(1-$BC137),$FA137*10*(AZ137+BA137)*(1-$BC137)),0)</f>
        <v>#VALUE!</v>
      </c>
      <c r="FG137" s="1129" t="e">
        <f aca="false">IF(EZ137="No",IF((OR(MONTH(C137)=5,MONTH(C137)=6,MONTH(C137)=7,MONTH(C137)=8,MONTH(C137)=9)),0,$FA137*3*(AZ137+BA137)*(1-$BC137)),0)</f>
        <v>#VALUE!</v>
      </c>
      <c r="FH137" s="1170" t="e">
        <f aca="false">IF(EZ137="No",IF((OR(MONTH(C137)=5,MONTH(C137)=6,MONTH(C137)=7,MONTH(C137)=8,MONTH(C137)=9)),Summary!$O$15*12*(AX137+AY137+AZ137+BA137)*(1-$BC137),Summary!$O$15*13*(AX137+AY137+AZ137+BA137)*(1-$BC137)+IF(Summary!$O$16="Yes",(CALC!FA137+Summary!$O$15)*6*(AX137+AY137+AZ137+BA137)*(1-$BC137),0)),0)</f>
        <v>#VALUE!</v>
      </c>
      <c r="FI137" s="1126" t="n">
        <f aca="false">IF(MONTH(C137)=5,FI136*(IF(Summary!$E$70="no",(1+(Summary!$E$71*0.8)),1+HLOOKUP(YEAR(C137)-1,CCFMODEL!$I$127:$AF$128,2)*0.8)),+FI136)</f>
        <v>33.7227697904665</v>
      </c>
      <c r="FJ137" s="1127" t="n">
        <f aca="false">IF(MONTH(C137)=5,FJ136*(IF(Summary!$E$70="no",(1+(Summary!$E$71*0.8)),1+HLOOKUP(YEAR(CALC!C137)-1,CCFMODEL!$I$127:$AF$128,2)*0.8)),FJ136)</f>
        <v>29.4742318641085</v>
      </c>
      <c r="FK137" s="1128" t="e">
        <f aca="false">SUM(FB137:FG137)*FI137+FH137*FJ137</f>
        <v>#VALUE!</v>
      </c>
      <c r="FL137" s="1126" t="n">
        <f aca="false">IF(MONTH(C137)=5,FL136*(IF(Summary!$E$70="no",(1+(Summary!$E$71*0.8)),1+HLOOKUP(YEAR(CALC!C137)-1,CCFMODEL!$I$127:$AF$128,2)*0.8)),+FL136)</f>
        <v>70.9227655623271</v>
      </c>
      <c r="FM137" s="1127" t="n">
        <f aca="false">IF(MONTH(C137)=5,FM136*(IF(Summary!$E$70="no",(1+(Summary!$E$71*0.8)),1+HLOOKUP(YEAR(CALC!C137)-1,CCFMODEL!$I$127:$AF$128,2)*0.8)),+FM136)</f>
        <v>33.8492143716081</v>
      </c>
      <c r="FN137" s="1128" t="e">
        <f aca="false">IF((OR(MONTH(C137)=5,MONTH(C137)=6,MONTH(C137)=7,MONTH(C137)=8,MONTH(C137)=9)),SUM(FB137:FG137)/(1-BC137)*FL137,SUM(FB137:FG137)/(1-BC137)*FM137)</f>
        <v>#VALUE!</v>
      </c>
      <c r="FO137" s="1129" t="e">
        <f aca="false">FK137+FN137</f>
        <v>#VALUE!</v>
      </c>
      <c r="FP137" s="1169" t="e">
        <f aca="false">FB137</f>
        <v>#VALUE!</v>
      </c>
      <c r="FQ137" s="1129" t="e">
        <f aca="false">FC137</f>
        <v>#VALUE!</v>
      </c>
      <c r="FR137" s="1129" t="e">
        <f aca="false">FD137</f>
        <v>#VALUE!</v>
      </c>
      <c r="FS137" s="1129" t="e">
        <f aca="false">FE137</f>
        <v>#VALUE!</v>
      </c>
      <c r="FT137" s="1129" t="e">
        <f aca="false">FF137</f>
        <v>#VALUE!</v>
      </c>
      <c r="FU137" s="1129" t="e">
        <f aca="false">FG137</f>
        <v>#VALUE!</v>
      </c>
      <c r="FV137" s="1170" t="e">
        <f aca="false">FH137</f>
        <v>#VALUE!</v>
      </c>
      <c r="FW137" s="1115" t="n">
        <f aca="false">IF(ER137&gt;0,MIN(FB137-FP137,BL137),0)</f>
        <v>0</v>
      </c>
      <c r="FX137" s="1115" t="n">
        <f aca="false">IF(ES137&gt;0,MIN(FD137-FR137,BM137),0)</f>
        <v>0</v>
      </c>
      <c r="FY137" s="1115" t="n">
        <f aca="false">IF(ET137&gt;0,MIN(FF137-FT137,BN137),0)</f>
        <v>0</v>
      </c>
      <c r="FZ137" s="1143" t="n">
        <f aca="false">IF(EU137&gt;0,MIN(FH137-FV137,BO137),0)</f>
        <v>0</v>
      </c>
      <c r="GA137" s="1132" t="e">
        <f aca="false">(SUM(FP137:FV137)+SUM(GU137:HB137)/(1-Summary!$O$25))*CY137/1000</f>
        <v>#VALUE!</v>
      </c>
      <c r="GB137" s="1133" t="n">
        <f aca="false">IF($C137&lt;Summary!$M$81,+Summary!$O$81,VLOOKUP(C137,GasTable,19))</f>
        <v>2.4</v>
      </c>
      <c r="GC137" s="1134" t="e">
        <f aca="false">IF(H137&lt;=Summary!$N$84,MIN(GA137,Summary!$O$75*(H137-G137+1)),0)</f>
        <v>#VALUE!</v>
      </c>
      <c r="GD137" s="1135" t="e">
        <f aca="false">IF(Summary!$O$75*(H137-G137+1)*0.8&gt;GC137,1,0)</f>
        <v>#VALUE!</v>
      </c>
      <c r="GE137" s="1136" t="n">
        <v>0</v>
      </c>
      <c r="GF137" s="1134" t="e">
        <f aca="false">ABS(MIN(0,GC137-$GA137))</f>
        <v>#VALUE!</v>
      </c>
      <c r="GG137" s="1135" t="e">
        <f aca="false">GF137*(IF(Summary!$O$74=1,VLOOKUP($C137,GasTable,16)+Summary!$O$92+Summary!$O$93,VLOOKUP($C137,GasTable,19)+Summary!$O$92+Summary!$O$93))</f>
        <v>#VALUE!</v>
      </c>
      <c r="GH137" s="1137" t="n">
        <v>21644.2</v>
      </c>
      <c r="GI137" s="1138" t="n">
        <v>0</v>
      </c>
      <c r="GJ137" s="1139" t="e">
        <f aca="false">+GB137*GC137+GE137+GG137+GH137-GI137</f>
        <v>#VALUE!</v>
      </c>
      <c r="GK137" s="1115" t="e">
        <f aca="false">SUM(FP137:FV137,GU137:GX137,GY137:HB137)</f>
        <v>#VALUE!</v>
      </c>
      <c r="GL137" s="1140" t="n">
        <v>0.7575908068</v>
      </c>
      <c r="GM137" s="1141" t="e">
        <f aca="false">IF(GK137&gt;GC137/(CY137/1000),GC137/(CY137/1000),+GK137)*GL137</f>
        <v>#VALUE!</v>
      </c>
      <c r="GN137" s="1115" t="n">
        <f aca="false">IF(SUM(GU137:HB137)=0,0,IF(Summary!$O$16="Yes",SUM(GX137:HB137),IF(Summary!$O$17="Yes",SUM(GY137:HB137),SUM(GU137:HB137))))</f>
        <v>12199.03785</v>
      </c>
      <c r="GO137" s="1142" t="n">
        <v>3.19788335827947</v>
      </c>
      <c r="GP137" s="1143" t="n">
        <f aca="false">GN137*GO137</f>
        <v>39011.1001275363</v>
      </c>
      <c r="GQ137" s="1115"/>
      <c r="GR137" s="1115"/>
      <c r="GS137" s="1115"/>
      <c r="GT137" s="1115"/>
      <c r="GU137" s="1150" t="n">
        <v>5132.835</v>
      </c>
      <c r="GV137" s="1115" t="n">
        <v>1283.20875</v>
      </c>
      <c r="GW137" s="1115" t="n">
        <v>1539.8505</v>
      </c>
      <c r="GX137" s="1115"/>
      <c r="GY137" s="1151" t="n">
        <v>2737.512</v>
      </c>
      <c r="GZ137" s="1115" t="n">
        <v>684.378</v>
      </c>
      <c r="HA137" s="1115" t="n">
        <v>821.2536</v>
      </c>
      <c r="HB137" s="1141"/>
      <c r="HC137" s="1115" t="n">
        <v>12199.03785</v>
      </c>
      <c r="HD137" s="1115"/>
      <c r="HE137" s="1115" t="n">
        <v>20950.521525</v>
      </c>
      <c r="HF137" s="1115" t="n">
        <v>535064.205196402</v>
      </c>
      <c r="HG137" s="1115"/>
      <c r="HH137" s="1142" t="n">
        <v>43.525308220853</v>
      </c>
      <c r="HI137" s="1115" t="n">
        <v>911877.90676324</v>
      </c>
      <c r="HJ137" s="1150" t="e">
        <f aca="false">MAX(FB137-FP137-FW137,0)</f>
        <v>#VALUE!</v>
      </c>
      <c r="HK137" s="1115" t="e">
        <f aca="false">MAX(FD137-FR137-FX137,0)</f>
        <v>#VALUE!</v>
      </c>
      <c r="HL137" s="1115" t="e">
        <f aca="false">MAX(FF137-FT137-FY137,0)</f>
        <v>#VALUE!</v>
      </c>
      <c r="HM137" s="1141" t="e">
        <f aca="false">MAX(FH137-FV137-FZ137,0)</f>
        <v>#VALUE!</v>
      </c>
      <c r="HN137" s="1115" t="e">
        <f aca="false">SUM(HJ137:HM137)</f>
        <v>#VALUE!</v>
      </c>
      <c r="HO137" s="1142" t="n">
        <f aca="false">IF(ISERROR(+HP137/HN137),0,+HP137/HN137)</f>
        <v>0</v>
      </c>
      <c r="HP137" s="1143" t="e">
        <f aca="false">(HJ137*CE137+HK137*CF137+HL137*CG137+HM137*CH137)</f>
        <v>#VALUE!</v>
      </c>
      <c r="HQ137" s="1142"/>
      <c r="HR137" s="1150"/>
      <c r="HS137" s="1110"/>
      <c r="HT137" s="1141"/>
      <c r="HU137" s="1151"/>
      <c r="HV137" s="1142"/>
      <c r="HW137" s="1115"/>
      <c r="HX137" s="1149"/>
      <c r="HY137" s="1143"/>
      <c r="HZ137" s="1150"/>
      <c r="IA137" s="1142"/>
      <c r="IB137" s="1141"/>
      <c r="IC137" s="1151"/>
      <c r="ID137" s="1142"/>
      <c r="IE137" s="1141"/>
      <c r="IF137" s="1115"/>
      <c r="IG137" s="1142"/>
      <c r="IH137" s="1141"/>
      <c r="II137" s="1115"/>
      <c r="IJ137" s="1142"/>
      <c r="IK137" s="1115"/>
      <c r="IL137" s="1152"/>
      <c r="IM137" s="1192"/>
      <c r="IN137" s="1151"/>
      <c r="IO137" s="1151"/>
      <c r="IP137" s="1151"/>
      <c r="IQ137" s="1151"/>
      <c r="IR137" s="844"/>
    </row>
    <row r="138" customFormat="false" ht="13.5" hidden="false" customHeight="false" outlineLevel="0" collapsed="false">
      <c r="A138" s="0" t="str">
        <f aca="false">+D138&amp;"Q"&amp;ROUNDUP(E138/3,0)</f>
        <v>2010Q1</v>
      </c>
      <c r="B138" s="0" t="n">
        <f aca="false">YEAR(C138)</f>
        <v>2010</v>
      </c>
      <c r="C138" s="1153" t="n">
        <f aca="false">EOMONTH(C137,0)+1</f>
        <v>40210</v>
      </c>
      <c r="D138" s="841" t="n">
        <f aca="false">+YEAR(C138)</f>
        <v>2010</v>
      </c>
      <c r="E138" s="807" t="n">
        <f aca="false">MONTH(C138)</f>
        <v>2</v>
      </c>
      <c r="F138" s="1154" t="e">
        <f aca="false">IF(G138="","",Holiday(D138,E138))</f>
        <v>#VALUE!</v>
      </c>
      <c r="G138" s="1155" t="n">
        <v>40210</v>
      </c>
      <c r="H138" s="1156" t="n">
        <v>40237</v>
      </c>
      <c r="I138" s="1157" t="n">
        <f aca="false">I137</f>
        <v>0.0715</v>
      </c>
      <c r="J138" s="1158" t="n">
        <f aca="false">(1+I138/2)^(-2*(DATE(D139,E139,20)-$H$7)/365.25)</f>
        <v>0.48632198319662</v>
      </c>
      <c r="K138" s="1159"/>
      <c r="L138" s="1158"/>
      <c r="M138" s="1082" t="n">
        <v>0</v>
      </c>
      <c r="N138" s="1110" t="n">
        <f aca="false">M138</f>
        <v>0</v>
      </c>
      <c r="O138" s="1174" t="n">
        <f aca="false">N138</f>
        <v>0</v>
      </c>
      <c r="P138" s="1175" t="n">
        <f aca="false">M138</f>
        <v>0</v>
      </c>
      <c r="Q138" s="1110" t="n">
        <f aca="false">P138</f>
        <v>0</v>
      </c>
      <c r="R138" s="1174" t="n">
        <f aca="false">Q138</f>
        <v>0</v>
      </c>
      <c r="S138" s="1110" t="n">
        <f aca="false">R138</f>
        <v>0</v>
      </c>
      <c r="T138" s="1110" t="n">
        <f aca="false">S138</f>
        <v>0</v>
      </c>
      <c r="U138" s="1110" t="n">
        <f aca="false">T138</f>
        <v>0</v>
      </c>
      <c r="V138" s="1175" t="n">
        <f aca="false">U138</f>
        <v>0</v>
      </c>
      <c r="W138" s="1110" t="n">
        <f aca="false">V138</f>
        <v>0</v>
      </c>
      <c r="X138" s="1176" t="n">
        <f aca="false">W138</f>
        <v>0</v>
      </c>
      <c r="Y138" s="1086" t="n">
        <v>0</v>
      </c>
      <c r="Z138" s="1086" t="n">
        <v>0</v>
      </c>
      <c r="AA138" s="1087" t="n">
        <v>0</v>
      </c>
      <c r="AB138" s="1086" t="n">
        <v>0</v>
      </c>
      <c r="AC138" s="1086" t="n">
        <v>0</v>
      </c>
      <c r="AD138" s="1087" t="n">
        <v>0</v>
      </c>
      <c r="AE138" s="1086" t="n">
        <v>0</v>
      </c>
      <c r="AF138" s="1086" t="n">
        <v>0</v>
      </c>
      <c r="AG138" s="1087" t="n">
        <v>0</v>
      </c>
      <c r="AH138" s="1086" t="n">
        <v>0</v>
      </c>
      <c r="AI138" s="1086" t="n">
        <v>0</v>
      </c>
      <c r="AJ138" s="1087" t="n">
        <v>0</v>
      </c>
      <c r="AK138" s="1086" t="n">
        <v>0</v>
      </c>
      <c r="AL138" s="1086" t="n">
        <v>0</v>
      </c>
      <c r="AM138" s="1087" t="n">
        <v>0</v>
      </c>
      <c r="AN138" s="1086" t="n">
        <v>0</v>
      </c>
      <c r="AO138" s="1086" t="n">
        <v>0</v>
      </c>
      <c r="AP138" s="1087" t="n">
        <v>0</v>
      </c>
      <c r="AQ138" s="1086" t="n">
        <v>0</v>
      </c>
      <c r="AR138" s="1086" t="n">
        <v>0</v>
      </c>
      <c r="AS138" s="1087" t="n">
        <v>0</v>
      </c>
      <c r="AT138" s="1086" t="n">
        <v>0</v>
      </c>
      <c r="AU138" s="1086" t="n">
        <v>0</v>
      </c>
      <c r="AV138" s="1086" t="n">
        <v>0</v>
      </c>
      <c r="AW138" s="1172" t="n">
        <v>0</v>
      </c>
      <c r="AX138" s="807" t="n">
        <f aca="false">BB138-SUM(AY138:BA138)</f>
        <v>20</v>
      </c>
      <c r="AY138" s="807" t="n">
        <f aca="false">IF(AND($E138=MONTH(Summary!$E$24),$D138=YEAR(Summary!$E$24)),Summary!$E$25,1)*IF(G138="",0,INT((H138-MOD(H138,7)-G138)/7)+1-IF(BA138,IF(WEEKDAY(F138)=7,1,0),0))</f>
        <v>4</v>
      </c>
      <c r="AZ138" s="807" t="n">
        <f aca="false">IF(AND($E138=MONTH(Summary!$E$24),$D138=YEAR(Summary!$E$24)),Summary!$E$25,1)*IF(G138="",0,INT((H138-MOD(H138-1,7)-G138)/7)+1-IF(BA138,IF(WEEKDAY(F138)=1,1,0),0))</f>
        <v>4</v>
      </c>
      <c r="BA138" s="807" t="n">
        <v>0</v>
      </c>
      <c r="BB138" s="807" t="n">
        <f aca="false">IF(AND($E138=MONTH(Summary!$E$24),$D138=YEAR(Summary!$E$24)),Summary!$E$25,1)*IF(G138="",0,H138-G138+1)</f>
        <v>28</v>
      </c>
      <c r="BC138" s="1089" t="n">
        <f aca="false">Summary!$E$19</f>
        <v>0.015</v>
      </c>
      <c r="BD138" s="1090" t="n">
        <v>14184</v>
      </c>
      <c r="BE138" s="1091" t="n">
        <v>2836.8</v>
      </c>
      <c r="BF138" s="1091" t="n">
        <v>2836.8</v>
      </c>
      <c r="BG138" s="842"/>
      <c r="BH138" s="1092" t="n">
        <v>1</v>
      </c>
      <c r="BI138" s="1092" t="n">
        <v>1</v>
      </c>
      <c r="BJ138" s="1092" t="n">
        <v>1</v>
      </c>
      <c r="BK138" s="1092" t="n">
        <v>1</v>
      </c>
      <c r="BL138" s="1093" t="n">
        <v>2836.8</v>
      </c>
      <c r="BM138" s="1091" t="n">
        <v>567.36</v>
      </c>
      <c r="BN138" s="1091" t="n">
        <v>567.36</v>
      </c>
      <c r="BO138" s="842"/>
      <c r="BP138" s="1092" t="n">
        <v>1</v>
      </c>
      <c r="BQ138" s="1094" t="n">
        <v>1</v>
      </c>
      <c r="BR138" s="1094" t="n">
        <v>1</v>
      </c>
      <c r="BS138" s="1095" t="n">
        <v>1</v>
      </c>
      <c r="BT138" s="1093" t="n">
        <f aca="false">SUM(BD138:BF138)</f>
        <v>19857.6</v>
      </c>
      <c r="BU138" s="1098" t="n">
        <f aca="false">SUM(BD138:BG138)</f>
        <v>19857.6</v>
      </c>
      <c r="BV138" s="1090" t="n">
        <f aca="false">SUM(BL138:BN138)</f>
        <v>3971.52</v>
      </c>
      <c r="BW138" s="1098" t="n">
        <f aca="false">SUM(BL138:BO138)</f>
        <v>3971.52</v>
      </c>
      <c r="BX138" s="852" t="n">
        <v>10.1327857631759</v>
      </c>
      <c r="BY138" s="1099" t="n">
        <v>0</v>
      </c>
      <c r="BZ138" s="852" t="n">
        <v>0</v>
      </c>
      <c r="CA138" s="852" t="n">
        <v>0</v>
      </c>
      <c r="CB138" s="852" t="n">
        <v>0</v>
      </c>
      <c r="CC138" s="852" t="n">
        <v>0</v>
      </c>
      <c r="CD138" s="852" t="n">
        <v>0</v>
      </c>
      <c r="CE138" s="1100" t="n">
        <v>0</v>
      </c>
      <c r="CF138" s="852" t="n">
        <v>0</v>
      </c>
      <c r="CG138" s="852" t="n">
        <v>0</v>
      </c>
      <c r="CH138" s="852" t="n">
        <v>0</v>
      </c>
      <c r="CI138" s="852" t="n">
        <v>0</v>
      </c>
      <c r="CJ138" s="1101" t="n">
        <v>0</v>
      </c>
      <c r="CK138" s="852" t="n">
        <v>0</v>
      </c>
      <c r="CL138" s="852" t="n">
        <v>0</v>
      </c>
      <c r="CM138" s="852" t="n">
        <v>0</v>
      </c>
      <c r="CN138" s="852" t="n">
        <v>0</v>
      </c>
      <c r="CO138" s="852" t="n">
        <v>0</v>
      </c>
      <c r="CP138" s="852" t="n">
        <v>0</v>
      </c>
      <c r="CQ138" s="1102" t="n">
        <v>0</v>
      </c>
      <c r="CR138" s="1103" t="n">
        <v>0</v>
      </c>
      <c r="CS138" s="1103" t="n">
        <v>0</v>
      </c>
      <c r="CT138" s="1103" t="n">
        <v>0</v>
      </c>
      <c r="CU138" s="1103" t="n">
        <v>0</v>
      </c>
      <c r="CV138" s="1103" t="n">
        <v>0</v>
      </c>
      <c r="CW138" s="1103" t="n">
        <v>0</v>
      </c>
      <c r="CX138" s="1104" t="n">
        <v>0</v>
      </c>
      <c r="CY138" s="1105" t="n">
        <v>7716.80496</v>
      </c>
      <c r="CZ138" s="1099" t="n">
        <v>0</v>
      </c>
      <c r="DA138" s="852" t="n">
        <v>0</v>
      </c>
      <c r="DB138" s="852" t="n">
        <v>0</v>
      </c>
      <c r="DC138" s="852" t="n">
        <v>0</v>
      </c>
      <c r="DD138" s="852" t="n">
        <v>0</v>
      </c>
      <c r="DE138" s="1113" t="n">
        <v>0</v>
      </c>
      <c r="DF138" s="1109" t="n">
        <v>0</v>
      </c>
      <c r="DG138" s="1110" t="n">
        <v>0</v>
      </c>
      <c r="DH138" s="1111" t="n">
        <v>0</v>
      </c>
      <c r="DI138" s="1112" t="n">
        <v>0</v>
      </c>
      <c r="DJ138" s="1112" t="n">
        <v>0</v>
      </c>
      <c r="DK138" s="1112" t="n">
        <v>0</v>
      </c>
      <c r="DL138" s="1113" t="n">
        <v>0</v>
      </c>
      <c r="DM138" s="1114" t="n">
        <v>0</v>
      </c>
      <c r="DN138" s="1114" t="n">
        <v>0</v>
      </c>
      <c r="DO138" s="1114" t="n">
        <v>0</v>
      </c>
      <c r="DP138" s="1114" t="n">
        <v>0</v>
      </c>
      <c r="DQ138" s="1114" t="n">
        <v>0</v>
      </c>
      <c r="DR138" s="1109" t="n">
        <v>0</v>
      </c>
      <c r="DS138" s="852" t="n">
        <v>0</v>
      </c>
      <c r="DT138" s="852" t="n">
        <v>0</v>
      </c>
      <c r="DU138" s="852" t="n">
        <v>0</v>
      </c>
      <c r="DV138" s="852" t="n">
        <v>0</v>
      </c>
      <c r="DW138" s="852" t="n">
        <v>0</v>
      </c>
      <c r="DX138" s="852" t="n">
        <v>0</v>
      </c>
      <c r="DY138" s="852" t="n">
        <v>0</v>
      </c>
      <c r="DZ138" s="852" t="n">
        <v>0</v>
      </c>
      <c r="EA138" s="852" t="n">
        <v>0</v>
      </c>
      <c r="EB138" s="1113" t="n">
        <v>0</v>
      </c>
      <c r="EC138" s="1115" t="n">
        <f aca="false">DS138*BD138</f>
        <v>0</v>
      </c>
      <c r="ED138" s="1115" t="n">
        <f aca="false">DT138*BE138</f>
        <v>0</v>
      </c>
      <c r="EE138" s="1115" t="n">
        <f aca="false">DU138*BF138</f>
        <v>0</v>
      </c>
      <c r="EF138" s="1115" t="n">
        <f aca="false">DV138*BG138</f>
        <v>0</v>
      </c>
      <c r="EG138" s="1115" t="n">
        <f aca="false">DS138*BD138+DT138*BE138+DU138*BF138+DV138*BG138</f>
        <v>0</v>
      </c>
      <c r="EH138" s="1116" t="n">
        <v>0</v>
      </c>
      <c r="EI138" s="1117" t="n">
        <v>0</v>
      </c>
      <c r="EJ138" s="1117" t="n">
        <v>0</v>
      </c>
      <c r="EK138" s="1117" t="n">
        <v>0</v>
      </c>
      <c r="EL138" s="1118" t="n">
        <f aca="false">IF(C138&gt;=Summary!$E$26,MAX(0,SUM(EH138:EK138)),0)</f>
        <v>0</v>
      </c>
      <c r="EM138" s="1115" t="n">
        <f aca="false">IF(C138&gt;=Summary!$E$26,DX138*BL138,0)</f>
        <v>0</v>
      </c>
      <c r="EN138" s="1115" t="n">
        <f aca="false">IF(C138&gt;=Summary!$E$26,DY138*BM138,0)</f>
        <v>0</v>
      </c>
      <c r="EO138" s="1115" t="n">
        <f aca="false">IF(C138&gt;=Summary!$E$26,DZ138*BN138,0)</f>
        <v>0</v>
      </c>
      <c r="EP138" s="1115" t="n">
        <f aca="false">IF(C138&gt;=Summary!$E$26,EA138*BO138,0)</f>
        <v>0</v>
      </c>
      <c r="EQ138" s="1115" t="n">
        <f aca="false">IF(C138&gt;=Summary!$E$26,DX138*BL138+DY138*BM138+DZ138*BN138+EA138*BO138,0)</f>
        <v>0</v>
      </c>
      <c r="ER138" s="1119" t="n">
        <v>0</v>
      </c>
      <c r="ES138" s="1120" t="n">
        <v>0</v>
      </c>
      <c r="ET138" s="1120" t="n">
        <v>0</v>
      </c>
      <c r="EU138" s="1120" t="n">
        <v>0</v>
      </c>
      <c r="EV138" s="1143" t="n">
        <f aca="false">IF(C138&gt;=Summary!$E$26,MAX(0,SUM(ER138:EU138)),0)</f>
        <v>0</v>
      </c>
      <c r="EW138" s="1115"/>
      <c r="EX138" s="1165" t="n">
        <f aca="false">(EQ138-EV138)+IF(EZ138="Yes",(EG138-EL138),0)</f>
        <v>0</v>
      </c>
      <c r="EY138" s="1166" t="str">
        <f aca="false">IF(EX138,EX138/EQ138,"")</f>
        <v/>
      </c>
      <c r="EZ138" s="1122" t="s">
        <v>37</v>
      </c>
      <c r="FA138" s="1096" t="n">
        <f aca="false">FA137</f>
        <v>45</v>
      </c>
      <c r="FB138" s="1167" t="n">
        <f aca="false">IF(EZ138="No",IF((OR(MONTH(C138)=5,MONTH(C138)=6,MONTH(C138)=7,MONTH(C138)=8,MONTH(C138)=9)),$FA138*12*AX138*(1-$BC138),$FA138*10*AX138*(1-$BC138)),0)</f>
        <v>8865</v>
      </c>
      <c r="FC138" s="1129" t="n">
        <f aca="false">IF(EZ138="No",IF((OR(MONTH(C138)=5,MONTH(C138)=6,MONTH(C138)=7,MONTH(C138)=8,MONTH(C138)=9)),0,$FA138*3*AX138*(1-$BC138)),0)</f>
        <v>2659.5</v>
      </c>
      <c r="FD138" s="1129" t="n">
        <f aca="false">IF(EZ138="No",IF((OR(MONTH(C138)=5,MONTH(C138)=6,MONTH(C138)=7,MONTH(C138)=8,MONTH(C138)=9)),$FA138*12*AY138*(1-$BC138),$FA138*10*AY138*(1-$BC138)),0)</f>
        <v>1773</v>
      </c>
      <c r="FE138" s="1129" t="n">
        <f aca="false">IF(EZ138="No",IF((OR(MONTH(C138)=5,MONTH(C138)=6,MONTH(C138)=7,MONTH(C138)=8,MONTH(C138)=9)),0,$FA138*3*AY138*(1-$BC138)),0)</f>
        <v>531.9</v>
      </c>
      <c r="FF138" s="1129" t="n">
        <f aca="false">IF(EZ138="No",IF((OR(MONTH(C138)=5,MONTH(C138)=6,MONTH(C138)=7,MONTH(C138)=8,MONTH(C138)=9)),$FA138*12*(AZ138+BA138)*(1-$BC138),$FA138*10*(AZ138+BA138)*(1-$BC138)),0)</f>
        <v>1773</v>
      </c>
      <c r="FG138" s="1129" t="n">
        <f aca="false">IF(EZ138="No",IF((OR(MONTH(C138)=5,MONTH(C138)=6,MONTH(C138)=7,MONTH(C138)=8,MONTH(C138)=9)),0,$FA138*3*(AZ138+BA138)*(1-$BC138)),0)</f>
        <v>531.9</v>
      </c>
      <c r="FH138" s="1170" t="n">
        <f aca="false">IF(EZ138="No",IF((OR(MONTH(C138)=5,MONTH(C138)=6,MONTH(C138)=7,MONTH(C138)=8,MONTH(C138)=9)),Summary!$O$15*12*(AX138+AY138+AZ138+BA138)*(1-$BC138),Summary!$O$15*13*(AX138+AY138+AZ138+BA138)*(1-$BC138)+IF(Summary!$O$16="Yes",(CALC!FA138+Summary!$O$15)*6*(AX138+AY138+AZ138+BA138)*(1-$BC138),0)),0)</f>
        <v>0</v>
      </c>
      <c r="FI138" s="1126" t="n">
        <f aca="false">IF(MONTH(C138)=5,FI137*(IF(Summary!$E$70="no",(1+(Summary!$E$71*0.8)),1+HLOOKUP(YEAR(C138)-1,CCFMODEL!$I$127:$AF$128,2)*0.8)),+FI137)</f>
        <v>33.7227697904665</v>
      </c>
      <c r="FJ138" s="1127" t="n">
        <f aca="false">IF(MONTH(C138)=5,FJ137*(IF(Summary!$E$70="no",(1+(Summary!$E$71*0.8)),1+HLOOKUP(YEAR(CALC!C138)-1,CCFMODEL!$I$127:$AF$128,2)*0.8)),FJ137)</f>
        <v>29.4742318641085</v>
      </c>
      <c r="FK138" s="1128" t="n">
        <f aca="false">SUM(FB138:FG138)*FI138+FH138*FJ138</f>
        <v>544093.284630323</v>
      </c>
      <c r="FL138" s="1126" t="n">
        <f aca="false">IF(MONTH(C138)=5,FL137*(IF(Summary!$E$70="no",(1+(Summary!$E$71*0.8)),1+HLOOKUP(YEAR(CALC!C138)-1,CCFMODEL!$I$127:$AF$128,2)*0.8)),+FL137)</f>
        <v>70.9227655623271</v>
      </c>
      <c r="FM138" s="1127" t="n">
        <f aca="false">IF(MONTH(C138)=5,FM137*(IF(Summary!$E$70="no",(1+(Summary!$E$71*0.8)),1+HLOOKUP(YEAR(CALC!C138)-1,CCFMODEL!$I$127:$AF$128,2)*0.8)),+FM137)</f>
        <v>33.8492143716081</v>
      </c>
      <c r="FN138" s="1128" t="n">
        <f aca="false">IF((OR(MONTH(C138)=5,MONTH(C138)=6,MONTH(C138)=7,MONTH(C138)=8,MONTH(C138)=9)),SUM(FB138:FG138)/(1-BC138)*FL138,SUM(FB138:FG138)/(1-BC138)*FM138)</f>
        <v>554450.13140694</v>
      </c>
      <c r="FO138" s="1129" t="n">
        <f aca="false">FK138+FN138</f>
        <v>1098543.41603726</v>
      </c>
      <c r="FP138" s="1169" t="n">
        <f aca="false">FB138</f>
        <v>8865</v>
      </c>
      <c r="FQ138" s="1129" t="n">
        <f aca="false">FC138</f>
        <v>2659.5</v>
      </c>
      <c r="FR138" s="1129" t="n">
        <f aca="false">FD138</f>
        <v>1773</v>
      </c>
      <c r="FS138" s="1129" t="n">
        <f aca="false">FE138</f>
        <v>531.9</v>
      </c>
      <c r="FT138" s="1129" t="n">
        <f aca="false">FF138</f>
        <v>1773</v>
      </c>
      <c r="FU138" s="1129" t="n">
        <f aca="false">FG138</f>
        <v>531.9</v>
      </c>
      <c r="FV138" s="1170" t="n">
        <f aca="false">FH138</f>
        <v>0</v>
      </c>
      <c r="FW138" s="1115" t="n">
        <f aca="false">IF(ER138&gt;0,MIN(FB138-FP138,BL138),0)</f>
        <v>0</v>
      </c>
      <c r="FX138" s="1115" t="n">
        <f aca="false">IF(ES138&gt;0,MIN(FD138-FR138,BM138),0)</f>
        <v>0</v>
      </c>
      <c r="FY138" s="1115" t="n">
        <f aca="false">IF(ET138&gt;0,MIN(FF138-FT138,BN138),0)</f>
        <v>0</v>
      </c>
      <c r="FZ138" s="1143" t="n">
        <f aca="false">IF(EU138&gt;0,MIN(FH138-FV138,BO138),0)</f>
        <v>0</v>
      </c>
      <c r="GA138" s="1132" t="n">
        <f aca="false">(SUM(FP138:FV138)+SUM(GU138:HB138)/(1-Summary!$O$25))*CY138/1000</f>
        <v>212616.651316003</v>
      </c>
      <c r="GB138" s="1133" t="n">
        <f aca="false">IF($C138&lt;Summary!$M$81,+Summary!$O$81,VLOOKUP(C138,GasTable,19))</f>
        <v>2.4</v>
      </c>
      <c r="GC138" s="1134" t="n">
        <f aca="false">IF(H138&lt;=Summary!$N$84,MIN(GA138,Summary!$O$75*(H138-G138+1)),0)</f>
        <v>140000</v>
      </c>
      <c r="GD138" s="1135" t="n">
        <f aca="false">IF(Summary!$O$75*(H138-G138+1)*0.8&gt;GC138,1,0)</f>
        <v>0</v>
      </c>
      <c r="GE138" s="1136" t="n">
        <v>0</v>
      </c>
      <c r="GF138" s="1134" t="n">
        <f aca="false">ABS(MIN(0,GC138-$GA138))</f>
        <v>72616.6513160032</v>
      </c>
      <c r="GG138" s="1135" t="n">
        <f aca="false">GF138*(IF(Summary!$O$74=1,VLOOKUP($C138,GasTable,16)+Summary!$O$92+Summary!$O$93,VLOOKUP($C138,GasTable,19)+Summary!$O$92+Summary!$O$93))</f>
        <v>240001.630800375</v>
      </c>
      <c r="GH138" s="1137" t="n">
        <v>18978.4</v>
      </c>
      <c r="GI138" s="1138" t="n">
        <v>0</v>
      </c>
      <c r="GJ138" s="1139" t="n">
        <f aca="false">+GB138*GC138+GE138+GG138+GH138-GI138</f>
        <v>594980.030800375</v>
      </c>
      <c r="GK138" s="1115" t="n">
        <f aca="false">SUM(FP138:FV138,GU138:GX138,GY138:HB138)</f>
        <v>27152.7858</v>
      </c>
      <c r="GL138" s="1140" t="n">
        <v>0.757790247072</v>
      </c>
      <c r="GM138" s="1141" t="n">
        <f aca="false">IF(GK138&gt;GC138/(CY138/1000),GC138/(CY138/1000),+GK138)*GL138</f>
        <v>13748</v>
      </c>
      <c r="GN138" s="1115" t="n">
        <f aca="false">IF(SUM(GU138:HB138)=0,0,IF(Summary!$O$16="Yes",SUM(GX138:HB138),IF(Summary!$O$17="Yes",SUM(GY138:HB138),SUM(GU138:HB138))))</f>
        <v>11018.4858</v>
      </c>
      <c r="GO138" s="1142" t="n">
        <v>3.19788335827947</v>
      </c>
      <c r="GP138" s="1143" t="n">
        <f aca="false">GN138*GO138</f>
        <v>35235.8323732586</v>
      </c>
      <c r="GQ138" s="1115"/>
      <c r="GR138" s="1115"/>
      <c r="GS138" s="1115"/>
      <c r="GT138" s="1115"/>
      <c r="GU138" s="1150" t="n">
        <v>5132.835</v>
      </c>
      <c r="GV138" s="1115" t="n">
        <v>1026.567</v>
      </c>
      <c r="GW138" s="1115" t="n">
        <v>1026.567</v>
      </c>
      <c r="GX138" s="1115"/>
      <c r="GY138" s="1151" t="n">
        <v>2737.512</v>
      </c>
      <c r="GZ138" s="1115" t="n">
        <v>547.5024</v>
      </c>
      <c r="HA138" s="1115" t="n">
        <v>547.5024</v>
      </c>
      <c r="HB138" s="1141"/>
      <c r="HC138" s="1115" t="n">
        <v>11018.4858</v>
      </c>
      <c r="HD138" s="1115"/>
      <c r="HE138" s="1115" t="n">
        <v>18923.0517</v>
      </c>
      <c r="HF138" s="1115" t="n">
        <v>426817.525547129</v>
      </c>
      <c r="HG138" s="1115"/>
      <c r="HH138" s="1142" t="n">
        <v>38.4472923201935</v>
      </c>
      <c r="HI138" s="1115" t="n">
        <v>727540.100300034</v>
      </c>
      <c r="HJ138" s="1150" t="n">
        <f aca="false">MAX(FB138-FP138-FW138,0)</f>
        <v>0</v>
      </c>
      <c r="HK138" s="1115" t="n">
        <f aca="false">MAX(FD138-FR138-FX138,0)</f>
        <v>0</v>
      </c>
      <c r="HL138" s="1115" t="n">
        <f aca="false">MAX(FF138-FT138-FY138,0)</f>
        <v>0</v>
      </c>
      <c r="HM138" s="1141" t="n">
        <f aca="false">MAX(FH138-FV138-FZ138,0)</f>
        <v>0</v>
      </c>
      <c r="HN138" s="1115" t="n">
        <f aca="false">SUM(HJ138:HM138)</f>
        <v>0</v>
      </c>
      <c r="HO138" s="1142" t="n">
        <f aca="false">IF(ISERROR(+HP138/HN138),0,+HP138/HN138)</f>
        <v>0</v>
      </c>
      <c r="HP138" s="1143" t="n">
        <f aca="false">(HJ138*CE138+HK138*CF138+HL138*CG138+HM138*CH138)</f>
        <v>0</v>
      </c>
      <c r="HQ138" s="1142"/>
      <c r="HR138" s="1150"/>
      <c r="HS138" s="1110"/>
      <c r="HT138" s="1141"/>
      <c r="HU138" s="1151"/>
      <c r="HV138" s="1142"/>
      <c r="HW138" s="1115"/>
      <c r="HX138" s="1149"/>
      <c r="HY138" s="1143"/>
      <c r="HZ138" s="1150"/>
      <c r="IA138" s="1142"/>
      <c r="IB138" s="1141"/>
      <c r="IC138" s="1151"/>
      <c r="ID138" s="1142"/>
      <c r="IE138" s="1141"/>
      <c r="IF138" s="1115"/>
      <c r="IG138" s="1142"/>
      <c r="IH138" s="1141"/>
      <c r="II138" s="1115"/>
      <c r="IJ138" s="1142"/>
      <c r="IK138" s="1115"/>
      <c r="IL138" s="1152"/>
      <c r="IM138" s="1192"/>
      <c r="IN138" s="1151"/>
      <c r="IO138" s="1151"/>
      <c r="IP138" s="1151"/>
      <c r="IQ138" s="1151"/>
      <c r="IR138" s="844"/>
    </row>
    <row r="139" customFormat="false" ht="13.5" hidden="false" customHeight="false" outlineLevel="0" collapsed="false">
      <c r="A139" s="0" t="str">
        <f aca="false">+D139&amp;"Q"&amp;ROUNDUP(E139/3,0)</f>
        <v>2010Q1</v>
      </c>
      <c r="B139" s="0" t="n">
        <f aca="false">YEAR(C139)</f>
        <v>2010</v>
      </c>
      <c r="C139" s="1153" t="n">
        <f aca="false">EOMONTH(C138,0)+1</f>
        <v>40238</v>
      </c>
      <c r="D139" s="841" t="n">
        <f aca="false">+YEAR(C139)</f>
        <v>2010</v>
      </c>
      <c r="E139" s="807" t="n">
        <f aca="false">MONTH(C139)</f>
        <v>3</v>
      </c>
      <c r="F139" s="1154" t="e">
        <f aca="false">IF(G139="","",Holiday(D139,E139))</f>
        <v>#VALUE!</v>
      </c>
      <c r="G139" s="1155" t="n">
        <v>40238</v>
      </c>
      <c r="H139" s="1156" t="n">
        <v>40268</v>
      </c>
      <c r="I139" s="1157" t="n">
        <f aca="false">I138</f>
        <v>0.0715</v>
      </c>
      <c r="J139" s="1158" t="n">
        <f aca="false">(1+I139/2)^(-2*(DATE(D140,E140,20)-$H$7)/365.25)</f>
        <v>0.48343092043467</v>
      </c>
      <c r="K139" s="1159"/>
      <c r="L139" s="1158"/>
      <c r="M139" s="1082" t="n">
        <v>0</v>
      </c>
      <c r="N139" s="1110" t="n">
        <f aca="false">M139</f>
        <v>0</v>
      </c>
      <c r="O139" s="1174" t="n">
        <f aca="false">N139</f>
        <v>0</v>
      </c>
      <c r="P139" s="1175" t="n">
        <f aca="false">M139</f>
        <v>0</v>
      </c>
      <c r="Q139" s="1110" t="n">
        <f aca="false">P139</f>
        <v>0</v>
      </c>
      <c r="R139" s="1174" t="n">
        <f aca="false">Q139</f>
        <v>0</v>
      </c>
      <c r="S139" s="1110" t="n">
        <f aca="false">R139</f>
        <v>0</v>
      </c>
      <c r="T139" s="1110" t="n">
        <f aca="false">S139</f>
        <v>0</v>
      </c>
      <c r="U139" s="1110" t="n">
        <f aca="false">T139</f>
        <v>0</v>
      </c>
      <c r="V139" s="1175" t="n">
        <f aca="false">U139</f>
        <v>0</v>
      </c>
      <c r="W139" s="1110" t="n">
        <f aca="false">V139</f>
        <v>0</v>
      </c>
      <c r="X139" s="1176" t="n">
        <f aca="false">W139</f>
        <v>0</v>
      </c>
      <c r="Y139" s="1086" t="n">
        <v>0</v>
      </c>
      <c r="Z139" s="1086" t="n">
        <v>0</v>
      </c>
      <c r="AA139" s="1087" t="n">
        <v>0</v>
      </c>
      <c r="AB139" s="1086" t="n">
        <v>0</v>
      </c>
      <c r="AC139" s="1086" t="n">
        <v>0</v>
      </c>
      <c r="AD139" s="1087" t="n">
        <v>0</v>
      </c>
      <c r="AE139" s="1086" t="n">
        <v>0</v>
      </c>
      <c r="AF139" s="1086" t="n">
        <v>0</v>
      </c>
      <c r="AG139" s="1087" t="n">
        <v>0</v>
      </c>
      <c r="AH139" s="1086" t="n">
        <v>0</v>
      </c>
      <c r="AI139" s="1086" t="n">
        <v>0</v>
      </c>
      <c r="AJ139" s="1087" t="n">
        <v>0</v>
      </c>
      <c r="AK139" s="1086" t="n">
        <v>0</v>
      </c>
      <c r="AL139" s="1086" t="n">
        <v>0</v>
      </c>
      <c r="AM139" s="1087" t="n">
        <v>0</v>
      </c>
      <c r="AN139" s="1086" t="n">
        <v>0</v>
      </c>
      <c r="AO139" s="1086" t="n">
        <v>0</v>
      </c>
      <c r="AP139" s="1087" t="n">
        <v>0</v>
      </c>
      <c r="AQ139" s="1086" t="n">
        <v>0</v>
      </c>
      <c r="AR139" s="1086" t="n">
        <v>0</v>
      </c>
      <c r="AS139" s="1087" t="n">
        <v>0</v>
      </c>
      <c r="AT139" s="1086" t="n">
        <v>0</v>
      </c>
      <c r="AU139" s="1086" t="n">
        <v>0</v>
      </c>
      <c r="AV139" s="1086" t="n">
        <v>0</v>
      </c>
      <c r="AW139" s="1172" t="n">
        <v>0</v>
      </c>
      <c r="AX139" s="807" t="n">
        <f aca="false">BB139-SUM(AY139:BA139)</f>
        <v>23</v>
      </c>
      <c r="AY139" s="807" t="n">
        <f aca="false">IF(AND($E139=MONTH(Summary!$E$24),$D139=YEAR(Summary!$E$24)),Summary!$E$25,1)*IF(G139="",0,INT((H139-MOD(H139,7)-G139)/7)+1-IF(BA139,IF(WEEKDAY(F139)=7,1,0),0))</f>
        <v>4</v>
      </c>
      <c r="AZ139" s="807" t="n">
        <f aca="false">IF(AND($E139=MONTH(Summary!$E$24),$D139=YEAR(Summary!$E$24)),Summary!$E$25,1)*IF(G139="",0,INT((H139-MOD(H139-1,7)-G139)/7)+1-IF(BA139,IF(WEEKDAY(F139)=1,1,0),0))</f>
        <v>4</v>
      </c>
      <c r="BA139" s="807" t="n">
        <v>0</v>
      </c>
      <c r="BB139" s="807" t="n">
        <f aca="false">IF(AND($E139=MONTH(Summary!$E$24),$D139=YEAR(Summary!$E$24)),Summary!$E$25,1)*IF(G139="",0,H139-G139+1)</f>
        <v>31</v>
      </c>
      <c r="BC139" s="1089" t="n">
        <f aca="false">Summary!$E$19</f>
        <v>0.015</v>
      </c>
      <c r="BD139" s="1090" t="n">
        <v>16311.6</v>
      </c>
      <c r="BE139" s="1091" t="n">
        <v>2836.8</v>
      </c>
      <c r="BF139" s="1091" t="n">
        <v>2836.8</v>
      </c>
      <c r="BG139" s="842"/>
      <c r="BH139" s="1092" t="n">
        <v>1</v>
      </c>
      <c r="BI139" s="1092" t="n">
        <v>1</v>
      </c>
      <c r="BJ139" s="1092" t="n">
        <v>1</v>
      </c>
      <c r="BK139" s="1092" t="n">
        <v>1</v>
      </c>
      <c r="BL139" s="1093" t="n">
        <v>3262.32</v>
      </c>
      <c r="BM139" s="1091" t="n">
        <v>567.36</v>
      </c>
      <c r="BN139" s="1091" t="n">
        <v>567.36</v>
      </c>
      <c r="BO139" s="842"/>
      <c r="BP139" s="1092" t="n">
        <v>1</v>
      </c>
      <c r="BQ139" s="1094" t="n">
        <v>1</v>
      </c>
      <c r="BR139" s="1094" t="n">
        <v>1</v>
      </c>
      <c r="BS139" s="1095" t="n">
        <v>1</v>
      </c>
      <c r="BT139" s="1093" t="n">
        <f aca="false">SUM(BD139:BF139)</f>
        <v>21985.2</v>
      </c>
      <c r="BU139" s="1098" t="n">
        <f aca="false">SUM(BD139:BG139)</f>
        <v>21985.2</v>
      </c>
      <c r="BV139" s="1090" t="n">
        <f aca="false">SUM(BL139:BN139)</f>
        <v>4397.04</v>
      </c>
      <c r="BW139" s="1098" t="n">
        <f aca="false">SUM(BL139:BO139)</f>
        <v>4397.04</v>
      </c>
      <c r="BX139" s="852" t="n">
        <v>10.2094455852156</v>
      </c>
      <c r="BY139" s="1099" t="n">
        <v>0</v>
      </c>
      <c r="BZ139" s="852" t="n">
        <v>0</v>
      </c>
      <c r="CA139" s="852" t="n">
        <v>0</v>
      </c>
      <c r="CB139" s="852" t="n">
        <v>0</v>
      </c>
      <c r="CC139" s="852" t="n">
        <v>0</v>
      </c>
      <c r="CD139" s="852" t="n">
        <v>0</v>
      </c>
      <c r="CE139" s="1100" t="n">
        <v>0</v>
      </c>
      <c r="CF139" s="852" t="n">
        <v>0</v>
      </c>
      <c r="CG139" s="852" t="n">
        <v>0</v>
      </c>
      <c r="CH139" s="852" t="n">
        <v>0</v>
      </c>
      <c r="CI139" s="852" t="n">
        <v>0</v>
      </c>
      <c r="CJ139" s="1101" t="n">
        <v>0</v>
      </c>
      <c r="CK139" s="852" t="n">
        <v>0</v>
      </c>
      <c r="CL139" s="852" t="n">
        <v>0</v>
      </c>
      <c r="CM139" s="852" t="n">
        <v>0</v>
      </c>
      <c r="CN139" s="852" t="n">
        <v>0</v>
      </c>
      <c r="CO139" s="852" t="n">
        <v>0</v>
      </c>
      <c r="CP139" s="852" t="n">
        <v>0</v>
      </c>
      <c r="CQ139" s="1102" t="n">
        <v>0</v>
      </c>
      <c r="CR139" s="1103" t="n">
        <v>0</v>
      </c>
      <c r="CS139" s="1103" t="n">
        <v>0</v>
      </c>
      <c r="CT139" s="1103" t="n">
        <v>0</v>
      </c>
      <c r="CU139" s="1103" t="n">
        <v>0</v>
      </c>
      <c r="CV139" s="1103" t="n">
        <v>0</v>
      </c>
      <c r="CW139" s="1103" t="n">
        <v>0</v>
      </c>
      <c r="CX139" s="1104" t="n">
        <v>0</v>
      </c>
      <c r="CY139" s="1105" t="n">
        <v>7718.83592</v>
      </c>
      <c r="CZ139" s="1099" t="n">
        <v>0</v>
      </c>
      <c r="DA139" s="852" t="n">
        <v>0</v>
      </c>
      <c r="DB139" s="852" t="n">
        <v>0</v>
      </c>
      <c r="DC139" s="852" t="n">
        <v>0</v>
      </c>
      <c r="DD139" s="852" t="n">
        <v>0</v>
      </c>
      <c r="DE139" s="1113" t="n">
        <v>0</v>
      </c>
      <c r="DF139" s="1109" t="n">
        <v>0</v>
      </c>
      <c r="DG139" s="1110" t="n">
        <v>0</v>
      </c>
      <c r="DH139" s="1111" t="n">
        <v>0</v>
      </c>
      <c r="DI139" s="1112" t="n">
        <v>0</v>
      </c>
      <c r="DJ139" s="1112" t="n">
        <v>0</v>
      </c>
      <c r="DK139" s="1112" t="n">
        <v>0</v>
      </c>
      <c r="DL139" s="1113" t="n">
        <v>0</v>
      </c>
      <c r="DM139" s="1114" t="n">
        <v>0</v>
      </c>
      <c r="DN139" s="1114" t="n">
        <v>0</v>
      </c>
      <c r="DO139" s="1114" t="n">
        <v>0</v>
      </c>
      <c r="DP139" s="1114" t="n">
        <v>0</v>
      </c>
      <c r="DQ139" s="1114" t="n">
        <v>0</v>
      </c>
      <c r="DR139" s="1109" t="n">
        <v>0</v>
      </c>
      <c r="DS139" s="852" t="n">
        <v>0</v>
      </c>
      <c r="DT139" s="852" t="n">
        <v>0</v>
      </c>
      <c r="DU139" s="852" t="n">
        <v>0</v>
      </c>
      <c r="DV139" s="852" t="n">
        <v>0</v>
      </c>
      <c r="DW139" s="852" t="n">
        <v>0</v>
      </c>
      <c r="DX139" s="852" t="n">
        <v>0</v>
      </c>
      <c r="DY139" s="852" t="n">
        <v>0</v>
      </c>
      <c r="DZ139" s="852" t="n">
        <v>0</v>
      </c>
      <c r="EA139" s="852" t="n">
        <v>0</v>
      </c>
      <c r="EB139" s="1113" t="n">
        <v>0</v>
      </c>
      <c r="EC139" s="1115" t="n">
        <f aca="false">DS139*BD139</f>
        <v>0</v>
      </c>
      <c r="ED139" s="1115" t="n">
        <f aca="false">DT139*BE139</f>
        <v>0</v>
      </c>
      <c r="EE139" s="1115" t="n">
        <f aca="false">DU139*BF139</f>
        <v>0</v>
      </c>
      <c r="EF139" s="1115" t="n">
        <f aca="false">DV139*BG139</f>
        <v>0</v>
      </c>
      <c r="EG139" s="1115" t="n">
        <f aca="false">DS139*BD139+DT139*BE139+DU139*BF139+DV139*BG139</f>
        <v>0</v>
      </c>
      <c r="EH139" s="1116" t="n">
        <v>0</v>
      </c>
      <c r="EI139" s="1117" t="n">
        <v>0</v>
      </c>
      <c r="EJ139" s="1117" t="n">
        <v>0</v>
      </c>
      <c r="EK139" s="1117" t="n">
        <v>0</v>
      </c>
      <c r="EL139" s="1118" t="n">
        <f aca="false">IF(C139&gt;=Summary!$E$26,MAX(0,SUM(EH139:EK139)),0)</f>
        <v>0</v>
      </c>
      <c r="EM139" s="1115" t="n">
        <f aca="false">IF(C139&gt;=Summary!$E$26,DX139*BL139,0)</f>
        <v>0</v>
      </c>
      <c r="EN139" s="1115" t="n">
        <f aca="false">IF(C139&gt;=Summary!$E$26,DY139*BM139,0)</f>
        <v>0</v>
      </c>
      <c r="EO139" s="1115" t="n">
        <f aca="false">IF(C139&gt;=Summary!$E$26,DZ139*BN139,0)</f>
        <v>0</v>
      </c>
      <c r="EP139" s="1115" t="n">
        <f aca="false">IF(C139&gt;=Summary!$E$26,EA139*BO139,0)</f>
        <v>0</v>
      </c>
      <c r="EQ139" s="1115" t="n">
        <f aca="false">IF(C139&gt;=Summary!$E$26,DX139*BL139+DY139*BM139+DZ139*BN139+EA139*BO139,0)</f>
        <v>0</v>
      </c>
      <c r="ER139" s="1119" t="n">
        <v>0</v>
      </c>
      <c r="ES139" s="1120" t="n">
        <v>0</v>
      </c>
      <c r="ET139" s="1120" t="n">
        <v>0</v>
      </c>
      <c r="EU139" s="1120" t="n">
        <v>0</v>
      </c>
      <c r="EV139" s="1143" t="n">
        <f aca="false">IF(C139&gt;=Summary!$E$26,MAX(0,SUM(ER139:EU139)),0)</f>
        <v>0</v>
      </c>
      <c r="EW139" s="1115"/>
      <c r="EX139" s="1165" t="n">
        <f aca="false">(EQ139-EV139)+IF(EZ139="Yes",(EG139-EL139),0)</f>
        <v>0</v>
      </c>
      <c r="EY139" s="1166" t="str">
        <f aca="false">IF(EX139,EX139/EQ139,"")</f>
        <v/>
      </c>
      <c r="EZ139" s="1122" t="s">
        <v>37</v>
      </c>
      <c r="FA139" s="1096" t="n">
        <f aca="false">FA138</f>
        <v>45</v>
      </c>
      <c r="FB139" s="1167" t="n">
        <f aca="false">IF(EZ139="No",IF((OR(MONTH(C139)=5,MONTH(C139)=6,MONTH(C139)=7,MONTH(C139)=8,MONTH(C139)=9)),$FA139*12*AX139*(1-$BC139),$FA139*10*AX139*(1-$BC139)),0)</f>
        <v>10194.75</v>
      </c>
      <c r="FC139" s="1129" t="n">
        <f aca="false">IF(EZ139="No",IF((OR(MONTH(C139)=5,MONTH(C139)=6,MONTH(C139)=7,MONTH(C139)=8,MONTH(C139)=9)),0,$FA139*3*AX139*(1-$BC139)),0)</f>
        <v>3058.425</v>
      </c>
      <c r="FD139" s="1129" t="n">
        <f aca="false">IF(EZ139="No",IF((OR(MONTH(C139)=5,MONTH(C139)=6,MONTH(C139)=7,MONTH(C139)=8,MONTH(C139)=9)),$FA139*12*AY139*(1-$BC139),$FA139*10*AY139*(1-$BC139)),0)</f>
        <v>1773</v>
      </c>
      <c r="FE139" s="1129" t="n">
        <f aca="false">IF(EZ139="No",IF((OR(MONTH(C139)=5,MONTH(C139)=6,MONTH(C139)=7,MONTH(C139)=8,MONTH(C139)=9)),0,$FA139*3*AY139*(1-$BC139)),0)</f>
        <v>531.9</v>
      </c>
      <c r="FF139" s="1129" t="n">
        <f aca="false">IF(EZ139="No",IF((OR(MONTH(C139)=5,MONTH(C139)=6,MONTH(C139)=7,MONTH(C139)=8,MONTH(C139)=9)),$FA139*12*(AZ139+BA139)*(1-$BC139),$FA139*10*(AZ139+BA139)*(1-$BC139)),0)</f>
        <v>1773</v>
      </c>
      <c r="FG139" s="1129" t="n">
        <f aca="false">IF(EZ139="No",IF((OR(MONTH(C139)=5,MONTH(C139)=6,MONTH(C139)=7,MONTH(C139)=8,MONTH(C139)=9)),0,$FA139*3*(AZ139+BA139)*(1-$BC139)),0)</f>
        <v>531.9</v>
      </c>
      <c r="FH139" s="1170" t="n">
        <f aca="false">IF(EZ139="No",IF((OR(MONTH(C139)=5,MONTH(C139)=6,MONTH(C139)=7,MONTH(C139)=8,MONTH(C139)=9)),Summary!$O$15*12*(AX139+AY139+AZ139+BA139)*(1-$BC139),Summary!$O$15*13*(AX139+AY139+AZ139+BA139)*(1-$BC139)+IF(Summary!$O$16="Yes",(CALC!FA139+Summary!$O$15)*6*(AX139+AY139+AZ139+BA139)*(1-$BC139),0)),0)</f>
        <v>0</v>
      </c>
      <c r="FI139" s="1126" t="n">
        <f aca="false">IF(MONTH(C139)=5,FI138*(IF(Summary!$E$70="no",(1+(Summary!$E$71*0.8)),1+HLOOKUP(YEAR(C139)-1,CCFMODEL!$I$127:$AF$128,2)*0.8)),+FI138)</f>
        <v>33.7227697904665</v>
      </c>
      <c r="FJ139" s="1127" t="n">
        <f aca="false">IF(MONTH(C139)=5,FJ138*(IF(Summary!$E$70="no",(1+(Summary!$E$71*0.8)),1+HLOOKUP(YEAR(CALC!C139)-1,CCFMODEL!$I$127:$AF$128,2)*0.8)),FJ138)</f>
        <v>29.4742318641085</v>
      </c>
      <c r="FK139" s="1128" t="n">
        <f aca="false">SUM(FB139:FG139)*FI139+FH139*FJ139</f>
        <v>602388.993697858</v>
      </c>
      <c r="FL139" s="1126" t="n">
        <f aca="false">IF(MONTH(C139)=5,FL138*(IF(Summary!$E$70="no",(1+(Summary!$E$71*0.8)),1+HLOOKUP(YEAR(CALC!C139)-1,CCFMODEL!$I$127:$AF$128,2)*0.8)),+FL138)</f>
        <v>70.9227655623271</v>
      </c>
      <c r="FM139" s="1127" t="n">
        <f aca="false">IF(MONTH(C139)=5,FM138*(IF(Summary!$E$70="no",(1+(Summary!$E$71*0.8)),1+HLOOKUP(YEAR(CALC!C139)-1,CCFMODEL!$I$127:$AF$128,2)*0.8)),+FM138)</f>
        <v>33.8492143716081</v>
      </c>
      <c r="FN139" s="1128" t="n">
        <f aca="false">IF((OR(MONTH(C139)=5,MONTH(C139)=6,MONTH(C139)=7,MONTH(C139)=8,MONTH(C139)=9)),SUM(FB139:FG139)/(1-BC139)*FL139,SUM(FB139:FG139)/(1-BC139)*FM139)</f>
        <v>613855.502629112</v>
      </c>
      <c r="FO139" s="1129" t="n">
        <f aca="false">FK139+FN139</f>
        <v>1216244.49632697</v>
      </c>
      <c r="FP139" s="1169" t="n">
        <f aca="false">FB139</f>
        <v>10194.75</v>
      </c>
      <c r="FQ139" s="1129" t="n">
        <f aca="false">FC139</f>
        <v>3058.425</v>
      </c>
      <c r="FR139" s="1129" t="n">
        <f aca="false">FD139</f>
        <v>1773</v>
      </c>
      <c r="FS139" s="1129" t="n">
        <f aca="false">FE139</f>
        <v>531.9</v>
      </c>
      <c r="FT139" s="1129" t="n">
        <f aca="false">FF139</f>
        <v>1773</v>
      </c>
      <c r="FU139" s="1129" t="n">
        <f aca="false">FG139</f>
        <v>531.9</v>
      </c>
      <c r="FV139" s="1170" t="n">
        <f aca="false">FH139</f>
        <v>0</v>
      </c>
      <c r="FW139" s="1115" t="n">
        <f aca="false">IF(ER139&gt;0,MIN(FB139-FP139,BL139),0)</f>
        <v>0</v>
      </c>
      <c r="FX139" s="1115" t="n">
        <f aca="false">IF(ES139&gt;0,MIN(FD139-FR139,BM139),0)</f>
        <v>0</v>
      </c>
      <c r="FY139" s="1115" t="n">
        <f aca="false">IF(ET139&gt;0,MIN(FF139-FT139,BN139),0)</f>
        <v>0</v>
      </c>
      <c r="FZ139" s="1143" t="n">
        <f aca="false">IF(EU139&gt;0,MIN(FH139-FV139,BO139),0)</f>
        <v>0</v>
      </c>
      <c r="GA139" s="1132" t="n">
        <f aca="false">(SUM(FP139:FV139)+SUM(GU139:HB139)/(1-Summary!$O$25))*CY139/1000</f>
        <v>235458.960162383</v>
      </c>
      <c r="GB139" s="1133" t="n">
        <f aca="false">IF($C139&lt;Summary!$M$81,+Summary!$O$81,VLOOKUP(C139,GasTable,19))</f>
        <v>2.4</v>
      </c>
      <c r="GC139" s="1134" t="n">
        <f aca="false">IF(H139&lt;=Summary!$N$84,MIN(GA139,Summary!$O$75*(H139-G139+1)),0)</f>
        <v>155000</v>
      </c>
      <c r="GD139" s="1135" t="n">
        <f aca="false">IF(Summary!$O$75*(H139-G139+1)*0.8&gt;GC139,1,0)</f>
        <v>0</v>
      </c>
      <c r="GE139" s="1136" t="n">
        <v>0</v>
      </c>
      <c r="GF139" s="1134" t="n">
        <f aca="false">ABS(MIN(0,GC139-$GA139))</f>
        <v>80458.9601623828</v>
      </c>
      <c r="GG139" s="1135" t="n">
        <f aca="false">GF139*(IF(Summary!$O$74=1,VLOOKUP($C139,GasTable,16)+Summary!$O$92+Summary!$O$93,VLOOKUP($C139,GasTable,19)+Summary!$O$92+Summary!$O$93))</f>
        <v>251870.33946207</v>
      </c>
      <c r="GH139" s="1137" t="n">
        <v>20274</v>
      </c>
      <c r="GI139" s="1138" t="n">
        <v>0</v>
      </c>
      <c r="GJ139" s="1139" t="n">
        <f aca="false">+GB139*GC139+GE139+GG139+GH139-GI139</f>
        <v>644144.33946207</v>
      </c>
      <c r="GK139" s="1115" t="n">
        <f aca="false">SUM(FP139:FV139,GU139:GX139,GY139:HB139)</f>
        <v>30062.01285</v>
      </c>
      <c r="GL139" s="1140" t="n">
        <v>0.757989687344</v>
      </c>
      <c r="GM139" s="1141" t="n">
        <f aca="false">IF(GK139&gt;GC139/(CY139/1000),GC139/(CY139/1000),+GK139)*GL139</f>
        <v>15221</v>
      </c>
      <c r="GN139" s="1115" t="n">
        <f aca="false">IF(SUM(GU139:HB139)=0,0,IF(Summary!$O$16="Yes",SUM(GX139:HB139),IF(Summary!$O$17="Yes",SUM(GY139:HB139),SUM(GU139:HB139))))</f>
        <v>12199.03785</v>
      </c>
      <c r="GO139" s="1142" t="n">
        <v>3.19788335827947</v>
      </c>
      <c r="GP139" s="1143" t="n">
        <f aca="false">GN139*GO139</f>
        <v>39011.1001275363</v>
      </c>
      <c r="GQ139" s="1115"/>
      <c r="GR139" s="1115"/>
      <c r="GS139" s="1115"/>
      <c r="GT139" s="1115"/>
      <c r="GU139" s="1150" t="n">
        <v>5902.76025</v>
      </c>
      <c r="GV139" s="1115" t="n">
        <v>1026.567</v>
      </c>
      <c r="GW139" s="1115" t="n">
        <v>1026.567</v>
      </c>
      <c r="GX139" s="1115"/>
      <c r="GY139" s="1151" t="n">
        <v>3148.1388</v>
      </c>
      <c r="GZ139" s="1115" t="n">
        <v>547.5024</v>
      </c>
      <c r="HA139" s="1115" t="n">
        <v>547.5024</v>
      </c>
      <c r="HB139" s="1141"/>
      <c r="HC139" s="1115" t="n">
        <v>12199.03785</v>
      </c>
      <c r="HD139" s="1115"/>
      <c r="HE139" s="1115" t="n">
        <v>20950.521525</v>
      </c>
      <c r="HF139" s="1115" t="n">
        <v>441220.188924228</v>
      </c>
      <c r="HG139" s="1115"/>
      <c r="HH139" s="1142" t="n">
        <v>35.5749027210021</v>
      </c>
      <c r="HI139" s="1115" t="n">
        <v>745312.765206135</v>
      </c>
      <c r="HJ139" s="1150" t="n">
        <f aca="false">MAX(FB139-FP139-FW139,0)</f>
        <v>0</v>
      </c>
      <c r="HK139" s="1115" t="n">
        <f aca="false">MAX(FD139-FR139-FX139,0)</f>
        <v>0</v>
      </c>
      <c r="HL139" s="1115" t="n">
        <f aca="false">MAX(FF139-FT139-FY139,0)</f>
        <v>0</v>
      </c>
      <c r="HM139" s="1141" t="n">
        <f aca="false">MAX(FH139-FV139-FZ139,0)</f>
        <v>0</v>
      </c>
      <c r="HN139" s="1115" t="n">
        <f aca="false">SUM(HJ139:HM139)</f>
        <v>0</v>
      </c>
      <c r="HO139" s="1142" t="n">
        <f aca="false">IF(ISERROR(+HP139/HN139),0,+HP139/HN139)</f>
        <v>0</v>
      </c>
      <c r="HP139" s="1143" t="n">
        <f aca="false">(HJ139*CE139+HK139*CF139+HL139*CG139+HM139*CH139)</f>
        <v>0</v>
      </c>
      <c r="HQ139" s="1142"/>
      <c r="HR139" s="1150"/>
      <c r="HS139" s="1110"/>
      <c r="HT139" s="1141"/>
      <c r="HU139" s="1151"/>
      <c r="HV139" s="1142"/>
      <c r="HW139" s="1115"/>
      <c r="HX139" s="1149"/>
      <c r="HY139" s="1143"/>
      <c r="HZ139" s="1150"/>
      <c r="IA139" s="1142"/>
      <c r="IB139" s="1141"/>
      <c r="IC139" s="1151"/>
      <c r="ID139" s="1142"/>
      <c r="IE139" s="1141"/>
      <c r="IF139" s="1115"/>
      <c r="IG139" s="1142"/>
      <c r="IH139" s="1141"/>
      <c r="II139" s="1115"/>
      <c r="IJ139" s="1142"/>
      <c r="IK139" s="1115"/>
      <c r="IL139" s="1152"/>
      <c r="IM139" s="1192"/>
      <c r="IN139" s="1151"/>
      <c r="IO139" s="1151"/>
      <c r="IP139" s="1151"/>
      <c r="IQ139" s="1151"/>
      <c r="IR139" s="844"/>
    </row>
    <row r="140" customFormat="false" ht="13.5" hidden="false" customHeight="false" outlineLevel="0" collapsed="false">
      <c r="A140" s="0" t="str">
        <f aca="false">+D140&amp;"Q"&amp;ROUNDUP(E140/3,0)</f>
        <v>2010Q2</v>
      </c>
      <c r="B140" s="0" t="n">
        <f aca="false">YEAR(C140)</f>
        <v>2010</v>
      </c>
      <c r="C140" s="1153" t="n">
        <f aca="false">EOMONTH(C139,0)+1</f>
        <v>40269</v>
      </c>
      <c r="D140" s="841" t="n">
        <f aca="false">+YEAR(C140)</f>
        <v>2010</v>
      </c>
      <c r="E140" s="807" t="n">
        <f aca="false">MONTH(C140)</f>
        <v>4</v>
      </c>
      <c r="F140" s="1154" t="e">
        <f aca="false">IF(G140="","",Holiday(D140,E140))</f>
        <v>#VALUE!</v>
      </c>
      <c r="G140" s="1155" t="n">
        <v>40269</v>
      </c>
      <c r="H140" s="1156" t="n">
        <v>40298</v>
      </c>
      <c r="I140" s="1157" t="n">
        <f aca="false">I139</f>
        <v>0.0715</v>
      </c>
      <c r="J140" s="1158" t="n">
        <f aca="false">(1+I140/2)^(-2*(DATE(D141,E141,20)-$H$7)/365.25)</f>
        <v>0.48064948278585</v>
      </c>
      <c r="K140" s="1159"/>
      <c r="L140" s="1158"/>
      <c r="M140" s="1082" t="n">
        <v>0</v>
      </c>
      <c r="N140" s="1110" t="n">
        <f aca="false">M140</f>
        <v>0</v>
      </c>
      <c r="O140" s="1174" t="n">
        <f aca="false">N140</f>
        <v>0</v>
      </c>
      <c r="P140" s="1175" t="n">
        <f aca="false">M140</f>
        <v>0</v>
      </c>
      <c r="Q140" s="1110" t="n">
        <f aca="false">P140</f>
        <v>0</v>
      </c>
      <c r="R140" s="1174" t="n">
        <f aca="false">Q140</f>
        <v>0</v>
      </c>
      <c r="S140" s="1110" t="n">
        <f aca="false">R140</f>
        <v>0</v>
      </c>
      <c r="T140" s="1110" t="n">
        <f aca="false">S140</f>
        <v>0</v>
      </c>
      <c r="U140" s="1110" t="n">
        <f aca="false">T140</f>
        <v>0</v>
      </c>
      <c r="V140" s="1175" t="n">
        <f aca="false">U140</f>
        <v>0</v>
      </c>
      <c r="W140" s="1110" t="n">
        <f aca="false">V140</f>
        <v>0</v>
      </c>
      <c r="X140" s="1176" t="n">
        <f aca="false">W140</f>
        <v>0</v>
      </c>
      <c r="Y140" s="1086" t="n">
        <v>0</v>
      </c>
      <c r="Z140" s="1086" t="n">
        <v>0</v>
      </c>
      <c r="AA140" s="1087" t="n">
        <v>0</v>
      </c>
      <c r="AB140" s="1086" t="n">
        <v>0</v>
      </c>
      <c r="AC140" s="1086" t="n">
        <v>0</v>
      </c>
      <c r="AD140" s="1087" t="n">
        <v>0</v>
      </c>
      <c r="AE140" s="1086" t="n">
        <v>0</v>
      </c>
      <c r="AF140" s="1086" t="n">
        <v>0</v>
      </c>
      <c r="AG140" s="1087" t="n">
        <v>0</v>
      </c>
      <c r="AH140" s="1086" t="n">
        <v>0</v>
      </c>
      <c r="AI140" s="1086" t="n">
        <v>0</v>
      </c>
      <c r="AJ140" s="1087" t="n">
        <v>0</v>
      </c>
      <c r="AK140" s="1086" t="n">
        <v>0</v>
      </c>
      <c r="AL140" s="1086" t="n">
        <v>0</v>
      </c>
      <c r="AM140" s="1087" t="n">
        <v>0</v>
      </c>
      <c r="AN140" s="1086" t="n">
        <v>0</v>
      </c>
      <c r="AO140" s="1086" t="n">
        <v>0</v>
      </c>
      <c r="AP140" s="1087" t="n">
        <v>0</v>
      </c>
      <c r="AQ140" s="1086" t="n">
        <v>0</v>
      </c>
      <c r="AR140" s="1086" t="n">
        <v>0</v>
      </c>
      <c r="AS140" s="1087" t="n">
        <v>0</v>
      </c>
      <c r="AT140" s="1086" t="n">
        <v>0</v>
      </c>
      <c r="AU140" s="1086" t="n">
        <v>0</v>
      </c>
      <c r="AV140" s="1086" t="n">
        <v>0</v>
      </c>
      <c r="AW140" s="1172" t="n">
        <v>0</v>
      </c>
      <c r="AX140" s="807" t="n">
        <f aca="false">BB140-SUM(AY140:BA140)</f>
        <v>22</v>
      </c>
      <c r="AY140" s="807" t="n">
        <f aca="false">IF(AND($E140=MONTH(Summary!$E$24),$D140=YEAR(Summary!$E$24)),Summary!$E$25,1)*IF(G140="",0,INT((H140-MOD(H140,7)-G140)/7)+1-IF(BA140,IF(WEEKDAY(F140)=7,1,0),0))</f>
        <v>4</v>
      </c>
      <c r="AZ140" s="807" t="n">
        <f aca="false">IF(AND($E140=MONTH(Summary!$E$24),$D140=YEAR(Summary!$E$24)),Summary!$E$25,1)*IF(G140="",0,INT((H140-MOD(H140-1,7)-G140)/7)+1-IF(BA140,IF(WEEKDAY(F140)=1,1,0),0))</f>
        <v>4</v>
      </c>
      <c r="BA140" s="807" t="n">
        <v>0</v>
      </c>
      <c r="BB140" s="807" t="n">
        <f aca="false">IF(AND($E140=MONTH(Summary!$E$24),$D140=YEAR(Summary!$E$24)),Summary!$E$25,1)*IF(G140="",0,H140-G140+1)</f>
        <v>30</v>
      </c>
      <c r="BC140" s="1089" t="n">
        <f aca="false">Summary!$E$19</f>
        <v>0.015</v>
      </c>
      <c r="BD140" s="1090" t="n">
        <v>15602.4</v>
      </c>
      <c r="BE140" s="1091" t="n">
        <v>2836.8</v>
      </c>
      <c r="BF140" s="1091" t="n">
        <v>2836.8</v>
      </c>
      <c r="BG140" s="842"/>
      <c r="BH140" s="1092" t="n">
        <v>1</v>
      </c>
      <c r="BI140" s="1092" t="n">
        <v>1</v>
      </c>
      <c r="BJ140" s="1092" t="n">
        <v>1</v>
      </c>
      <c r="BK140" s="1092" t="n">
        <v>1</v>
      </c>
      <c r="BL140" s="1093" t="n">
        <v>3120.48</v>
      </c>
      <c r="BM140" s="1091" t="n">
        <v>567.36</v>
      </c>
      <c r="BN140" s="1091" t="n">
        <v>567.36</v>
      </c>
      <c r="BO140" s="842"/>
      <c r="BP140" s="1092" t="n">
        <v>1</v>
      </c>
      <c r="BQ140" s="1094" t="n">
        <v>1</v>
      </c>
      <c r="BR140" s="1094" t="n">
        <v>1</v>
      </c>
      <c r="BS140" s="1095" t="n">
        <v>1</v>
      </c>
      <c r="BT140" s="1093" t="n">
        <f aca="false">SUM(BD140:BF140)</f>
        <v>21276</v>
      </c>
      <c r="BU140" s="1098" t="n">
        <f aca="false">SUM(BD140:BG140)</f>
        <v>21276</v>
      </c>
      <c r="BV140" s="1090" t="n">
        <f aca="false">SUM(BL140:BN140)</f>
        <v>4255.2</v>
      </c>
      <c r="BW140" s="1098" t="n">
        <f aca="false">SUM(BL140:BO140)</f>
        <v>4255.2</v>
      </c>
      <c r="BX140" s="852" t="n">
        <v>10.2943189596167</v>
      </c>
      <c r="BY140" s="1099" t="n">
        <v>0</v>
      </c>
      <c r="BZ140" s="852" t="n">
        <v>0</v>
      </c>
      <c r="CA140" s="852" t="n">
        <v>0</v>
      </c>
      <c r="CB140" s="852" t="n">
        <v>0</v>
      </c>
      <c r="CC140" s="852" t="n">
        <v>0</v>
      </c>
      <c r="CD140" s="852" t="n">
        <v>0</v>
      </c>
      <c r="CE140" s="1100" t="n">
        <v>0</v>
      </c>
      <c r="CF140" s="852" t="n">
        <v>0</v>
      </c>
      <c r="CG140" s="852" t="n">
        <v>0</v>
      </c>
      <c r="CH140" s="852" t="n">
        <v>0</v>
      </c>
      <c r="CI140" s="852" t="n">
        <v>0</v>
      </c>
      <c r="CJ140" s="1101" t="n">
        <v>0</v>
      </c>
      <c r="CK140" s="852" t="n">
        <v>0</v>
      </c>
      <c r="CL140" s="852" t="n">
        <v>0</v>
      </c>
      <c r="CM140" s="852" t="n">
        <v>0</v>
      </c>
      <c r="CN140" s="852" t="n">
        <v>0</v>
      </c>
      <c r="CO140" s="852" t="n">
        <v>0</v>
      </c>
      <c r="CP140" s="852" t="n">
        <v>0</v>
      </c>
      <c r="CQ140" s="1102" t="n">
        <v>0</v>
      </c>
      <c r="CR140" s="1103" t="n">
        <v>0</v>
      </c>
      <c r="CS140" s="1103" t="n">
        <v>0</v>
      </c>
      <c r="CT140" s="1103" t="n">
        <v>0</v>
      </c>
      <c r="CU140" s="1103" t="n">
        <v>0</v>
      </c>
      <c r="CV140" s="1103" t="n">
        <v>0</v>
      </c>
      <c r="CW140" s="1103" t="n">
        <v>0</v>
      </c>
      <c r="CX140" s="1104" t="n">
        <v>0</v>
      </c>
      <c r="CY140" s="1105" t="n">
        <v>7720.86688</v>
      </c>
      <c r="CZ140" s="1099" t="n">
        <v>0</v>
      </c>
      <c r="DA140" s="852" t="n">
        <v>0</v>
      </c>
      <c r="DB140" s="852" t="n">
        <v>0</v>
      </c>
      <c r="DC140" s="852" t="n">
        <v>0</v>
      </c>
      <c r="DD140" s="852" t="n">
        <v>0</v>
      </c>
      <c r="DE140" s="1113" t="n">
        <v>0</v>
      </c>
      <c r="DF140" s="1109" t="n">
        <v>0</v>
      </c>
      <c r="DG140" s="1110" t="n">
        <v>0</v>
      </c>
      <c r="DH140" s="1111" t="n">
        <v>0</v>
      </c>
      <c r="DI140" s="1112" t="n">
        <v>0</v>
      </c>
      <c r="DJ140" s="1112" t="n">
        <v>0</v>
      </c>
      <c r="DK140" s="1112" t="n">
        <v>0</v>
      </c>
      <c r="DL140" s="1113" t="n">
        <v>0</v>
      </c>
      <c r="DM140" s="1114" t="n">
        <v>0</v>
      </c>
      <c r="DN140" s="1114" t="n">
        <v>0</v>
      </c>
      <c r="DO140" s="1114" t="n">
        <v>0</v>
      </c>
      <c r="DP140" s="1114" t="n">
        <v>0</v>
      </c>
      <c r="DQ140" s="1114" t="n">
        <v>0</v>
      </c>
      <c r="DR140" s="1109" t="n">
        <v>0</v>
      </c>
      <c r="DS140" s="852" t="n">
        <v>0</v>
      </c>
      <c r="DT140" s="852" t="n">
        <v>0</v>
      </c>
      <c r="DU140" s="852" t="n">
        <v>0</v>
      </c>
      <c r="DV140" s="852" t="n">
        <v>0</v>
      </c>
      <c r="DW140" s="852" t="n">
        <v>0</v>
      </c>
      <c r="DX140" s="852" t="n">
        <v>0</v>
      </c>
      <c r="DY140" s="852" t="n">
        <v>0</v>
      </c>
      <c r="DZ140" s="852" t="n">
        <v>0</v>
      </c>
      <c r="EA140" s="852" t="n">
        <v>0</v>
      </c>
      <c r="EB140" s="1113" t="n">
        <v>0</v>
      </c>
      <c r="EC140" s="1115" t="n">
        <f aca="false">DS140*BD140</f>
        <v>0</v>
      </c>
      <c r="ED140" s="1115" t="n">
        <f aca="false">DT140*BE140</f>
        <v>0</v>
      </c>
      <c r="EE140" s="1115" t="n">
        <f aca="false">DU140*BF140</f>
        <v>0</v>
      </c>
      <c r="EF140" s="1115" t="n">
        <f aca="false">DV140*BG140</f>
        <v>0</v>
      </c>
      <c r="EG140" s="1115" t="n">
        <f aca="false">DS140*BD140+DT140*BE140+DU140*BF140+DV140*BG140</f>
        <v>0</v>
      </c>
      <c r="EH140" s="1116" t="n">
        <v>0</v>
      </c>
      <c r="EI140" s="1117" t="n">
        <v>0</v>
      </c>
      <c r="EJ140" s="1117" t="n">
        <v>0</v>
      </c>
      <c r="EK140" s="1117" t="n">
        <v>0</v>
      </c>
      <c r="EL140" s="1118" t="n">
        <f aca="false">IF(C140&gt;=Summary!$E$26,MAX(0,SUM(EH140:EK140)),0)</f>
        <v>0</v>
      </c>
      <c r="EM140" s="1115" t="n">
        <f aca="false">IF(C140&gt;=Summary!$E$26,DX140*BL140,0)</f>
        <v>0</v>
      </c>
      <c r="EN140" s="1115" t="n">
        <f aca="false">IF(C140&gt;=Summary!$E$26,DY140*BM140,0)</f>
        <v>0</v>
      </c>
      <c r="EO140" s="1115" t="n">
        <f aca="false">IF(C140&gt;=Summary!$E$26,DZ140*BN140,0)</f>
        <v>0</v>
      </c>
      <c r="EP140" s="1115" t="n">
        <f aca="false">IF(C140&gt;=Summary!$E$26,EA140*BO140,0)</f>
        <v>0</v>
      </c>
      <c r="EQ140" s="1115" t="n">
        <f aca="false">IF(C140&gt;=Summary!$E$26,DX140*BL140+DY140*BM140+DZ140*BN140+EA140*BO140,0)</f>
        <v>0</v>
      </c>
      <c r="ER140" s="1119" t="n">
        <v>0</v>
      </c>
      <c r="ES140" s="1120" t="n">
        <v>0</v>
      </c>
      <c r="ET140" s="1120" t="n">
        <v>0</v>
      </c>
      <c r="EU140" s="1120" t="n">
        <v>0</v>
      </c>
      <c r="EV140" s="1143" t="n">
        <f aca="false">IF(C140&gt;=Summary!$E$26,MAX(0,SUM(ER140:EU140)),0)</f>
        <v>0</v>
      </c>
      <c r="EW140" s="1115"/>
      <c r="EX140" s="1165" t="n">
        <f aca="false">(EQ140-EV140)+IF(EZ140="Yes",(EG140-EL140),0)</f>
        <v>0</v>
      </c>
      <c r="EY140" s="1166" t="str">
        <f aca="false">IF(EX140,EX140/EQ140,"")</f>
        <v/>
      </c>
      <c r="EZ140" s="1122" t="s">
        <v>37</v>
      </c>
      <c r="FA140" s="1096" t="n">
        <f aca="false">FA139</f>
        <v>45</v>
      </c>
      <c r="FB140" s="1167" t="n">
        <f aca="false">IF(EZ140="No",IF((OR(MONTH(C140)=5,MONTH(C140)=6,MONTH(C140)=7,MONTH(C140)=8,MONTH(C140)=9)),$FA140*12*AX140*(1-$BC140),$FA140*10*AX140*(1-$BC140)),0)</f>
        <v>9751.5</v>
      </c>
      <c r="FC140" s="1129" t="n">
        <f aca="false">IF(EZ140="No",IF((OR(MONTH(C140)=5,MONTH(C140)=6,MONTH(C140)=7,MONTH(C140)=8,MONTH(C140)=9)),0,$FA140*3*AX140*(1-$BC140)),0)</f>
        <v>2925.45</v>
      </c>
      <c r="FD140" s="1129" t="n">
        <f aca="false">IF(EZ140="No",IF((OR(MONTH(C140)=5,MONTH(C140)=6,MONTH(C140)=7,MONTH(C140)=8,MONTH(C140)=9)),$FA140*12*AY140*(1-$BC140),$FA140*10*AY140*(1-$BC140)),0)</f>
        <v>1773</v>
      </c>
      <c r="FE140" s="1129" t="n">
        <f aca="false">IF(EZ140="No",IF((OR(MONTH(C140)=5,MONTH(C140)=6,MONTH(C140)=7,MONTH(C140)=8,MONTH(C140)=9)),0,$FA140*3*AY140*(1-$BC140)),0)</f>
        <v>531.9</v>
      </c>
      <c r="FF140" s="1129" t="n">
        <f aca="false">IF(EZ140="No",IF((OR(MONTH(C140)=5,MONTH(C140)=6,MONTH(C140)=7,MONTH(C140)=8,MONTH(C140)=9)),$FA140*12*(AZ140+BA140)*(1-$BC140),$FA140*10*(AZ140+BA140)*(1-$BC140)),0)</f>
        <v>1773</v>
      </c>
      <c r="FG140" s="1129" t="n">
        <f aca="false">IF(EZ140="No",IF((OR(MONTH(C140)=5,MONTH(C140)=6,MONTH(C140)=7,MONTH(C140)=8,MONTH(C140)=9)),0,$FA140*3*(AZ140+BA140)*(1-$BC140)),0)</f>
        <v>531.9</v>
      </c>
      <c r="FH140" s="1170" t="n">
        <f aca="false">IF(EZ140="No",IF((OR(MONTH(C140)=5,MONTH(C140)=6,MONTH(C140)=7,MONTH(C140)=8,MONTH(C140)=9)),Summary!$O$15*12*(AX140+AY140+AZ140+BA140)*(1-$BC140),Summary!$O$15*13*(AX140+AY140+AZ140+BA140)*(1-$BC140)+IF(Summary!$O$16="Yes",(CALC!FA140+Summary!$O$15)*6*(AX140+AY140+AZ140+BA140)*(1-$BC140),0)),0)</f>
        <v>0</v>
      </c>
      <c r="FI140" s="1126" t="n">
        <f aca="false">IF(MONTH(C140)=5,FI139*(IF(Summary!$E$70="no",(1+(Summary!$E$71*0.8)),1+HLOOKUP(YEAR(C140)-1,CCFMODEL!$I$127:$AF$128,2)*0.8)),+FI139)</f>
        <v>33.7227697904665</v>
      </c>
      <c r="FJ140" s="1127" t="n">
        <f aca="false">IF(MONTH(C140)=5,FJ139*(IF(Summary!$E$70="no",(1+(Summary!$E$71*0.8)),1+HLOOKUP(YEAR(CALC!C140)-1,CCFMODEL!$I$127:$AF$128,2)*0.8)),FJ139)</f>
        <v>29.4742318641085</v>
      </c>
      <c r="FK140" s="1128" t="n">
        <f aca="false">SUM(FB140:FG140)*FI140+FH140*FJ140</f>
        <v>582957.090675346</v>
      </c>
      <c r="FL140" s="1126" t="n">
        <f aca="false">IF(MONTH(C140)=5,FL139*(IF(Summary!$E$70="no",(1+(Summary!$E$71*0.8)),1+HLOOKUP(YEAR(CALC!C140)-1,CCFMODEL!$I$127:$AF$128,2)*0.8)),+FL139)</f>
        <v>70.9227655623271</v>
      </c>
      <c r="FM140" s="1127" t="n">
        <f aca="false">IF(MONTH(C140)=5,FM139*(IF(Summary!$E$70="no",(1+(Summary!$E$71*0.8)),1+HLOOKUP(YEAR(CALC!C140)-1,CCFMODEL!$I$127:$AF$128,2)*0.8)),+FM139)</f>
        <v>33.8492143716081</v>
      </c>
      <c r="FN140" s="1128" t="n">
        <f aca="false">IF((OR(MONTH(C140)=5,MONTH(C140)=6,MONTH(C140)=7,MONTH(C140)=8,MONTH(C140)=9)),SUM(FB140:FG140)/(1-BC140)*FL140,SUM(FB140:FG140)/(1-BC140)*FM140)</f>
        <v>594053.712221721</v>
      </c>
      <c r="FO140" s="1129" t="n">
        <f aca="false">FK140+FN140</f>
        <v>1177010.80289707</v>
      </c>
      <c r="FP140" s="1169" t="n">
        <f aca="false">FB140</f>
        <v>9751.5</v>
      </c>
      <c r="FQ140" s="1129" t="n">
        <f aca="false">FC140</f>
        <v>2925.45</v>
      </c>
      <c r="FR140" s="1129" t="n">
        <f aca="false">FD140</f>
        <v>1773</v>
      </c>
      <c r="FS140" s="1129" t="n">
        <f aca="false">FE140</f>
        <v>531.9</v>
      </c>
      <c r="FT140" s="1129" t="n">
        <f aca="false">FF140</f>
        <v>1773</v>
      </c>
      <c r="FU140" s="1129" t="n">
        <f aca="false">FG140</f>
        <v>531.9</v>
      </c>
      <c r="FV140" s="1170" t="n">
        <f aca="false">FH140</f>
        <v>0</v>
      </c>
      <c r="FW140" s="1115" t="n">
        <f aca="false">IF(ER140&gt;0,MIN(FB140-FP140,BL140),0)</f>
        <v>0</v>
      </c>
      <c r="FX140" s="1115" t="n">
        <f aca="false">IF(ES140&gt;0,MIN(FD140-FR140,BM140),0)</f>
        <v>0</v>
      </c>
      <c r="FY140" s="1115" t="n">
        <f aca="false">IF(ET140&gt;0,MIN(FF140-FT140,BN140),0)</f>
        <v>0</v>
      </c>
      <c r="FZ140" s="1143" t="n">
        <f aca="false">IF(EU140&gt;0,MIN(FH140-FV140,BO140),0)</f>
        <v>0</v>
      </c>
      <c r="GA140" s="1132" t="n">
        <f aca="false">(SUM(FP140:FV140)+SUM(GU140:HB140)/(1-Summary!$O$25))*CY140/1000</f>
        <v>227923.464687696</v>
      </c>
      <c r="GB140" s="1196" t="n">
        <f aca="false">IF($C140&lt;Summary!$M$81,+Summary!$O$81,VLOOKUP(C140,GasTable,19))</f>
        <v>2.4</v>
      </c>
      <c r="GC140" s="1134" t="n">
        <f aca="false">IF(H140&lt;=Summary!$N$84,MIN(GA140,Summary!$O$75*(H140-G140+1)),0)</f>
        <v>150000</v>
      </c>
      <c r="GD140" s="1135" t="n">
        <f aca="false">IF(Summary!$O$75*(H140-G140+1)*0.8&gt;GC140,1,0)</f>
        <v>0</v>
      </c>
      <c r="GE140" s="1136" t="n">
        <v>0</v>
      </c>
      <c r="GF140" s="1134" t="n">
        <f aca="false">ABS(MIN(0,GC140-$GA140))</f>
        <v>77923.464687696</v>
      </c>
      <c r="GG140" s="1135" t="n">
        <f aca="false">GF140*(IF(Summary!$O$74=1,VLOOKUP($C140,GasTable,16)+Summary!$O$92+Summary!$O$93,VLOOKUP($C140,GasTable,19)+Summary!$O$92+Summary!$O$93))</f>
        <v>236736.801600493</v>
      </c>
      <c r="GH140" s="1137" t="n">
        <v>18906</v>
      </c>
      <c r="GI140" s="1138" t="n">
        <v>0</v>
      </c>
      <c r="GJ140" s="1139" t="n">
        <f aca="false">+GB140*GC140+GE140+GG140+GH140-GI140</f>
        <v>615642.801600493</v>
      </c>
      <c r="GK140" s="1115" t="n">
        <f aca="false">SUM(FP140:FV140,GU140:GX140,GY140:HB140)</f>
        <v>29092.2705</v>
      </c>
      <c r="GL140" s="1140" t="n">
        <v>0.758189127616</v>
      </c>
      <c r="GM140" s="1141" t="n">
        <f aca="false">IF(GK140&gt;GC140/(CY140/1000),GC140/(CY140/1000),+GK140)*GL140</f>
        <v>14730</v>
      </c>
      <c r="GN140" s="1115" t="n">
        <f aca="false">IF(SUM(GU140:HB140)=0,0,IF(Summary!$O$16="Yes",SUM(GX140:HB140),IF(Summary!$O$17="Yes",SUM(GY140:HB140),SUM(GU140:HB140))))</f>
        <v>11805.5205</v>
      </c>
      <c r="GO140" s="1142" t="n">
        <v>3.19788335827947</v>
      </c>
      <c r="GP140" s="1143" t="n">
        <f aca="false">GN140*GO140</f>
        <v>37752.6775427771</v>
      </c>
      <c r="GQ140" s="1115"/>
      <c r="GR140" s="1115"/>
      <c r="GS140" s="1115"/>
      <c r="GT140" s="1115"/>
      <c r="GU140" s="1150" t="n">
        <v>5646.1185</v>
      </c>
      <c r="GV140" s="1115" t="n">
        <v>1026.567</v>
      </c>
      <c r="GW140" s="1115" t="n">
        <v>1026.567</v>
      </c>
      <c r="GX140" s="1115"/>
      <c r="GY140" s="1151" t="n">
        <v>3011.2632</v>
      </c>
      <c r="GZ140" s="1115" t="n">
        <v>547.5024</v>
      </c>
      <c r="HA140" s="1115" t="n">
        <v>547.5024</v>
      </c>
      <c r="HB140" s="1141"/>
      <c r="HC140" s="1115" t="n">
        <v>11805.5205</v>
      </c>
      <c r="HD140" s="1115"/>
      <c r="HE140" s="1115" t="n">
        <v>20274.69825</v>
      </c>
      <c r="HF140" s="1115" t="n">
        <v>413738.326922816</v>
      </c>
      <c r="HG140" s="1115"/>
      <c r="HH140" s="1142" t="n">
        <v>34.4129030542229</v>
      </c>
      <c r="HI140" s="1115" t="n">
        <v>697711.225330873</v>
      </c>
      <c r="HJ140" s="1150" t="n">
        <f aca="false">MAX(FB140-FP140-FW140,0)</f>
        <v>0</v>
      </c>
      <c r="HK140" s="1115" t="n">
        <f aca="false">MAX(FD140-FR140-FX140,0)</f>
        <v>0</v>
      </c>
      <c r="HL140" s="1115" t="n">
        <f aca="false">MAX(FF140-FT140-FY140,0)</f>
        <v>0</v>
      </c>
      <c r="HM140" s="1141" t="n">
        <f aca="false">MAX(FH140-FV140-FZ140,0)</f>
        <v>0</v>
      </c>
      <c r="HN140" s="1115" t="n">
        <f aca="false">SUM(HJ140:HM140)</f>
        <v>0</v>
      </c>
      <c r="HO140" s="1142" t="n">
        <f aca="false">IF(ISERROR(+HP140/HN140),0,+HP140/HN140)</f>
        <v>0</v>
      </c>
      <c r="HP140" s="1143" t="n">
        <f aca="false">(HJ140*CE140+HK140*CF140+HL140*CG140+HM140*CH140)</f>
        <v>0</v>
      </c>
      <c r="HQ140" s="1142"/>
      <c r="HR140" s="1150"/>
      <c r="HS140" s="1110"/>
      <c r="HT140" s="1141"/>
      <c r="HU140" s="1151"/>
      <c r="HV140" s="1142"/>
      <c r="HW140" s="1115"/>
      <c r="HX140" s="1149"/>
      <c r="HY140" s="1143"/>
      <c r="HZ140" s="1150"/>
      <c r="IA140" s="1142"/>
      <c r="IB140" s="1141"/>
      <c r="IC140" s="1151"/>
      <c r="ID140" s="1142"/>
      <c r="IE140" s="1141"/>
      <c r="IF140" s="1115"/>
      <c r="IG140" s="1142"/>
      <c r="IH140" s="1141"/>
      <c r="II140" s="1115"/>
      <c r="IJ140" s="1142"/>
      <c r="IK140" s="1115"/>
      <c r="IL140" s="1152"/>
      <c r="IM140" s="1192"/>
      <c r="IN140" s="1151"/>
      <c r="IO140" s="1151"/>
      <c r="IP140" s="1151"/>
      <c r="IQ140" s="1151"/>
      <c r="IR140" s="844"/>
    </row>
    <row r="141" customFormat="false" ht="13.5" hidden="false" customHeight="false" outlineLevel="0" collapsed="false">
      <c r="A141" s="0" t="str">
        <f aca="false">+D141&amp;"Q"&amp;ROUNDUP(E141/3,0)</f>
        <v>2010Q2</v>
      </c>
      <c r="B141" s="0" t="n">
        <f aca="false">YEAR(C141)</f>
        <v>2010</v>
      </c>
      <c r="C141" s="1153" t="n">
        <f aca="false">EOMONTH(C140,0)+1</f>
        <v>40299</v>
      </c>
      <c r="D141" s="841" t="n">
        <f aca="false">+YEAR(C141)</f>
        <v>2010</v>
      </c>
      <c r="E141" s="807" t="n">
        <f aca="false">MONTH(C141)</f>
        <v>5</v>
      </c>
      <c r="F141" s="1154" t="e">
        <f aca="false">IF(G141="","",Holiday(D141,E141))</f>
        <v>#VALUE!</v>
      </c>
      <c r="G141" s="1155" t="n">
        <v>40299</v>
      </c>
      <c r="H141" s="1156" t="n">
        <v>40329</v>
      </c>
      <c r="I141" s="1157" t="n">
        <f aca="false">I140</f>
        <v>0.0715</v>
      </c>
      <c r="J141" s="1158" t="n">
        <f aca="false">(1+I141/2)^(-2*(DATE(D142,E142,20)-$H$7)/365.25)</f>
        <v>0.477792141622494</v>
      </c>
      <c r="K141" s="1159"/>
      <c r="L141" s="1158"/>
      <c r="M141" s="1082" t="n">
        <v>0</v>
      </c>
      <c r="N141" s="1110" t="n">
        <f aca="false">M141</f>
        <v>0</v>
      </c>
      <c r="O141" s="1174" t="n">
        <f aca="false">N141</f>
        <v>0</v>
      </c>
      <c r="P141" s="1175" t="n">
        <f aca="false">M141</f>
        <v>0</v>
      </c>
      <c r="Q141" s="1110" t="n">
        <f aca="false">P141</f>
        <v>0</v>
      </c>
      <c r="R141" s="1174" t="n">
        <f aca="false">Q141</f>
        <v>0</v>
      </c>
      <c r="S141" s="1110" t="n">
        <f aca="false">R141</f>
        <v>0</v>
      </c>
      <c r="T141" s="1110" t="n">
        <f aca="false">S141</f>
        <v>0</v>
      </c>
      <c r="U141" s="1110" t="n">
        <f aca="false">T141</f>
        <v>0</v>
      </c>
      <c r="V141" s="1175" t="n">
        <f aca="false">U141</f>
        <v>0</v>
      </c>
      <c r="W141" s="1110" t="n">
        <f aca="false">V141</f>
        <v>0</v>
      </c>
      <c r="X141" s="1176" t="n">
        <f aca="false">W141</f>
        <v>0</v>
      </c>
      <c r="Y141" s="1086" t="n">
        <v>0</v>
      </c>
      <c r="Z141" s="1086" t="n">
        <v>0</v>
      </c>
      <c r="AA141" s="1087" t="n">
        <v>0</v>
      </c>
      <c r="AB141" s="1086" t="n">
        <v>0</v>
      </c>
      <c r="AC141" s="1086" t="n">
        <v>0</v>
      </c>
      <c r="AD141" s="1087" t="n">
        <v>0</v>
      </c>
      <c r="AE141" s="1086" t="n">
        <v>0</v>
      </c>
      <c r="AF141" s="1086" t="n">
        <v>0</v>
      </c>
      <c r="AG141" s="1087" t="n">
        <v>0</v>
      </c>
      <c r="AH141" s="1086" t="n">
        <v>0</v>
      </c>
      <c r="AI141" s="1086" t="n">
        <v>0</v>
      </c>
      <c r="AJ141" s="1087" t="n">
        <v>0</v>
      </c>
      <c r="AK141" s="1086" t="n">
        <v>0</v>
      </c>
      <c r="AL141" s="1086" t="n">
        <v>0</v>
      </c>
      <c r="AM141" s="1087" t="n">
        <v>0</v>
      </c>
      <c r="AN141" s="1086" t="n">
        <v>0</v>
      </c>
      <c r="AO141" s="1086" t="n">
        <v>0</v>
      </c>
      <c r="AP141" s="1087" t="n">
        <v>0</v>
      </c>
      <c r="AQ141" s="1086" t="n">
        <v>0</v>
      </c>
      <c r="AR141" s="1086" t="n">
        <v>0</v>
      </c>
      <c r="AS141" s="1087" t="n">
        <v>0</v>
      </c>
      <c r="AT141" s="1086" t="n">
        <v>0</v>
      </c>
      <c r="AU141" s="1086" t="n">
        <v>0</v>
      </c>
      <c r="AV141" s="1086" t="n">
        <v>0</v>
      </c>
      <c r="AW141" s="1172" t="n">
        <v>0</v>
      </c>
      <c r="AX141" s="807" t="e">
        <f aca="false">BB141-SUM(AY141:BA141)</f>
        <v>#VALUE!</v>
      </c>
      <c r="AY141" s="807" t="e">
        <f aca="false">IF(AND($E141=MONTH(Summary!$E$24),$D141=YEAR(Summary!$E$24)),Summary!$E$25,1)*IF(G141="",0,INT((H141-MOD(H141,7)-G141)/7)+1-IF(BA141,IF(WEEKDAY(F141)=7,1,0),0))</f>
        <v>#VALUE!</v>
      </c>
      <c r="AZ141" s="807" t="e">
        <f aca="false">IF(AND($E141=MONTH(Summary!$E$24),$D141=YEAR(Summary!$E$24)),Summary!$E$25,1)*IF(G141="",0,INT((H141-MOD(H141-1,7)-G141)/7)+1-IF(BA141,IF(WEEKDAY(F141)=1,1,0),0))</f>
        <v>#VALUE!</v>
      </c>
      <c r="BA141" s="807" t="n">
        <v>1</v>
      </c>
      <c r="BB141" s="807" t="n">
        <f aca="false">IF(AND($E141=MONTH(Summary!$E$24),$D141=YEAR(Summary!$E$24)),Summary!$E$25,1)*IF(G141="",0,H141-G141+1)</f>
        <v>31</v>
      </c>
      <c r="BC141" s="1089" t="n">
        <f aca="false">Summary!$E$19</f>
        <v>0.015</v>
      </c>
      <c r="BD141" s="1090" t="n">
        <v>14184</v>
      </c>
      <c r="BE141" s="1091" t="n">
        <v>3546</v>
      </c>
      <c r="BF141" s="1091" t="n">
        <v>4255.2</v>
      </c>
      <c r="BG141" s="842"/>
      <c r="BH141" s="1092" t="n">
        <v>1</v>
      </c>
      <c r="BI141" s="1092" t="n">
        <v>1</v>
      </c>
      <c r="BJ141" s="1092" t="n">
        <v>1</v>
      </c>
      <c r="BK141" s="1092" t="n">
        <v>1</v>
      </c>
      <c r="BL141" s="1093" t="n">
        <v>2836.8</v>
      </c>
      <c r="BM141" s="1091" t="n">
        <v>709.2</v>
      </c>
      <c r="BN141" s="1091" t="n">
        <v>851.04</v>
      </c>
      <c r="BO141" s="842"/>
      <c r="BP141" s="1092" t="n">
        <v>1</v>
      </c>
      <c r="BQ141" s="1094" t="n">
        <v>1</v>
      </c>
      <c r="BR141" s="1094" t="n">
        <v>1</v>
      </c>
      <c r="BS141" s="1095" t="n">
        <v>1</v>
      </c>
      <c r="BT141" s="1093" t="n">
        <f aca="false">SUM(BD141:BF141)</f>
        <v>21985.2</v>
      </c>
      <c r="BU141" s="1098" t="n">
        <f aca="false">SUM(BD141:BG141)</f>
        <v>21985.2</v>
      </c>
      <c r="BV141" s="1090" t="n">
        <f aca="false">SUM(BL141:BN141)</f>
        <v>4397.04</v>
      </c>
      <c r="BW141" s="1098" t="n">
        <f aca="false">SUM(BL141:BO141)</f>
        <v>4397.04</v>
      </c>
      <c r="BX141" s="852" t="n">
        <v>10.3764544832307</v>
      </c>
      <c r="BY141" s="1099" t="n">
        <v>0</v>
      </c>
      <c r="BZ141" s="852" t="n">
        <v>0</v>
      </c>
      <c r="CA141" s="852" t="n">
        <v>0</v>
      </c>
      <c r="CB141" s="852" t="n">
        <v>0</v>
      </c>
      <c r="CC141" s="852" t="n">
        <v>0</v>
      </c>
      <c r="CD141" s="852" t="n">
        <v>0</v>
      </c>
      <c r="CE141" s="1100" t="n">
        <v>0</v>
      </c>
      <c r="CF141" s="852" t="n">
        <v>0</v>
      </c>
      <c r="CG141" s="852" t="n">
        <v>0</v>
      </c>
      <c r="CH141" s="852" t="n">
        <v>0</v>
      </c>
      <c r="CI141" s="852" t="n">
        <v>0</v>
      </c>
      <c r="CJ141" s="1101" t="n">
        <v>0</v>
      </c>
      <c r="CK141" s="852" t="n">
        <v>0</v>
      </c>
      <c r="CL141" s="852" t="n">
        <v>0</v>
      </c>
      <c r="CM141" s="852" t="n">
        <v>0</v>
      </c>
      <c r="CN141" s="852" t="n">
        <v>0</v>
      </c>
      <c r="CO141" s="852" t="n">
        <v>0</v>
      </c>
      <c r="CP141" s="852" t="n">
        <v>0</v>
      </c>
      <c r="CQ141" s="1102" t="n">
        <v>0</v>
      </c>
      <c r="CR141" s="1103" t="n">
        <v>0</v>
      </c>
      <c r="CS141" s="1103" t="n">
        <v>0</v>
      </c>
      <c r="CT141" s="1103" t="n">
        <v>0</v>
      </c>
      <c r="CU141" s="1103" t="n">
        <v>0</v>
      </c>
      <c r="CV141" s="1103" t="n">
        <v>0</v>
      </c>
      <c r="CW141" s="1103" t="n">
        <v>0</v>
      </c>
      <c r="CX141" s="1104" t="n">
        <v>0</v>
      </c>
      <c r="CY141" s="1105" t="n">
        <v>7722.89784</v>
      </c>
      <c r="CZ141" s="1099" t="n">
        <v>0</v>
      </c>
      <c r="DA141" s="852" t="n">
        <v>0</v>
      </c>
      <c r="DB141" s="852" t="n">
        <v>0</v>
      </c>
      <c r="DC141" s="852" t="n">
        <v>0</v>
      </c>
      <c r="DD141" s="852" t="n">
        <v>0</v>
      </c>
      <c r="DE141" s="1113" t="n">
        <v>0</v>
      </c>
      <c r="DF141" s="1109" t="n">
        <v>0</v>
      </c>
      <c r="DG141" s="1110" t="n">
        <v>0</v>
      </c>
      <c r="DH141" s="1111" t="n">
        <v>0</v>
      </c>
      <c r="DI141" s="1112" t="n">
        <v>0</v>
      </c>
      <c r="DJ141" s="1112" t="n">
        <v>0</v>
      </c>
      <c r="DK141" s="1112" t="n">
        <v>0</v>
      </c>
      <c r="DL141" s="1113" t="n">
        <v>0</v>
      </c>
      <c r="DM141" s="1114" t="n">
        <v>0</v>
      </c>
      <c r="DN141" s="1114" t="n">
        <v>0</v>
      </c>
      <c r="DO141" s="1114" t="n">
        <v>0</v>
      </c>
      <c r="DP141" s="1114" t="n">
        <v>0</v>
      </c>
      <c r="DQ141" s="1114" t="n">
        <v>0</v>
      </c>
      <c r="DR141" s="1109" t="n">
        <v>0</v>
      </c>
      <c r="DS141" s="852" t="n">
        <v>0</v>
      </c>
      <c r="DT141" s="852" t="n">
        <v>0</v>
      </c>
      <c r="DU141" s="852" t="n">
        <v>0</v>
      </c>
      <c r="DV141" s="852" t="n">
        <v>0</v>
      </c>
      <c r="DW141" s="852" t="n">
        <v>0</v>
      </c>
      <c r="DX141" s="852" t="n">
        <v>0</v>
      </c>
      <c r="DY141" s="852" t="n">
        <v>0</v>
      </c>
      <c r="DZ141" s="852" t="n">
        <v>0</v>
      </c>
      <c r="EA141" s="852" t="n">
        <v>0</v>
      </c>
      <c r="EB141" s="1113" t="n">
        <v>0</v>
      </c>
      <c r="EC141" s="1115" t="n">
        <f aca="false">DS141*BD141</f>
        <v>0</v>
      </c>
      <c r="ED141" s="1115" t="n">
        <f aca="false">DT141*BE141</f>
        <v>0</v>
      </c>
      <c r="EE141" s="1115" t="n">
        <f aca="false">DU141*BF141</f>
        <v>0</v>
      </c>
      <c r="EF141" s="1115" t="n">
        <f aca="false">DV141*BG141</f>
        <v>0</v>
      </c>
      <c r="EG141" s="1115" t="n">
        <f aca="false">DS141*BD141+DT141*BE141+DU141*BF141+DV141*BG141</f>
        <v>0</v>
      </c>
      <c r="EH141" s="1116" t="n">
        <v>0</v>
      </c>
      <c r="EI141" s="1117" t="n">
        <v>0</v>
      </c>
      <c r="EJ141" s="1117" t="n">
        <v>0</v>
      </c>
      <c r="EK141" s="1117" t="n">
        <v>0</v>
      </c>
      <c r="EL141" s="1118" t="n">
        <f aca="false">IF(C141&gt;=Summary!$E$26,MAX(0,SUM(EH141:EK141)),0)</f>
        <v>0</v>
      </c>
      <c r="EM141" s="1115" t="n">
        <f aca="false">IF(C141&gt;=Summary!$E$26,DX141*BL141,0)</f>
        <v>0</v>
      </c>
      <c r="EN141" s="1115" t="n">
        <f aca="false">IF(C141&gt;=Summary!$E$26,DY141*BM141,0)</f>
        <v>0</v>
      </c>
      <c r="EO141" s="1115" t="n">
        <f aca="false">IF(C141&gt;=Summary!$E$26,DZ141*BN141,0)</f>
        <v>0</v>
      </c>
      <c r="EP141" s="1115" t="n">
        <f aca="false">IF(C141&gt;=Summary!$E$26,EA141*BO141,0)</f>
        <v>0</v>
      </c>
      <c r="EQ141" s="1115" t="n">
        <f aca="false">IF(C141&gt;=Summary!$E$26,DX141*BL141+DY141*BM141+DZ141*BN141+EA141*BO141,0)</f>
        <v>0</v>
      </c>
      <c r="ER141" s="1119" t="n">
        <v>0</v>
      </c>
      <c r="ES141" s="1120" t="n">
        <v>0</v>
      </c>
      <c r="ET141" s="1120" t="n">
        <v>0</v>
      </c>
      <c r="EU141" s="1120" t="n">
        <v>0</v>
      </c>
      <c r="EV141" s="1143" t="n">
        <f aca="false">IF(C141&gt;=Summary!$E$26,MAX(0,SUM(ER141:EU141)),0)</f>
        <v>0</v>
      </c>
      <c r="EW141" s="1115"/>
      <c r="EX141" s="1165" t="n">
        <f aca="false">(EQ141-EV141)+IF(EZ141="Yes",(EG141-EL141),0)</f>
        <v>0</v>
      </c>
      <c r="EY141" s="1166" t="str">
        <f aca="false">IF(EX141,EX141/EQ141,"")</f>
        <v/>
      </c>
      <c r="EZ141" s="1122" t="s">
        <v>37</v>
      </c>
      <c r="FA141" s="1096" t="n">
        <f aca="false">FA140</f>
        <v>45</v>
      </c>
      <c r="FB141" s="1167" t="e">
        <f aca="false">IF(EZ141="No",IF((OR(MONTH(C141)=5,MONTH(C141)=6,MONTH(C141)=7,MONTH(C141)=8,MONTH(C141)=9)),$FA141*12*AX141*(1-$BC141),$FA141*10*AX141*(1-$BC141)),0)</f>
        <v>#VALUE!</v>
      </c>
      <c r="FC141" s="1129" t="n">
        <f aca="false">IF(EZ141="No",IF((OR(MONTH(C141)=5,MONTH(C141)=6,MONTH(C141)=7,MONTH(C141)=8,MONTH(C141)=9)),0,$FA141*3*AX141*(1-$BC141)),0)</f>
        <v>0</v>
      </c>
      <c r="FD141" s="1129" t="e">
        <f aca="false">IF(EZ141="No",IF((OR(MONTH(C141)=5,MONTH(C141)=6,MONTH(C141)=7,MONTH(C141)=8,MONTH(C141)=9)),$FA141*12*AY141*(1-$BC141),$FA141*10*AY141*(1-$BC141)),0)</f>
        <v>#VALUE!</v>
      </c>
      <c r="FE141" s="1129" t="n">
        <f aca="false">IF(EZ141="No",IF((OR(MONTH(C141)=5,MONTH(C141)=6,MONTH(C141)=7,MONTH(C141)=8,MONTH(C141)=9)),0,$FA141*3*AY141*(1-$BC141)),0)</f>
        <v>0</v>
      </c>
      <c r="FF141" s="1129" t="e">
        <f aca="false">IF(EZ141="No",IF((OR(MONTH(C141)=5,MONTH(C141)=6,MONTH(C141)=7,MONTH(C141)=8,MONTH(C141)=9)),$FA141*12*(AZ141+BA141)*(1-$BC141),$FA141*10*(AZ141+BA141)*(1-$BC141)),0)</f>
        <v>#VALUE!</v>
      </c>
      <c r="FG141" s="1129" t="n">
        <f aca="false">IF(EZ141="No",IF((OR(MONTH(C141)=5,MONTH(C141)=6,MONTH(C141)=7,MONTH(C141)=8,MONTH(C141)=9)),0,$FA141*3*(AZ141+BA141)*(1-$BC141)),0)</f>
        <v>0</v>
      </c>
      <c r="FH141" s="1170" t="e">
        <f aca="false">IF(EZ141="No",IF((OR(MONTH(C141)=5,MONTH(C141)=6,MONTH(C141)=7,MONTH(C141)=8,MONTH(C141)=9)),Summary!$O$15*12*(AX141+AY141+AZ141+BA141)*(1-$BC141),Summary!$O$15*13*(AX141+AY141+AZ141+BA141)*(1-$BC141)+IF(Summary!$O$16="Yes",(CALC!FA141+Summary!$O$15)*6*(AX141+AY141+AZ141+BA141)*(1-$BC141),0)),0)</f>
        <v>#VALUE!</v>
      </c>
      <c r="FI141" s="1126" t="n">
        <f aca="false">IF(MONTH(C141)=5,FI140*(IF(Summary!$E$70="no",(1+(Summary!$E$71*0.8)),1+HLOOKUP(YEAR(C141)-1,CCFMODEL!$I$127:$AF$128,2)*0.8)),+FI140)</f>
        <v>34.5321162654377</v>
      </c>
      <c r="FJ141" s="1127" t="n">
        <f aca="false">IF(MONTH(C141)=5,FJ140*(IF(Summary!$E$70="no",(1+(Summary!$E$71*0.8)),1+HLOOKUP(YEAR(CALC!C141)-1,CCFMODEL!$I$127:$AF$128,2)*0.8)),FJ140)</f>
        <v>30.1816134288471</v>
      </c>
      <c r="FK141" s="1128" t="e">
        <f aca="false">SUM(FB141:FG141)*FI141+FH141*FJ141</f>
        <v>#VALUE!</v>
      </c>
      <c r="FL141" s="1126" t="n">
        <f aca="false">IF(MONTH(C141)=5,FL140*(IF(Summary!$E$70="no",(1+(Summary!$E$71*0.8)),1+HLOOKUP(YEAR(CALC!C141)-1,CCFMODEL!$I$127:$AF$128,2)*0.8)),+FL140)</f>
        <v>72.6249119358229</v>
      </c>
      <c r="FM141" s="1127" t="n">
        <f aca="false">IF(MONTH(C141)=5,FM140*(IF(Summary!$E$70="no",(1+(Summary!$E$71*0.8)),1+HLOOKUP(YEAR(CALC!C141)-1,CCFMODEL!$I$127:$AF$128,2)*0.8)),+FM140)</f>
        <v>34.6615955165267</v>
      </c>
      <c r="FN141" s="1128" t="e">
        <f aca="false">IF((OR(MONTH(C141)=5,MONTH(C141)=6,MONTH(C141)=7,MONTH(C141)=8,MONTH(C141)=9)),SUM(FB141:FG141)/(1-BC141)*FL141,SUM(FB141:FG141)/(1-BC141)*FM141)</f>
        <v>#VALUE!</v>
      </c>
      <c r="FO141" s="1129" t="e">
        <f aca="false">FK141+FN141</f>
        <v>#VALUE!</v>
      </c>
      <c r="FP141" s="1169" t="e">
        <f aca="false">FB141</f>
        <v>#VALUE!</v>
      </c>
      <c r="FQ141" s="1129" t="n">
        <f aca="false">FC141</f>
        <v>0</v>
      </c>
      <c r="FR141" s="1129" t="e">
        <f aca="false">FD141</f>
        <v>#VALUE!</v>
      </c>
      <c r="FS141" s="1129" t="n">
        <f aca="false">FE141</f>
        <v>0</v>
      </c>
      <c r="FT141" s="1129" t="e">
        <f aca="false">FF141</f>
        <v>#VALUE!</v>
      </c>
      <c r="FU141" s="1129" t="n">
        <f aca="false">FG141</f>
        <v>0</v>
      </c>
      <c r="FV141" s="1170" t="e">
        <f aca="false">FH141</f>
        <v>#VALUE!</v>
      </c>
      <c r="FW141" s="1115" t="n">
        <f aca="false">IF(ER141&gt;0,MIN(FB141-FP141,BL141),0)</f>
        <v>0</v>
      </c>
      <c r="FX141" s="1115" t="n">
        <f aca="false">IF(ES141&gt;0,MIN(FD141-FR141,BM141),0)</f>
        <v>0</v>
      </c>
      <c r="FY141" s="1115" t="n">
        <f aca="false">IF(ET141&gt;0,MIN(FF141-FT141,BN141),0)</f>
        <v>0</v>
      </c>
      <c r="FZ141" s="1143" t="n">
        <f aca="false">IF(EU141&gt;0,MIN(FH141-FV141,BO141),0)</f>
        <v>0</v>
      </c>
      <c r="GA141" s="1132" t="e">
        <f aca="false">(SUM(FP141:FV141)+SUM(GU141:HB141)/(1-Summary!$O$25))*CY141/1000</f>
        <v>#VALUE!</v>
      </c>
      <c r="GB141" s="1196" t="n">
        <f aca="false">IF($C141&lt;Summary!$M$81,+Summary!$O$81,VLOOKUP(C141,GasTable,19))</f>
        <v>2.96344897058932</v>
      </c>
      <c r="GC141" s="1134" t="n">
        <f aca="false">IF(H141&lt;=Summary!$N$84,MIN(GA141,Summary!$O$75*(H141-G141+1)),0)</f>
        <v>0</v>
      </c>
      <c r="GD141" s="1135" t="n">
        <f aca="false">IF(C141&lt;Summary!$N$84,IF(Summary!$O$75*(H141-G141+1)*0.8&gt;GC141,1,0),0)</f>
        <v>0</v>
      </c>
      <c r="GE141" s="1136" t="n">
        <v>0</v>
      </c>
      <c r="GF141" s="1134" t="e">
        <f aca="false">ABS(MIN(0,GC141-$GA141))</f>
        <v>#VALUE!</v>
      </c>
      <c r="GG141" s="1135" t="e">
        <f aca="false">GF141*(IF(Summary!$O$74=1,VLOOKUP($C141,GasTable,16)+Summary!$O$92+Summary!$O$93,VLOOKUP($C141,GasTable,19)+Summary!$O$92+Summary!$O$93))</f>
        <v>#VALUE!</v>
      </c>
      <c r="GH141" s="1137" t="n">
        <v>4593.34590441344</v>
      </c>
      <c r="GI141" s="1138" t="n">
        <v>0</v>
      </c>
      <c r="GJ141" s="1139" t="e">
        <f aca="false">+GB141*GC141+GE141+GG141+GH141-GI141</f>
        <v>#VALUE!</v>
      </c>
      <c r="GK141" s="1115" t="e">
        <f aca="false">SUM(FP141:FV141,GU141:GX141,GY141:HB141)</f>
        <v>#VALUE!</v>
      </c>
      <c r="GL141" s="1140" t="n">
        <v>0.51743415528</v>
      </c>
      <c r="GM141" s="1141" t="e">
        <f aca="false">IF(GK141&gt;GC141/(CY141/1000),GC141/(CY141/1000),+GK141)*GL141</f>
        <v>#VALUE!</v>
      </c>
      <c r="GN141" s="1115" t="n">
        <f aca="false">IF(SUM(GU141:HB141)=0,0,IF(Summary!$O$16="Yes",SUM(GX141:HB141),IF(Summary!$O$17="Yes",SUM(GY141:HB141),SUM(GU141:HB141))))</f>
        <v>9547.0731</v>
      </c>
      <c r="GO141" s="1142" t="n">
        <v>3.19788335827947</v>
      </c>
      <c r="GP141" s="1143" t="n">
        <f aca="false">GN141*GO141</f>
        <v>30530.4261867676</v>
      </c>
      <c r="GQ141" s="1115"/>
      <c r="GR141" s="1115"/>
      <c r="GS141" s="1115"/>
      <c r="GT141" s="1115"/>
      <c r="GU141" s="1150" t="n">
        <v>3421.89</v>
      </c>
      <c r="GV141" s="1115" t="n">
        <v>855.4725</v>
      </c>
      <c r="GW141" s="1115" t="n">
        <v>1026.567</v>
      </c>
      <c r="GX141" s="1115"/>
      <c r="GY141" s="1151" t="n">
        <v>2737.512</v>
      </c>
      <c r="GZ141" s="1115" t="n">
        <v>684.378</v>
      </c>
      <c r="HA141" s="1115" t="n">
        <v>821.2536</v>
      </c>
      <c r="HB141" s="1141"/>
      <c r="HC141" s="1115" t="n">
        <v>9547.0731</v>
      </c>
      <c r="HD141" s="1115"/>
      <c r="HE141" s="1115" t="n">
        <v>22276.5039</v>
      </c>
      <c r="HF141" s="1115" t="n">
        <v>335423.766465666</v>
      </c>
      <c r="HG141" s="1115"/>
      <c r="HH141" s="1142" t="n">
        <v>35.5972508289202</v>
      </c>
      <c r="HI141" s="1115" t="n">
        <v>792982.296919718</v>
      </c>
      <c r="HJ141" s="1150" t="e">
        <f aca="false">MAX(FB141-FP141-FW141,0)</f>
        <v>#VALUE!</v>
      </c>
      <c r="HK141" s="1115" t="e">
        <f aca="false">MAX(FD141-FR141-FX141,0)</f>
        <v>#VALUE!</v>
      </c>
      <c r="HL141" s="1115" t="e">
        <f aca="false">MAX(FF141-FT141-FY141,0)</f>
        <v>#VALUE!</v>
      </c>
      <c r="HM141" s="1141" t="e">
        <f aca="false">MAX(FH141-FV141-FZ141,0)</f>
        <v>#VALUE!</v>
      </c>
      <c r="HN141" s="1115" t="e">
        <f aca="false">SUM(HJ141:HM141)</f>
        <v>#VALUE!</v>
      </c>
      <c r="HO141" s="1142" t="n">
        <f aca="false">IF(ISERROR(+HP141/HN141),0,+HP141/HN141)</f>
        <v>0</v>
      </c>
      <c r="HP141" s="1143" t="e">
        <f aca="false">(HJ141*CE141+HK141*CF141+HL141*CG141+HM141*CH141)</f>
        <v>#VALUE!</v>
      </c>
      <c r="HQ141" s="1142"/>
      <c r="HR141" s="1150"/>
      <c r="HS141" s="1110"/>
      <c r="HT141" s="1141"/>
      <c r="HU141" s="1151"/>
      <c r="HV141" s="1142"/>
      <c r="HW141" s="1115"/>
      <c r="HX141" s="1149"/>
      <c r="HY141" s="1143"/>
      <c r="HZ141" s="1150"/>
      <c r="IA141" s="1142"/>
      <c r="IB141" s="1141"/>
      <c r="IC141" s="1151"/>
      <c r="ID141" s="1142"/>
      <c r="IE141" s="1141"/>
      <c r="IF141" s="1115"/>
      <c r="IG141" s="1142"/>
      <c r="IH141" s="1141"/>
      <c r="II141" s="1115"/>
      <c r="IJ141" s="1142"/>
      <c r="IK141" s="1115"/>
      <c r="IL141" s="1152"/>
      <c r="IM141" s="1192"/>
      <c r="IN141" s="1151"/>
      <c r="IO141" s="1151"/>
      <c r="IP141" s="1151"/>
      <c r="IQ141" s="1151"/>
      <c r="IR141" s="844"/>
    </row>
    <row r="142" customFormat="false" ht="13.5" hidden="false" customHeight="false" outlineLevel="0" collapsed="false">
      <c r="A142" s="0" t="str">
        <f aca="false">+D142&amp;"Q"&amp;ROUNDUP(E142/3,0)</f>
        <v>2010Q2</v>
      </c>
      <c r="B142" s="0" t="n">
        <f aca="false">YEAR(C142)</f>
        <v>2010</v>
      </c>
      <c r="C142" s="1153" t="n">
        <f aca="false">EOMONTH(C141,0)+1</f>
        <v>40330</v>
      </c>
      <c r="D142" s="841" t="n">
        <f aca="false">+YEAR(C142)</f>
        <v>2010</v>
      </c>
      <c r="E142" s="807" t="n">
        <f aca="false">MONTH(C142)</f>
        <v>6</v>
      </c>
      <c r="F142" s="1154" t="e">
        <f aca="false">IF(G142="","",Holiday(D142,E142))</f>
        <v>#VALUE!</v>
      </c>
      <c r="G142" s="1155" t="n">
        <v>40330</v>
      </c>
      <c r="H142" s="1156" t="n">
        <v>40359</v>
      </c>
      <c r="I142" s="1157" t="n">
        <f aca="false">I141</f>
        <v>0.0715</v>
      </c>
      <c r="J142" s="1158" t="n">
        <f aca="false">(1+I142/2)^(-2*(DATE(D143,E143,20)-$H$7)/365.25)</f>
        <v>0.475043146895751</v>
      </c>
      <c r="K142" s="1159"/>
      <c r="L142" s="1158"/>
      <c r="M142" s="1082" t="n">
        <v>0</v>
      </c>
      <c r="N142" s="1110" t="n">
        <f aca="false">M142</f>
        <v>0</v>
      </c>
      <c r="O142" s="1174" t="n">
        <f aca="false">N142</f>
        <v>0</v>
      </c>
      <c r="P142" s="1175" t="n">
        <f aca="false">M142</f>
        <v>0</v>
      </c>
      <c r="Q142" s="1110" t="n">
        <f aca="false">P142</f>
        <v>0</v>
      </c>
      <c r="R142" s="1174" t="n">
        <f aca="false">Q142</f>
        <v>0</v>
      </c>
      <c r="S142" s="1110" t="n">
        <f aca="false">R142</f>
        <v>0</v>
      </c>
      <c r="T142" s="1110" t="n">
        <f aca="false">S142</f>
        <v>0</v>
      </c>
      <c r="U142" s="1110" t="n">
        <f aca="false">T142</f>
        <v>0</v>
      </c>
      <c r="V142" s="1175" t="n">
        <f aca="false">U142</f>
        <v>0</v>
      </c>
      <c r="W142" s="1110" t="n">
        <f aca="false">V142</f>
        <v>0</v>
      </c>
      <c r="X142" s="1176" t="n">
        <f aca="false">W142</f>
        <v>0</v>
      </c>
      <c r="Y142" s="1086" t="n">
        <v>0</v>
      </c>
      <c r="Z142" s="1086" t="n">
        <v>0</v>
      </c>
      <c r="AA142" s="1087" t="n">
        <v>0</v>
      </c>
      <c r="AB142" s="1086" t="n">
        <v>0</v>
      </c>
      <c r="AC142" s="1086" t="n">
        <v>0</v>
      </c>
      <c r="AD142" s="1087" t="n">
        <v>0</v>
      </c>
      <c r="AE142" s="1086" t="n">
        <v>0</v>
      </c>
      <c r="AF142" s="1086" t="n">
        <v>0</v>
      </c>
      <c r="AG142" s="1087" t="n">
        <v>0</v>
      </c>
      <c r="AH142" s="1086" t="n">
        <v>0</v>
      </c>
      <c r="AI142" s="1086" t="n">
        <v>0</v>
      </c>
      <c r="AJ142" s="1087" t="n">
        <v>0</v>
      </c>
      <c r="AK142" s="1086" t="n">
        <v>0</v>
      </c>
      <c r="AL142" s="1086" t="n">
        <v>0</v>
      </c>
      <c r="AM142" s="1087" t="n">
        <v>0</v>
      </c>
      <c r="AN142" s="1086" t="n">
        <v>0</v>
      </c>
      <c r="AO142" s="1086" t="n">
        <v>0</v>
      </c>
      <c r="AP142" s="1087" t="n">
        <v>0</v>
      </c>
      <c r="AQ142" s="1086" t="n">
        <v>0</v>
      </c>
      <c r="AR142" s="1086" t="n">
        <v>0</v>
      </c>
      <c r="AS142" s="1087" t="n">
        <v>0</v>
      </c>
      <c r="AT142" s="1086" t="n">
        <v>0</v>
      </c>
      <c r="AU142" s="1086" t="n">
        <v>0</v>
      </c>
      <c r="AV142" s="1086" t="n">
        <v>0</v>
      </c>
      <c r="AW142" s="1172" t="n">
        <v>0</v>
      </c>
      <c r="AX142" s="807" t="n">
        <f aca="false">BB142-SUM(AY142:BA142)</f>
        <v>22</v>
      </c>
      <c r="AY142" s="807" t="n">
        <f aca="false">IF(AND($E142=MONTH(Summary!$E$24),$D142=YEAR(Summary!$E$24)),Summary!$E$25,1)*IF(G142="",0,INT((H142-MOD(H142,7)-G142)/7)+1-IF(BA142,IF(WEEKDAY(F142)=7,1,0),0))</f>
        <v>4</v>
      </c>
      <c r="AZ142" s="807" t="n">
        <f aca="false">IF(AND($E142=MONTH(Summary!$E$24),$D142=YEAR(Summary!$E$24)),Summary!$E$25,1)*IF(G142="",0,INT((H142-MOD(H142-1,7)-G142)/7)+1-IF(BA142,IF(WEEKDAY(F142)=1,1,0),0))</f>
        <v>4</v>
      </c>
      <c r="BA142" s="807" t="n">
        <v>0</v>
      </c>
      <c r="BB142" s="807" t="n">
        <f aca="false">IF(AND($E142=MONTH(Summary!$E$24),$D142=YEAR(Summary!$E$24)),Summary!$E$25,1)*IF(G142="",0,H142-G142+1)</f>
        <v>30</v>
      </c>
      <c r="BC142" s="1089" t="n">
        <f aca="false">Summary!$E$19</f>
        <v>0.015</v>
      </c>
      <c r="BD142" s="1090" t="n">
        <v>15602.4</v>
      </c>
      <c r="BE142" s="1091" t="n">
        <v>2836.8</v>
      </c>
      <c r="BF142" s="1091" t="n">
        <v>2836.8</v>
      </c>
      <c r="BG142" s="842"/>
      <c r="BH142" s="1092" t="n">
        <v>1</v>
      </c>
      <c r="BI142" s="1092" t="n">
        <v>1</v>
      </c>
      <c r="BJ142" s="1092" t="n">
        <v>1</v>
      </c>
      <c r="BK142" s="1092" t="n">
        <v>1</v>
      </c>
      <c r="BL142" s="1093" t="n">
        <v>3120.48</v>
      </c>
      <c r="BM142" s="1091" t="n">
        <v>567.36</v>
      </c>
      <c r="BN142" s="1091" t="n">
        <v>567.36</v>
      </c>
      <c r="BO142" s="842"/>
      <c r="BP142" s="1092" t="n">
        <v>1</v>
      </c>
      <c r="BQ142" s="1094" t="n">
        <v>1</v>
      </c>
      <c r="BR142" s="1094" t="n">
        <v>1</v>
      </c>
      <c r="BS142" s="1095" t="n">
        <v>1</v>
      </c>
      <c r="BT142" s="1093" t="n">
        <f aca="false">SUM(BD142:BF142)</f>
        <v>21276</v>
      </c>
      <c r="BU142" s="1098" t="n">
        <f aca="false">SUM(BD142:BG142)</f>
        <v>21276</v>
      </c>
      <c r="BV142" s="1090" t="n">
        <f aca="false">SUM(BL142:BN142)</f>
        <v>4255.2</v>
      </c>
      <c r="BW142" s="1098" t="n">
        <f aca="false">SUM(BL142:BO142)</f>
        <v>4255.2</v>
      </c>
      <c r="BX142" s="852" t="n">
        <v>10.4613278576318</v>
      </c>
      <c r="BY142" s="1099" t="n">
        <v>0</v>
      </c>
      <c r="BZ142" s="852" t="n">
        <v>0</v>
      </c>
      <c r="CA142" s="852" t="n">
        <v>0</v>
      </c>
      <c r="CB142" s="852" t="n">
        <v>0</v>
      </c>
      <c r="CC142" s="852" t="n">
        <v>0</v>
      </c>
      <c r="CD142" s="852" t="n">
        <v>0</v>
      </c>
      <c r="CE142" s="1100" t="n">
        <v>0</v>
      </c>
      <c r="CF142" s="852" t="n">
        <v>0</v>
      </c>
      <c r="CG142" s="852" t="n">
        <v>0</v>
      </c>
      <c r="CH142" s="852" t="n">
        <v>0</v>
      </c>
      <c r="CI142" s="852" t="n">
        <v>0</v>
      </c>
      <c r="CJ142" s="1101" t="n">
        <v>0</v>
      </c>
      <c r="CK142" s="852" t="n">
        <v>0</v>
      </c>
      <c r="CL142" s="852" t="n">
        <v>0</v>
      </c>
      <c r="CM142" s="852" t="n">
        <v>0</v>
      </c>
      <c r="CN142" s="852" t="n">
        <v>0</v>
      </c>
      <c r="CO142" s="852" t="n">
        <v>0</v>
      </c>
      <c r="CP142" s="852" t="n">
        <v>0</v>
      </c>
      <c r="CQ142" s="1102" t="n">
        <v>0</v>
      </c>
      <c r="CR142" s="1103" t="n">
        <v>0</v>
      </c>
      <c r="CS142" s="1103" t="n">
        <v>0</v>
      </c>
      <c r="CT142" s="1103" t="n">
        <v>0</v>
      </c>
      <c r="CU142" s="1103" t="n">
        <v>0</v>
      </c>
      <c r="CV142" s="1103" t="n">
        <v>0</v>
      </c>
      <c r="CW142" s="1103" t="n">
        <v>0</v>
      </c>
      <c r="CX142" s="1104" t="n">
        <v>0</v>
      </c>
      <c r="CY142" s="1105" t="n">
        <v>7724.9288</v>
      </c>
      <c r="CZ142" s="1099" t="n">
        <v>0</v>
      </c>
      <c r="DA142" s="852" t="n">
        <v>0</v>
      </c>
      <c r="DB142" s="852" t="n">
        <v>0</v>
      </c>
      <c r="DC142" s="852" t="n">
        <v>0</v>
      </c>
      <c r="DD142" s="852" t="n">
        <v>0</v>
      </c>
      <c r="DE142" s="1113" t="n">
        <v>0</v>
      </c>
      <c r="DF142" s="1109" t="n">
        <v>0</v>
      </c>
      <c r="DG142" s="1110" t="n">
        <v>0</v>
      </c>
      <c r="DH142" s="1111" t="n">
        <v>0</v>
      </c>
      <c r="DI142" s="1112" t="n">
        <v>0</v>
      </c>
      <c r="DJ142" s="1112" t="n">
        <v>0</v>
      </c>
      <c r="DK142" s="1112" t="n">
        <v>0</v>
      </c>
      <c r="DL142" s="1113" t="n">
        <v>0</v>
      </c>
      <c r="DM142" s="1114" t="n">
        <v>0</v>
      </c>
      <c r="DN142" s="1114" t="n">
        <v>0</v>
      </c>
      <c r="DO142" s="1114" t="n">
        <v>0</v>
      </c>
      <c r="DP142" s="1114" t="n">
        <v>0</v>
      </c>
      <c r="DQ142" s="1114" t="n">
        <v>0</v>
      </c>
      <c r="DR142" s="1109" t="n">
        <v>0</v>
      </c>
      <c r="DS142" s="852" t="n">
        <v>0</v>
      </c>
      <c r="DT142" s="852" t="n">
        <v>0</v>
      </c>
      <c r="DU142" s="852" t="n">
        <v>0</v>
      </c>
      <c r="DV142" s="852" t="n">
        <v>0</v>
      </c>
      <c r="DW142" s="852" t="n">
        <v>0</v>
      </c>
      <c r="DX142" s="852" t="n">
        <v>0</v>
      </c>
      <c r="DY142" s="852" t="n">
        <v>0</v>
      </c>
      <c r="DZ142" s="852" t="n">
        <v>0</v>
      </c>
      <c r="EA142" s="852" t="n">
        <v>0</v>
      </c>
      <c r="EB142" s="1113" t="n">
        <v>0</v>
      </c>
      <c r="EC142" s="1115" t="n">
        <f aca="false">DS142*BD142</f>
        <v>0</v>
      </c>
      <c r="ED142" s="1115" t="n">
        <f aca="false">DT142*BE142</f>
        <v>0</v>
      </c>
      <c r="EE142" s="1115" t="n">
        <f aca="false">DU142*BF142</f>
        <v>0</v>
      </c>
      <c r="EF142" s="1115" t="n">
        <f aca="false">DV142*BG142</f>
        <v>0</v>
      </c>
      <c r="EG142" s="1115" t="n">
        <f aca="false">DS142*BD142+DT142*BE142+DU142*BF142+DV142*BG142</f>
        <v>0</v>
      </c>
      <c r="EH142" s="1116" t="n">
        <v>0</v>
      </c>
      <c r="EI142" s="1117" t="n">
        <v>0</v>
      </c>
      <c r="EJ142" s="1117" t="n">
        <v>0</v>
      </c>
      <c r="EK142" s="1117" t="n">
        <v>0</v>
      </c>
      <c r="EL142" s="1118" t="n">
        <f aca="false">IF(C142&gt;=Summary!$E$26,MAX(0,SUM(EH142:EK142)),0)</f>
        <v>0</v>
      </c>
      <c r="EM142" s="1115" t="n">
        <f aca="false">IF(C142&gt;=Summary!$E$26,DX142*BL142,0)</f>
        <v>0</v>
      </c>
      <c r="EN142" s="1115" t="n">
        <f aca="false">IF(C142&gt;=Summary!$E$26,DY142*BM142,0)</f>
        <v>0</v>
      </c>
      <c r="EO142" s="1115" t="n">
        <f aca="false">IF(C142&gt;=Summary!$E$26,DZ142*BN142,0)</f>
        <v>0</v>
      </c>
      <c r="EP142" s="1115" t="n">
        <f aca="false">IF(C142&gt;=Summary!$E$26,EA142*BO142,0)</f>
        <v>0</v>
      </c>
      <c r="EQ142" s="1115" t="n">
        <f aca="false">IF(C142&gt;=Summary!$E$26,DX142*BL142+DY142*BM142+DZ142*BN142+EA142*BO142,0)</f>
        <v>0</v>
      </c>
      <c r="ER142" s="1119" t="n">
        <v>0</v>
      </c>
      <c r="ES142" s="1120" t="n">
        <v>0</v>
      </c>
      <c r="ET142" s="1120" t="n">
        <v>0</v>
      </c>
      <c r="EU142" s="1120" t="n">
        <v>0</v>
      </c>
      <c r="EV142" s="1143" t="n">
        <f aca="false">IF(C142&gt;=Summary!$E$26,MAX(0,SUM(ER142:EU142)),0)</f>
        <v>0</v>
      </c>
      <c r="EW142" s="1115"/>
      <c r="EX142" s="1165" t="n">
        <f aca="false">(EQ142-EV142)+IF(EZ142="Yes",(EG142-EL142),0)</f>
        <v>0</v>
      </c>
      <c r="EY142" s="1166" t="str">
        <f aca="false">IF(EX142,EX142/EQ142,"")</f>
        <v/>
      </c>
      <c r="EZ142" s="1122" t="s">
        <v>37</v>
      </c>
      <c r="FA142" s="1096" t="n">
        <f aca="false">FA141</f>
        <v>45</v>
      </c>
      <c r="FB142" s="1167" t="n">
        <f aca="false">IF(EZ142="No",IF((OR(MONTH(C142)=5,MONTH(C142)=6,MONTH(C142)=7,MONTH(C142)=8,MONTH(C142)=9)),$FA142*12*AX142*(1-$BC142),$FA142*10*AX142*(1-$BC142)),0)</f>
        <v>11701.8</v>
      </c>
      <c r="FC142" s="1129" t="n">
        <f aca="false">IF(EZ142="No",IF((OR(MONTH(C142)=5,MONTH(C142)=6,MONTH(C142)=7,MONTH(C142)=8,MONTH(C142)=9)),0,$FA142*3*AX142*(1-$BC142)),0)</f>
        <v>0</v>
      </c>
      <c r="FD142" s="1129" t="n">
        <f aca="false">IF(EZ142="No",IF((OR(MONTH(C142)=5,MONTH(C142)=6,MONTH(C142)=7,MONTH(C142)=8,MONTH(C142)=9)),$FA142*12*AY142*(1-$BC142),$FA142*10*AY142*(1-$BC142)),0)</f>
        <v>2127.6</v>
      </c>
      <c r="FE142" s="1129" t="n">
        <f aca="false">IF(EZ142="No",IF((OR(MONTH(C142)=5,MONTH(C142)=6,MONTH(C142)=7,MONTH(C142)=8,MONTH(C142)=9)),0,$FA142*3*AY142*(1-$BC142)),0)</f>
        <v>0</v>
      </c>
      <c r="FF142" s="1129" t="n">
        <f aca="false">IF(EZ142="No",IF((OR(MONTH(C142)=5,MONTH(C142)=6,MONTH(C142)=7,MONTH(C142)=8,MONTH(C142)=9)),$FA142*12*(AZ142+BA142)*(1-$BC142),$FA142*10*(AZ142+BA142)*(1-$BC142)),0)</f>
        <v>2127.6</v>
      </c>
      <c r="FG142" s="1129" t="n">
        <f aca="false">IF(EZ142="No",IF((OR(MONTH(C142)=5,MONTH(C142)=6,MONTH(C142)=7,MONTH(C142)=8,MONTH(C142)=9)),0,$FA142*3*(AZ142+BA142)*(1-$BC142)),0)</f>
        <v>0</v>
      </c>
      <c r="FH142" s="1170" t="n">
        <f aca="false">IF(EZ142="No",IF((OR(MONTH(C142)=5,MONTH(C142)=6,MONTH(C142)=7,MONTH(C142)=8,MONTH(C142)=9)),Summary!$O$15*12*(AX142+AY142+AZ142+BA142)*(1-$BC142),Summary!$O$15*13*(AX142+AY142+AZ142+BA142)*(1-$BC142)+IF(Summary!$O$16="Yes",(CALC!FA142+Summary!$O$15)*6*(AX142+AY142+AZ142+BA142)*(1-$BC142),0)),0)</f>
        <v>0</v>
      </c>
      <c r="FI142" s="1126" t="n">
        <f aca="false">IF(MONTH(C142)=5,FI141*(IF(Summary!$E$70="no",(1+(Summary!$E$71*0.8)),1+HLOOKUP(YEAR(C142)-1,CCFMODEL!$I$127:$AF$128,2)*0.8)),+FI141)</f>
        <v>34.5321162654377</v>
      </c>
      <c r="FJ142" s="1127" t="n">
        <f aca="false">IF(MONTH(C142)=5,FJ141*(IF(Summary!$E$70="no",(1+(Summary!$E$71*0.8)),1+HLOOKUP(YEAR(CALC!C142)-1,CCFMODEL!$I$127:$AF$128,2)*0.8)),FJ141)</f>
        <v>30.1816134288471</v>
      </c>
      <c r="FK142" s="1128" t="n">
        <f aca="false">SUM(FB142:FG142)*FI142+FH142*FJ142</f>
        <v>551028.979247589</v>
      </c>
      <c r="FL142" s="1126" t="n">
        <f aca="false">IF(MONTH(C142)=5,FL141*(IF(Summary!$E$70="no",(1+(Summary!$E$71*0.8)),1+HLOOKUP(YEAR(CALC!C142)-1,CCFMODEL!$I$127:$AF$128,2)*0.8)),+FL141)</f>
        <v>72.6249119358229</v>
      </c>
      <c r="FM142" s="1127" t="n">
        <f aca="false">IF(MONTH(C142)=5,FM141*(IF(Summary!$E$70="no",(1+(Summary!$E$71*0.8)),1+HLOOKUP(YEAR(CALC!C142)-1,CCFMODEL!$I$127:$AF$128,2)*0.8)),+FM141)</f>
        <v>34.6615955165267</v>
      </c>
      <c r="FN142" s="1128" t="n">
        <f aca="false">IF((OR(MONTH(C142)=5,MONTH(C142)=6,MONTH(C142)=7,MONTH(C142)=8,MONTH(C142)=9)),SUM(FB142:FG142)/(1-BC142)*FL142,SUM(FB142:FG142)/(1-BC142)*FM142)</f>
        <v>1176523.57336033</v>
      </c>
      <c r="FO142" s="1129" t="n">
        <f aca="false">FK142+FN142</f>
        <v>1727552.55260792</v>
      </c>
      <c r="FP142" s="1169" t="n">
        <f aca="false">FB142</f>
        <v>11701.8</v>
      </c>
      <c r="FQ142" s="1129" t="n">
        <f aca="false">FC142</f>
        <v>0</v>
      </c>
      <c r="FR142" s="1129" t="n">
        <f aca="false">FD142</f>
        <v>2127.6</v>
      </c>
      <c r="FS142" s="1129" t="n">
        <f aca="false">FE142</f>
        <v>0</v>
      </c>
      <c r="FT142" s="1129" t="n">
        <f aca="false">FF142</f>
        <v>2127.6</v>
      </c>
      <c r="FU142" s="1129" t="n">
        <f aca="false">FG142</f>
        <v>0</v>
      </c>
      <c r="FV142" s="1170" t="n">
        <f aca="false">FH142</f>
        <v>0</v>
      </c>
      <c r="FW142" s="1115" t="n">
        <f aca="false">IF(ER142&gt;0,MIN(FB142-FP142,BL142),0)</f>
        <v>0</v>
      </c>
      <c r="FX142" s="1115" t="n">
        <f aca="false">IF(ES142&gt;0,MIN(FD142-FR142,BM142),0)</f>
        <v>0</v>
      </c>
      <c r="FY142" s="1115" t="n">
        <f aca="false">IF(ET142&gt;0,MIN(FF142-FT142,BN142),0)</f>
        <v>0</v>
      </c>
      <c r="FZ142" s="1143" t="n">
        <f aca="false">IF(EU142&gt;0,MIN(FH142-FV142,BO142),0)</f>
        <v>0</v>
      </c>
      <c r="GA142" s="1132" t="n">
        <f aca="false">(SUM(FP142:FV142)+SUM(GU142:HB142)/(1-Summary!$O$25))*CY142/1000</f>
        <v>197226.70217856</v>
      </c>
      <c r="GB142" s="1196" t="n">
        <f aca="false">IF($C142&lt;Summary!$M$81,+Summary!$O$81,VLOOKUP(C142,GasTable,19))</f>
        <v>2.99924572329655</v>
      </c>
      <c r="GC142" s="1134" t="n">
        <f aca="false">IF(H142&lt;=Summary!$N$84,MIN(GA142,Summary!$O$75*(H142-G142+1)),0)</f>
        <v>0</v>
      </c>
      <c r="GD142" s="1135" t="n">
        <f aca="false">IF(C142&lt;Summary!$N$84,IF(Summary!$O$75*(H142-G142+1)*0.8&gt;GC142,1,0),0)</f>
        <v>0</v>
      </c>
      <c r="GE142" s="1136" t="n">
        <v>0</v>
      </c>
      <c r="GF142" s="1134" t="n">
        <f aca="false">ABS(MIN(0,GC142-$GA142))</f>
        <v>197226.70217856</v>
      </c>
      <c r="GG142" s="1135" t="n">
        <f aca="false">GF142*(IF(Summary!$O$74=1,VLOOKUP($C142,GasTable,16)+Summary!$O$92+Summary!$O$93,VLOOKUP($C142,GasTable,19)+Summary!$O$92+Summary!$O$93))</f>
        <v>601806.854212432</v>
      </c>
      <c r="GH142" s="1137" t="n">
        <v>4498.86858494483</v>
      </c>
      <c r="GI142" s="1138" t="n">
        <v>0</v>
      </c>
      <c r="GJ142" s="1139" t="n">
        <f aca="false">+GB142*GC142+GE142+GG142+GH142-GI142</f>
        <v>606305.722797377</v>
      </c>
      <c r="GK142" s="1115" t="n">
        <f aca="false">SUM(FP142:FV142,GU142:GX142,GY142:HB142)</f>
        <v>25196.103</v>
      </c>
      <c r="GL142" s="1140" t="n">
        <v>0.5175702296</v>
      </c>
      <c r="GM142" s="1141" t="n">
        <f aca="false">IF(GK142&gt;GC142/(CY142/1000),GC142/(CY142/1000),+GK142)*GL142</f>
        <v>0</v>
      </c>
      <c r="GN142" s="1115" t="n">
        <f aca="false">IF(SUM(GU142:HB142)=0,0,IF(Summary!$O$16="Yes",SUM(GX142:HB142),IF(Summary!$O$17="Yes",SUM(GY142:HB142),SUM(GU142:HB142))))</f>
        <v>9239.103</v>
      </c>
      <c r="GO142" s="1142" t="n">
        <v>3.19788335827947</v>
      </c>
      <c r="GP142" s="1143" t="n">
        <f aca="false">GN142*GO142</f>
        <v>29545.5737291299</v>
      </c>
      <c r="GQ142" s="1115"/>
      <c r="GR142" s="1115"/>
      <c r="GS142" s="1115"/>
      <c r="GT142" s="1115"/>
      <c r="GU142" s="1150" t="n">
        <v>3764.079</v>
      </c>
      <c r="GV142" s="1115" t="n">
        <v>684.378</v>
      </c>
      <c r="GW142" s="1115" t="n">
        <v>684.378</v>
      </c>
      <c r="GX142" s="1115"/>
      <c r="GY142" s="1151" t="n">
        <v>3011.2632</v>
      </c>
      <c r="GZ142" s="1115" t="n">
        <v>547.5024</v>
      </c>
      <c r="HA142" s="1115" t="n">
        <v>547.5024</v>
      </c>
      <c r="HB142" s="1141"/>
      <c r="HC142" s="1115" t="n">
        <v>9239.103</v>
      </c>
      <c r="HD142" s="1115"/>
      <c r="HE142" s="1115" t="n">
        <v>21557.907</v>
      </c>
      <c r="HF142" s="1115" t="n">
        <v>334545.806204955</v>
      </c>
      <c r="HG142" s="1115"/>
      <c r="HH142" s="1142" t="n">
        <v>37.4594952910378</v>
      </c>
      <c r="HI142" s="1115" t="n">
        <v>807548.31575113</v>
      </c>
      <c r="HJ142" s="1150" t="n">
        <f aca="false">MAX(FB142-FP142-FW142,0)</f>
        <v>0</v>
      </c>
      <c r="HK142" s="1115" t="n">
        <f aca="false">MAX(FD142-FR142-FX142,0)</f>
        <v>0</v>
      </c>
      <c r="HL142" s="1115" t="n">
        <f aca="false">MAX(FF142-FT142-FY142,0)</f>
        <v>0</v>
      </c>
      <c r="HM142" s="1141" t="n">
        <f aca="false">MAX(FH142-FV142-FZ142,0)</f>
        <v>0</v>
      </c>
      <c r="HN142" s="1115" t="n">
        <f aca="false">SUM(HJ142:HM142)</f>
        <v>0</v>
      </c>
      <c r="HO142" s="1142" t="n">
        <f aca="false">IF(ISERROR(+HP142/HN142),0,+HP142/HN142)</f>
        <v>0</v>
      </c>
      <c r="HP142" s="1143" t="n">
        <f aca="false">(HJ142*CE142+HK142*CF142+HL142*CG142+HM142*CH142)</f>
        <v>0</v>
      </c>
      <c r="HQ142" s="1142"/>
      <c r="HR142" s="1150"/>
      <c r="HS142" s="1110"/>
      <c r="HT142" s="1141"/>
      <c r="HU142" s="1151"/>
      <c r="HV142" s="1142"/>
      <c r="HW142" s="1115"/>
      <c r="HX142" s="1149"/>
      <c r="HY142" s="1143"/>
      <c r="HZ142" s="1150"/>
      <c r="IA142" s="1142"/>
      <c r="IB142" s="1141"/>
      <c r="IC142" s="1151"/>
      <c r="ID142" s="1142"/>
      <c r="IE142" s="1141"/>
      <c r="IF142" s="1115"/>
      <c r="IG142" s="1142"/>
      <c r="IH142" s="1141"/>
      <c r="II142" s="1115"/>
      <c r="IJ142" s="1142"/>
      <c r="IK142" s="1115"/>
      <c r="IL142" s="1152"/>
      <c r="IM142" s="1192"/>
      <c r="IN142" s="1151"/>
      <c r="IO142" s="1151"/>
      <c r="IP142" s="1151"/>
      <c r="IQ142" s="1151"/>
      <c r="IR142" s="844"/>
    </row>
    <row r="143" customFormat="false" ht="13.5" hidden="false" customHeight="false" outlineLevel="0" collapsed="false">
      <c r="A143" s="0" t="str">
        <f aca="false">+D143&amp;"Q"&amp;ROUNDUP(E143/3,0)</f>
        <v>2010Q3</v>
      </c>
      <c r="B143" s="0" t="n">
        <f aca="false">YEAR(C143)</f>
        <v>2010</v>
      </c>
      <c r="C143" s="1153" t="n">
        <f aca="false">EOMONTH(C142,0)+1</f>
        <v>40360</v>
      </c>
      <c r="D143" s="841" t="n">
        <f aca="false">+YEAR(C143)</f>
        <v>2010</v>
      </c>
      <c r="E143" s="807" t="n">
        <f aca="false">MONTH(C143)</f>
        <v>7</v>
      </c>
      <c r="F143" s="1154" t="e">
        <f aca="false">IF(G143="","",Holiday(D143,E143))</f>
        <v>#VALUE!</v>
      </c>
      <c r="G143" s="1155" t="n">
        <v>40360</v>
      </c>
      <c r="H143" s="1156" t="n">
        <v>40390</v>
      </c>
      <c r="I143" s="1157" t="n">
        <f aca="false">I142</f>
        <v>0.0715</v>
      </c>
      <c r="J143" s="1158" t="n">
        <f aca="false">(1+I143/2)^(-2*(DATE(D144,E144,20)-$H$7)/365.25)</f>
        <v>0.472219133999434</v>
      </c>
      <c r="K143" s="1159"/>
      <c r="L143" s="1158"/>
      <c r="M143" s="1082" t="n">
        <v>0</v>
      </c>
      <c r="N143" s="1110" t="n">
        <f aca="false">M143</f>
        <v>0</v>
      </c>
      <c r="O143" s="1174" t="n">
        <f aca="false">N143</f>
        <v>0</v>
      </c>
      <c r="P143" s="1175" t="n">
        <f aca="false">M143</f>
        <v>0</v>
      </c>
      <c r="Q143" s="1110" t="n">
        <f aca="false">P143</f>
        <v>0</v>
      </c>
      <c r="R143" s="1174" t="n">
        <f aca="false">Q143</f>
        <v>0</v>
      </c>
      <c r="S143" s="1110" t="n">
        <f aca="false">R143</f>
        <v>0</v>
      </c>
      <c r="T143" s="1110" t="n">
        <f aca="false">S143</f>
        <v>0</v>
      </c>
      <c r="U143" s="1110" t="n">
        <f aca="false">T143</f>
        <v>0</v>
      </c>
      <c r="V143" s="1175" t="n">
        <f aca="false">U143</f>
        <v>0</v>
      </c>
      <c r="W143" s="1110" t="n">
        <f aca="false">V143</f>
        <v>0</v>
      </c>
      <c r="X143" s="1176" t="n">
        <f aca="false">W143</f>
        <v>0</v>
      </c>
      <c r="Y143" s="1086" t="n">
        <v>0</v>
      </c>
      <c r="Z143" s="1086" t="n">
        <v>0</v>
      </c>
      <c r="AA143" s="1087" t="n">
        <v>0</v>
      </c>
      <c r="AB143" s="1086" t="n">
        <v>0</v>
      </c>
      <c r="AC143" s="1086" t="n">
        <v>0</v>
      </c>
      <c r="AD143" s="1087" t="n">
        <v>0</v>
      </c>
      <c r="AE143" s="1086" t="n">
        <v>0</v>
      </c>
      <c r="AF143" s="1086" t="n">
        <v>0</v>
      </c>
      <c r="AG143" s="1087" t="n">
        <v>0</v>
      </c>
      <c r="AH143" s="1086" t="n">
        <v>0</v>
      </c>
      <c r="AI143" s="1086" t="n">
        <v>0</v>
      </c>
      <c r="AJ143" s="1087" t="n">
        <v>0</v>
      </c>
      <c r="AK143" s="1086" t="n">
        <v>0</v>
      </c>
      <c r="AL143" s="1086" t="n">
        <v>0</v>
      </c>
      <c r="AM143" s="1087" t="n">
        <v>0</v>
      </c>
      <c r="AN143" s="1086" t="n">
        <v>0</v>
      </c>
      <c r="AO143" s="1086" t="n">
        <v>0</v>
      </c>
      <c r="AP143" s="1087" t="n">
        <v>0</v>
      </c>
      <c r="AQ143" s="1086" t="n">
        <v>0</v>
      </c>
      <c r="AR143" s="1086" t="n">
        <v>0</v>
      </c>
      <c r="AS143" s="1087" t="n">
        <v>0</v>
      </c>
      <c r="AT143" s="1086" t="n">
        <v>0</v>
      </c>
      <c r="AU143" s="1086" t="n">
        <v>0</v>
      </c>
      <c r="AV143" s="1086" t="n">
        <v>0</v>
      </c>
      <c r="AW143" s="1172" t="n">
        <v>0</v>
      </c>
      <c r="AX143" s="807" t="e">
        <f aca="false">BB143-SUM(AY143:BA143)</f>
        <v>#VALUE!</v>
      </c>
      <c r="AY143" s="807" t="e">
        <f aca="false">IF(AND($E143=MONTH(Summary!$E$24),$D143=YEAR(Summary!$E$24)),Summary!$E$25,1)*IF(G143="",0,INT((H143-MOD(H143,7)-G143)/7)+1-IF(BA143,IF(WEEKDAY(F143)=7,1,0),0))</f>
        <v>#VALUE!</v>
      </c>
      <c r="AZ143" s="807" t="e">
        <f aca="false">IF(AND($E143=MONTH(Summary!$E$24),$D143=YEAR(Summary!$E$24)),Summary!$E$25,1)*IF(G143="",0,INT((H143-MOD(H143-1,7)-G143)/7)+1-IF(BA143,IF(WEEKDAY(F143)=1,1,0),0))</f>
        <v>#VALUE!</v>
      </c>
      <c r="BA143" s="807" t="n">
        <v>1</v>
      </c>
      <c r="BB143" s="807" t="n">
        <f aca="false">IF(AND($E143=MONTH(Summary!$E$24),$D143=YEAR(Summary!$E$24)),Summary!$E$25,1)*IF(G143="",0,H143-G143+1)</f>
        <v>31</v>
      </c>
      <c r="BC143" s="1089" t="n">
        <f aca="false">Summary!$E$19</f>
        <v>0.015</v>
      </c>
      <c r="BD143" s="1090" t="n">
        <v>14893.2</v>
      </c>
      <c r="BE143" s="1091" t="n">
        <v>3546</v>
      </c>
      <c r="BF143" s="1091" t="n">
        <v>3546</v>
      </c>
      <c r="BG143" s="842"/>
      <c r="BH143" s="1092" t="n">
        <v>1</v>
      </c>
      <c r="BI143" s="1092" t="n">
        <v>1</v>
      </c>
      <c r="BJ143" s="1092" t="n">
        <v>1</v>
      </c>
      <c r="BK143" s="1092" t="n">
        <v>1</v>
      </c>
      <c r="BL143" s="1093" t="n">
        <v>2978.64</v>
      </c>
      <c r="BM143" s="1091" t="n">
        <v>709.2</v>
      </c>
      <c r="BN143" s="1091" t="n">
        <v>709.2</v>
      </c>
      <c r="BO143" s="842"/>
      <c r="BP143" s="1092" t="n">
        <v>1</v>
      </c>
      <c r="BQ143" s="1094" t="n">
        <v>1</v>
      </c>
      <c r="BR143" s="1094" t="n">
        <v>1</v>
      </c>
      <c r="BS143" s="1095" t="n">
        <v>1</v>
      </c>
      <c r="BT143" s="1093" t="n">
        <f aca="false">SUM(BD143:BF143)</f>
        <v>21985.2</v>
      </c>
      <c r="BU143" s="1098" t="n">
        <f aca="false">SUM(BD143:BG143)</f>
        <v>21985.2</v>
      </c>
      <c r="BV143" s="1090" t="n">
        <f aca="false">SUM(BL143:BN143)</f>
        <v>4397.04</v>
      </c>
      <c r="BW143" s="1098" t="n">
        <f aca="false">SUM(BL143:BO143)</f>
        <v>4397.04</v>
      </c>
      <c r="BX143" s="852" t="n">
        <v>10.5434633812457</v>
      </c>
      <c r="BY143" s="1099" t="n">
        <v>0</v>
      </c>
      <c r="BZ143" s="852" t="n">
        <v>0</v>
      </c>
      <c r="CA143" s="852" t="n">
        <v>0</v>
      </c>
      <c r="CB143" s="852" t="n">
        <v>0</v>
      </c>
      <c r="CC143" s="852" t="n">
        <v>0</v>
      </c>
      <c r="CD143" s="852" t="n">
        <v>0</v>
      </c>
      <c r="CE143" s="1100" t="n">
        <v>0</v>
      </c>
      <c r="CF143" s="852" t="n">
        <v>0</v>
      </c>
      <c r="CG143" s="852" t="n">
        <v>0</v>
      </c>
      <c r="CH143" s="852" t="n">
        <v>0</v>
      </c>
      <c r="CI143" s="852" t="n">
        <v>0</v>
      </c>
      <c r="CJ143" s="1101" t="n">
        <v>0</v>
      </c>
      <c r="CK143" s="852" t="n">
        <v>0</v>
      </c>
      <c r="CL143" s="852" t="n">
        <v>0</v>
      </c>
      <c r="CM143" s="852" t="n">
        <v>0</v>
      </c>
      <c r="CN143" s="852" t="n">
        <v>0</v>
      </c>
      <c r="CO143" s="852" t="n">
        <v>0</v>
      </c>
      <c r="CP143" s="852" t="n">
        <v>0</v>
      </c>
      <c r="CQ143" s="1102" t="n">
        <v>0</v>
      </c>
      <c r="CR143" s="1103" t="n">
        <v>0</v>
      </c>
      <c r="CS143" s="1103" t="n">
        <v>0</v>
      </c>
      <c r="CT143" s="1103" t="n">
        <v>0</v>
      </c>
      <c r="CU143" s="1103" t="n">
        <v>0</v>
      </c>
      <c r="CV143" s="1103" t="n">
        <v>0</v>
      </c>
      <c r="CW143" s="1103" t="n">
        <v>0</v>
      </c>
      <c r="CX143" s="1104" t="n">
        <v>0</v>
      </c>
      <c r="CY143" s="1105" t="n">
        <v>7726.95976</v>
      </c>
      <c r="CZ143" s="1099" t="n">
        <v>0</v>
      </c>
      <c r="DA143" s="852" t="n">
        <v>0</v>
      </c>
      <c r="DB143" s="852" t="n">
        <v>0</v>
      </c>
      <c r="DC143" s="852" t="n">
        <v>0</v>
      </c>
      <c r="DD143" s="852" t="n">
        <v>0</v>
      </c>
      <c r="DE143" s="1113" t="n">
        <v>0</v>
      </c>
      <c r="DF143" s="1109" t="n">
        <v>0</v>
      </c>
      <c r="DG143" s="1110" t="n">
        <v>0</v>
      </c>
      <c r="DH143" s="1111" t="n">
        <v>0</v>
      </c>
      <c r="DI143" s="1112" t="n">
        <v>0</v>
      </c>
      <c r="DJ143" s="1112" t="n">
        <v>0</v>
      </c>
      <c r="DK143" s="1112" t="n">
        <v>0</v>
      </c>
      <c r="DL143" s="1113" t="n">
        <v>0</v>
      </c>
      <c r="DM143" s="1114" t="n">
        <v>0</v>
      </c>
      <c r="DN143" s="1114" t="n">
        <v>0</v>
      </c>
      <c r="DO143" s="1114" t="n">
        <v>0</v>
      </c>
      <c r="DP143" s="1114" t="n">
        <v>0</v>
      </c>
      <c r="DQ143" s="1114" t="n">
        <v>0</v>
      </c>
      <c r="DR143" s="1109" t="n">
        <v>0</v>
      </c>
      <c r="DS143" s="852" t="n">
        <v>0</v>
      </c>
      <c r="DT143" s="852" t="n">
        <v>0</v>
      </c>
      <c r="DU143" s="852" t="n">
        <v>0</v>
      </c>
      <c r="DV143" s="852" t="n">
        <v>0</v>
      </c>
      <c r="DW143" s="852" t="n">
        <v>0</v>
      </c>
      <c r="DX143" s="852" t="n">
        <v>0</v>
      </c>
      <c r="DY143" s="852" t="n">
        <v>0</v>
      </c>
      <c r="DZ143" s="852" t="n">
        <v>0</v>
      </c>
      <c r="EA143" s="852" t="n">
        <v>0</v>
      </c>
      <c r="EB143" s="1113" t="n">
        <v>0</v>
      </c>
      <c r="EC143" s="1115" t="n">
        <f aca="false">DS143*BD143</f>
        <v>0</v>
      </c>
      <c r="ED143" s="1115" t="n">
        <f aca="false">DT143*BE143</f>
        <v>0</v>
      </c>
      <c r="EE143" s="1115" t="n">
        <f aca="false">DU143*BF143</f>
        <v>0</v>
      </c>
      <c r="EF143" s="1115" t="n">
        <f aca="false">DV143*BG143</f>
        <v>0</v>
      </c>
      <c r="EG143" s="1115" t="n">
        <f aca="false">DS143*BD143+DT143*BE143+DU143*BF143+DV143*BG143</f>
        <v>0</v>
      </c>
      <c r="EH143" s="1116" t="n">
        <v>0</v>
      </c>
      <c r="EI143" s="1117" t="n">
        <v>0</v>
      </c>
      <c r="EJ143" s="1117" t="n">
        <v>0</v>
      </c>
      <c r="EK143" s="1117" t="n">
        <v>0</v>
      </c>
      <c r="EL143" s="1118" t="n">
        <f aca="false">IF(C143&gt;=Summary!$E$26,MAX(0,SUM(EH143:EK143)),0)</f>
        <v>0</v>
      </c>
      <c r="EM143" s="1115" t="n">
        <f aca="false">IF(C143&gt;=Summary!$E$26,DX143*BL143,0)</f>
        <v>0</v>
      </c>
      <c r="EN143" s="1115" t="n">
        <f aca="false">IF(C143&gt;=Summary!$E$26,DY143*BM143,0)</f>
        <v>0</v>
      </c>
      <c r="EO143" s="1115" t="n">
        <f aca="false">IF(C143&gt;=Summary!$E$26,DZ143*BN143,0)</f>
        <v>0</v>
      </c>
      <c r="EP143" s="1115" t="n">
        <f aca="false">IF(C143&gt;=Summary!$E$26,EA143*BO143,0)</f>
        <v>0</v>
      </c>
      <c r="EQ143" s="1115" t="n">
        <f aca="false">IF(C143&gt;=Summary!$E$26,DX143*BL143+DY143*BM143+DZ143*BN143+EA143*BO143,0)</f>
        <v>0</v>
      </c>
      <c r="ER143" s="1119" t="n">
        <v>0</v>
      </c>
      <c r="ES143" s="1120" t="n">
        <v>0</v>
      </c>
      <c r="ET143" s="1120" t="n">
        <v>0</v>
      </c>
      <c r="EU143" s="1120" t="n">
        <v>0</v>
      </c>
      <c r="EV143" s="1143" t="n">
        <f aca="false">IF(C143&gt;=Summary!$E$26,MAX(0,SUM(ER143:EU143)),0)</f>
        <v>0</v>
      </c>
      <c r="EW143" s="1115"/>
      <c r="EX143" s="1165" t="n">
        <f aca="false">(EQ143-EV143)+IF(EZ143="Yes",(EG143-EL143),0)</f>
        <v>0</v>
      </c>
      <c r="EY143" s="1166" t="str">
        <f aca="false">IF(EX143,EX143/EQ143,"")</f>
        <v/>
      </c>
      <c r="EZ143" s="1122" t="s">
        <v>37</v>
      </c>
      <c r="FA143" s="1096" t="n">
        <f aca="false">FA142</f>
        <v>45</v>
      </c>
      <c r="FB143" s="1167" t="e">
        <f aca="false">IF(EZ143="No",IF((OR(MONTH(C143)=5,MONTH(C143)=6,MONTH(C143)=7,MONTH(C143)=8,MONTH(C143)=9)),$FA143*12*AX143*(1-$BC143),$FA143*10*AX143*(1-$BC143)),0)</f>
        <v>#VALUE!</v>
      </c>
      <c r="FC143" s="1129" t="n">
        <f aca="false">IF(EZ143="No",IF((OR(MONTH(C143)=5,MONTH(C143)=6,MONTH(C143)=7,MONTH(C143)=8,MONTH(C143)=9)),0,$FA143*3*AX143*(1-$BC143)),0)</f>
        <v>0</v>
      </c>
      <c r="FD143" s="1129" t="e">
        <f aca="false">IF(EZ143="No",IF((OR(MONTH(C143)=5,MONTH(C143)=6,MONTH(C143)=7,MONTH(C143)=8,MONTH(C143)=9)),$FA143*12*AY143*(1-$BC143),$FA143*10*AY143*(1-$BC143)),0)</f>
        <v>#VALUE!</v>
      </c>
      <c r="FE143" s="1129" t="n">
        <f aca="false">IF(EZ143="No",IF((OR(MONTH(C143)=5,MONTH(C143)=6,MONTH(C143)=7,MONTH(C143)=8,MONTH(C143)=9)),0,$FA143*3*AY143*(1-$BC143)),0)</f>
        <v>0</v>
      </c>
      <c r="FF143" s="1129" t="e">
        <f aca="false">IF(EZ143="No",IF((OR(MONTH(C143)=5,MONTH(C143)=6,MONTH(C143)=7,MONTH(C143)=8,MONTH(C143)=9)),$FA143*12*(AZ143+BA143)*(1-$BC143),$FA143*10*(AZ143+BA143)*(1-$BC143)),0)</f>
        <v>#VALUE!</v>
      </c>
      <c r="FG143" s="1129" t="n">
        <f aca="false">IF(EZ143="No",IF((OR(MONTH(C143)=5,MONTH(C143)=6,MONTH(C143)=7,MONTH(C143)=8,MONTH(C143)=9)),0,$FA143*3*(AZ143+BA143)*(1-$BC143)),0)</f>
        <v>0</v>
      </c>
      <c r="FH143" s="1170" t="e">
        <f aca="false">IF(EZ143="No",IF((OR(MONTH(C143)=5,MONTH(C143)=6,MONTH(C143)=7,MONTH(C143)=8,MONTH(C143)=9)),Summary!$O$15*12*(AX143+AY143+AZ143+BA143)*(1-$BC143),Summary!$O$15*13*(AX143+AY143+AZ143+BA143)*(1-$BC143)+IF(Summary!$O$16="Yes",(CALC!FA143+Summary!$O$15)*6*(AX143+AY143+AZ143+BA143)*(1-$BC143),0)),0)</f>
        <v>#VALUE!</v>
      </c>
      <c r="FI143" s="1126" t="n">
        <f aca="false">IF(MONTH(C143)=5,FI142*(IF(Summary!$E$70="no",(1+(Summary!$E$71*0.8)),1+HLOOKUP(YEAR(C143)-1,CCFMODEL!$I$127:$AF$128,2)*0.8)),+FI142)</f>
        <v>34.5321162654377</v>
      </c>
      <c r="FJ143" s="1127" t="n">
        <f aca="false">IF(MONTH(C143)=5,FJ142*(IF(Summary!$E$70="no",(1+(Summary!$E$71*0.8)),1+HLOOKUP(YEAR(CALC!C143)-1,CCFMODEL!$I$127:$AF$128,2)*0.8)),FJ142)</f>
        <v>30.1816134288471</v>
      </c>
      <c r="FK143" s="1128" t="e">
        <f aca="false">SUM(FB143:FG143)*FI143+FH143*FJ143</f>
        <v>#VALUE!</v>
      </c>
      <c r="FL143" s="1126" t="n">
        <f aca="false">IF(MONTH(C143)=5,FL142*(IF(Summary!$E$70="no",(1+(Summary!$E$71*0.8)),1+HLOOKUP(YEAR(CALC!C143)-1,CCFMODEL!$I$127:$AF$128,2)*0.8)),+FL142)</f>
        <v>72.6249119358229</v>
      </c>
      <c r="FM143" s="1127" t="n">
        <f aca="false">IF(MONTH(C143)=5,FM142*(IF(Summary!$E$70="no",(1+(Summary!$E$71*0.8)),1+HLOOKUP(YEAR(CALC!C143)-1,CCFMODEL!$I$127:$AF$128,2)*0.8)),+FM142)</f>
        <v>34.6615955165267</v>
      </c>
      <c r="FN143" s="1128" t="e">
        <f aca="false">IF((OR(MONTH(C143)=5,MONTH(C143)=6,MONTH(C143)=7,MONTH(C143)=8,MONTH(C143)=9)),SUM(FB143:FG143)/(1-BC143)*FL143,SUM(FB143:FG143)/(1-BC143)*FM143)</f>
        <v>#VALUE!</v>
      </c>
      <c r="FO143" s="1129" t="e">
        <f aca="false">FK143+FN143</f>
        <v>#VALUE!</v>
      </c>
      <c r="FP143" s="1169" t="e">
        <f aca="false">FB143</f>
        <v>#VALUE!</v>
      </c>
      <c r="FQ143" s="1129" t="n">
        <f aca="false">FC143</f>
        <v>0</v>
      </c>
      <c r="FR143" s="1129" t="e">
        <f aca="false">FD143</f>
        <v>#VALUE!</v>
      </c>
      <c r="FS143" s="1129" t="n">
        <f aca="false">FE143</f>
        <v>0</v>
      </c>
      <c r="FT143" s="1129" t="e">
        <f aca="false">FF143</f>
        <v>#VALUE!</v>
      </c>
      <c r="FU143" s="1129" t="n">
        <f aca="false">FG143</f>
        <v>0</v>
      </c>
      <c r="FV143" s="1170" t="e">
        <f aca="false">FH143</f>
        <v>#VALUE!</v>
      </c>
      <c r="FW143" s="1115" t="n">
        <f aca="false">IF(ER143&gt;0,MIN(FB143-FP143,BL143),0)</f>
        <v>0</v>
      </c>
      <c r="FX143" s="1115" t="n">
        <f aca="false">IF(ES143&gt;0,MIN(FD143-FR143,BM143),0)</f>
        <v>0</v>
      </c>
      <c r="FY143" s="1115" t="n">
        <f aca="false">IF(ET143&gt;0,MIN(FF143-FT143,BN143),0)</f>
        <v>0</v>
      </c>
      <c r="FZ143" s="1143" t="n">
        <f aca="false">IF(EU143&gt;0,MIN(FH143-FV143,BO143),0)</f>
        <v>0</v>
      </c>
      <c r="GA143" s="1132" t="e">
        <f aca="false">(SUM(FP143:FV143)+SUM(GU143:HB143)/(1-Summary!$O$25))*CY143/1000</f>
        <v>#VALUE!</v>
      </c>
      <c r="GB143" s="1196" t="n">
        <f aca="false">IF($C143&lt;Summary!$M$81,+Summary!$O$81,VLOOKUP(C143,GasTable,19))</f>
        <v>3.08111340563128</v>
      </c>
      <c r="GC143" s="1134" t="n">
        <f aca="false">IF(H143&lt;=Summary!$N$84,MIN(GA143,Summary!$O$75*(H143-G143+1)),0)</f>
        <v>0</v>
      </c>
      <c r="GD143" s="1135" t="n">
        <f aca="false">IF(C143&lt;Summary!$N$84,IF(Summary!$O$75*(H143-G143+1)*0.8&gt;GC143,1,0),0)</f>
        <v>0</v>
      </c>
      <c r="GE143" s="1136" t="n">
        <v>0</v>
      </c>
      <c r="GF143" s="1134" t="e">
        <f aca="false">ABS(MIN(0,GC143-$GA143))</f>
        <v>#VALUE!</v>
      </c>
      <c r="GG143" s="1135" t="e">
        <f aca="false">GF143*(IF(Summary!$O$74=1,VLOOKUP($C143,GasTable,16)+Summary!$O$92+Summary!$O$93,VLOOKUP($C143,GasTable,19)+Summary!$O$92+Summary!$O$93))</f>
        <v>#VALUE!</v>
      </c>
      <c r="GH143" s="1137" t="n">
        <v>4775.72577872849</v>
      </c>
      <c r="GI143" s="1138" t="n">
        <v>0</v>
      </c>
      <c r="GJ143" s="1139" t="e">
        <f aca="false">+GB143*GC143+GE143+GG143+GH143-GI143</f>
        <v>#VALUE!</v>
      </c>
      <c r="GK143" s="1115" t="e">
        <f aca="false">SUM(FP143:FV143,GU143:GX143,GY143:HB143)</f>
        <v>#VALUE!</v>
      </c>
      <c r="GL143" s="1140" t="n">
        <v>0.51770630392</v>
      </c>
      <c r="GM143" s="1141" t="e">
        <f aca="false">IF(GK143&gt;GC143/(CY143/1000),GC143/(CY143/1000),+GK143)*GL143</f>
        <v>#VALUE!</v>
      </c>
      <c r="GN143" s="1115" t="n">
        <f aca="false">IF(SUM(GU143:HB143)=0,0,IF(Summary!$O$16="Yes",SUM(GX143:HB143),IF(Summary!$O$17="Yes",SUM(GY143:HB143),SUM(GU143:HB143))))</f>
        <v>9547.0731</v>
      </c>
      <c r="GO143" s="1142" t="n">
        <v>3.19788335827947</v>
      </c>
      <c r="GP143" s="1143" t="n">
        <f aca="false">GN143*GO143</f>
        <v>30530.4261867676</v>
      </c>
      <c r="GQ143" s="1115"/>
      <c r="GR143" s="1115"/>
      <c r="GS143" s="1115"/>
      <c r="GT143" s="1115"/>
      <c r="GU143" s="1150" t="n">
        <v>3592.9845</v>
      </c>
      <c r="GV143" s="1115" t="n">
        <v>855.4725</v>
      </c>
      <c r="GW143" s="1115" t="n">
        <v>855.4725</v>
      </c>
      <c r="GX143" s="1115"/>
      <c r="GY143" s="1151" t="n">
        <v>2874.3876</v>
      </c>
      <c r="GZ143" s="1115" t="n">
        <v>684.378</v>
      </c>
      <c r="HA143" s="1115" t="n">
        <v>684.378</v>
      </c>
      <c r="HB143" s="1141"/>
      <c r="HC143" s="1115" t="n">
        <v>9547.0731</v>
      </c>
      <c r="HD143" s="1115"/>
      <c r="HE143" s="1115" t="n">
        <v>22276.5039</v>
      </c>
      <c r="HF143" s="1115" t="n">
        <v>456392.989579422</v>
      </c>
      <c r="HG143" s="1115"/>
      <c r="HH143" s="1142" t="n">
        <v>50.6237605469639</v>
      </c>
      <c r="HI143" s="1115" t="n">
        <v>1127720.39925711</v>
      </c>
      <c r="HJ143" s="1150" t="e">
        <f aca="false">MAX(FB143-FP143-FW143,0)</f>
        <v>#VALUE!</v>
      </c>
      <c r="HK143" s="1115" t="e">
        <f aca="false">MAX(FD143-FR143-FX143,0)</f>
        <v>#VALUE!</v>
      </c>
      <c r="HL143" s="1115" t="e">
        <f aca="false">MAX(FF143-FT143-FY143,0)</f>
        <v>#VALUE!</v>
      </c>
      <c r="HM143" s="1141" t="e">
        <f aca="false">MAX(FH143-FV143-FZ143,0)</f>
        <v>#VALUE!</v>
      </c>
      <c r="HN143" s="1115" t="e">
        <f aca="false">SUM(HJ143:HM143)</f>
        <v>#VALUE!</v>
      </c>
      <c r="HO143" s="1142" t="n">
        <f aca="false">IF(ISERROR(+HP143/HN143),0,+HP143/HN143)</f>
        <v>0</v>
      </c>
      <c r="HP143" s="1143" t="e">
        <f aca="false">(HJ143*CE143+HK143*CF143+HL143*CG143+HM143*CH143)</f>
        <v>#VALUE!</v>
      </c>
      <c r="HQ143" s="1142"/>
      <c r="HR143" s="1150"/>
      <c r="HS143" s="1110"/>
      <c r="HT143" s="1141"/>
      <c r="HU143" s="1151"/>
      <c r="HV143" s="1142"/>
      <c r="HW143" s="1115"/>
      <c r="HX143" s="1149"/>
      <c r="HY143" s="1143"/>
      <c r="HZ143" s="1150"/>
      <c r="IA143" s="1142"/>
      <c r="IB143" s="1141"/>
      <c r="IC143" s="1151"/>
      <c r="ID143" s="1142"/>
      <c r="IE143" s="1141"/>
      <c r="IF143" s="1115"/>
      <c r="IG143" s="1142"/>
      <c r="IH143" s="1141"/>
      <c r="II143" s="1115"/>
      <c r="IJ143" s="1142"/>
      <c r="IK143" s="1115"/>
      <c r="IL143" s="1152"/>
      <c r="IM143" s="1192"/>
      <c r="IN143" s="1151"/>
      <c r="IO143" s="1151"/>
      <c r="IP143" s="1151"/>
      <c r="IQ143" s="1151"/>
      <c r="IR143" s="844"/>
    </row>
    <row r="144" customFormat="false" ht="13.5" hidden="false" customHeight="false" outlineLevel="0" collapsed="false">
      <c r="A144" s="0" t="str">
        <f aca="false">+D144&amp;"Q"&amp;ROUNDUP(E144/3,0)</f>
        <v>2010Q3</v>
      </c>
      <c r="B144" s="0" t="n">
        <f aca="false">YEAR(C144)</f>
        <v>2010</v>
      </c>
      <c r="C144" s="1153" t="n">
        <f aca="false">EOMONTH(C143,0)+1</f>
        <v>40391</v>
      </c>
      <c r="D144" s="841" t="n">
        <f aca="false">+YEAR(C144)</f>
        <v>2010</v>
      </c>
      <c r="E144" s="807" t="n">
        <f aca="false">MONTH(C144)</f>
        <v>8</v>
      </c>
      <c r="F144" s="1154" t="e">
        <f aca="false">IF(G144="","",Holiday(D144,E144))</f>
        <v>#VALUE!</v>
      </c>
      <c r="G144" s="1155" t="n">
        <v>40391</v>
      </c>
      <c r="H144" s="1156" t="n">
        <v>40421</v>
      </c>
      <c r="I144" s="1157" t="n">
        <f aca="false">I143</f>
        <v>0.0715</v>
      </c>
      <c r="J144" s="1158" t="n">
        <f aca="false">(1+I144/2)^(-2*(DATE(D145,E145,20)-$H$7)/365.25)</f>
        <v>0.469411909154666</v>
      </c>
      <c r="K144" s="1159"/>
      <c r="L144" s="1158"/>
      <c r="M144" s="1082" t="n">
        <v>0</v>
      </c>
      <c r="N144" s="1110" t="n">
        <f aca="false">M144</f>
        <v>0</v>
      </c>
      <c r="O144" s="1174" t="n">
        <f aca="false">N144</f>
        <v>0</v>
      </c>
      <c r="P144" s="1175" t="n">
        <f aca="false">M144</f>
        <v>0</v>
      </c>
      <c r="Q144" s="1110" t="n">
        <f aca="false">P144</f>
        <v>0</v>
      </c>
      <c r="R144" s="1174" t="n">
        <f aca="false">Q144</f>
        <v>0</v>
      </c>
      <c r="S144" s="1110" t="n">
        <f aca="false">R144</f>
        <v>0</v>
      </c>
      <c r="T144" s="1110" t="n">
        <f aca="false">S144</f>
        <v>0</v>
      </c>
      <c r="U144" s="1110" t="n">
        <f aca="false">T144</f>
        <v>0</v>
      </c>
      <c r="V144" s="1175" t="n">
        <f aca="false">U144</f>
        <v>0</v>
      </c>
      <c r="W144" s="1110" t="n">
        <f aca="false">V144</f>
        <v>0</v>
      </c>
      <c r="X144" s="1176" t="n">
        <f aca="false">W144</f>
        <v>0</v>
      </c>
      <c r="Y144" s="1086" t="n">
        <v>0</v>
      </c>
      <c r="Z144" s="1086" t="n">
        <v>0</v>
      </c>
      <c r="AA144" s="1087" t="n">
        <v>0</v>
      </c>
      <c r="AB144" s="1086" t="n">
        <v>0</v>
      </c>
      <c r="AC144" s="1086" t="n">
        <v>0</v>
      </c>
      <c r="AD144" s="1087" t="n">
        <v>0</v>
      </c>
      <c r="AE144" s="1086" t="n">
        <v>0</v>
      </c>
      <c r="AF144" s="1086" t="n">
        <v>0</v>
      </c>
      <c r="AG144" s="1087" t="n">
        <v>0</v>
      </c>
      <c r="AH144" s="1086" t="n">
        <v>0</v>
      </c>
      <c r="AI144" s="1086" t="n">
        <v>0</v>
      </c>
      <c r="AJ144" s="1087" t="n">
        <v>0</v>
      </c>
      <c r="AK144" s="1086" t="n">
        <v>0</v>
      </c>
      <c r="AL144" s="1086" t="n">
        <v>0</v>
      </c>
      <c r="AM144" s="1087" t="n">
        <v>0</v>
      </c>
      <c r="AN144" s="1086" t="n">
        <v>0</v>
      </c>
      <c r="AO144" s="1086" t="n">
        <v>0</v>
      </c>
      <c r="AP144" s="1087" t="n">
        <v>0</v>
      </c>
      <c r="AQ144" s="1086" t="n">
        <v>0</v>
      </c>
      <c r="AR144" s="1086" t="n">
        <v>0</v>
      </c>
      <c r="AS144" s="1087" t="n">
        <v>0</v>
      </c>
      <c r="AT144" s="1086" t="n">
        <v>0</v>
      </c>
      <c r="AU144" s="1086" t="n">
        <v>0</v>
      </c>
      <c r="AV144" s="1086" t="n">
        <v>0</v>
      </c>
      <c r="AW144" s="1172" t="n">
        <v>0</v>
      </c>
      <c r="AX144" s="807" t="n">
        <f aca="false">BB144-SUM(AY144:BA144)</f>
        <v>22</v>
      </c>
      <c r="AY144" s="807" t="n">
        <f aca="false">IF(AND($E144=MONTH(Summary!$E$24),$D144=YEAR(Summary!$E$24)),Summary!$E$25,1)*IF(G144="",0,INT((H144-MOD(H144,7)-G144)/7)+1-IF(BA144,IF(WEEKDAY(F144)=7,1,0),0))</f>
        <v>4</v>
      </c>
      <c r="AZ144" s="807" t="n">
        <f aca="false">IF(AND($E144=MONTH(Summary!$E$24),$D144=YEAR(Summary!$E$24)),Summary!$E$25,1)*IF(G144="",0,INT((H144-MOD(H144-1,7)-G144)/7)+1-IF(BA144,IF(WEEKDAY(F144)=1,1,0),0))</f>
        <v>5</v>
      </c>
      <c r="BA144" s="807" t="n">
        <v>0</v>
      </c>
      <c r="BB144" s="807" t="n">
        <f aca="false">IF(AND($E144=MONTH(Summary!$E$24),$D144=YEAR(Summary!$E$24)),Summary!$E$25,1)*IF(G144="",0,H144-G144+1)</f>
        <v>31</v>
      </c>
      <c r="BC144" s="1089" t="n">
        <f aca="false">Summary!$E$19</f>
        <v>0.015</v>
      </c>
      <c r="BD144" s="1090" t="n">
        <v>15602.4</v>
      </c>
      <c r="BE144" s="1091" t="n">
        <v>2836.8</v>
      </c>
      <c r="BF144" s="1091" t="n">
        <v>3546</v>
      </c>
      <c r="BG144" s="842"/>
      <c r="BH144" s="1092" t="n">
        <v>1</v>
      </c>
      <c r="BI144" s="1092" t="n">
        <v>1</v>
      </c>
      <c r="BJ144" s="1092" t="n">
        <v>1</v>
      </c>
      <c r="BK144" s="1092" t="n">
        <v>1</v>
      </c>
      <c r="BL144" s="1093" t="n">
        <v>3120.48</v>
      </c>
      <c r="BM144" s="1091" t="n">
        <v>567.36</v>
      </c>
      <c r="BN144" s="1091" t="n">
        <v>709.2</v>
      </c>
      <c r="BO144" s="842"/>
      <c r="BP144" s="1092" t="n">
        <v>1</v>
      </c>
      <c r="BQ144" s="1094" t="n">
        <v>1</v>
      </c>
      <c r="BR144" s="1094" t="n">
        <v>1</v>
      </c>
      <c r="BS144" s="1095" t="n">
        <v>1</v>
      </c>
      <c r="BT144" s="1093" t="n">
        <f aca="false">SUM(BD144:BF144)</f>
        <v>21985.2</v>
      </c>
      <c r="BU144" s="1098" t="n">
        <f aca="false">SUM(BD144:BG144)</f>
        <v>21985.2</v>
      </c>
      <c r="BV144" s="1090" t="n">
        <f aca="false">SUM(BL144:BN144)</f>
        <v>4397.04</v>
      </c>
      <c r="BW144" s="1098" t="n">
        <f aca="false">SUM(BL144:BO144)</f>
        <v>4397.04</v>
      </c>
      <c r="BX144" s="852" t="n">
        <v>10.6283367556468</v>
      </c>
      <c r="BY144" s="1099" t="n">
        <v>0</v>
      </c>
      <c r="BZ144" s="852" t="n">
        <v>0</v>
      </c>
      <c r="CA144" s="852" t="n">
        <v>0</v>
      </c>
      <c r="CB144" s="852" t="n">
        <v>0</v>
      </c>
      <c r="CC144" s="852" t="n">
        <v>0</v>
      </c>
      <c r="CD144" s="852" t="n">
        <v>0</v>
      </c>
      <c r="CE144" s="1100" t="n">
        <v>0</v>
      </c>
      <c r="CF144" s="852" t="n">
        <v>0</v>
      </c>
      <c r="CG144" s="852" t="n">
        <v>0</v>
      </c>
      <c r="CH144" s="852" t="n">
        <v>0</v>
      </c>
      <c r="CI144" s="852" t="n">
        <v>0</v>
      </c>
      <c r="CJ144" s="1101" t="n">
        <v>0</v>
      </c>
      <c r="CK144" s="852" t="n">
        <v>0</v>
      </c>
      <c r="CL144" s="852" t="n">
        <v>0</v>
      </c>
      <c r="CM144" s="852" t="n">
        <v>0</v>
      </c>
      <c r="CN144" s="852" t="n">
        <v>0</v>
      </c>
      <c r="CO144" s="852" t="n">
        <v>0</v>
      </c>
      <c r="CP144" s="852" t="n">
        <v>0</v>
      </c>
      <c r="CQ144" s="1102" t="n">
        <v>0</v>
      </c>
      <c r="CR144" s="1103" t="n">
        <v>0</v>
      </c>
      <c r="CS144" s="1103" t="n">
        <v>0</v>
      </c>
      <c r="CT144" s="1103" t="n">
        <v>0</v>
      </c>
      <c r="CU144" s="1103" t="n">
        <v>0</v>
      </c>
      <c r="CV144" s="1103" t="n">
        <v>0</v>
      </c>
      <c r="CW144" s="1103" t="n">
        <v>0</v>
      </c>
      <c r="CX144" s="1104" t="n">
        <v>0</v>
      </c>
      <c r="CY144" s="1105" t="n">
        <v>7728.99072</v>
      </c>
      <c r="CZ144" s="1099" t="n">
        <v>0</v>
      </c>
      <c r="DA144" s="852" t="n">
        <v>0</v>
      </c>
      <c r="DB144" s="852" t="n">
        <v>0</v>
      </c>
      <c r="DC144" s="852" t="n">
        <v>0</v>
      </c>
      <c r="DD144" s="852" t="n">
        <v>0</v>
      </c>
      <c r="DE144" s="1113" t="n">
        <v>0</v>
      </c>
      <c r="DF144" s="1109" t="n">
        <v>0</v>
      </c>
      <c r="DG144" s="1110" t="n">
        <v>0</v>
      </c>
      <c r="DH144" s="1111" t="n">
        <v>0</v>
      </c>
      <c r="DI144" s="1112" t="n">
        <v>0</v>
      </c>
      <c r="DJ144" s="1112" t="n">
        <v>0</v>
      </c>
      <c r="DK144" s="1112" t="n">
        <v>0</v>
      </c>
      <c r="DL144" s="1113" t="n">
        <v>0</v>
      </c>
      <c r="DM144" s="1114" t="n">
        <v>0</v>
      </c>
      <c r="DN144" s="1114" t="n">
        <v>0</v>
      </c>
      <c r="DO144" s="1114" t="n">
        <v>0</v>
      </c>
      <c r="DP144" s="1114" t="n">
        <v>0</v>
      </c>
      <c r="DQ144" s="1114" t="n">
        <v>0</v>
      </c>
      <c r="DR144" s="1109" t="n">
        <v>0</v>
      </c>
      <c r="DS144" s="852" t="n">
        <v>0</v>
      </c>
      <c r="DT144" s="852" t="n">
        <v>0</v>
      </c>
      <c r="DU144" s="852" t="n">
        <v>0</v>
      </c>
      <c r="DV144" s="852" t="n">
        <v>0</v>
      </c>
      <c r="DW144" s="852" t="n">
        <v>0</v>
      </c>
      <c r="DX144" s="852" t="n">
        <v>0</v>
      </c>
      <c r="DY144" s="852" t="n">
        <v>0</v>
      </c>
      <c r="DZ144" s="852" t="n">
        <v>0</v>
      </c>
      <c r="EA144" s="852" t="n">
        <v>0</v>
      </c>
      <c r="EB144" s="1113" t="n">
        <v>0</v>
      </c>
      <c r="EC144" s="1115" t="n">
        <f aca="false">DS144*BD144</f>
        <v>0</v>
      </c>
      <c r="ED144" s="1115" t="n">
        <f aca="false">DT144*BE144</f>
        <v>0</v>
      </c>
      <c r="EE144" s="1115" t="n">
        <f aca="false">DU144*BF144</f>
        <v>0</v>
      </c>
      <c r="EF144" s="1115" t="n">
        <f aca="false">DV144*BG144</f>
        <v>0</v>
      </c>
      <c r="EG144" s="1115" t="n">
        <f aca="false">DS144*BD144+DT144*BE144+DU144*BF144+DV144*BG144</f>
        <v>0</v>
      </c>
      <c r="EH144" s="1116" t="n">
        <v>0</v>
      </c>
      <c r="EI144" s="1117" t="n">
        <v>0</v>
      </c>
      <c r="EJ144" s="1117" t="n">
        <v>0</v>
      </c>
      <c r="EK144" s="1117" t="n">
        <v>0</v>
      </c>
      <c r="EL144" s="1118" t="n">
        <f aca="false">IF(C144&gt;=Summary!$E$26,MAX(0,SUM(EH144:EK144)),0)</f>
        <v>0</v>
      </c>
      <c r="EM144" s="1115" t="n">
        <f aca="false">IF(C144&gt;=Summary!$E$26,DX144*BL144,0)</f>
        <v>0</v>
      </c>
      <c r="EN144" s="1115" t="n">
        <f aca="false">IF(C144&gt;=Summary!$E$26,DY144*BM144,0)</f>
        <v>0</v>
      </c>
      <c r="EO144" s="1115" t="n">
        <f aca="false">IF(C144&gt;=Summary!$E$26,DZ144*BN144,0)</f>
        <v>0</v>
      </c>
      <c r="EP144" s="1115" t="n">
        <f aca="false">IF(C144&gt;=Summary!$E$26,EA144*BO144,0)</f>
        <v>0</v>
      </c>
      <c r="EQ144" s="1115" t="n">
        <f aca="false">IF(C144&gt;=Summary!$E$26,DX144*BL144+DY144*BM144+DZ144*BN144+EA144*BO144,0)</f>
        <v>0</v>
      </c>
      <c r="ER144" s="1119" t="n">
        <v>0</v>
      </c>
      <c r="ES144" s="1120" t="n">
        <v>0</v>
      </c>
      <c r="ET144" s="1120" t="n">
        <v>0</v>
      </c>
      <c r="EU144" s="1120" t="n">
        <v>0</v>
      </c>
      <c r="EV144" s="1143" t="n">
        <f aca="false">IF(C144&gt;=Summary!$E$26,MAX(0,SUM(ER144:EU144)),0)</f>
        <v>0</v>
      </c>
      <c r="EW144" s="1115"/>
      <c r="EX144" s="1165" t="n">
        <f aca="false">(EQ144-EV144)+IF(EZ144="Yes",(EG144-EL144),0)</f>
        <v>0</v>
      </c>
      <c r="EY144" s="1166" t="str">
        <f aca="false">IF(EX144,EX144/EQ144,"")</f>
        <v/>
      </c>
      <c r="EZ144" s="1122" t="s">
        <v>37</v>
      </c>
      <c r="FA144" s="1096" t="n">
        <f aca="false">FA143</f>
        <v>45</v>
      </c>
      <c r="FB144" s="1167" t="n">
        <f aca="false">IF(EZ144="No",IF((OR(MONTH(C144)=5,MONTH(C144)=6,MONTH(C144)=7,MONTH(C144)=8,MONTH(C144)=9)),$FA144*12*AX144*(1-$BC144),$FA144*10*AX144*(1-$BC144)),0)</f>
        <v>11701.8</v>
      </c>
      <c r="FC144" s="1129" t="n">
        <f aca="false">IF(EZ144="No",IF((OR(MONTH(C144)=5,MONTH(C144)=6,MONTH(C144)=7,MONTH(C144)=8,MONTH(C144)=9)),0,$FA144*3*AX144*(1-$BC144)),0)</f>
        <v>0</v>
      </c>
      <c r="FD144" s="1129" t="n">
        <f aca="false">IF(EZ144="No",IF((OR(MONTH(C144)=5,MONTH(C144)=6,MONTH(C144)=7,MONTH(C144)=8,MONTH(C144)=9)),$FA144*12*AY144*(1-$BC144),$FA144*10*AY144*(1-$BC144)),0)</f>
        <v>2127.6</v>
      </c>
      <c r="FE144" s="1129" t="n">
        <f aca="false">IF(EZ144="No",IF((OR(MONTH(C144)=5,MONTH(C144)=6,MONTH(C144)=7,MONTH(C144)=8,MONTH(C144)=9)),0,$FA144*3*AY144*(1-$BC144)),0)</f>
        <v>0</v>
      </c>
      <c r="FF144" s="1129" t="n">
        <f aca="false">IF(EZ144="No",IF((OR(MONTH(C144)=5,MONTH(C144)=6,MONTH(C144)=7,MONTH(C144)=8,MONTH(C144)=9)),$FA144*12*(AZ144+BA144)*(1-$BC144),$FA144*10*(AZ144+BA144)*(1-$BC144)),0)</f>
        <v>2659.5</v>
      </c>
      <c r="FG144" s="1129" t="n">
        <f aca="false">IF(EZ144="No",IF((OR(MONTH(C144)=5,MONTH(C144)=6,MONTH(C144)=7,MONTH(C144)=8,MONTH(C144)=9)),0,$FA144*3*(AZ144+BA144)*(1-$BC144)),0)</f>
        <v>0</v>
      </c>
      <c r="FH144" s="1170" t="n">
        <f aca="false">IF(EZ144="No",IF((OR(MONTH(C144)=5,MONTH(C144)=6,MONTH(C144)=7,MONTH(C144)=8,MONTH(C144)=9)),Summary!$O$15*12*(AX144+AY144+AZ144+BA144)*(1-$BC144),Summary!$O$15*13*(AX144+AY144+AZ144+BA144)*(1-$BC144)+IF(Summary!$O$16="Yes",(CALC!FA144+Summary!$O$15)*6*(AX144+AY144+AZ144+BA144)*(1-$BC144),0)),0)</f>
        <v>0</v>
      </c>
      <c r="FI144" s="1126" t="n">
        <f aca="false">IF(MONTH(C144)=5,FI143*(IF(Summary!$E$70="no",(1+(Summary!$E$71*0.8)),1+HLOOKUP(YEAR(C144)-1,CCFMODEL!$I$127:$AF$128,2)*0.8)),+FI143)</f>
        <v>34.5321162654377</v>
      </c>
      <c r="FJ144" s="1127" t="n">
        <f aca="false">IF(MONTH(C144)=5,FJ143*(IF(Summary!$E$70="no",(1+(Summary!$E$71*0.8)),1+HLOOKUP(YEAR(CALC!C144)-1,CCFMODEL!$I$127:$AF$128,2)*0.8)),FJ143)</f>
        <v>30.1816134288471</v>
      </c>
      <c r="FK144" s="1128" t="n">
        <f aca="false">SUM(FB144:FG144)*FI144+FH144*FJ144</f>
        <v>569396.611889175</v>
      </c>
      <c r="FL144" s="1126" t="n">
        <f aca="false">IF(MONTH(C144)=5,FL143*(IF(Summary!$E$70="no",(1+(Summary!$E$71*0.8)),1+HLOOKUP(YEAR(CALC!C144)-1,CCFMODEL!$I$127:$AF$128,2)*0.8)),+FL143)</f>
        <v>72.6249119358229</v>
      </c>
      <c r="FM144" s="1127" t="n">
        <f aca="false">IF(MONTH(C144)=5,FM143*(IF(Summary!$E$70="no",(1+(Summary!$E$71*0.8)),1+HLOOKUP(YEAR(CALC!C144)-1,CCFMODEL!$I$127:$AF$128,2)*0.8)),+FM143)</f>
        <v>34.6615955165267</v>
      </c>
      <c r="FN144" s="1128" t="n">
        <f aca="false">IF((OR(MONTH(C144)=5,MONTH(C144)=6,MONTH(C144)=7,MONTH(C144)=8,MONTH(C144)=9)),SUM(FB144:FG144)/(1-BC144)*FL144,SUM(FB144:FG144)/(1-BC144)*FM144)</f>
        <v>1215741.02580568</v>
      </c>
      <c r="FO144" s="1129" t="n">
        <f aca="false">FK144+FN144</f>
        <v>1785137.63769485</v>
      </c>
      <c r="FP144" s="1169" t="n">
        <f aca="false">FB144</f>
        <v>11701.8</v>
      </c>
      <c r="FQ144" s="1129" t="n">
        <f aca="false">FC144</f>
        <v>0</v>
      </c>
      <c r="FR144" s="1129" t="n">
        <f aca="false">FD144</f>
        <v>2127.6</v>
      </c>
      <c r="FS144" s="1129" t="n">
        <f aca="false">FE144</f>
        <v>0</v>
      </c>
      <c r="FT144" s="1129" t="n">
        <f aca="false">FF144</f>
        <v>2659.5</v>
      </c>
      <c r="FU144" s="1129" t="n">
        <f aca="false">FG144</f>
        <v>0</v>
      </c>
      <c r="FV144" s="1170" t="n">
        <f aca="false">FH144</f>
        <v>0</v>
      </c>
      <c r="FW144" s="1115" t="n">
        <f aca="false">IF(ER144&gt;0,MIN(FB144-FP144,BL144),0)</f>
        <v>0</v>
      </c>
      <c r="FX144" s="1115" t="n">
        <f aca="false">IF(ES144&gt;0,MIN(FD144-FR144,BM144),0)</f>
        <v>0</v>
      </c>
      <c r="FY144" s="1115" t="n">
        <f aca="false">IF(ET144&gt;0,MIN(FF144-FT144,BN144),0)</f>
        <v>0</v>
      </c>
      <c r="FZ144" s="1143" t="n">
        <f aca="false">IF(EU144&gt;0,MIN(FH144-FV144,BO144),0)</f>
        <v>0</v>
      </c>
      <c r="GA144" s="1132" t="n">
        <f aca="false">(SUM(FP144:FV144)+SUM(GU144:HB144)/(1-Summary!$O$25))*CY144/1000</f>
        <v>203908.088132813</v>
      </c>
      <c r="GB144" s="1196" t="n">
        <f aca="false">IF($C144&lt;Summary!$M$81,+Summary!$O$81,VLOOKUP(C144,GasTable,19))</f>
        <v>3.19738251751376</v>
      </c>
      <c r="GC144" s="1134" t="n">
        <f aca="false">IF(H144&lt;=Summary!$N$84,MIN(GA144,Summary!$O$75*(H144-G144+1)),0)</f>
        <v>0</v>
      </c>
      <c r="GD144" s="1135" t="n">
        <f aca="false">IF(C144&lt;Summary!$N$84,IF(Summary!$O$75*(H144-G144+1)*0.8&gt;GC144,1,0),0)</f>
        <v>0</v>
      </c>
      <c r="GE144" s="1136" t="n">
        <v>0</v>
      </c>
      <c r="GF144" s="1134" t="n">
        <f aca="false">ABS(MIN(0,GC144-$GA144))</f>
        <v>203908.088132813</v>
      </c>
      <c r="GG144" s="1135" t="n">
        <f aca="false">GF144*(IF(Summary!$O$74=1,VLOOKUP($C144,GasTable,16)+Summary!$O$92+Summary!$O$93,VLOOKUP($C144,GasTable,19)+Summary!$O$92+Summary!$O$93))</f>
        <v>662595.767567231</v>
      </c>
      <c r="GH144" s="1137" t="n">
        <v>4955.94290214633</v>
      </c>
      <c r="GI144" s="1138" t="n">
        <v>0</v>
      </c>
      <c r="GJ144" s="1139" t="n">
        <f aca="false">+GB144*GC144+GE144+GG144+GH144-GI144</f>
        <v>667551.710469377</v>
      </c>
      <c r="GK144" s="1115" t="n">
        <f aca="false">SUM(FP144:FV144,GU144:GX144,GY144:HB144)</f>
        <v>26035.9731</v>
      </c>
      <c r="GL144" s="1140" t="n">
        <v>0.51784237824</v>
      </c>
      <c r="GM144" s="1141" t="n">
        <f aca="false">IF(GK144&gt;GC144/(CY144/1000),GC144/(CY144/1000),+GK144)*GL144</f>
        <v>0</v>
      </c>
      <c r="GN144" s="1115" t="n">
        <f aca="false">IF(SUM(GU144:HB144)=0,0,IF(Summary!$O$16="Yes",SUM(GX144:HB144),IF(Summary!$O$17="Yes",SUM(GY144:HB144),SUM(GU144:HB144))))</f>
        <v>9547.0731</v>
      </c>
      <c r="GO144" s="1142" t="n">
        <v>3.19788335827947</v>
      </c>
      <c r="GP144" s="1143" t="n">
        <f aca="false">GN144*GO144</f>
        <v>30530.4261867676</v>
      </c>
      <c r="GQ144" s="1115"/>
      <c r="GR144" s="1115"/>
      <c r="GS144" s="1115"/>
      <c r="GT144" s="1115"/>
      <c r="GU144" s="1150" t="n">
        <v>3764.079</v>
      </c>
      <c r="GV144" s="1115" t="n">
        <v>684.378</v>
      </c>
      <c r="GW144" s="1115" t="n">
        <v>855.4725</v>
      </c>
      <c r="GX144" s="1115"/>
      <c r="GY144" s="1151" t="n">
        <v>3011.2632</v>
      </c>
      <c r="GZ144" s="1115" t="n">
        <v>547.5024</v>
      </c>
      <c r="HA144" s="1115" t="n">
        <v>684.378</v>
      </c>
      <c r="HB144" s="1141"/>
      <c r="HC144" s="1115" t="n">
        <v>9547.0731</v>
      </c>
      <c r="HD144" s="1115"/>
      <c r="HE144" s="1115" t="n">
        <v>22276.5039</v>
      </c>
      <c r="HF144" s="1115" t="n">
        <v>651386.267444238</v>
      </c>
      <c r="HG144" s="1115"/>
      <c r="HH144" s="1142" t="n">
        <v>71.8384423762627</v>
      </c>
      <c r="HI144" s="1115" t="n">
        <v>1600309.34176474</v>
      </c>
      <c r="HJ144" s="1150" t="n">
        <f aca="false">MAX(FB144-FP144-FW144,0)</f>
        <v>0</v>
      </c>
      <c r="HK144" s="1115" t="n">
        <f aca="false">MAX(FD144-FR144-FX144,0)</f>
        <v>0</v>
      </c>
      <c r="HL144" s="1115" t="n">
        <f aca="false">MAX(FF144-FT144-FY144,0)</f>
        <v>0</v>
      </c>
      <c r="HM144" s="1141" t="n">
        <f aca="false">MAX(FH144-FV144-FZ144,0)</f>
        <v>0</v>
      </c>
      <c r="HN144" s="1115" t="n">
        <f aca="false">SUM(HJ144:HM144)</f>
        <v>0</v>
      </c>
      <c r="HO144" s="1142" t="n">
        <f aca="false">IF(ISERROR(+HP144/HN144),0,+HP144/HN144)</f>
        <v>0</v>
      </c>
      <c r="HP144" s="1143" t="n">
        <f aca="false">(HJ144*CE144+HK144*CF144+HL144*CG144+HM144*CH144)</f>
        <v>0</v>
      </c>
      <c r="HQ144" s="1142"/>
      <c r="HR144" s="1150"/>
      <c r="HS144" s="1110"/>
      <c r="HT144" s="1141"/>
      <c r="HU144" s="1151"/>
      <c r="HV144" s="1142"/>
      <c r="HW144" s="1115"/>
      <c r="HX144" s="1149"/>
      <c r="HY144" s="1143"/>
      <c r="HZ144" s="1150"/>
      <c r="IA144" s="1142"/>
      <c r="IB144" s="1141"/>
      <c r="IC144" s="1151"/>
      <c r="ID144" s="1142"/>
      <c r="IE144" s="1141"/>
      <c r="IF144" s="1115"/>
      <c r="IG144" s="1142"/>
      <c r="IH144" s="1141"/>
      <c r="II144" s="1115"/>
      <c r="IJ144" s="1142"/>
      <c r="IK144" s="1115"/>
      <c r="IL144" s="1152"/>
      <c r="IM144" s="1192"/>
      <c r="IN144" s="1151"/>
      <c r="IO144" s="1151"/>
      <c r="IP144" s="1151"/>
      <c r="IQ144" s="1151"/>
      <c r="IR144" s="844"/>
    </row>
    <row r="145" customFormat="false" ht="13.5" hidden="false" customHeight="false" outlineLevel="0" collapsed="false">
      <c r="A145" s="0" t="str">
        <f aca="false">+D145&amp;"Q"&amp;ROUNDUP(E145/3,0)</f>
        <v>2010Q3</v>
      </c>
      <c r="B145" s="0" t="n">
        <f aca="false">YEAR(C145)</f>
        <v>2010</v>
      </c>
      <c r="C145" s="1153" t="n">
        <f aca="false">EOMONTH(C144,0)+1</f>
        <v>40422</v>
      </c>
      <c r="D145" s="841" t="n">
        <f aca="false">+YEAR(C145)</f>
        <v>2010</v>
      </c>
      <c r="E145" s="807" t="n">
        <f aca="false">MONTH(C145)</f>
        <v>9</v>
      </c>
      <c r="F145" s="1154" t="e">
        <f aca="false">IF(G145="","",Holiday(D145,E145))</f>
        <v>#VALUE!</v>
      </c>
      <c r="G145" s="1155" t="n">
        <v>40422</v>
      </c>
      <c r="H145" s="1156" t="n">
        <v>40451</v>
      </c>
      <c r="I145" s="1157" t="n">
        <f aca="false">I144</f>
        <v>0.0715</v>
      </c>
      <c r="J145" s="1158" t="n">
        <f aca="false">(1+I145/2)^(-2*(DATE(D146,E146,20)-$H$7)/365.25)</f>
        <v>0.466711130404823</v>
      </c>
      <c r="K145" s="1159"/>
      <c r="L145" s="1158"/>
      <c r="M145" s="1082" t="n">
        <v>0</v>
      </c>
      <c r="N145" s="1110" t="n">
        <f aca="false">M145</f>
        <v>0</v>
      </c>
      <c r="O145" s="1174" t="n">
        <f aca="false">N145</f>
        <v>0</v>
      </c>
      <c r="P145" s="1175" t="n">
        <f aca="false">M145</f>
        <v>0</v>
      </c>
      <c r="Q145" s="1110" t="n">
        <f aca="false">P145</f>
        <v>0</v>
      </c>
      <c r="R145" s="1174" t="n">
        <f aca="false">Q145</f>
        <v>0</v>
      </c>
      <c r="S145" s="1110" t="n">
        <f aca="false">R145</f>
        <v>0</v>
      </c>
      <c r="T145" s="1110" t="n">
        <f aca="false">S145</f>
        <v>0</v>
      </c>
      <c r="U145" s="1110" t="n">
        <f aca="false">T145</f>
        <v>0</v>
      </c>
      <c r="V145" s="1175" t="n">
        <f aca="false">U145</f>
        <v>0</v>
      </c>
      <c r="W145" s="1110" t="n">
        <f aca="false">V145</f>
        <v>0</v>
      </c>
      <c r="X145" s="1176" t="n">
        <f aca="false">W145</f>
        <v>0</v>
      </c>
      <c r="Y145" s="1086" t="n">
        <v>0</v>
      </c>
      <c r="Z145" s="1086" t="n">
        <v>0</v>
      </c>
      <c r="AA145" s="1087" t="n">
        <v>0</v>
      </c>
      <c r="AB145" s="1086" t="n">
        <v>0</v>
      </c>
      <c r="AC145" s="1086" t="n">
        <v>0</v>
      </c>
      <c r="AD145" s="1087" t="n">
        <v>0</v>
      </c>
      <c r="AE145" s="1086" t="n">
        <v>0</v>
      </c>
      <c r="AF145" s="1086" t="n">
        <v>0</v>
      </c>
      <c r="AG145" s="1087" t="n">
        <v>0</v>
      </c>
      <c r="AH145" s="1086" t="n">
        <v>0</v>
      </c>
      <c r="AI145" s="1086" t="n">
        <v>0</v>
      </c>
      <c r="AJ145" s="1087" t="n">
        <v>0</v>
      </c>
      <c r="AK145" s="1086" t="n">
        <v>0</v>
      </c>
      <c r="AL145" s="1086" t="n">
        <v>0</v>
      </c>
      <c r="AM145" s="1087" t="n">
        <v>0</v>
      </c>
      <c r="AN145" s="1086" t="n">
        <v>0</v>
      </c>
      <c r="AO145" s="1086" t="n">
        <v>0</v>
      </c>
      <c r="AP145" s="1087" t="n">
        <v>0</v>
      </c>
      <c r="AQ145" s="1086" t="n">
        <v>0</v>
      </c>
      <c r="AR145" s="1086" t="n">
        <v>0</v>
      </c>
      <c r="AS145" s="1087" t="n">
        <v>0</v>
      </c>
      <c r="AT145" s="1086" t="n">
        <v>0</v>
      </c>
      <c r="AU145" s="1086" t="n">
        <v>0</v>
      </c>
      <c r="AV145" s="1086" t="n">
        <v>0</v>
      </c>
      <c r="AW145" s="1172" t="n">
        <v>0</v>
      </c>
      <c r="AX145" s="807" t="e">
        <f aca="false">BB145-SUM(AY145:BA145)</f>
        <v>#VALUE!</v>
      </c>
      <c r="AY145" s="807" t="e">
        <f aca="false">IF(AND($E145=MONTH(Summary!$E$24),$D145=YEAR(Summary!$E$24)),Summary!$E$25,1)*IF(G145="",0,INT((H145-MOD(H145,7)-G145)/7)+1-IF(BA145,IF(WEEKDAY(F145)=7,1,0),0))</f>
        <v>#VALUE!</v>
      </c>
      <c r="AZ145" s="807" t="e">
        <f aca="false">IF(AND($E145=MONTH(Summary!$E$24),$D145=YEAR(Summary!$E$24)),Summary!$E$25,1)*IF(G145="",0,INT((H145-MOD(H145-1,7)-G145)/7)+1-IF(BA145,IF(WEEKDAY(F145)=1,1,0),0))</f>
        <v>#VALUE!</v>
      </c>
      <c r="BA145" s="807" t="n">
        <v>1</v>
      </c>
      <c r="BB145" s="807" t="n">
        <f aca="false">IF(AND($E145=MONTH(Summary!$E$24),$D145=YEAR(Summary!$E$24)),Summary!$E$25,1)*IF(G145="",0,H145-G145+1)</f>
        <v>30</v>
      </c>
      <c r="BC145" s="1089" t="n">
        <f aca="false">Summary!$E$19</f>
        <v>0.015</v>
      </c>
      <c r="BD145" s="1090" t="n">
        <v>14893.2</v>
      </c>
      <c r="BE145" s="1091" t="n">
        <v>2836.8</v>
      </c>
      <c r="BF145" s="1091" t="n">
        <v>3546</v>
      </c>
      <c r="BG145" s="842"/>
      <c r="BH145" s="1092" t="n">
        <v>1</v>
      </c>
      <c r="BI145" s="1092" t="n">
        <v>1</v>
      </c>
      <c r="BJ145" s="1092" t="n">
        <v>1</v>
      </c>
      <c r="BK145" s="1092" t="n">
        <v>1</v>
      </c>
      <c r="BL145" s="1093" t="n">
        <v>2978.64</v>
      </c>
      <c r="BM145" s="1091" t="n">
        <v>567.36</v>
      </c>
      <c r="BN145" s="1091" t="n">
        <v>709.2</v>
      </c>
      <c r="BO145" s="842"/>
      <c r="BP145" s="1092" t="n">
        <v>1</v>
      </c>
      <c r="BQ145" s="1094" t="n">
        <v>1</v>
      </c>
      <c r="BR145" s="1094" t="n">
        <v>1</v>
      </c>
      <c r="BS145" s="1095" t="n">
        <v>1</v>
      </c>
      <c r="BT145" s="1093" t="n">
        <f aca="false">SUM(BD145:BF145)</f>
        <v>21276</v>
      </c>
      <c r="BU145" s="1098" t="n">
        <f aca="false">SUM(BD145:BG145)</f>
        <v>21276</v>
      </c>
      <c r="BV145" s="1090" t="n">
        <f aca="false">SUM(BL145:BN145)</f>
        <v>4255.2</v>
      </c>
      <c r="BW145" s="1098" t="n">
        <f aca="false">SUM(BL145:BO145)</f>
        <v>4255.2</v>
      </c>
      <c r="BX145" s="852" t="n">
        <v>10.7132101300479</v>
      </c>
      <c r="BY145" s="1099" t="n">
        <v>0</v>
      </c>
      <c r="BZ145" s="852" t="n">
        <v>0</v>
      </c>
      <c r="CA145" s="852" t="n">
        <v>0</v>
      </c>
      <c r="CB145" s="852" t="n">
        <v>0</v>
      </c>
      <c r="CC145" s="852" t="n">
        <v>0</v>
      </c>
      <c r="CD145" s="852" t="n">
        <v>0</v>
      </c>
      <c r="CE145" s="1100" t="n">
        <v>0</v>
      </c>
      <c r="CF145" s="852" t="n">
        <v>0</v>
      </c>
      <c r="CG145" s="852" t="n">
        <v>0</v>
      </c>
      <c r="CH145" s="852" t="n">
        <v>0</v>
      </c>
      <c r="CI145" s="852" t="n">
        <v>0</v>
      </c>
      <c r="CJ145" s="1101" t="n">
        <v>0</v>
      </c>
      <c r="CK145" s="852" t="n">
        <v>0</v>
      </c>
      <c r="CL145" s="852" t="n">
        <v>0</v>
      </c>
      <c r="CM145" s="852" t="n">
        <v>0</v>
      </c>
      <c r="CN145" s="852" t="n">
        <v>0</v>
      </c>
      <c r="CO145" s="852" t="n">
        <v>0</v>
      </c>
      <c r="CP145" s="852" t="n">
        <v>0</v>
      </c>
      <c r="CQ145" s="1102" t="n">
        <v>0</v>
      </c>
      <c r="CR145" s="1103" t="n">
        <v>0</v>
      </c>
      <c r="CS145" s="1103" t="n">
        <v>0</v>
      </c>
      <c r="CT145" s="1103" t="n">
        <v>0</v>
      </c>
      <c r="CU145" s="1103" t="n">
        <v>0</v>
      </c>
      <c r="CV145" s="1103" t="n">
        <v>0</v>
      </c>
      <c r="CW145" s="1103" t="n">
        <v>0</v>
      </c>
      <c r="CX145" s="1104" t="n">
        <v>0</v>
      </c>
      <c r="CY145" s="1105" t="n">
        <v>7731.02168</v>
      </c>
      <c r="CZ145" s="1099" t="n">
        <v>0</v>
      </c>
      <c r="DA145" s="852" t="n">
        <v>0</v>
      </c>
      <c r="DB145" s="852" t="n">
        <v>0</v>
      </c>
      <c r="DC145" s="852" t="n">
        <v>0</v>
      </c>
      <c r="DD145" s="852" t="n">
        <v>0</v>
      </c>
      <c r="DE145" s="1113" t="n">
        <v>0</v>
      </c>
      <c r="DF145" s="1109" t="n">
        <v>0</v>
      </c>
      <c r="DG145" s="1110" t="n">
        <v>0</v>
      </c>
      <c r="DH145" s="1111" t="n">
        <v>0</v>
      </c>
      <c r="DI145" s="1112" t="n">
        <v>0</v>
      </c>
      <c r="DJ145" s="1112" t="n">
        <v>0</v>
      </c>
      <c r="DK145" s="1112" t="n">
        <v>0</v>
      </c>
      <c r="DL145" s="1113" t="n">
        <v>0</v>
      </c>
      <c r="DM145" s="1114" t="n">
        <v>0</v>
      </c>
      <c r="DN145" s="1114" t="n">
        <v>0</v>
      </c>
      <c r="DO145" s="1114" t="n">
        <v>0</v>
      </c>
      <c r="DP145" s="1114" t="n">
        <v>0</v>
      </c>
      <c r="DQ145" s="1114" t="n">
        <v>0</v>
      </c>
      <c r="DR145" s="1109" t="n">
        <v>0</v>
      </c>
      <c r="DS145" s="852" t="n">
        <v>0</v>
      </c>
      <c r="DT145" s="852" t="n">
        <v>0</v>
      </c>
      <c r="DU145" s="852" t="n">
        <v>0</v>
      </c>
      <c r="DV145" s="852" t="n">
        <v>0</v>
      </c>
      <c r="DW145" s="852" t="n">
        <v>0</v>
      </c>
      <c r="DX145" s="852" t="n">
        <v>0</v>
      </c>
      <c r="DY145" s="852" t="n">
        <v>0</v>
      </c>
      <c r="DZ145" s="852" t="n">
        <v>0</v>
      </c>
      <c r="EA145" s="852" t="n">
        <v>0</v>
      </c>
      <c r="EB145" s="1113" t="n">
        <v>0</v>
      </c>
      <c r="EC145" s="1115" t="n">
        <f aca="false">DS145*BD145</f>
        <v>0</v>
      </c>
      <c r="ED145" s="1115" t="n">
        <f aca="false">DT145*BE145</f>
        <v>0</v>
      </c>
      <c r="EE145" s="1115" t="n">
        <f aca="false">DU145*BF145</f>
        <v>0</v>
      </c>
      <c r="EF145" s="1115" t="n">
        <f aca="false">DV145*BG145</f>
        <v>0</v>
      </c>
      <c r="EG145" s="1115" t="n">
        <f aca="false">DS145*BD145+DT145*BE145+DU145*BF145+DV145*BG145</f>
        <v>0</v>
      </c>
      <c r="EH145" s="1116" t="n">
        <v>0</v>
      </c>
      <c r="EI145" s="1117" t="n">
        <v>0</v>
      </c>
      <c r="EJ145" s="1117" t="n">
        <v>0</v>
      </c>
      <c r="EK145" s="1117" t="n">
        <v>0</v>
      </c>
      <c r="EL145" s="1118" t="n">
        <f aca="false">IF(C145&gt;=Summary!$E$26,MAX(0,SUM(EH145:EK145)),0)</f>
        <v>0</v>
      </c>
      <c r="EM145" s="1115" t="n">
        <f aca="false">IF(C145&gt;=Summary!$E$26,DX145*BL145,0)</f>
        <v>0</v>
      </c>
      <c r="EN145" s="1115" t="n">
        <f aca="false">IF(C145&gt;=Summary!$E$26,DY145*BM145,0)</f>
        <v>0</v>
      </c>
      <c r="EO145" s="1115" t="n">
        <f aca="false">IF(C145&gt;=Summary!$E$26,DZ145*BN145,0)</f>
        <v>0</v>
      </c>
      <c r="EP145" s="1115" t="n">
        <f aca="false">IF(C145&gt;=Summary!$E$26,EA145*BO145,0)</f>
        <v>0</v>
      </c>
      <c r="EQ145" s="1115" t="n">
        <f aca="false">IF(C145&gt;=Summary!$E$26,DX145*BL145+DY145*BM145+DZ145*BN145+EA145*BO145,0)</f>
        <v>0</v>
      </c>
      <c r="ER145" s="1119" t="n">
        <v>0</v>
      </c>
      <c r="ES145" s="1120" t="n">
        <v>0</v>
      </c>
      <c r="ET145" s="1120" t="n">
        <v>0</v>
      </c>
      <c r="EU145" s="1120" t="n">
        <v>0</v>
      </c>
      <c r="EV145" s="1143" t="n">
        <f aca="false">IF(C145&gt;=Summary!$E$26,MAX(0,SUM(ER145:EU145)),0)</f>
        <v>0</v>
      </c>
      <c r="EW145" s="1115"/>
      <c r="EX145" s="1165" t="n">
        <f aca="false">(EQ145-EV145)+IF(EZ145="Yes",(EG145-EL145),0)</f>
        <v>0</v>
      </c>
      <c r="EY145" s="1166" t="str">
        <f aca="false">IF(EX145,EX145/EQ145,"")</f>
        <v/>
      </c>
      <c r="EZ145" s="1122" t="s">
        <v>37</v>
      </c>
      <c r="FA145" s="1096" t="n">
        <f aca="false">FA144</f>
        <v>45</v>
      </c>
      <c r="FB145" s="1167" t="e">
        <f aca="false">IF(EZ145="No",IF((OR(MONTH(C145)=5,MONTH(C145)=6,MONTH(C145)=7,MONTH(C145)=8,MONTH(C145)=9)),$FA145*12*AX145*(1-$BC145),$FA145*10*AX145*(1-$BC145)),0)</f>
        <v>#VALUE!</v>
      </c>
      <c r="FC145" s="1129" t="n">
        <f aca="false">IF(EZ145="No",IF((OR(MONTH(C145)=5,MONTH(C145)=6,MONTH(C145)=7,MONTH(C145)=8,MONTH(C145)=9)),0,$FA145*3*AX145*(1-$BC145)),0)</f>
        <v>0</v>
      </c>
      <c r="FD145" s="1129" t="e">
        <f aca="false">IF(EZ145="No",IF((OR(MONTH(C145)=5,MONTH(C145)=6,MONTH(C145)=7,MONTH(C145)=8,MONTH(C145)=9)),$FA145*12*AY145*(1-$BC145),$FA145*10*AY145*(1-$BC145)),0)</f>
        <v>#VALUE!</v>
      </c>
      <c r="FE145" s="1129" t="n">
        <f aca="false">IF(EZ145="No",IF((OR(MONTH(C145)=5,MONTH(C145)=6,MONTH(C145)=7,MONTH(C145)=8,MONTH(C145)=9)),0,$FA145*3*AY145*(1-$BC145)),0)</f>
        <v>0</v>
      </c>
      <c r="FF145" s="1129" t="e">
        <f aca="false">IF(EZ145="No",IF((OR(MONTH(C145)=5,MONTH(C145)=6,MONTH(C145)=7,MONTH(C145)=8,MONTH(C145)=9)),$FA145*12*(AZ145+BA145)*(1-$BC145),$FA145*10*(AZ145+BA145)*(1-$BC145)),0)</f>
        <v>#VALUE!</v>
      </c>
      <c r="FG145" s="1129" t="n">
        <f aca="false">IF(EZ145="No",IF((OR(MONTH(C145)=5,MONTH(C145)=6,MONTH(C145)=7,MONTH(C145)=8,MONTH(C145)=9)),0,$FA145*3*(AZ145+BA145)*(1-$BC145)),0)</f>
        <v>0</v>
      </c>
      <c r="FH145" s="1170" t="e">
        <f aca="false">IF(EZ145="No",IF((OR(MONTH(C145)=5,MONTH(C145)=6,MONTH(C145)=7,MONTH(C145)=8,MONTH(C145)=9)),Summary!$O$15*12*(AX145+AY145+AZ145+BA145)*(1-$BC145),Summary!$O$15*13*(AX145+AY145+AZ145+BA145)*(1-$BC145)+IF(Summary!$O$16="Yes",(CALC!FA145+Summary!$O$15)*6*(AX145+AY145+AZ145+BA145)*(1-$BC145),0)),0)</f>
        <v>#VALUE!</v>
      </c>
      <c r="FI145" s="1126" t="n">
        <f aca="false">IF(MONTH(C145)=5,FI144*(IF(Summary!$E$70="no",(1+(Summary!$E$71*0.8)),1+HLOOKUP(YEAR(C145)-1,CCFMODEL!$I$127:$AF$128,2)*0.8)),+FI144)</f>
        <v>34.5321162654377</v>
      </c>
      <c r="FJ145" s="1127" t="n">
        <f aca="false">IF(MONTH(C145)=5,FJ144*(IF(Summary!$E$70="no",(1+(Summary!$E$71*0.8)),1+HLOOKUP(YEAR(CALC!C145)-1,CCFMODEL!$I$127:$AF$128,2)*0.8)),FJ144)</f>
        <v>30.1816134288471</v>
      </c>
      <c r="FK145" s="1128" t="e">
        <f aca="false">SUM(FB145:FG145)*FI145+FH145*FJ145</f>
        <v>#VALUE!</v>
      </c>
      <c r="FL145" s="1126" t="n">
        <f aca="false">IF(MONTH(C145)=5,FL144*(IF(Summary!$E$70="no",(1+(Summary!$E$71*0.8)),1+HLOOKUP(YEAR(CALC!C145)-1,CCFMODEL!$I$127:$AF$128,2)*0.8)),+FL144)</f>
        <v>72.6249119358229</v>
      </c>
      <c r="FM145" s="1127" t="n">
        <f aca="false">IF(MONTH(C145)=5,FM144*(IF(Summary!$E$70="no",(1+(Summary!$E$71*0.8)),1+HLOOKUP(YEAR(CALC!C145)-1,CCFMODEL!$I$127:$AF$128,2)*0.8)),+FM144)</f>
        <v>34.6615955165267</v>
      </c>
      <c r="FN145" s="1128" t="e">
        <f aca="false">IF((OR(MONTH(C145)=5,MONTH(C145)=6,MONTH(C145)=7,MONTH(C145)=8,MONTH(C145)=9)),SUM(FB145:FG145)/(1-BC145)*FL145,SUM(FB145:FG145)/(1-BC145)*FM145)</f>
        <v>#VALUE!</v>
      </c>
      <c r="FO145" s="1129" t="e">
        <f aca="false">FK145+FN145</f>
        <v>#VALUE!</v>
      </c>
      <c r="FP145" s="1169" t="e">
        <f aca="false">FB145</f>
        <v>#VALUE!</v>
      </c>
      <c r="FQ145" s="1129" t="n">
        <f aca="false">FC145</f>
        <v>0</v>
      </c>
      <c r="FR145" s="1129" t="e">
        <f aca="false">FD145</f>
        <v>#VALUE!</v>
      </c>
      <c r="FS145" s="1129" t="n">
        <f aca="false">FE145</f>
        <v>0</v>
      </c>
      <c r="FT145" s="1129" t="e">
        <f aca="false">FF145</f>
        <v>#VALUE!</v>
      </c>
      <c r="FU145" s="1129" t="n">
        <f aca="false">FG145</f>
        <v>0</v>
      </c>
      <c r="FV145" s="1170" t="e">
        <f aca="false">FH145</f>
        <v>#VALUE!</v>
      </c>
      <c r="FW145" s="1115" t="n">
        <f aca="false">IF(ER145&gt;0,MIN(FB145-FP145,BL145),0)</f>
        <v>0</v>
      </c>
      <c r="FX145" s="1115" t="n">
        <f aca="false">IF(ES145&gt;0,MIN(FD145-FR145,BM145),0)</f>
        <v>0</v>
      </c>
      <c r="FY145" s="1115" t="n">
        <f aca="false">IF(ET145&gt;0,MIN(FF145-FT145,BN145),0)</f>
        <v>0</v>
      </c>
      <c r="FZ145" s="1143" t="n">
        <f aca="false">IF(EU145&gt;0,MIN(FH145-FV145,BO145),0)</f>
        <v>0</v>
      </c>
      <c r="GA145" s="1132" t="e">
        <f aca="false">(SUM(FP145:FV145)+SUM(GU145:HB145)/(1-Summary!$O$25))*CY145/1000</f>
        <v>#VALUE!</v>
      </c>
      <c r="GB145" s="1196" t="n">
        <f aca="false">IF($C145&lt;Summary!$M$81,+Summary!$O$81,VLOOKUP(C145,GasTable,19))</f>
        <v>3.33581230034621</v>
      </c>
      <c r="GC145" s="1134" t="n">
        <f aca="false">IF(H145&lt;=Summary!$N$84,MIN(GA145,Summary!$O$75*(H145-G145+1)),0)</f>
        <v>0</v>
      </c>
      <c r="GD145" s="1135" t="n">
        <f aca="false">IF(C145&lt;Summary!$N$84,IF(Summary!$O$75*(H145-G145+1)*0.8&gt;GC145,1,0),0)</f>
        <v>0</v>
      </c>
      <c r="GE145" s="1136" t="n">
        <v>0</v>
      </c>
      <c r="GF145" s="1134" t="e">
        <f aca="false">ABS(MIN(0,GC145-$GA145))</f>
        <v>#VALUE!</v>
      </c>
      <c r="GG145" s="1135" t="e">
        <f aca="false">GF145*(IF(Summary!$O$74=1,VLOOKUP($C145,GasTable,16)+Summary!$O$92+Summary!$O$93,VLOOKUP($C145,GasTable,19)+Summary!$O$92+Summary!$O$93))</f>
        <v>#VALUE!</v>
      </c>
      <c r="GH145" s="1137" t="n">
        <v>5003.71845051931</v>
      </c>
      <c r="GI145" s="1138" t="n">
        <v>0</v>
      </c>
      <c r="GJ145" s="1139" t="e">
        <f aca="false">+GB145*GC145+GE145+GG145+GH145-GI145</f>
        <v>#VALUE!</v>
      </c>
      <c r="GK145" s="1115" t="e">
        <f aca="false">SUM(FP145:FV145,GU145:GX145,GY145:HB145)</f>
        <v>#VALUE!</v>
      </c>
      <c r="GL145" s="1140" t="n">
        <v>0.51797845256</v>
      </c>
      <c r="GM145" s="1141" t="e">
        <f aca="false">IF(GK145&gt;GC145/(CY145/1000),GC145/(CY145/1000),+GK145)*GL145</f>
        <v>#VALUE!</v>
      </c>
      <c r="GN145" s="1115" t="n">
        <f aca="false">IF(SUM(GU145:HB145)=0,0,IF(Summary!$O$16="Yes",SUM(GX145:HB145),IF(Summary!$O$17="Yes",SUM(GY145:HB145),SUM(GU145:HB145))))</f>
        <v>9239.103</v>
      </c>
      <c r="GO145" s="1142" t="n">
        <v>3.19788335827947</v>
      </c>
      <c r="GP145" s="1143" t="n">
        <f aca="false">GN145*GO145</f>
        <v>29545.5737291299</v>
      </c>
      <c r="GQ145" s="1115"/>
      <c r="GR145" s="1115"/>
      <c r="GS145" s="1115"/>
      <c r="GT145" s="1115"/>
      <c r="GU145" s="1150" t="n">
        <v>3592.9845</v>
      </c>
      <c r="GV145" s="1115" t="n">
        <v>684.378</v>
      </c>
      <c r="GW145" s="1115" t="n">
        <v>855.4725</v>
      </c>
      <c r="GX145" s="1115"/>
      <c r="GY145" s="1151" t="n">
        <v>2874.3876</v>
      </c>
      <c r="GZ145" s="1115" t="n">
        <v>547.5024</v>
      </c>
      <c r="HA145" s="1115" t="n">
        <v>684.378</v>
      </c>
      <c r="HB145" s="1141"/>
      <c r="HC145" s="1115" t="n">
        <v>9239.103</v>
      </c>
      <c r="HD145" s="1115"/>
      <c r="HE145" s="1115" t="n">
        <v>21557.907</v>
      </c>
      <c r="HF145" s="1115" t="n">
        <v>517475.304630085</v>
      </c>
      <c r="HG145" s="1115"/>
      <c r="HH145" s="1142" t="n">
        <v>58.1343483334854</v>
      </c>
      <c r="HI145" s="1115" t="n">
        <v>1253254.87487888</v>
      </c>
      <c r="HJ145" s="1150" t="e">
        <f aca="false">MAX(FB145-FP145-FW145,0)</f>
        <v>#VALUE!</v>
      </c>
      <c r="HK145" s="1115" t="e">
        <f aca="false">MAX(FD145-FR145-FX145,0)</f>
        <v>#VALUE!</v>
      </c>
      <c r="HL145" s="1115" t="e">
        <f aca="false">MAX(FF145-FT145-FY145,0)</f>
        <v>#VALUE!</v>
      </c>
      <c r="HM145" s="1141" t="e">
        <f aca="false">MAX(FH145-FV145-FZ145,0)</f>
        <v>#VALUE!</v>
      </c>
      <c r="HN145" s="1115" t="e">
        <f aca="false">SUM(HJ145:HM145)</f>
        <v>#VALUE!</v>
      </c>
      <c r="HO145" s="1142" t="n">
        <f aca="false">IF(ISERROR(+HP145/HN145),0,+HP145/HN145)</f>
        <v>0</v>
      </c>
      <c r="HP145" s="1143" t="e">
        <f aca="false">(HJ145*CE145+HK145*CF145+HL145*CG145+HM145*CH145)</f>
        <v>#VALUE!</v>
      </c>
      <c r="HQ145" s="1142"/>
      <c r="HR145" s="1150"/>
      <c r="HS145" s="1110"/>
      <c r="HT145" s="1141"/>
      <c r="HU145" s="1151"/>
      <c r="HV145" s="1142"/>
      <c r="HW145" s="1115"/>
      <c r="HX145" s="1149"/>
      <c r="HY145" s="1143"/>
      <c r="HZ145" s="1150"/>
      <c r="IA145" s="1142"/>
      <c r="IB145" s="1141"/>
      <c r="IC145" s="1151"/>
      <c r="ID145" s="1142"/>
      <c r="IE145" s="1141"/>
      <c r="IF145" s="1115"/>
      <c r="IG145" s="1142"/>
      <c r="IH145" s="1141"/>
      <c r="II145" s="1115"/>
      <c r="IJ145" s="1142"/>
      <c r="IK145" s="1115"/>
      <c r="IL145" s="1152"/>
      <c r="IM145" s="1192"/>
      <c r="IN145" s="1151"/>
      <c r="IO145" s="1151"/>
      <c r="IP145" s="1151"/>
      <c r="IQ145" s="1151"/>
      <c r="IR145" s="844"/>
    </row>
    <row r="146" customFormat="false" ht="13.5" hidden="false" customHeight="false" outlineLevel="0" collapsed="false">
      <c r="A146" s="0" t="str">
        <f aca="false">+D146&amp;"Q"&amp;ROUNDUP(E146/3,0)</f>
        <v>2010Q4</v>
      </c>
      <c r="B146" s="0" t="n">
        <f aca="false">YEAR(C146)</f>
        <v>2010</v>
      </c>
      <c r="C146" s="1153" t="n">
        <f aca="false">EOMONTH(C145,0)+1</f>
        <v>40452</v>
      </c>
      <c r="D146" s="841" t="n">
        <f aca="false">+YEAR(C146)</f>
        <v>2010</v>
      </c>
      <c r="E146" s="807" t="n">
        <f aca="false">MONTH(C146)</f>
        <v>10</v>
      </c>
      <c r="F146" s="1154" t="e">
        <f aca="false">IF(G146="","",Holiday(D146,E146))</f>
        <v>#VALUE!</v>
      </c>
      <c r="G146" s="1155" t="n">
        <v>40452</v>
      </c>
      <c r="H146" s="1156" t="n">
        <v>40482</v>
      </c>
      <c r="I146" s="1157" t="n">
        <f aca="false">I145</f>
        <v>0.0715</v>
      </c>
      <c r="J146" s="1158" t="n">
        <f aca="false">(1+I146/2)^(-2*(DATE(D147,E147,20)-$H$7)/365.25)</f>
        <v>0.46393664926615</v>
      </c>
      <c r="K146" s="1159"/>
      <c r="L146" s="1158"/>
      <c r="M146" s="1082" t="n">
        <v>0</v>
      </c>
      <c r="N146" s="1110" t="n">
        <f aca="false">M146</f>
        <v>0</v>
      </c>
      <c r="O146" s="1174" t="n">
        <f aca="false">N146</f>
        <v>0</v>
      </c>
      <c r="P146" s="1175" t="n">
        <f aca="false">M146</f>
        <v>0</v>
      </c>
      <c r="Q146" s="1110" t="n">
        <f aca="false">P146</f>
        <v>0</v>
      </c>
      <c r="R146" s="1174" t="n">
        <f aca="false">Q146</f>
        <v>0</v>
      </c>
      <c r="S146" s="1110" t="n">
        <f aca="false">R146</f>
        <v>0</v>
      </c>
      <c r="T146" s="1110" t="n">
        <f aca="false">S146</f>
        <v>0</v>
      </c>
      <c r="U146" s="1110" t="n">
        <f aca="false">T146</f>
        <v>0</v>
      </c>
      <c r="V146" s="1175" t="n">
        <f aca="false">U146</f>
        <v>0</v>
      </c>
      <c r="W146" s="1110" t="n">
        <f aca="false">V146</f>
        <v>0</v>
      </c>
      <c r="X146" s="1176" t="n">
        <f aca="false">W146</f>
        <v>0</v>
      </c>
      <c r="Y146" s="1086" t="n">
        <v>0</v>
      </c>
      <c r="Z146" s="1086" t="n">
        <v>0</v>
      </c>
      <c r="AA146" s="1087" t="n">
        <v>0</v>
      </c>
      <c r="AB146" s="1086" t="n">
        <v>0</v>
      </c>
      <c r="AC146" s="1086" t="n">
        <v>0</v>
      </c>
      <c r="AD146" s="1087" t="n">
        <v>0</v>
      </c>
      <c r="AE146" s="1086" t="n">
        <v>0</v>
      </c>
      <c r="AF146" s="1086" t="n">
        <v>0</v>
      </c>
      <c r="AG146" s="1087" t="n">
        <v>0</v>
      </c>
      <c r="AH146" s="1086" t="n">
        <v>0</v>
      </c>
      <c r="AI146" s="1086" t="n">
        <v>0</v>
      </c>
      <c r="AJ146" s="1087" t="n">
        <v>0</v>
      </c>
      <c r="AK146" s="1086" t="n">
        <v>0</v>
      </c>
      <c r="AL146" s="1086" t="n">
        <v>0</v>
      </c>
      <c r="AM146" s="1087" t="n">
        <v>0</v>
      </c>
      <c r="AN146" s="1086" t="n">
        <v>0</v>
      </c>
      <c r="AO146" s="1086" t="n">
        <v>0</v>
      </c>
      <c r="AP146" s="1087" t="n">
        <v>0</v>
      </c>
      <c r="AQ146" s="1086" t="n">
        <v>0</v>
      </c>
      <c r="AR146" s="1086" t="n">
        <v>0</v>
      </c>
      <c r="AS146" s="1087" t="n">
        <v>0</v>
      </c>
      <c r="AT146" s="1086" t="n">
        <v>0</v>
      </c>
      <c r="AU146" s="1086" t="n">
        <v>0</v>
      </c>
      <c r="AV146" s="1086" t="n">
        <v>0</v>
      </c>
      <c r="AW146" s="1172" t="n">
        <v>0</v>
      </c>
      <c r="AX146" s="807" t="n">
        <f aca="false">BB146-SUM(AY146:BA146)</f>
        <v>21</v>
      </c>
      <c r="AY146" s="807" t="n">
        <f aca="false">IF(AND($E146=MONTH(Summary!$E$24),$D146=YEAR(Summary!$E$24)),Summary!$E$25,1)*IF(G146="",0,INT((H146-MOD(H146,7)-G146)/7)+1-IF(BA146,IF(WEEKDAY(F146)=7,1,0),0))</f>
        <v>5</v>
      </c>
      <c r="AZ146" s="807" t="n">
        <f aca="false">IF(AND($E146=MONTH(Summary!$E$24),$D146=YEAR(Summary!$E$24)),Summary!$E$25,1)*IF(G146="",0,INT((H146-MOD(H146-1,7)-G146)/7)+1-IF(BA146,IF(WEEKDAY(F146)=1,1,0),0))</f>
        <v>5</v>
      </c>
      <c r="BA146" s="807" t="n">
        <v>0</v>
      </c>
      <c r="BB146" s="807" t="n">
        <f aca="false">IF(AND($E146=MONTH(Summary!$E$24),$D146=YEAR(Summary!$E$24)),Summary!$E$25,1)*IF(G146="",0,H146-G146+1)</f>
        <v>31</v>
      </c>
      <c r="BC146" s="1089" t="n">
        <f aca="false">Summary!$E$19</f>
        <v>0.015</v>
      </c>
      <c r="BD146" s="1090" t="n">
        <v>14893.2</v>
      </c>
      <c r="BE146" s="1091" t="n">
        <v>3546</v>
      </c>
      <c r="BF146" s="1091" t="n">
        <v>3546</v>
      </c>
      <c r="BG146" s="842"/>
      <c r="BH146" s="1092" t="n">
        <v>1</v>
      </c>
      <c r="BI146" s="1092" t="n">
        <v>1</v>
      </c>
      <c r="BJ146" s="1092" t="n">
        <v>1</v>
      </c>
      <c r="BK146" s="1092" t="n">
        <v>1</v>
      </c>
      <c r="BL146" s="1093" t="n">
        <v>2978.64</v>
      </c>
      <c r="BM146" s="1091" t="n">
        <v>709.2</v>
      </c>
      <c r="BN146" s="1091" t="n">
        <v>709.2</v>
      </c>
      <c r="BO146" s="842"/>
      <c r="BP146" s="1092" t="n">
        <v>1</v>
      </c>
      <c r="BQ146" s="1094" t="n">
        <v>1</v>
      </c>
      <c r="BR146" s="1094" t="n">
        <v>1</v>
      </c>
      <c r="BS146" s="1095" t="n">
        <v>1</v>
      </c>
      <c r="BT146" s="1093" t="n">
        <f aca="false">SUM(BD146:BF146)</f>
        <v>21985.2</v>
      </c>
      <c r="BU146" s="1098" t="n">
        <f aca="false">SUM(BD146:BG146)</f>
        <v>21985.2</v>
      </c>
      <c r="BV146" s="1090" t="n">
        <f aca="false">SUM(BL146:BN146)</f>
        <v>4397.04</v>
      </c>
      <c r="BW146" s="1098" t="n">
        <f aca="false">SUM(BL146:BO146)</f>
        <v>4397.04</v>
      </c>
      <c r="BX146" s="852" t="n">
        <v>10.7953456536619</v>
      </c>
      <c r="BY146" s="1099" t="n">
        <v>0</v>
      </c>
      <c r="BZ146" s="852" t="n">
        <v>0</v>
      </c>
      <c r="CA146" s="852" t="n">
        <v>0</v>
      </c>
      <c r="CB146" s="852" t="n">
        <v>0</v>
      </c>
      <c r="CC146" s="852" t="n">
        <v>0</v>
      </c>
      <c r="CD146" s="852" t="n">
        <v>0</v>
      </c>
      <c r="CE146" s="1100" t="n">
        <v>0</v>
      </c>
      <c r="CF146" s="852" t="n">
        <v>0</v>
      </c>
      <c r="CG146" s="852" t="n">
        <v>0</v>
      </c>
      <c r="CH146" s="852" t="n">
        <v>0</v>
      </c>
      <c r="CI146" s="852" t="n">
        <v>0</v>
      </c>
      <c r="CJ146" s="1101" t="n">
        <v>0</v>
      </c>
      <c r="CK146" s="852" t="n">
        <v>0</v>
      </c>
      <c r="CL146" s="852" t="n">
        <v>0</v>
      </c>
      <c r="CM146" s="852" t="n">
        <v>0</v>
      </c>
      <c r="CN146" s="852" t="n">
        <v>0</v>
      </c>
      <c r="CO146" s="852" t="n">
        <v>0</v>
      </c>
      <c r="CP146" s="852" t="n">
        <v>0</v>
      </c>
      <c r="CQ146" s="1102" t="n">
        <v>0</v>
      </c>
      <c r="CR146" s="1103" t="n">
        <v>0</v>
      </c>
      <c r="CS146" s="1103" t="n">
        <v>0</v>
      </c>
      <c r="CT146" s="1103" t="n">
        <v>0</v>
      </c>
      <c r="CU146" s="1103" t="n">
        <v>0</v>
      </c>
      <c r="CV146" s="1103" t="n">
        <v>0</v>
      </c>
      <c r="CW146" s="1103" t="n">
        <v>0</v>
      </c>
      <c r="CX146" s="1104" t="n">
        <v>0</v>
      </c>
      <c r="CY146" s="1105" t="n">
        <v>7733.05264</v>
      </c>
      <c r="CZ146" s="1099" t="n">
        <v>0</v>
      </c>
      <c r="DA146" s="852" t="n">
        <v>0</v>
      </c>
      <c r="DB146" s="852" t="n">
        <v>0</v>
      </c>
      <c r="DC146" s="852" t="n">
        <v>0</v>
      </c>
      <c r="DD146" s="852" t="n">
        <v>0</v>
      </c>
      <c r="DE146" s="1113" t="n">
        <v>0</v>
      </c>
      <c r="DF146" s="1109" t="n">
        <v>0</v>
      </c>
      <c r="DG146" s="1110" t="n">
        <v>0</v>
      </c>
      <c r="DH146" s="1111" t="n">
        <v>0</v>
      </c>
      <c r="DI146" s="1112" t="n">
        <v>0</v>
      </c>
      <c r="DJ146" s="1112" t="n">
        <v>0</v>
      </c>
      <c r="DK146" s="1112" t="n">
        <v>0</v>
      </c>
      <c r="DL146" s="1113" t="n">
        <v>0</v>
      </c>
      <c r="DM146" s="1114" t="n">
        <v>0</v>
      </c>
      <c r="DN146" s="1114" t="n">
        <v>0</v>
      </c>
      <c r="DO146" s="1114" t="n">
        <v>0</v>
      </c>
      <c r="DP146" s="1114" t="n">
        <v>0</v>
      </c>
      <c r="DQ146" s="1114" t="n">
        <v>0</v>
      </c>
      <c r="DR146" s="1109" t="n">
        <v>0</v>
      </c>
      <c r="DS146" s="852" t="n">
        <v>0</v>
      </c>
      <c r="DT146" s="852" t="n">
        <v>0</v>
      </c>
      <c r="DU146" s="852" t="n">
        <v>0</v>
      </c>
      <c r="DV146" s="852" t="n">
        <v>0</v>
      </c>
      <c r="DW146" s="852" t="n">
        <v>0</v>
      </c>
      <c r="DX146" s="852" t="n">
        <v>0</v>
      </c>
      <c r="DY146" s="852" t="n">
        <v>0</v>
      </c>
      <c r="DZ146" s="852" t="n">
        <v>0</v>
      </c>
      <c r="EA146" s="852" t="n">
        <v>0</v>
      </c>
      <c r="EB146" s="1113" t="n">
        <v>0</v>
      </c>
      <c r="EC146" s="1115" t="n">
        <f aca="false">DS146*BD146</f>
        <v>0</v>
      </c>
      <c r="ED146" s="1115" t="n">
        <f aca="false">DT146*BE146</f>
        <v>0</v>
      </c>
      <c r="EE146" s="1115" t="n">
        <f aca="false">DU146*BF146</f>
        <v>0</v>
      </c>
      <c r="EF146" s="1115" t="n">
        <f aca="false">DV146*BG146</f>
        <v>0</v>
      </c>
      <c r="EG146" s="1115" t="n">
        <f aca="false">DS146*BD146+DT146*BE146+DU146*BF146+DV146*BG146</f>
        <v>0</v>
      </c>
      <c r="EH146" s="1116" t="n">
        <v>0</v>
      </c>
      <c r="EI146" s="1117" t="n">
        <v>0</v>
      </c>
      <c r="EJ146" s="1117" t="n">
        <v>0</v>
      </c>
      <c r="EK146" s="1117" t="n">
        <v>0</v>
      </c>
      <c r="EL146" s="1118" t="n">
        <f aca="false">IF(C146&gt;=Summary!$E$26,MAX(0,SUM(EH146:EK146)),0)</f>
        <v>0</v>
      </c>
      <c r="EM146" s="1115" t="n">
        <f aca="false">IF(C146&gt;=Summary!$E$26,DX146*BL146,0)</f>
        <v>0</v>
      </c>
      <c r="EN146" s="1115" t="n">
        <f aca="false">IF(C146&gt;=Summary!$E$26,DY146*BM146,0)</f>
        <v>0</v>
      </c>
      <c r="EO146" s="1115" t="n">
        <f aca="false">IF(C146&gt;=Summary!$E$26,DZ146*BN146,0)</f>
        <v>0</v>
      </c>
      <c r="EP146" s="1115" t="n">
        <f aca="false">IF(C146&gt;=Summary!$E$26,EA146*BO146,0)</f>
        <v>0</v>
      </c>
      <c r="EQ146" s="1115" t="n">
        <f aca="false">IF(C146&gt;=Summary!$E$26,DX146*BL146+DY146*BM146+DZ146*BN146+EA146*BO146,0)</f>
        <v>0</v>
      </c>
      <c r="ER146" s="1119" t="n">
        <v>0</v>
      </c>
      <c r="ES146" s="1120" t="n">
        <v>0</v>
      </c>
      <c r="ET146" s="1120" t="n">
        <v>0</v>
      </c>
      <c r="EU146" s="1120" t="n">
        <v>0</v>
      </c>
      <c r="EV146" s="1143" t="n">
        <f aca="false">IF(C146&gt;=Summary!$E$26,MAX(0,SUM(ER146:EU146)),0)</f>
        <v>0</v>
      </c>
      <c r="EW146" s="1115"/>
      <c r="EX146" s="1165" t="n">
        <f aca="false">(EQ146-EV146)+IF(EZ146="Yes",(EG146-EL146),0)</f>
        <v>0</v>
      </c>
      <c r="EY146" s="1166" t="str">
        <f aca="false">IF(EX146,EX146/EQ146,"")</f>
        <v/>
      </c>
      <c r="EZ146" s="1122" t="s">
        <v>37</v>
      </c>
      <c r="FA146" s="1096" t="n">
        <f aca="false">FA145</f>
        <v>45</v>
      </c>
      <c r="FB146" s="1167" t="n">
        <f aca="false">IF(EZ146="No",IF((OR(MONTH(C146)=5,MONTH(C146)=6,MONTH(C146)=7,MONTH(C146)=8,MONTH(C146)=9)),$FA146*12*AX146*(1-$BC146),$FA146*10*AX146*(1-$BC146)),0)</f>
        <v>9308.25</v>
      </c>
      <c r="FC146" s="1129" t="n">
        <f aca="false">IF(EZ146="No",IF((OR(MONTH(C146)=5,MONTH(C146)=6,MONTH(C146)=7,MONTH(C146)=8,MONTH(C146)=9)),0,$FA146*3*AX146*(1-$BC146)),0)</f>
        <v>2792.475</v>
      </c>
      <c r="FD146" s="1129" t="n">
        <f aca="false">IF(EZ146="No",IF((OR(MONTH(C146)=5,MONTH(C146)=6,MONTH(C146)=7,MONTH(C146)=8,MONTH(C146)=9)),$FA146*12*AY146*(1-$BC146),$FA146*10*AY146*(1-$BC146)),0)</f>
        <v>2216.25</v>
      </c>
      <c r="FE146" s="1129" t="n">
        <f aca="false">IF(EZ146="No",IF((OR(MONTH(C146)=5,MONTH(C146)=6,MONTH(C146)=7,MONTH(C146)=8,MONTH(C146)=9)),0,$FA146*3*AY146*(1-$BC146)),0)</f>
        <v>664.875</v>
      </c>
      <c r="FF146" s="1129" t="n">
        <f aca="false">IF(EZ146="No",IF((OR(MONTH(C146)=5,MONTH(C146)=6,MONTH(C146)=7,MONTH(C146)=8,MONTH(C146)=9)),$FA146*12*(AZ146+BA146)*(1-$BC146),$FA146*10*(AZ146+BA146)*(1-$BC146)),0)</f>
        <v>2216.25</v>
      </c>
      <c r="FG146" s="1129" t="n">
        <f aca="false">IF(EZ146="No",IF((OR(MONTH(C146)=5,MONTH(C146)=6,MONTH(C146)=7,MONTH(C146)=8,MONTH(C146)=9)),0,$FA146*3*(AZ146+BA146)*(1-$BC146)),0)</f>
        <v>664.875</v>
      </c>
      <c r="FH146" s="1170" t="n">
        <f aca="false">IF(EZ146="No",IF((OR(MONTH(C146)=5,MONTH(C146)=6,MONTH(C146)=7,MONTH(C146)=8,MONTH(C146)=9)),Summary!$O$15*12*(AX146+AY146+AZ146+BA146)*(1-$BC146),Summary!$O$15*13*(AX146+AY146+AZ146+BA146)*(1-$BC146)+IF(Summary!$O$16="Yes",(CALC!FA146+Summary!$O$15)*6*(AX146+AY146+AZ146+BA146)*(1-$BC146),0)),0)</f>
        <v>0</v>
      </c>
      <c r="FI146" s="1126" t="n">
        <f aca="false">IF(MONTH(C146)=5,FI145*(IF(Summary!$E$70="no",(1+(Summary!$E$71*0.8)),1+HLOOKUP(YEAR(C146)-1,CCFMODEL!$I$127:$AF$128,2)*0.8)),+FI145)</f>
        <v>34.5321162654377</v>
      </c>
      <c r="FJ146" s="1127" t="n">
        <f aca="false">IF(MONTH(C146)=5,FJ145*(IF(Summary!$E$70="no",(1+(Summary!$E$71*0.8)),1+HLOOKUP(YEAR(CALC!C146)-1,CCFMODEL!$I$127:$AF$128,2)*0.8)),FJ145)</f>
        <v>30.1816134288471</v>
      </c>
      <c r="FK146" s="1128" t="n">
        <f aca="false">SUM(FB146:FG146)*FI146+FH146*FJ146</f>
        <v>616846.329546606</v>
      </c>
      <c r="FL146" s="1126" t="n">
        <f aca="false">IF(MONTH(C146)=5,FL145*(IF(Summary!$E$70="no",(1+(Summary!$E$71*0.8)),1+HLOOKUP(YEAR(CALC!C146)-1,CCFMODEL!$I$127:$AF$128,2)*0.8)),+FL145)</f>
        <v>72.6249119358229</v>
      </c>
      <c r="FM146" s="1127" t="n">
        <f aca="false">IF(MONTH(C146)=5,FM145*(IF(Summary!$E$70="no",(1+(Summary!$E$71*0.8)),1+HLOOKUP(YEAR(CALC!C146)-1,CCFMODEL!$I$127:$AF$128,2)*0.8)),+FM145)</f>
        <v>34.6615955165267</v>
      </c>
      <c r="FN146" s="1128" t="n">
        <f aca="false">IF((OR(MONTH(C146)=5,MONTH(C146)=6,MONTH(C146)=7,MONTH(C146)=8,MONTH(C146)=9)),SUM(FB146:FG146)/(1-BC146)*FL146,SUM(FB146:FG146)/(1-BC146)*FM146)</f>
        <v>628588.034692211</v>
      </c>
      <c r="FO146" s="1129" t="n">
        <f aca="false">FK146+FN146</f>
        <v>1245434.36423882</v>
      </c>
      <c r="FP146" s="1169" t="n">
        <f aca="false">FB146</f>
        <v>9308.25</v>
      </c>
      <c r="FQ146" s="1129" t="n">
        <f aca="false">FC146</f>
        <v>2792.475</v>
      </c>
      <c r="FR146" s="1129" t="n">
        <f aca="false">FD146</f>
        <v>2216.25</v>
      </c>
      <c r="FS146" s="1129" t="n">
        <f aca="false">FE146</f>
        <v>664.875</v>
      </c>
      <c r="FT146" s="1129" t="n">
        <f aca="false">FF146</f>
        <v>2216.25</v>
      </c>
      <c r="FU146" s="1129" t="n">
        <f aca="false">FG146</f>
        <v>664.875</v>
      </c>
      <c r="FV146" s="1170" t="n">
        <f aca="false">FH146</f>
        <v>0</v>
      </c>
      <c r="FW146" s="1115" t="n">
        <f aca="false">IF(ER146&gt;0,MIN(FB146-FP146,BL146),0)</f>
        <v>0</v>
      </c>
      <c r="FX146" s="1115" t="n">
        <f aca="false">IF(ES146&gt;0,MIN(FD146-FR146,BM146),0)</f>
        <v>0</v>
      </c>
      <c r="FY146" s="1115" t="n">
        <f aca="false">IF(ET146&gt;0,MIN(FF146-FT146,BN146),0)</f>
        <v>0</v>
      </c>
      <c r="FZ146" s="1143" t="n">
        <f aca="false">IF(EU146&gt;0,MIN(FH146-FV146,BO146),0)</f>
        <v>0</v>
      </c>
      <c r="GA146" s="1132" t="n">
        <f aca="false">(SUM(FP146:FV146)+SUM(GU146:HB146)/(1-Summary!$O$25))*CY146/1000</f>
        <v>235892.633600038</v>
      </c>
      <c r="GB146" s="1196" t="n">
        <f aca="false">IF($C146&lt;Summary!$M$81,+Summary!$O$81,VLOOKUP(C146,GasTable,19))</f>
        <v>3.48405385353614</v>
      </c>
      <c r="GC146" s="1134" t="n">
        <f aca="false">IF(H146&lt;=Summary!$N$84,MIN(GA146,Summary!$O$75*(H146-G146+1)),0)</f>
        <v>0</v>
      </c>
      <c r="GD146" s="1135" t="n">
        <f aca="false">IF(C146&lt;Summary!$N$84,IF(Summary!$O$75*(H146-G146+1)*0.8&gt;GC146,1,0),0)</f>
        <v>0</v>
      </c>
      <c r="GE146" s="1136" t="n">
        <v>0</v>
      </c>
      <c r="GF146" s="1134" t="n">
        <f aca="false">ABS(MIN(0,GC146-$GA146))</f>
        <v>235892.633600038</v>
      </c>
      <c r="GG146" s="1135" t="n">
        <f aca="false">GF146*(IF(Summary!$O$74=1,VLOOKUP($C146,GasTable,16)+Summary!$O$92+Summary!$O$93,VLOOKUP($C146,GasTable,19)+Summary!$O$92+Summary!$O$93))</f>
        <v>834152.645325562</v>
      </c>
      <c r="GH146" s="1137" t="n">
        <v>5400.28347298102</v>
      </c>
      <c r="GI146" s="1138" t="n">
        <v>0</v>
      </c>
      <c r="GJ146" s="1139" t="n">
        <f aca="false">+GB146*GC146+GE146+GG146+GH146-GI146</f>
        <v>839552.928798543</v>
      </c>
      <c r="GK146" s="1115" t="n">
        <f aca="false">SUM(FP146:FV146,GU146:GX146,GY146:HB146)</f>
        <v>30062.01285</v>
      </c>
      <c r="GL146" s="1140" t="n">
        <v>0.51811452688</v>
      </c>
      <c r="GM146" s="1141" t="n">
        <f aca="false">IF(GK146&gt;GC146/(CY146/1000),GC146/(CY146/1000),+GK146)*GL146</f>
        <v>0</v>
      </c>
      <c r="GN146" s="1115" t="n">
        <f aca="false">IF(SUM(GU146:HB146)=0,0,IF(Summary!$O$16="Yes",SUM(GX146:HB146),IF(Summary!$O$17="Yes",SUM(GY146:HB146),SUM(GU146:HB146))))</f>
        <v>12199.03785</v>
      </c>
      <c r="GO146" s="1142" t="n">
        <v>3.19788335827947</v>
      </c>
      <c r="GP146" s="1143" t="n">
        <f aca="false">GN146*GO146</f>
        <v>39011.1001275363</v>
      </c>
      <c r="GQ146" s="1115"/>
      <c r="GR146" s="1115"/>
      <c r="GS146" s="1115"/>
      <c r="GT146" s="1115"/>
      <c r="GU146" s="1150" t="n">
        <v>5389.47675</v>
      </c>
      <c r="GV146" s="1115" t="n">
        <v>1283.20875</v>
      </c>
      <c r="GW146" s="1115" t="n">
        <v>1283.20875</v>
      </c>
      <c r="GX146" s="1115"/>
      <c r="GY146" s="1151" t="n">
        <v>2874.3876</v>
      </c>
      <c r="GZ146" s="1115" t="n">
        <v>684.378</v>
      </c>
      <c r="HA146" s="1115" t="n">
        <v>684.378</v>
      </c>
      <c r="HB146" s="1141"/>
      <c r="HC146" s="1115" t="n">
        <v>12199.03785</v>
      </c>
      <c r="HD146" s="1115"/>
      <c r="HE146" s="1115" t="n">
        <v>20950.521525</v>
      </c>
      <c r="HF146" s="1115" t="n">
        <v>608172.554165784</v>
      </c>
      <c r="HG146" s="1115"/>
      <c r="HH146" s="1142" t="n">
        <v>49.0656252785685</v>
      </c>
      <c r="HI146" s="1115" t="n">
        <v>1027950.43853623</v>
      </c>
      <c r="HJ146" s="1150" t="n">
        <f aca="false">MAX(FB146-FP146-FW146,0)</f>
        <v>0</v>
      </c>
      <c r="HK146" s="1115" t="n">
        <f aca="false">MAX(FD146-FR146-FX146,0)</f>
        <v>0</v>
      </c>
      <c r="HL146" s="1115" t="n">
        <f aca="false">MAX(FF146-FT146-FY146,0)</f>
        <v>0</v>
      </c>
      <c r="HM146" s="1141" t="n">
        <f aca="false">MAX(FH146-FV146-FZ146,0)</f>
        <v>0</v>
      </c>
      <c r="HN146" s="1115" t="n">
        <f aca="false">SUM(HJ146:HM146)</f>
        <v>0</v>
      </c>
      <c r="HO146" s="1142" t="n">
        <f aca="false">IF(ISERROR(+HP146/HN146),0,+HP146/HN146)</f>
        <v>0</v>
      </c>
      <c r="HP146" s="1143" t="n">
        <f aca="false">(HJ146*CE146+HK146*CF146+HL146*CG146+HM146*CH146)</f>
        <v>0</v>
      </c>
      <c r="HQ146" s="1142"/>
      <c r="HR146" s="1150"/>
      <c r="HS146" s="1110"/>
      <c r="HT146" s="1141"/>
      <c r="HU146" s="1151"/>
      <c r="HV146" s="1142"/>
      <c r="HW146" s="1115"/>
      <c r="HX146" s="1149"/>
      <c r="HY146" s="1143"/>
      <c r="HZ146" s="1150"/>
      <c r="IA146" s="1142"/>
      <c r="IB146" s="1141"/>
      <c r="IC146" s="1151"/>
      <c r="ID146" s="1142"/>
      <c r="IE146" s="1141"/>
      <c r="IF146" s="1115"/>
      <c r="IG146" s="1142"/>
      <c r="IH146" s="1141"/>
      <c r="II146" s="1115"/>
      <c r="IJ146" s="1142"/>
      <c r="IK146" s="1115"/>
      <c r="IL146" s="1152"/>
      <c r="IM146" s="1192"/>
      <c r="IN146" s="1151"/>
      <c r="IO146" s="1151"/>
      <c r="IP146" s="1151"/>
      <c r="IQ146" s="1151"/>
      <c r="IR146" s="844"/>
    </row>
    <row r="147" customFormat="false" ht="13.5" hidden="false" customHeight="false" outlineLevel="0" collapsed="false">
      <c r="A147" s="0" t="str">
        <f aca="false">+D147&amp;"Q"&amp;ROUNDUP(E147/3,0)</f>
        <v>2010Q4</v>
      </c>
      <c r="B147" s="0" t="n">
        <f aca="false">YEAR(C147)</f>
        <v>2010</v>
      </c>
      <c r="C147" s="1153" t="n">
        <f aca="false">EOMONTH(C146,0)+1</f>
        <v>40483</v>
      </c>
      <c r="D147" s="841" t="n">
        <f aca="false">+YEAR(C147)</f>
        <v>2010</v>
      </c>
      <c r="E147" s="807" t="n">
        <f aca="false">MONTH(C147)</f>
        <v>11</v>
      </c>
      <c r="F147" s="1154" t="e">
        <f aca="false">IF(G147="","",Holiday(D147,E147))</f>
        <v>#VALUE!</v>
      </c>
      <c r="G147" s="1155" t="n">
        <v>40483</v>
      </c>
      <c r="H147" s="1156" t="n">
        <v>40512</v>
      </c>
      <c r="I147" s="1157" t="n">
        <f aca="false">I146</f>
        <v>0.0715</v>
      </c>
      <c r="J147" s="1158" t="n">
        <f aca="false">(1+I147/2)^(-2*(DATE(D148,E148,20)-$H$7)/365.25)</f>
        <v>0.46126737262622</v>
      </c>
      <c r="K147" s="1159"/>
      <c r="L147" s="1158"/>
      <c r="M147" s="1082" t="n">
        <v>0</v>
      </c>
      <c r="N147" s="1110" t="n">
        <f aca="false">M147</f>
        <v>0</v>
      </c>
      <c r="O147" s="1174" t="n">
        <f aca="false">N147</f>
        <v>0</v>
      </c>
      <c r="P147" s="1175" t="n">
        <f aca="false">M147</f>
        <v>0</v>
      </c>
      <c r="Q147" s="1110" t="n">
        <f aca="false">P147</f>
        <v>0</v>
      </c>
      <c r="R147" s="1174" t="n">
        <f aca="false">Q147</f>
        <v>0</v>
      </c>
      <c r="S147" s="1110" t="n">
        <f aca="false">R147</f>
        <v>0</v>
      </c>
      <c r="T147" s="1110" t="n">
        <f aca="false">S147</f>
        <v>0</v>
      </c>
      <c r="U147" s="1110" t="n">
        <f aca="false">T147</f>
        <v>0</v>
      </c>
      <c r="V147" s="1175" t="n">
        <f aca="false">U147</f>
        <v>0</v>
      </c>
      <c r="W147" s="1110" t="n">
        <f aca="false">V147</f>
        <v>0</v>
      </c>
      <c r="X147" s="1176" t="n">
        <f aca="false">W147</f>
        <v>0</v>
      </c>
      <c r="Y147" s="1086" t="n">
        <v>0</v>
      </c>
      <c r="Z147" s="1086" t="n">
        <v>0</v>
      </c>
      <c r="AA147" s="1087" t="n">
        <v>0</v>
      </c>
      <c r="AB147" s="1086" t="n">
        <v>0</v>
      </c>
      <c r="AC147" s="1086" t="n">
        <v>0</v>
      </c>
      <c r="AD147" s="1087" t="n">
        <v>0</v>
      </c>
      <c r="AE147" s="1086" t="n">
        <v>0</v>
      </c>
      <c r="AF147" s="1086" t="n">
        <v>0</v>
      </c>
      <c r="AG147" s="1087" t="n">
        <v>0</v>
      </c>
      <c r="AH147" s="1086" t="n">
        <v>0</v>
      </c>
      <c r="AI147" s="1086" t="n">
        <v>0</v>
      </c>
      <c r="AJ147" s="1087" t="n">
        <v>0</v>
      </c>
      <c r="AK147" s="1086" t="n">
        <v>0</v>
      </c>
      <c r="AL147" s="1086" t="n">
        <v>0</v>
      </c>
      <c r="AM147" s="1087" t="n">
        <v>0</v>
      </c>
      <c r="AN147" s="1086" t="n">
        <v>0</v>
      </c>
      <c r="AO147" s="1086" t="n">
        <v>0</v>
      </c>
      <c r="AP147" s="1087" t="n">
        <v>0</v>
      </c>
      <c r="AQ147" s="1086" t="n">
        <v>0</v>
      </c>
      <c r="AR147" s="1086" t="n">
        <v>0</v>
      </c>
      <c r="AS147" s="1087" t="n">
        <v>0</v>
      </c>
      <c r="AT147" s="1086" t="n">
        <v>0</v>
      </c>
      <c r="AU147" s="1086" t="n">
        <v>0</v>
      </c>
      <c r="AV147" s="1086" t="n">
        <v>0</v>
      </c>
      <c r="AW147" s="1172" t="n">
        <v>0</v>
      </c>
      <c r="AX147" s="807" t="e">
        <f aca="false">BB147-SUM(AY147:BA147)</f>
        <v>#VALUE!</v>
      </c>
      <c r="AY147" s="807" t="e">
        <f aca="false">IF(AND($E147=MONTH(Summary!$E$24),$D147=YEAR(Summary!$E$24)),Summary!$E$25,1)*IF(G147="",0,INT((H147-MOD(H147,7)-G147)/7)+1-IF(BA147,IF(WEEKDAY(F147)=7,1,0),0))</f>
        <v>#VALUE!</v>
      </c>
      <c r="AZ147" s="807" t="e">
        <f aca="false">IF(AND($E147=MONTH(Summary!$E$24),$D147=YEAR(Summary!$E$24)),Summary!$E$25,1)*IF(G147="",0,INT((H147-MOD(H147-1,7)-G147)/7)+1-IF(BA147,IF(WEEKDAY(F147)=1,1,0),0))</f>
        <v>#VALUE!</v>
      </c>
      <c r="BA147" s="807" t="n">
        <v>1</v>
      </c>
      <c r="BB147" s="807" t="n">
        <f aca="false">IF(AND($E147=MONTH(Summary!$E$24),$D147=YEAR(Summary!$E$24)),Summary!$E$25,1)*IF(G147="",0,H147-G147+1)</f>
        <v>30</v>
      </c>
      <c r="BC147" s="1089" t="n">
        <f aca="false">Summary!$E$19</f>
        <v>0.015</v>
      </c>
      <c r="BD147" s="1090" t="n">
        <v>14893.2</v>
      </c>
      <c r="BE147" s="1091" t="n">
        <v>2836.8</v>
      </c>
      <c r="BF147" s="1091" t="n">
        <v>3546</v>
      </c>
      <c r="BG147" s="842"/>
      <c r="BH147" s="1092" t="n">
        <v>1</v>
      </c>
      <c r="BI147" s="1092" t="n">
        <v>1</v>
      </c>
      <c r="BJ147" s="1092" t="n">
        <v>1</v>
      </c>
      <c r="BK147" s="1092" t="n">
        <v>1</v>
      </c>
      <c r="BL147" s="1093" t="n">
        <v>2978.64</v>
      </c>
      <c r="BM147" s="1091" t="n">
        <v>567.36</v>
      </c>
      <c r="BN147" s="1091" t="n">
        <v>709.2</v>
      </c>
      <c r="BO147" s="842"/>
      <c r="BP147" s="1092" t="n">
        <v>1</v>
      </c>
      <c r="BQ147" s="1094" t="n">
        <v>1</v>
      </c>
      <c r="BR147" s="1094" t="n">
        <v>1</v>
      </c>
      <c r="BS147" s="1095" t="n">
        <v>1</v>
      </c>
      <c r="BT147" s="1093" t="n">
        <f aca="false">SUM(BD147:BF147)</f>
        <v>21276</v>
      </c>
      <c r="BU147" s="1098" t="n">
        <f aca="false">SUM(BD147:BG147)</f>
        <v>21276</v>
      </c>
      <c r="BV147" s="1090" t="n">
        <f aca="false">SUM(BL147:BN147)</f>
        <v>4255.2</v>
      </c>
      <c r="BW147" s="1098" t="n">
        <f aca="false">SUM(BL147:BO147)</f>
        <v>4255.2</v>
      </c>
      <c r="BX147" s="852" t="n">
        <v>10.880219028063</v>
      </c>
      <c r="BY147" s="1099" t="n">
        <v>0</v>
      </c>
      <c r="BZ147" s="852" t="n">
        <v>0</v>
      </c>
      <c r="CA147" s="852" t="n">
        <v>0</v>
      </c>
      <c r="CB147" s="852" t="n">
        <v>0</v>
      </c>
      <c r="CC147" s="852" t="n">
        <v>0</v>
      </c>
      <c r="CD147" s="852" t="n">
        <v>0</v>
      </c>
      <c r="CE147" s="1100" t="n">
        <v>0</v>
      </c>
      <c r="CF147" s="852" t="n">
        <v>0</v>
      </c>
      <c r="CG147" s="852" t="n">
        <v>0</v>
      </c>
      <c r="CH147" s="852" t="n">
        <v>0</v>
      </c>
      <c r="CI147" s="852" t="n">
        <v>0</v>
      </c>
      <c r="CJ147" s="1101" t="n">
        <v>0</v>
      </c>
      <c r="CK147" s="852" t="n">
        <v>0</v>
      </c>
      <c r="CL147" s="852" t="n">
        <v>0</v>
      </c>
      <c r="CM147" s="852" t="n">
        <v>0</v>
      </c>
      <c r="CN147" s="852" t="n">
        <v>0</v>
      </c>
      <c r="CO147" s="852" t="n">
        <v>0</v>
      </c>
      <c r="CP147" s="852" t="n">
        <v>0</v>
      </c>
      <c r="CQ147" s="1102" t="n">
        <v>0</v>
      </c>
      <c r="CR147" s="1103" t="n">
        <v>0</v>
      </c>
      <c r="CS147" s="1103" t="n">
        <v>0</v>
      </c>
      <c r="CT147" s="1103" t="n">
        <v>0</v>
      </c>
      <c r="CU147" s="1103" t="n">
        <v>0</v>
      </c>
      <c r="CV147" s="1103" t="n">
        <v>0</v>
      </c>
      <c r="CW147" s="1103" t="n">
        <v>0</v>
      </c>
      <c r="CX147" s="1104" t="n">
        <v>0</v>
      </c>
      <c r="CY147" s="1105" t="n">
        <v>7735.0836</v>
      </c>
      <c r="CZ147" s="1099" t="n">
        <v>0</v>
      </c>
      <c r="DA147" s="852" t="n">
        <v>0</v>
      </c>
      <c r="DB147" s="852" t="n">
        <v>0</v>
      </c>
      <c r="DC147" s="852" t="n">
        <v>0</v>
      </c>
      <c r="DD147" s="852" t="n">
        <v>0</v>
      </c>
      <c r="DE147" s="1113" t="n">
        <v>0</v>
      </c>
      <c r="DF147" s="1109" t="n">
        <v>0</v>
      </c>
      <c r="DG147" s="1110" t="n">
        <v>0</v>
      </c>
      <c r="DH147" s="1111" t="n">
        <v>0</v>
      </c>
      <c r="DI147" s="1112" t="n">
        <v>0</v>
      </c>
      <c r="DJ147" s="1112" t="n">
        <v>0</v>
      </c>
      <c r="DK147" s="1112" t="n">
        <v>0</v>
      </c>
      <c r="DL147" s="1113" t="n">
        <v>0</v>
      </c>
      <c r="DM147" s="1114" t="n">
        <v>0</v>
      </c>
      <c r="DN147" s="1114" t="n">
        <v>0</v>
      </c>
      <c r="DO147" s="1114" t="n">
        <v>0</v>
      </c>
      <c r="DP147" s="1114" t="n">
        <v>0</v>
      </c>
      <c r="DQ147" s="1114" t="n">
        <v>0</v>
      </c>
      <c r="DR147" s="1109" t="n">
        <v>0</v>
      </c>
      <c r="DS147" s="852" t="n">
        <v>0</v>
      </c>
      <c r="DT147" s="852" t="n">
        <v>0</v>
      </c>
      <c r="DU147" s="852" t="n">
        <v>0</v>
      </c>
      <c r="DV147" s="852" t="n">
        <v>0</v>
      </c>
      <c r="DW147" s="852" t="n">
        <v>0</v>
      </c>
      <c r="DX147" s="852" t="n">
        <v>0</v>
      </c>
      <c r="DY147" s="852" t="n">
        <v>0</v>
      </c>
      <c r="DZ147" s="852" t="n">
        <v>0</v>
      </c>
      <c r="EA147" s="852" t="n">
        <v>0</v>
      </c>
      <c r="EB147" s="1113" t="n">
        <v>0</v>
      </c>
      <c r="EC147" s="1115" t="n">
        <f aca="false">DS147*BD147</f>
        <v>0</v>
      </c>
      <c r="ED147" s="1115" t="n">
        <f aca="false">DT147*BE147</f>
        <v>0</v>
      </c>
      <c r="EE147" s="1115" t="n">
        <f aca="false">DU147*BF147</f>
        <v>0</v>
      </c>
      <c r="EF147" s="1115" t="n">
        <f aca="false">DV147*BG147</f>
        <v>0</v>
      </c>
      <c r="EG147" s="1115" t="n">
        <f aca="false">DS147*BD147+DT147*BE147+DU147*BF147+DV147*BG147</f>
        <v>0</v>
      </c>
      <c r="EH147" s="1116" t="n">
        <v>0</v>
      </c>
      <c r="EI147" s="1117" t="n">
        <v>0</v>
      </c>
      <c r="EJ147" s="1117" t="n">
        <v>0</v>
      </c>
      <c r="EK147" s="1117" t="n">
        <v>0</v>
      </c>
      <c r="EL147" s="1118" t="n">
        <f aca="false">IF(C147&gt;=Summary!$E$26,MAX(0,SUM(EH147:EK147)),0)</f>
        <v>0</v>
      </c>
      <c r="EM147" s="1115" t="n">
        <f aca="false">IF(C147&gt;=Summary!$E$26,DX147*BL147,0)</f>
        <v>0</v>
      </c>
      <c r="EN147" s="1115" t="n">
        <f aca="false">IF(C147&gt;=Summary!$E$26,DY147*BM147,0)</f>
        <v>0</v>
      </c>
      <c r="EO147" s="1115" t="n">
        <f aca="false">IF(C147&gt;=Summary!$E$26,DZ147*BN147,0)</f>
        <v>0</v>
      </c>
      <c r="EP147" s="1115" t="n">
        <f aca="false">IF(C147&gt;=Summary!$E$26,EA147*BO147,0)</f>
        <v>0</v>
      </c>
      <c r="EQ147" s="1115" t="n">
        <f aca="false">IF(C147&gt;=Summary!$E$26,DX147*BL147+DY147*BM147+DZ147*BN147+EA147*BO147,0)</f>
        <v>0</v>
      </c>
      <c r="ER147" s="1119" t="n">
        <v>0</v>
      </c>
      <c r="ES147" s="1120" t="n">
        <v>0</v>
      </c>
      <c r="ET147" s="1120" t="n">
        <v>0</v>
      </c>
      <c r="EU147" s="1120" t="n">
        <v>0</v>
      </c>
      <c r="EV147" s="1143" t="n">
        <f aca="false">IF(C147&gt;=Summary!$E$26,MAX(0,SUM(ER147:EU147)),0)</f>
        <v>0</v>
      </c>
      <c r="EW147" s="1115"/>
      <c r="EX147" s="1165" t="n">
        <f aca="false">(EQ147-EV147)+IF(EZ147="Yes",(EG147-EL147),0)</f>
        <v>0</v>
      </c>
      <c r="EY147" s="1166" t="str">
        <f aca="false">IF(EX147,EX147/EQ147,"")</f>
        <v/>
      </c>
      <c r="EZ147" s="1122" t="s">
        <v>37</v>
      </c>
      <c r="FA147" s="1096" t="n">
        <f aca="false">FA146</f>
        <v>45</v>
      </c>
      <c r="FB147" s="1167" t="e">
        <f aca="false">IF(EZ147="No",IF((OR(MONTH(C147)=5,MONTH(C147)=6,MONTH(C147)=7,MONTH(C147)=8,MONTH(C147)=9)),$FA147*12*AX147*(1-$BC147),$FA147*10*AX147*(1-$BC147)),0)</f>
        <v>#VALUE!</v>
      </c>
      <c r="FC147" s="1129" t="e">
        <f aca="false">IF(EZ147="No",IF((OR(MONTH(C147)=5,MONTH(C147)=6,MONTH(C147)=7,MONTH(C147)=8,MONTH(C147)=9)),0,$FA147*3*AX147*(1-$BC147)),0)</f>
        <v>#VALUE!</v>
      </c>
      <c r="FD147" s="1129" t="e">
        <f aca="false">IF(EZ147="No",IF((OR(MONTH(C147)=5,MONTH(C147)=6,MONTH(C147)=7,MONTH(C147)=8,MONTH(C147)=9)),$FA147*12*AY147*(1-$BC147),$FA147*10*AY147*(1-$BC147)),0)</f>
        <v>#VALUE!</v>
      </c>
      <c r="FE147" s="1129" t="e">
        <f aca="false">IF(EZ147="No",IF((OR(MONTH(C147)=5,MONTH(C147)=6,MONTH(C147)=7,MONTH(C147)=8,MONTH(C147)=9)),0,$FA147*3*AY147*(1-$BC147)),0)</f>
        <v>#VALUE!</v>
      </c>
      <c r="FF147" s="1129" t="e">
        <f aca="false">IF(EZ147="No",IF((OR(MONTH(C147)=5,MONTH(C147)=6,MONTH(C147)=7,MONTH(C147)=8,MONTH(C147)=9)),$FA147*12*(AZ147+BA147)*(1-$BC147),$FA147*10*(AZ147+BA147)*(1-$BC147)),0)</f>
        <v>#VALUE!</v>
      </c>
      <c r="FG147" s="1129" t="e">
        <f aca="false">IF(EZ147="No",IF((OR(MONTH(C147)=5,MONTH(C147)=6,MONTH(C147)=7,MONTH(C147)=8,MONTH(C147)=9)),0,$FA147*3*(AZ147+BA147)*(1-$BC147)),0)</f>
        <v>#VALUE!</v>
      </c>
      <c r="FH147" s="1170" t="e">
        <f aca="false">IF(EZ147="No",IF((OR(MONTH(C147)=5,MONTH(C147)=6,MONTH(C147)=7,MONTH(C147)=8,MONTH(C147)=9)),Summary!$O$15*12*(AX147+AY147+AZ147+BA147)*(1-$BC147),Summary!$O$15*13*(AX147+AY147+AZ147+BA147)*(1-$BC147)+IF(Summary!$O$16="Yes",(CALC!FA147+Summary!$O$15)*6*(AX147+AY147+AZ147+BA147)*(1-$BC147),0)),0)</f>
        <v>#VALUE!</v>
      </c>
      <c r="FI147" s="1126" t="n">
        <f aca="false">IF(MONTH(C147)=5,FI146*(IF(Summary!$E$70="no",(1+(Summary!$E$71*0.8)),1+HLOOKUP(YEAR(C147)-1,CCFMODEL!$I$127:$AF$128,2)*0.8)),+FI146)</f>
        <v>34.5321162654377</v>
      </c>
      <c r="FJ147" s="1127" t="n">
        <f aca="false">IF(MONTH(C147)=5,FJ146*(IF(Summary!$E$70="no",(1+(Summary!$E$71*0.8)),1+HLOOKUP(YEAR(CALC!C147)-1,CCFMODEL!$I$127:$AF$128,2)*0.8)),FJ146)</f>
        <v>30.1816134288471</v>
      </c>
      <c r="FK147" s="1128" t="e">
        <f aca="false">SUM(FB147:FG147)*FI147+FH147*FJ147</f>
        <v>#VALUE!</v>
      </c>
      <c r="FL147" s="1126" t="n">
        <f aca="false">IF(MONTH(C147)=5,FL146*(IF(Summary!$E$70="no",(1+(Summary!$E$71*0.8)),1+HLOOKUP(YEAR(CALC!C147)-1,CCFMODEL!$I$127:$AF$128,2)*0.8)),+FL146)</f>
        <v>72.6249119358229</v>
      </c>
      <c r="FM147" s="1127" t="n">
        <f aca="false">IF(MONTH(C147)=5,FM146*(IF(Summary!$E$70="no",(1+(Summary!$E$71*0.8)),1+HLOOKUP(YEAR(CALC!C147)-1,CCFMODEL!$I$127:$AF$128,2)*0.8)),+FM146)</f>
        <v>34.6615955165267</v>
      </c>
      <c r="FN147" s="1128" t="e">
        <f aca="false">IF((OR(MONTH(C147)=5,MONTH(C147)=6,MONTH(C147)=7,MONTH(C147)=8,MONTH(C147)=9)),SUM(FB147:FG147)/(1-BC147)*FL147,SUM(FB147:FG147)/(1-BC147)*FM147)</f>
        <v>#VALUE!</v>
      </c>
      <c r="FO147" s="1129" t="e">
        <f aca="false">FK147+FN147</f>
        <v>#VALUE!</v>
      </c>
      <c r="FP147" s="1169" t="e">
        <f aca="false">FB147</f>
        <v>#VALUE!</v>
      </c>
      <c r="FQ147" s="1129" t="e">
        <f aca="false">FC147</f>
        <v>#VALUE!</v>
      </c>
      <c r="FR147" s="1129" t="e">
        <f aca="false">FD147</f>
        <v>#VALUE!</v>
      </c>
      <c r="FS147" s="1129" t="e">
        <f aca="false">FE147</f>
        <v>#VALUE!</v>
      </c>
      <c r="FT147" s="1129" t="e">
        <f aca="false">FF147</f>
        <v>#VALUE!</v>
      </c>
      <c r="FU147" s="1129" t="e">
        <f aca="false">FG147</f>
        <v>#VALUE!</v>
      </c>
      <c r="FV147" s="1170" t="e">
        <f aca="false">FH147</f>
        <v>#VALUE!</v>
      </c>
      <c r="FW147" s="1115" t="n">
        <f aca="false">IF(ER147&gt;0,MIN(FB147-FP147,BL147),0)</f>
        <v>0</v>
      </c>
      <c r="FX147" s="1115" t="n">
        <f aca="false">IF(ES147&gt;0,MIN(FD147-FR147,BM147),0)</f>
        <v>0</v>
      </c>
      <c r="FY147" s="1115" t="n">
        <f aca="false">IF(ET147&gt;0,MIN(FF147-FT147,BN147),0)</f>
        <v>0</v>
      </c>
      <c r="FZ147" s="1143" t="n">
        <f aca="false">IF(EU147&gt;0,MIN(FH147-FV147,BO147),0)</f>
        <v>0</v>
      </c>
      <c r="GA147" s="1132" t="e">
        <f aca="false">(SUM(FP147:FV147)+SUM(GU147:HB147)/(1-Summary!$O$25))*CY147/1000</f>
        <v>#VALUE!</v>
      </c>
      <c r="GB147" s="1196" t="n">
        <f aca="false">IF($C147&lt;Summary!$M$81,+Summary!$O$81,VLOOKUP(C147,GasTable,19))</f>
        <v>3.63023485445627</v>
      </c>
      <c r="GC147" s="1134" t="n">
        <f aca="false">IF(H147&lt;=Summary!$N$84,MIN(GA147,Summary!$O$75*(H147-G147+1)),0)</f>
        <v>0</v>
      </c>
      <c r="GD147" s="1135" t="n">
        <f aca="false">IF(C147&lt;Summary!$N$84,IF(Summary!$O$75*(H147-G147+1)*0.8&gt;GC147,1,0),0)</f>
        <v>0</v>
      </c>
      <c r="GE147" s="1136" t="n">
        <v>0</v>
      </c>
      <c r="GF147" s="1134" t="e">
        <f aca="false">ABS(MIN(0,GC147-$GA147))</f>
        <v>#VALUE!</v>
      </c>
      <c r="GG147" s="1135" t="e">
        <f aca="false">GF147*(IF(Summary!$O$74=1,VLOOKUP($C147,GasTable,16)+Summary!$O$92+Summary!$O$93,VLOOKUP($C147,GasTable,19)+Summary!$O$92+Summary!$O$93))</f>
        <v>#VALUE!</v>
      </c>
      <c r="GH147" s="1137" t="n">
        <v>5445.3522816844</v>
      </c>
      <c r="GI147" s="1138" t="n">
        <v>0</v>
      </c>
      <c r="GJ147" s="1139" t="e">
        <f aca="false">+GB147*GC147+GE147+GG147+GH147-GI147</f>
        <v>#VALUE!</v>
      </c>
      <c r="GK147" s="1115" t="e">
        <f aca="false">SUM(FP147:FV147,GU147:GX147,GY147:HB147)</f>
        <v>#VALUE!</v>
      </c>
      <c r="GL147" s="1140" t="n">
        <v>0.5182506012</v>
      </c>
      <c r="GM147" s="1141" t="e">
        <f aca="false">IF(GK147&gt;GC147/(CY147/1000),GC147/(CY147/1000),+GK147)*GL147</f>
        <v>#VALUE!</v>
      </c>
      <c r="GN147" s="1115" t="n">
        <f aca="false">IF(SUM(GU147:HB147)=0,0,IF(Summary!$O$16="Yes",SUM(GX147:HB147),IF(Summary!$O$17="Yes",SUM(GY147:HB147),SUM(GU147:HB147))))</f>
        <v>11805.5205</v>
      </c>
      <c r="GO147" s="1142" t="n">
        <v>3.19788335827947</v>
      </c>
      <c r="GP147" s="1143" t="n">
        <f aca="false">GN147*GO147</f>
        <v>37752.6775427771</v>
      </c>
      <c r="GQ147" s="1115"/>
      <c r="GR147" s="1115"/>
      <c r="GS147" s="1115"/>
      <c r="GT147" s="1115"/>
      <c r="GU147" s="1150" t="n">
        <v>5389.47675</v>
      </c>
      <c r="GV147" s="1115" t="n">
        <v>1026.567</v>
      </c>
      <c r="GW147" s="1115" t="n">
        <v>1283.20875</v>
      </c>
      <c r="GX147" s="1115"/>
      <c r="GY147" s="1151" t="n">
        <v>2874.3876</v>
      </c>
      <c r="GZ147" s="1115" t="n">
        <v>547.5024</v>
      </c>
      <c r="HA147" s="1115" t="n">
        <v>684.378</v>
      </c>
      <c r="HB147" s="1141"/>
      <c r="HC147" s="1115" t="n">
        <v>11805.5205</v>
      </c>
      <c r="HD147" s="1115"/>
      <c r="HE147" s="1115" t="n">
        <v>20274.69825</v>
      </c>
      <c r="HF147" s="1115" t="n">
        <v>580337.528626091</v>
      </c>
      <c r="HG147" s="1115"/>
      <c r="HH147" s="1142" t="n">
        <v>48.8687669612646</v>
      </c>
      <c r="HI147" s="1115" t="n">
        <v>990799.50398921</v>
      </c>
      <c r="HJ147" s="1150" t="e">
        <f aca="false">MAX(FB147-FP147-FW147,0)</f>
        <v>#VALUE!</v>
      </c>
      <c r="HK147" s="1115" t="e">
        <f aca="false">MAX(FD147-FR147-FX147,0)</f>
        <v>#VALUE!</v>
      </c>
      <c r="HL147" s="1115" t="e">
        <f aca="false">MAX(FF147-FT147-FY147,0)</f>
        <v>#VALUE!</v>
      </c>
      <c r="HM147" s="1141" t="e">
        <f aca="false">MAX(FH147-FV147-FZ147,0)</f>
        <v>#VALUE!</v>
      </c>
      <c r="HN147" s="1115" t="e">
        <f aca="false">SUM(HJ147:HM147)</f>
        <v>#VALUE!</v>
      </c>
      <c r="HO147" s="1142" t="n">
        <f aca="false">IF(ISERROR(+HP147/HN147),0,+HP147/HN147)</f>
        <v>0</v>
      </c>
      <c r="HP147" s="1143" t="e">
        <f aca="false">(HJ147*CE147+HK147*CF147+HL147*CG147+HM147*CH147)</f>
        <v>#VALUE!</v>
      </c>
      <c r="HQ147" s="1142"/>
      <c r="HR147" s="1150"/>
      <c r="HS147" s="1110"/>
      <c r="HT147" s="1141"/>
      <c r="HU147" s="1151"/>
      <c r="HV147" s="1142"/>
      <c r="HW147" s="1115"/>
      <c r="HX147" s="1149"/>
      <c r="HY147" s="1143"/>
      <c r="HZ147" s="1150"/>
      <c r="IA147" s="1142"/>
      <c r="IB147" s="1141"/>
      <c r="IC147" s="1151"/>
      <c r="ID147" s="1142"/>
      <c r="IE147" s="1141"/>
      <c r="IF147" s="1115"/>
      <c r="IG147" s="1142"/>
      <c r="IH147" s="1141"/>
      <c r="II147" s="1115"/>
      <c r="IJ147" s="1142"/>
      <c r="IK147" s="1115"/>
      <c r="IL147" s="1152"/>
      <c r="IM147" s="1192"/>
      <c r="IN147" s="1151"/>
      <c r="IO147" s="1151"/>
      <c r="IP147" s="1151"/>
      <c r="IQ147" s="1151"/>
      <c r="IR147" s="844"/>
    </row>
    <row r="148" customFormat="false" ht="13.5" hidden="false" customHeight="false" outlineLevel="0" collapsed="false">
      <c r="A148" s="0" t="str">
        <f aca="false">+D148&amp;"Q"&amp;ROUNDUP(E148/3,0)</f>
        <v>2010Q4</v>
      </c>
      <c r="B148" s="0" t="n">
        <f aca="false">YEAR(C148)</f>
        <v>2010</v>
      </c>
      <c r="C148" s="1153" t="n">
        <f aca="false">EOMONTH(C147,0)+1</f>
        <v>40513</v>
      </c>
      <c r="D148" s="841" t="n">
        <f aca="false">+YEAR(C148)</f>
        <v>2010</v>
      </c>
      <c r="E148" s="807" t="n">
        <f aca="false">MONTH(C148)</f>
        <v>12</v>
      </c>
      <c r="F148" s="1154" t="e">
        <f aca="false">IF(G148="","",Holiday(D148,E148))</f>
        <v>#VALUE!</v>
      </c>
      <c r="G148" s="1155" t="n">
        <v>40513</v>
      </c>
      <c r="H148" s="1156" t="n">
        <v>40543</v>
      </c>
      <c r="I148" s="1157" t="n">
        <f aca="false">I147</f>
        <v>0.0715</v>
      </c>
      <c r="J148" s="1158" t="n">
        <f aca="false">(1+I148/2)^(-2*(DATE(D149,E149,20)-$H$7)/365.25)</f>
        <v>0.458525253268306</v>
      </c>
      <c r="K148" s="1159"/>
      <c r="L148" s="1158"/>
      <c r="M148" s="1082" t="n">
        <v>0</v>
      </c>
      <c r="N148" s="1110" t="n">
        <f aca="false">M148</f>
        <v>0</v>
      </c>
      <c r="O148" s="1174" t="n">
        <f aca="false">N148</f>
        <v>0</v>
      </c>
      <c r="P148" s="1175" t="n">
        <f aca="false">M148</f>
        <v>0</v>
      </c>
      <c r="Q148" s="1110" t="n">
        <f aca="false">P148</f>
        <v>0</v>
      </c>
      <c r="R148" s="1174" t="n">
        <f aca="false">Q148</f>
        <v>0</v>
      </c>
      <c r="S148" s="1110" t="n">
        <f aca="false">R148</f>
        <v>0</v>
      </c>
      <c r="T148" s="1110" t="n">
        <f aca="false">S148</f>
        <v>0</v>
      </c>
      <c r="U148" s="1110" t="n">
        <f aca="false">T148</f>
        <v>0</v>
      </c>
      <c r="V148" s="1175" t="n">
        <f aca="false">U148</f>
        <v>0</v>
      </c>
      <c r="W148" s="1110" t="n">
        <f aca="false">V148</f>
        <v>0</v>
      </c>
      <c r="X148" s="1176" t="n">
        <f aca="false">W148</f>
        <v>0</v>
      </c>
      <c r="Y148" s="1086" t="n">
        <v>0</v>
      </c>
      <c r="Z148" s="1086" t="n">
        <v>0</v>
      </c>
      <c r="AA148" s="1087" t="n">
        <v>0</v>
      </c>
      <c r="AB148" s="1086" t="n">
        <v>0</v>
      </c>
      <c r="AC148" s="1086" t="n">
        <v>0</v>
      </c>
      <c r="AD148" s="1087" t="n">
        <v>0</v>
      </c>
      <c r="AE148" s="1086" t="n">
        <v>0</v>
      </c>
      <c r="AF148" s="1086" t="n">
        <v>0</v>
      </c>
      <c r="AG148" s="1087" t="n">
        <v>0</v>
      </c>
      <c r="AH148" s="1086" t="n">
        <v>0</v>
      </c>
      <c r="AI148" s="1086" t="n">
        <v>0</v>
      </c>
      <c r="AJ148" s="1087" t="n">
        <v>0</v>
      </c>
      <c r="AK148" s="1086" t="n">
        <v>0</v>
      </c>
      <c r="AL148" s="1086" t="n">
        <v>0</v>
      </c>
      <c r="AM148" s="1087" t="n">
        <v>0</v>
      </c>
      <c r="AN148" s="1086" t="n">
        <v>0</v>
      </c>
      <c r="AO148" s="1086" t="n">
        <v>0</v>
      </c>
      <c r="AP148" s="1087" t="n">
        <v>0</v>
      </c>
      <c r="AQ148" s="1086" t="n">
        <v>0</v>
      </c>
      <c r="AR148" s="1086" t="n">
        <v>0</v>
      </c>
      <c r="AS148" s="1087" t="n">
        <v>0</v>
      </c>
      <c r="AT148" s="1086" t="n">
        <v>0</v>
      </c>
      <c r="AU148" s="1086" t="n">
        <v>0</v>
      </c>
      <c r="AV148" s="1086" t="n">
        <v>0</v>
      </c>
      <c r="AW148" s="1172" t="n">
        <v>0</v>
      </c>
      <c r="AX148" s="807" t="e">
        <f aca="false">BB148-SUM(AY148:BA148)</f>
        <v>#VALUE!</v>
      </c>
      <c r="AY148" s="807" t="e">
        <f aca="false">IF(AND($E148=MONTH(Summary!$E$24),$D148=YEAR(Summary!$E$24)),Summary!$E$25,1)*IF(G148="",0,INT((H148-MOD(H148,7)-G148)/7)+1-IF(BA148,IF(WEEKDAY(F148)=7,1,0),0))</f>
        <v>#VALUE!</v>
      </c>
      <c r="AZ148" s="807" t="e">
        <f aca="false">IF(AND($E148=MONTH(Summary!$E$24),$D148=YEAR(Summary!$E$24)),Summary!$E$25,1)*IF(G148="",0,INT((H148-MOD(H148-1,7)-G148)/7)+1-IF(BA148,IF(WEEKDAY(F148)=1,1,0),0))</f>
        <v>#VALUE!</v>
      </c>
      <c r="BA148" s="807" t="n">
        <v>1</v>
      </c>
      <c r="BB148" s="807" t="n">
        <f aca="false">IF(AND($E148=MONTH(Summary!$E$24),$D148=YEAR(Summary!$E$24)),Summary!$E$25,1)*IF(G148="",0,H148-G148+1)</f>
        <v>31</v>
      </c>
      <c r="BC148" s="1089" t="n">
        <f aca="false">Summary!$E$19</f>
        <v>0.015</v>
      </c>
      <c r="BD148" s="1090" t="n">
        <v>16311.6</v>
      </c>
      <c r="BE148" s="1091" t="n">
        <v>2127.6</v>
      </c>
      <c r="BF148" s="1091" t="n">
        <v>3546</v>
      </c>
      <c r="BG148" s="842"/>
      <c r="BH148" s="1092" t="n">
        <v>1</v>
      </c>
      <c r="BI148" s="1092" t="n">
        <v>1</v>
      </c>
      <c r="BJ148" s="1092" t="n">
        <v>1</v>
      </c>
      <c r="BK148" s="1092" t="n">
        <v>1</v>
      </c>
      <c r="BL148" s="1093" t="n">
        <v>3262.32</v>
      </c>
      <c r="BM148" s="1091" t="n">
        <v>425.52</v>
      </c>
      <c r="BN148" s="1091" t="n">
        <v>709.2</v>
      </c>
      <c r="BO148" s="842"/>
      <c r="BP148" s="1092" t="n">
        <v>1</v>
      </c>
      <c r="BQ148" s="1094" t="n">
        <v>1</v>
      </c>
      <c r="BR148" s="1094" t="n">
        <v>1</v>
      </c>
      <c r="BS148" s="1095" t="n">
        <v>1</v>
      </c>
      <c r="BT148" s="1093" t="n">
        <f aca="false">SUM(BD148:BF148)</f>
        <v>21985.2</v>
      </c>
      <c r="BU148" s="1098" t="n">
        <f aca="false">SUM(BD148:BG148)</f>
        <v>21985.2</v>
      </c>
      <c r="BV148" s="1090" t="n">
        <f aca="false">SUM(BL148:BN148)</f>
        <v>4397.04</v>
      </c>
      <c r="BW148" s="1098" t="n">
        <f aca="false">SUM(BL148:BO148)</f>
        <v>4397.04</v>
      </c>
      <c r="BX148" s="852" t="n">
        <v>10.9623545516769</v>
      </c>
      <c r="BY148" s="1099" t="n">
        <v>0</v>
      </c>
      <c r="BZ148" s="852" t="n">
        <v>0</v>
      </c>
      <c r="CA148" s="852" t="n">
        <v>0</v>
      </c>
      <c r="CB148" s="852" t="n">
        <v>0</v>
      </c>
      <c r="CC148" s="852" t="n">
        <v>0</v>
      </c>
      <c r="CD148" s="852" t="n">
        <v>0</v>
      </c>
      <c r="CE148" s="1100" t="n">
        <v>0</v>
      </c>
      <c r="CF148" s="852" t="n">
        <v>0</v>
      </c>
      <c r="CG148" s="852" t="n">
        <v>0</v>
      </c>
      <c r="CH148" s="852" t="n">
        <v>0</v>
      </c>
      <c r="CI148" s="852" t="n">
        <v>0</v>
      </c>
      <c r="CJ148" s="1101" t="n">
        <v>0</v>
      </c>
      <c r="CK148" s="852" t="n">
        <v>0</v>
      </c>
      <c r="CL148" s="852" t="n">
        <v>0</v>
      </c>
      <c r="CM148" s="852" t="n">
        <v>0</v>
      </c>
      <c r="CN148" s="852" t="n">
        <v>0</v>
      </c>
      <c r="CO148" s="852" t="n">
        <v>0</v>
      </c>
      <c r="CP148" s="852" t="n">
        <v>0</v>
      </c>
      <c r="CQ148" s="1102" t="n">
        <v>0</v>
      </c>
      <c r="CR148" s="1103" t="n">
        <v>0</v>
      </c>
      <c r="CS148" s="1103" t="n">
        <v>0</v>
      </c>
      <c r="CT148" s="1103" t="n">
        <v>0</v>
      </c>
      <c r="CU148" s="1103" t="n">
        <v>0</v>
      </c>
      <c r="CV148" s="1103" t="n">
        <v>0</v>
      </c>
      <c r="CW148" s="1103" t="n">
        <v>0</v>
      </c>
      <c r="CX148" s="1104" t="n">
        <v>0</v>
      </c>
      <c r="CY148" s="1105" t="n">
        <v>7737.11456</v>
      </c>
      <c r="CZ148" s="1099" t="n">
        <v>0</v>
      </c>
      <c r="DA148" s="852" t="n">
        <v>0</v>
      </c>
      <c r="DB148" s="852" t="n">
        <v>0</v>
      </c>
      <c r="DC148" s="852" t="n">
        <v>0</v>
      </c>
      <c r="DD148" s="852" t="n">
        <v>0</v>
      </c>
      <c r="DE148" s="1113" t="n">
        <v>0</v>
      </c>
      <c r="DF148" s="1109" t="n">
        <v>0</v>
      </c>
      <c r="DG148" s="1110" t="n">
        <v>0</v>
      </c>
      <c r="DH148" s="1111" t="n">
        <v>0</v>
      </c>
      <c r="DI148" s="1112" t="n">
        <v>0</v>
      </c>
      <c r="DJ148" s="1112" t="n">
        <v>0</v>
      </c>
      <c r="DK148" s="1112" t="n">
        <v>0</v>
      </c>
      <c r="DL148" s="1113" t="n">
        <v>0</v>
      </c>
      <c r="DM148" s="1114" t="n">
        <v>0</v>
      </c>
      <c r="DN148" s="1114" t="n">
        <v>0</v>
      </c>
      <c r="DO148" s="1114" t="n">
        <v>0</v>
      </c>
      <c r="DP148" s="1114" t="n">
        <v>0</v>
      </c>
      <c r="DQ148" s="1114" t="n">
        <v>0</v>
      </c>
      <c r="DR148" s="1109" t="n">
        <v>0</v>
      </c>
      <c r="DS148" s="852" t="n">
        <v>0</v>
      </c>
      <c r="DT148" s="852" t="n">
        <v>0</v>
      </c>
      <c r="DU148" s="852" t="n">
        <v>0</v>
      </c>
      <c r="DV148" s="852" t="n">
        <v>0</v>
      </c>
      <c r="DW148" s="852" t="n">
        <v>0</v>
      </c>
      <c r="DX148" s="852" t="n">
        <v>0</v>
      </c>
      <c r="DY148" s="852" t="n">
        <v>0</v>
      </c>
      <c r="DZ148" s="852" t="n">
        <v>0</v>
      </c>
      <c r="EA148" s="852" t="n">
        <v>0</v>
      </c>
      <c r="EB148" s="1113" t="n">
        <v>0</v>
      </c>
      <c r="EC148" s="1115" t="n">
        <f aca="false">DS148*BD148</f>
        <v>0</v>
      </c>
      <c r="ED148" s="1115" t="n">
        <f aca="false">DT148*BE148</f>
        <v>0</v>
      </c>
      <c r="EE148" s="1115" t="n">
        <f aca="false">DU148*BF148</f>
        <v>0</v>
      </c>
      <c r="EF148" s="1115" t="n">
        <f aca="false">DV148*BG148</f>
        <v>0</v>
      </c>
      <c r="EG148" s="1115" t="n">
        <f aca="false">DS148*BD148+DT148*BE148+DU148*BF148+DV148*BG148</f>
        <v>0</v>
      </c>
      <c r="EH148" s="1116" t="n">
        <v>0</v>
      </c>
      <c r="EI148" s="1117" t="n">
        <v>0</v>
      </c>
      <c r="EJ148" s="1117" t="n">
        <v>0</v>
      </c>
      <c r="EK148" s="1117" t="n">
        <v>0</v>
      </c>
      <c r="EL148" s="1118" t="n">
        <f aca="false">IF(C148&gt;=Summary!$E$26,MAX(0,SUM(EH148:EK148)),0)</f>
        <v>0</v>
      </c>
      <c r="EM148" s="1115" t="n">
        <f aca="false">IF(C148&gt;=Summary!$E$26,DX148*BL148,0)</f>
        <v>0</v>
      </c>
      <c r="EN148" s="1115" t="n">
        <f aca="false">IF(C148&gt;=Summary!$E$26,DY148*BM148,0)</f>
        <v>0</v>
      </c>
      <c r="EO148" s="1115" t="n">
        <f aca="false">IF(C148&gt;=Summary!$E$26,DZ148*BN148,0)</f>
        <v>0</v>
      </c>
      <c r="EP148" s="1115" t="n">
        <f aca="false">IF(C148&gt;=Summary!$E$26,EA148*BO148,0)</f>
        <v>0</v>
      </c>
      <c r="EQ148" s="1115" t="n">
        <f aca="false">IF(C148&gt;=Summary!$E$26,DX148*BL148+DY148*BM148+DZ148*BN148+EA148*BO148,0)</f>
        <v>0</v>
      </c>
      <c r="ER148" s="1119" t="n">
        <v>0</v>
      </c>
      <c r="ES148" s="1120" t="n">
        <v>0</v>
      </c>
      <c r="ET148" s="1120" t="n">
        <v>0</v>
      </c>
      <c r="EU148" s="1120" t="n">
        <v>0</v>
      </c>
      <c r="EV148" s="1143" t="n">
        <f aca="false">IF(C148&gt;=Summary!$E$26,MAX(0,SUM(ER148:EU148)),0)</f>
        <v>0</v>
      </c>
      <c r="EW148" s="1115"/>
      <c r="EX148" s="1165" t="n">
        <f aca="false">(EQ148-EV148)+IF(EZ148="Yes",(EG148-EL148),0)</f>
        <v>0</v>
      </c>
      <c r="EY148" s="1166" t="str">
        <f aca="false">IF(EX148,EX148/EQ148,"")</f>
        <v/>
      </c>
      <c r="EZ148" s="1122" t="s">
        <v>37</v>
      </c>
      <c r="FA148" s="1096" t="n">
        <f aca="false">FA147</f>
        <v>45</v>
      </c>
      <c r="FB148" s="1167" t="e">
        <f aca="false">IF(EZ148="No",IF((OR(MONTH(C148)=5,MONTH(C148)=6,MONTH(C148)=7,MONTH(C148)=8,MONTH(C148)=9)),$FA148*12*AX148*(1-$BC148),$FA148*10*AX148*(1-$BC148)),0)</f>
        <v>#VALUE!</v>
      </c>
      <c r="FC148" s="1129" t="e">
        <f aca="false">IF(EZ148="No",IF((OR(MONTH(C148)=5,MONTH(C148)=6,MONTH(C148)=7,MONTH(C148)=8,MONTH(C148)=9)),0,$FA148*3*AX148*(1-$BC148)),0)</f>
        <v>#VALUE!</v>
      </c>
      <c r="FD148" s="1129" t="e">
        <f aca="false">IF(EZ148="No",IF((OR(MONTH(C148)=5,MONTH(C148)=6,MONTH(C148)=7,MONTH(C148)=8,MONTH(C148)=9)),$FA148*12*AY148*(1-$BC148),$FA148*10*AY148*(1-$BC148)),0)</f>
        <v>#VALUE!</v>
      </c>
      <c r="FE148" s="1129" t="e">
        <f aca="false">IF(EZ148="No",IF((OR(MONTH(C148)=5,MONTH(C148)=6,MONTH(C148)=7,MONTH(C148)=8,MONTH(C148)=9)),0,$FA148*3*AY148*(1-$BC148)),0)</f>
        <v>#VALUE!</v>
      </c>
      <c r="FF148" s="1129" t="e">
        <f aca="false">IF(EZ148="No",IF((OR(MONTH(C148)=5,MONTH(C148)=6,MONTH(C148)=7,MONTH(C148)=8,MONTH(C148)=9)),$FA148*12*(AZ148+BA148)*(1-$BC148),$FA148*10*(AZ148+BA148)*(1-$BC148)),0)</f>
        <v>#VALUE!</v>
      </c>
      <c r="FG148" s="1129" t="e">
        <f aca="false">IF(EZ148="No",IF((OR(MONTH(C148)=5,MONTH(C148)=6,MONTH(C148)=7,MONTH(C148)=8,MONTH(C148)=9)),0,$FA148*3*(AZ148+BA148)*(1-$BC148)),0)</f>
        <v>#VALUE!</v>
      </c>
      <c r="FH148" s="1170" t="e">
        <f aca="false">IF(EZ148="No",IF((OR(MONTH(C148)=5,MONTH(C148)=6,MONTH(C148)=7,MONTH(C148)=8,MONTH(C148)=9)),Summary!$O$15*12*(AX148+AY148+AZ148+BA148)*(1-$BC148),Summary!$O$15*13*(AX148+AY148+AZ148+BA148)*(1-$BC148)+IF(Summary!$O$16="Yes",(CALC!FA148+Summary!$O$15)*6*(AX148+AY148+AZ148+BA148)*(1-$BC148),0)),0)</f>
        <v>#VALUE!</v>
      </c>
      <c r="FI148" s="1126" t="n">
        <f aca="false">IF(MONTH(C148)=5,FI147*(IF(Summary!$E$70="no",(1+(Summary!$E$71*0.8)),1+HLOOKUP(YEAR(C148)-1,CCFMODEL!$I$127:$AF$128,2)*0.8)),+FI147)</f>
        <v>34.5321162654377</v>
      </c>
      <c r="FJ148" s="1127" t="n">
        <f aca="false">IF(MONTH(C148)=5,FJ147*(IF(Summary!$E$70="no",(1+(Summary!$E$71*0.8)),1+HLOOKUP(YEAR(CALC!C148)-1,CCFMODEL!$I$127:$AF$128,2)*0.8)),FJ147)</f>
        <v>30.1816134288471</v>
      </c>
      <c r="FK148" s="1128" t="e">
        <f aca="false">SUM(FB148:FG148)*FI148+FH148*FJ148</f>
        <v>#VALUE!</v>
      </c>
      <c r="FL148" s="1126" t="n">
        <f aca="false">IF(MONTH(C148)=5,FL147*(IF(Summary!$E$70="no",(1+(Summary!$E$71*0.8)),1+HLOOKUP(YEAR(CALC!C148)-1,CCFMODEL!$I$127:$AF$128,2)*0.8)),+FL147)</f>
        <v>72.6249119358229</v>
      </c>
      <c r="FM148" s="1127" t="n">
        <f aca="false">IF(MONTH(C148)=5,FM147*(IF(Summary!$E$70="no",(1+(Summary!$E$71*0.8)),1+HLOOKUP(YEAR(CALC!C148)-1,CCFMODEL!$I$127:$AF$128,2)*0.8)),+FM147)</f>
        <v>34.6615955165267</v>
      </c>
      <c r="FN148" s="1128" t="e">
        <f aca="false">IF((OR(MONTH(C148)=5,MONTH(C148)=6,MONTH(C148)=7,MONTH(C148)=8,MONTH(C148)=9)),SUM(FB148:FG148)/(1-BC148)*FL148,SUM(FB148:FG148)/(1-BC148)*FM148)</f>
        <v>#VALUE!</v>
      </c>
      <c r="FO148" s="1129" t="e">
        <f aca="false">FK148+FN148</f>
        <v>#VALUE!</v>
      </c>
      <c r="FP148" s="1169" t="e">
        <f aca="false">FB148</f>
        <v>#VALUE!</v>
      </c>
      <c r="FQ148" s="1129" t="e">
        <f aca="false">FC148</f>
        <v>#VALUE!</v>
      </c>
      <c r="FR148" s="1129" t="e">
        <f aca="false">FD148</f>
        <v>#VALUE!</v>
      </c>
      <c r="FS148" s="1129" t="e">
        <f aca="false">FE148</f>
        <v>#VALUE!</v>
      </c>
      <c r="FT148" s="1129" t="e">
        <f aca="false">FF148</f>
        <v>#VALUE!</v>
      </c>
      <c r="FU148" s="1129" t="e">
        <f aca="false">FG148</f>
        <v>#VALUE!</v>
      </c>
      <c r="FV148" s="1170" t="e">
        <f aca="false">FH148</f>
        <v>#VALUE!</v>
      </c>
      <c r="FW148" s="1115" t="n">
        <f aca="false">IF(ER148&gt;0,MIN(FB148-FP148,BL148),0)</f>
        <v>0</v>
      </c>
      <c r="FX148" s="1115" t="n">
        <f aca="false">IF(ES148&gt;0,MIN(FD148-FR148,BM148),0)</f>
        <v>0</v>
      </c>
      <c r="FY148" s="1115" t="n">
        <f aca="false">IF(ET148&gt;0,MIN(FF148-FT148,BN148),0)</f>
        <v>0</v>
      </c>
      <c r="FZ148" s="1143" t="n">
        <f aca="false">IF(EU148&gt;0,MIN(FH148-FV148,BO148),0)</f>
        <v>0</v>
      </c>
      <c r="GA148" s="1132" t="e">
        <f aca="false">(SUM(FP148:FV148)+SUM(GU148:HB148)/(1-Summary!$O$25))*CY148/1000</f>
        <v>#VALUE!</v>
      </c>
      <c r="GB148" s="1196" t="n">
        <f aca="false">IF($C148&lt;Summary!$M$81,+Summary!$O$81,VLOOKUP(C148,GasTable,19))</f>
        <v>3.78464726168256</v>
      </c>
      <c r="GC148" s="1134" t="n">
        <f aca="false">IF(H148&lt;=Summary!$N$84,MIN(GA148,Summary!$O$75*(H148-G148+1)),0)</f>
        <v>0</v>
      </c>
      <c r="GD148" s="1135" t="n">
        <f aca="false">IF(C148&lt;Summary!$N$84,IF(Summary!$O$75*(H148-G148+1)*0.8&gt;GC148,1,0),0)</f>
        <v>0</v>
      </c>
      <c r="GE148" s="1136" t="n">
        <v>0</v>
      </c>
      <c r="GF148" s="1134" t="e">
        <f aca="false">ABS(MIN(0,GC148-$GA148))</f>
        <v>#VALUE!</v>
      </c>
      <c r="GG148" s="1135" t="e">
        <f aca="false">GF148*(IF(Summary!$O$74=1,VLOOKUP($C148,GasTable,16)+Summary!$O$92+Summary!$O$93,VLOOKUP($C148,GasTable,19)+Summary!$O$92+Summary!$O$93))</f>
        <v>#VALUE!</v>
      </c>
      <c r="GH148" s="1137" t="n">
        <v>5866.20325560797</v>
      </c>
      <c r="GI148" s="1138" t="n">
        <v>0</v>
      </c>
      <c r="GJ148" s="1139" t="e">
        <f aca="false">+GB148*GC148+GE148+GG148+GH148-GI148</f>
        <v>#VALUE!</v>
      </c>
      <c r="GK148" s="1115" t="e">
        <f aca="false">SUM(FP148:FV148,GU148:GX148,GY148:HB148)</f>
        <v>#VALUE!</v>
      </c>
      <c r="GL148" s="1140" t="n">
        <v>0.51838667552</v>
      </c>
      <c r="GM148" s="1141" t="e">
        <f aca="false">IF(GK148&gt;GC148/(CY148/1000),GC148/(CY148/1000),+GK148)*GL148</f>
        <v>#VALUE!</v>
      </c>
      <c r="GN148" s="1115" t="n">
        <f aca="false">IF(SUM(GU148:HB148)=0,0,IF(Summary!$O$16="Yes",SUM(GX148:HB148),IF(Summary!$O$17="Yes",SUM(GY148:HB148),SUM(GU148:HB148))))</f>
        <v>12199.03785</v>
      </c>
      <c r="GO148" s="1142" t="n">
        <v>3.19788335827947</v>
      </c>
      <c r="GP148" s="1143" t="n">
        <f aca="false">GN148*GO148</f>
        <v>39011.1001275363</v>
      </c>
      <c r="GQ148" s="1115"/>
      <c r="GR148" s="1115"/>
      <c r="GS148" s="1115"/>
      <c r="GT148" s="1115"/>
      <c r="GU148" s="1150" t="n">
        <v>5902.76025</v>
      </c>
      <c r="GV148" s="1115" t="n">
        <v>769.92525</v>
      </c>
      <c r="GW148" s="1115" t="n">
        <v>1283.20875</v>
      </c>
      <c r="GX148" s="1115"/>
      <c r="GY148" s="1151" t="n">
        <v>3148.1388</v>
      </c>
      <c r="GZ148" s="1115" t="n">
        <v>410.6268</v>
      </c>
      <c r="HA148" s="1115" t="n">
        <v>684.378</v>
      </c>
      <c r="HB148" s="1141"/>
      <c r="HC148" s="1115" t="n">
        <v>12199.03785</v>
      </c>
      <c r="HD148" s="1115"/>
      <c r="HE148" s="1115" t="n">
        <v>20950.521525</v>
      </c>
      <c r="HF148" s="1115" t="n">
        <v>572258.461700885</v>
      </c>
      <c r="HG148" s="1115"/>
      <c r="HH148" s="1142" t="n">
        <v>46.6074311144169</v>
      </c>
      <c r="HI148" s="1115" t="n">
        <v>976449.988787546</v>
      </c>
      <c r="HJ148" s="1150" t="e">
        <f aca="false">MAX(FB148-FP148-FW148,0)</f>
        <v>#VALUE!</v>
      </c>
      <c r="HK148" s="1115" t="e">
        <f aca="false">MAX(FD148-FR148-FX148,0)</f>
        <v>#VALUE!</v>
      </c>
      <c r="HL148" s="1115" t="e">
        <f aca="false">MAX(FF148-FT148-FY148,0)</f>
        <v>#VALUE!</v>
      </c>
      <c r="HM148" s="1141" t="e">
        <f aca="false">MAX(FH148-FV148-FZ148,0)</f>
        <v>#VALUE!</v>
      </c>
      <c r="HN148" s="1115" t="e">
        <f aca="false">SUM(HJ148:HM148)</f>
        <v>#VALUE!</v>
      </c>
      <c r="HO148" s="1142" t="n">
        <f aca="false">IF(ISERROR(+HP148/HN148),0,+HP148/HN148)</f>
        <v>0</v>
      </c>
      <c r="HP148" s="1143" t="e">
        <f aca="false">(HJ148*CE148+HK148*CF148+HL148*CG148+HM148*CH148)</f>
        <v>#VALUE!</v>
      </c>
      <c r="HQ148" s="1142"/>
      <c r="HR148" s="1150"/>
      <c r="HS148" s="1110"/>
      <c r="HT148" s="1141"/>
      <c r="HU148" s="1151"/>
      <c r="HV148" s="1142"/>
      <c r="HW148" s="1115"/>
      <c r="HX148" s="1149"/>
      <c r="HY148" s="1143"/>
      <c r="HZ148" s="1150"/>
      <c r="IA148" s="1142"/>
      <c r="IB148" s="1141"/>
      <c r="IC148" s="1151"/>
      <c r="ID148" s="1142"/>
      <c r="IE148" s="1141"/>
      <c r="IF148" s="1115"/>
      <c r="IG148" s="1142"/>
      <c r="IH148" s="1141"/>
      <c r="II148" s="1115"/>
      <c r="IJ148" s="1142"/>
      <c r="IK148" s="1115"/>
      <c r="IL148" s="1152"/>
      <c r="IM148" s="1192"/>
      <c r="IN148" s="1151"/>
      <c r="IO148" s="1151"/>
      <c r="IP148" s="1151"/>
      <c r="IQ148" s="1151"/>
      <c r="IR148" s="844"/>
    </row>
    <row r="149" customFormat="false" ht="13.5" hidden="false" customHeight="false" outlineLevel="0" collapsed="false">
      <c r="A149" s="0" t="str">
        <f aca="false">+D149&amp;"Q"&amp;ROUNDUP(E149/3,0)</f>
        <v>2011Q1</v>
      </c>
      <c r="B149" s="0" t="n">
        <f aca="false">YEAR(C149)</f>
        <v>2011</v>
      </c>
      <c r="C149" s="1153" t="n">
        <f aca="false">EOMONTH(C148,0)+1</f>
        <v>40544</v>
      </c>
      <c r="D149" s="841" t="n">
        <f aca="false">+YEAR(C149)</f>
        <v>2011</v>
      </c>
      <c r="E149" s="807" t="n">
        <f aca="false">MONTH(C149)</f>
        <v>1</v>
      </c>
      <c r="F149" s="1154" t="e">
        <f aca="false">IF(G149="","",Holiday(D149,E149))</f>
        <v>#VALUE!</v>
      </c>
      <c r="G149" s="1155" t="n">
        <v>40544</v>
      </c>
      <c r="H149" s="1156" t="n">
        <v>40574</v>
      </c>
      <c r="I149" s="1157" t="n">
        <f aca="false">I148</f>
        <v>0.0715</v>
      </c>
      <c r="J149" s="1158" t="n">
        <f aca="false">(1+I149/2)^(-2*(DATE(D150,E150,20)-$H$7)/365.25)</f>
        <v>0.455799435125305</v>
      </c>
      <c r="K149" s="1159"/>
      <c r="L149" s="1158"/>
      <c r="M149" s="1082" t="n">
        <v>0</v>
      </c>
      <c r="N149" s="1110" t="n">
        <f aca="false">M149</f>
        <v>0</v>
      </c>
      <c r="O149" s="1174" t="n">
        <f aca="false">N149</f>
        <v>0</v>
      </c>
      <c r="P149" s="1175" t="n">
        <f aca="false">M149</f>
        <v>0</v>
      </c>
      <c r="Q149" s="1110" t="n">
        <f aca="false">P149</f>
        <v>0</v>
      </c>
      <c r="R149" s="1174" t="n">
        <f aca="false">Q149</f>
        <v>0</v>
      </c>
      <c r="S149" s="1110" t="n">
        <f aca="false">R149</f>
        <v>0</v>
      </c>
      <c r="T149" s="1110" t="n">
        <f aca="false">S149</f>
        <v>0</v>
      </c>
      <c r="U149" s="1110" t="n">
        <f aca="false">T149</f>
        <v>0</v>
      </c>
      <c r="V149" s="1175" t="n">
        <f aca="false">U149</f>
        <v>0</v>
      </c>
      <c r="W149" s="1110" t="n">
        <f aca="false">V149</f>
        <v>0</v>
      </c>
      <c r="X149" s="1176" t="n">
        <f aca="false">W149</f>
        <v>0</v>
      </c>
      <c r="Y149" s="1086" t="n">
        <v>0</v>
      </c>
      <c r="Z149" s="1086" t="n">
        <v>0</v>
      </c>
      <c r="AA149" s="1087" t="n">
        <v>0</v>
      </c>
      <c r="AB149" s="1086" t="n">
        <v>0</v>
      </c>
      <c r="AC149" s="1086" t="n">
        <v>0</v>
      </c>
      <c r="AD149" s="1087" t="n">
        <v>0</v>
      </c>
      <c r="AE149" s="1086" t="n">
        <v>0</v>
      </c>
      <c r="AF149" s="1086" t="n">
        <v>0</v>
      </c>
      <c r="AG149" s="1087" t="n">
        <v>0</v>
      </c>
      <c r="AH149" s="1086" t="n">
        <v>0</v>
      </c>
      <c r="AI149" s="1086" t="n">
        <v>0</v>
      </c>
      <c r="AJ149" s="1087" t="n">
        <v>0</v>
      </c>
      <c r="AK149" s="1086" t="n">
        <v>0</v>
      </c>
      <c r="AL149" s="1086" t="n">
        <v>0</v>
      </c>
      <c r="AM149" s="1087" t="n">
        <v>0</v>
      </c>
      <c r="AN149" s="1086" t="n">
        <v>0</v>
      </c>
      <c r="AO149" s="1086" t="n">
        <v>0</v>
      </c>
      <c r="AP149" s="1087" t="n">
        <v>0</v>
      </c>
      <c r="AQ149" s="1086" t="n">
        <v>0</v>
      </c>
      <c r="AR149" s="1086" t="n">
        <v>0</v>
      </c>
      <c r="AS149" s="1087" t="n">
        <v>0</v>
      </c>
      <c r="AT149" s="1086" t="n">
        <v>0</v>
      </c>
      <c r="AU149" s="1086" t="n">
        <v>0</v>
      </c>
      <c r="AV149" s="1086" t="n">
        <v>0</v>
      </c>
      <c r="AW149" s="1172" t="n">
        <v>0</v>
      </c>
      <c r="AX149" s="807" t="e">
        <f aca="false">BB149-SUM(AY149:BA149)</f>
        <v>#VALUE!</v>
      </c>
      <c r="AY149" s="807" t="e">
        <f aca="false">IF(AND($E149=MONTH(Summary!$E$24),$D149=YEAR(Summary!$E$24)),Summary!$E$25,1)*IF(G149="",0,INT((H149-MOD(H149,7)-G149)/7)+1-IF(BA149,IF(WEEKDAY(F149)=7,1,0),0))</f>
        <v>#VALUE!</v>
      </c>
      <c r="AZ149" s="807" t="e">
        <f aca="false">IF(AND($E149=MONTH(Summary!$E$24),$D149=YEAR(Summary!$E$24)),Summary!$E$25,1)*IF(G149="",0,INT((H149-MOD(H149-1,7)-G149)/7)+1-IF(BA149,IF(WEEKDAY(F149)=1,1,0),0))</f>
        <v>#VALUE!</v>
      </c>
      <c r="BA149" s="807" t="n">
        <v>1</v>
      </c>
      <c r="BB149" s="807" t="n">
        <f aca="false">IF(AND($E149=MONTH(Summary!$E$24),$D149=YEAR(Summary!$E$24)),Summary!$E$25,1)*IF(G149="",0,H149-G149+1)</f>
        <v>31</v>
      </c>
      <c r="BC149" s="1089" t="n">
        <f aca="false">Summary!$E$19</f>
        <v>0.015</v>
      </c>
      <c r="BD149" s="1090" t="n">
        <v>14893.2</v>
      </c>
      <c r="BE149" s="1091" t="n">
        <v>2836.8</v>
      </c>
      <c r="BF149" s="1091" t="n">
        <v>4255.2</v>
      </c>
      <c r="BG149" s="842"/>
      <c r="BH149" s="1092" t="n">
        <v>1</v>
      </c>
      <c r="BI149" s="1092" t="n">
        <v>1</v>
      </c>
      <c r="BJ149" s="1092" t="n">
        <v>1</v>
      </c>
      <c r="BK149" s="1092" t="n">
        <v>1</v>
      </c>
      <c r="BL149" s="1093" t="n">
        <v>2978.64</v>
      </c>
      <c r="BM149" s="1091" t="n">
        <v>567.36</v>
      </c>
      <c r="BN149" s="1091" t="n">
        <v>851.04</v>
      </c>
      <c r="BO149" s="842"/>
      <c r="BP149" s="1092" t="n">
        <v>1</v>
      </c>
      <c r="BQ149" s="1094" t="n">
        <v>1</v>
      </c>
      <c r="BR149" s="1094" t="n">
        <v>1</v>
      </c>
      <c r="BS149" s="1095" t="n">
        <v>1</v>
      </c>
      <c r="BT149" s="1093" t="n">
        <f aca="false">SUM(BD149:BF149)</f>
        <v>21985.2</v>
      </c>
      <c r="BU149" s="1098" t="n">
        <f aca="false">SUM(BD149:BG149)</f>
        <v>21985.2</v>
      </c>
      <c r="BV149" s="1090" t="n">
        <f aca="false">SUM(BL149:BN149)</f>
        <v>4397.04</v>
      </c>
      <c r="BW149" s="1098" t="n">
        <f aca="false">SUM(BL149:BO149)</f>
        <v>4397.04</v>
      </c>
      <c r="BX149" s="852" t="n">
        <v>11.047227926078</v>
      </c>
      <c r="BY149" s="1099" t="n">
        <v>0</v>
      </c>
      <c r="BZ149" s="852" t="n">
        <v>0</v>
      </c>
      <c r="CA149" s="852" t="n">
        <v>0</v>
      </c>
      <c r="CB149" s="852" t="n">
        <v>0</v>
      </c>
      <c r="CC149" s="852" t="n">
        <v>0</v>
      </c>
      <c r="CD149" s="852" t="n">
        <v>0</v>
      </c>
      <c r="CE149" s="1100" t="n">
        <v>0</v>
      </c>
      <c r="CF149" s="852" t="n">
        <v>0</v>
      </c>
      <c r="CG149" s="852" t="n">
        <v>0</v>
      </c>
      <c r="CH149" s="852" t="n">
        <v>0</v>
      </c>
      <c r="CI149" s="852" t="n">
        <v>0</v>
      </c>
      <c r="CJ149" s="1101" t="n">
        <v>0</v>
      </c>
      <c r="CK149" s="852" t="n">
        <v>0</v>
      </c>
      <c r="CL149" s="852" t="n">
        <v>0</v>
      </c>
      <c r="CM149" s="852" t="n">
        <v>0</v>
      </c>
      <c r="CN149" s="852" t="n">
        <v>0</v>
      </c>
      <c r="CO149" s="852" t="n">
        <v>0</v>
      </c>
      <c r="CP149" s="852" t="n">
        <v>0</v>
      </c>
      <c r="CQ149" s="1102" t="n">
        <v>0</v>
      </c>
      <c r="CR149" s="1103" t="n">
        <v>0</v>
      </c>
      <c r="CS149" s="1103" t="n">
        <v>0</v>
      </c>
      <c r="CT149" s="1103" t="n">
        <v>0</v>
      </c>
      <c r="CU149" s="1103" t="n">
        <v>0</v>
      </c>
      <c r="CV149" s="1103" t="n">
        <v>0</v>
      </c>
      <c r="CW149" s="1103" t="n">
        <v>0</v>
      </c>
      <c r="CX149" s="1104" t="n">
        <v>0</v>
      </c>
      <c r="CY149" s="1105" t="n">
        <v>7739.14552</v>
      </c>
      <c r="CZ149" s="1099" t="n">
        <v>0</v>
      </c>
      <c r="DA149" s="852" t="n">
        <v>0</v>
      </c>
      <c r="DB149" s="852" t="n">
        <v>0</v>
      </c>
      <c r="DC149" s="852" t="n">
        <v>0</v>
      </c>
      <c r="DD149" s="852" t="n">
        <v>0</v>
      </c>
      <c r="DE149" s="1113" t="n">
        <v>0</v>
      </c>
      <c r="DF149" s="1109" t="n">
        <v>0</v>
      </c>
      <c r="DG149" s="1110" t="n">
        <v>0</v>
      </c>
      <c r="DH149" s="1111" t="n">
        <v>0</v>
      </c>
      <c r="DI149" s="1112" t="n">
        <v>0</v>
      </c>
      <c r="DJ149" s="1112" t="n">
        <v>0</v>
      </c>
      <c r="DK149" s="1112" t="n">
        <v>0</v>
      </c>
      <c r="DL149" s="1113" t="n">
        <v>0</v>
      </c>
      <c r="DM149" s="1114" t="n">
        <v>0</v>
      </c>
      <c r="DN149" s="1114" t="n">
        <v>0</v>
      </c>
      <c r="DO149" s="1114" t="n">
        <v>0</v>
      </c>
      <c r="DP149" s="1114" t="n">
        <v>0</v>
      </c>
      <c r="DQ149" s="1114" t="n">
        <v>0</v>
      </c>
      <c r="DR149" s="1109" t="n">
        <v>0</v>
      </c>
      <c r="DS149" s="852" t="n">
        <v>0</v>
      </c>
      <c r="DT149" s="852" t="n">
        <v>0</v>
      </c>
      <c r="DU149" s="852" t="n">
        <v>0</v>
      </c>
      <c r="DV149" s="852" t="n">
        <v>0</v>
      </c>
      <c r="DW149" s="852" t="n">
        <v>0</v>
      </c>
      <c r="DX149" s="852" t="n">
        <v>0</v>
      </c>
      <c r="DY149" s="852" t="n">
        <v>0</v>
      </c>
      <c r="DZ149" s="852" t="n">
        <v>0</v>
      </c>
      <c r="EA149" s="852" t="n">
        <v>0</v>
      </c>
      <c r="EB149" s="1113" t="n">
        <v>0</v>
      </c>
      <c r="EC149" s="1115" t="n">
        <f aca="false">DS149*BD149</f>
        <v>0</v>
      </c>
      <c r="ED149" s="1115" t="n">
        <f aca="false">DT149*BE149</f>
        <v>0</v>
      </c>
      <c r="EE149" s="1115" t="n">
        <f aca="false">DU149*BF149</f>
        <v>0</v>
      </c>
      <c r="EF149" s="1115" t="n">
        <f aca="false">DV149*BG149</f>
        <v>0</v>
      </c>
      <c r="EG149" s="1115" t="n">
        <f aca="false">DS149*BD149+DT149*BE149+DU149*BF149+DV149*BG149</f>
        <v>0</v>
      </c>
      <c r="EH149" s="1116" t="n">
        <v>0</v>
      </c>
      <c r="EI149" s="1117" t="n">
        <v>0</v>
      </c>
      <c r="EJ149" s="1117" t="n">
        <v>0</v>
      </c>
      <c r="EK149" s="1117" t="n">
        <v>0</v>
      </c>
      <c r="EL149" s="1118" t="n">
        <f aca="false">IF(C149&gt;=Summary!$E$26,MAX(0,SUM(EH149:EK149)),0)</f>
        <v>0</v>
      </c>
      <c r="EM149" s="1115" t="n">
        <f aca="false">IF(C149&gt;=Summary!$E$26,DX149*BL149,0)</f>
        <v>0</v>
      </c>
      <c r="EN149" s="1115" t="n">
        <f aca="false">IF(C149&gt;=Summary!$E$26,DY149*BM149,0)</f>
        <v>0</v>
      </c>
      <c r="EO149" s="1115" t="n">
        <f aca="false">IF(C149&gt;=Summary!$E$26,DZ149*BN149,0)</f>
        <v>0</v>
      </c>
      <c r="EP149" s="1115" t="n">
        <f aca="false">IF(C149&gt;=Summary!$E$26,EA149*BO149,0)</f>
        <v>0</v>
      </c>
      <c r="EQ149" s="1115" t="n">
        <f aca="false">IF(C149&gt;=Summary!$E$26,DX149*BL149+DY149*BM149+DZ149*BN149+EA149*BO149,0)</f>
        <v>0</v>
      </c>
      <c r="ER149" s="1119" t="n">
        <v>0</v>
      </c>
      <c r="ES149" s="1120" t="n">
        <v>0</v>
      </c>
      <c r="ET149" s="1120" t="n">
        <v>0</v>
      </c>
      <c r="EU149" s="1120" t="n">
        <v>0</v>
      </c>
      <c r="EV149" s="1143" t="n">
        <f aca="false">IF(C149&gt;=Summary!$E$26,MAX(0,SUM(ER149:EU149)),0)</f>
        <v>0</v>
      </c>
      <c r="EW149" s="1115"/>
      <c r="EX149" s="1165" t="n">
        <f aca="false">(EQ149-EV149)+IF(EZ149="Yes",(EG149-EL149),0)</f>
        <v>0</v>
      </c>
      <c r="EY149" s="1166" t="str">
        <f aca="false">IF(EX149,EX149/EQ149,"")</f>
        <v/>
      </c>
      <c r="EZ149" s="1122" t="s">
        <v>37</v>
      </c>
      <c r="FA149" s="1096" t="n">
        <f aca="false">FA148</f>
        <v>45</v>
      </c>
      <c r="FB149" s="1167" t="e">
        <f aca="false">IF(EZ149="No",IF((OR(MONTH(C149)=5,MONTH(C149)=6,MONTH(C149)=7,MONTH(C149)=8,MONTH(C149)=9)),$FA149*12*AX149*(1-$BC149),$FA149*10*AX149*(1-$BC149)),0)</f>
        <v>#VALUE!</v>
      </c>
      <c r="FC149" s="1129" t="e">
        <f aca="false">IF(EZ149="No",IF((OR(MONTH(C149)=5,MONTH(C149)=6,MONTH(C149)=7,MONTH(C149)=8,MONTH(C149)=9)),0,$FA149*3*AX149*(1-$BC149)),0)</f>
        <v>#VALUE!</v>
      </c>
      <c r="FD149" s="1129" t="e">
        <f aca="false">IF(EZ149="No",IF((OR(MONTH(C149)=5,MONTH(C149)=6,MONTH(C149)=7,MONTH(C149)=8,MONTH(C149)=9)),$FA149*12*AY149*(1-$BC149),$FA149*10*AY149*(1-$BC149)),0)</f>
        <v>#VALUE!</v>
      </c>
      <c r="FE149" s="1129" t="e">
        <f aca="false">IF(EZ149="No",IF((OR(MONTH(C149)=5,MONTH(C149)=6,MONTH(C149)=7,MONTH(C149)=8,MONTH(C149)=9)),0,$FA149*3*AY149*(1-$BC149)),0)</f>
        <v>#VALUE!</v>
      </c>
      <c r="FF149" s="1129" t="e">
        <f aca="false">IF(EZ149="No",IF((OR(MONTH(C149)=5,MONTH(C149)=6,MONTH(C149)=7,MONTH(C149)=8,MONTH(C149)=9)),$FA149*12*(AZ149+BA149)*(1-$BC149),$FA149*10*(AZ149+BA149)*(1-$BC149)),0)</f>
        <v>#VALUE!</v>
      </c>
      <c r="FG149" s="1129" t="e">
        <f aca="false">IF(EZ149="No",IF((OR(MONTH(C149)=5,MONTH(C149)=6,MONTH(C149)=7,MONTH(C149)=8,MONTH(C149)=9)),0,$FA149*3*(AZ149+BA149)*(1-$BC149)),0)</f>
        <v>#VALUE!</v>
      </c>
      <c r="FH149" s="1170" t="e">
        <f aca="false">IF(EZ149="No",IF((OR(MONTH(C149)=5,MONTH(C149)=6,MONTH(C149)=7,MONTH(C149)=8,MONTH(C149)=9)),Summary!$O$15*12*(AX149+AY149+AZ149+BA149)*(1-$BC149),Summary!$O$15*13*(AX149+AY149+AZ149+BA149)*(1-$BC149)+IF(Summary!$O$16="Yes",(CALC!FA149+Summary!$O$15)*6*(AX149+AY149+AZ149+BA149)*(1-$BC149),0)),0)</f>
        <v>#VALUE!</v>
      </c>
      <c r="FI149" s="1126" t="n">
        <f aca="false">IF(MONTH(C149)=5,FI148*(IF(Summary!$E$70="no",(1+(Summary!$E$71*0.8)),1+HLOOKUP(YEAR(C149)-1,CCFMODEL!$I$127:$AF$128,2)*0.8)),+FI148)</f>
        <v>34.5321162654377</v>
      </c>
      <c r="FJ149" s="1127" t="n">
        <f aca="false">IF(MONTH(C149)=5,FJ148*(IF(Summary!$E$70="no",(1+(Summary!$E$71*0.8)),1+HLOOKUP(YEAR(CALC!C149)-1,CCFMODEL!$I$127:$AF$128,2)*0.8)),FJ148)</f>
        <v>30.1816134288471</v>
      </c>
      <c r="FK149" s="1128" t="e">
        <f aca="false">SUM(FB149:FG149)*FI149+FH149*FJ149</f>
        <v>#VALUE!</v>
      </c>
      <c r="FL149" s="1126" t="n">
        <f aca="false">IF(MONTH(C149)=5,FL148*(IF(Summary!$E$70="no",(1+(Summary!$E$71*0.8)),1+HLOOKUP(YEAR(CALC!C149)-1,CCFMODEL!$I$127:$AF$128,2)*0.8)),+FL148)</f>
        <v>72.6249119358229</v>
      </c>
      <c r="FM149" s="1127" t="n">
        <f aca="false">IF(MONTH(C149)=5,FM148*(IF(Summary!$E$70="no",(1+(Summary!$E$71*0.8)),1+HLOOKUP(YEAR(CALC!C149)-1,CCFMODEL!$I$127:$AF$128,2)*0.8)),+FM148)</f>
        <v>34.6615955165267</v>
      </c>
      <c r="FN149" s="1128" t="e">
        <f aca="false">IF((OR(MONTH(C149)=5,MONTH(C149)=6,MONTH(C149)=7,MONTH(C149)=8,MONTH(C149)=9)),SUM(FB149:FG149)/(1-BC149)*FL149,SUM(FB149:FG149)/(1-BC149)*FM149)</f>
        <v>#VALUE!</v>
      </c>
      <c r="FO149" s="1129" t="e">
        <f aca="false">FK149+FN149</f>
        <v>#VALUE!</v>
      </c>
      <c r="FP149" s="1169" t="e">
        <f aca="false">FB149</f>
        <v>#VALUE!</v>
      </c>
      <c r="FQ149" s="1129" t="e">
        <f aca="false">FC149</f>
        <v>#VALUE!</v>
      </c>
      <c r="FR149" s="1129" t="e">
        <f aca="false">FD149</f>
        <v>#VALUE!</v>
      </c>
      <c r="FS149" s="1129" t="e">
        <f aca="false">FE149</f>
        <v>#VALUE!</v>
      </c>
      <c r="FT149" s="1129" t="e">
        <f aca="false">FF149</f>
        <v>#VALUE!</v>
      </c>
      <c r="FU149" s="1129" t="e">
        <f aca="false">FG149</f>
        <v>#VALUE!</v>
      </c>
      <c r="FV149" s="1170" t="e">
        <f aca="false">FH149</f>
        <v>#VALUE!</v>
      </c>
      <c r="FW149" s="1115" t="n">
        <f aca="false">IF(ER149&gt;0,MIN(FB149-FP149,BL149),0)</f>
        <v>0</v>
      </c>
      <c r="FX149" s="1115" t="n">
        <f aca="false">IF(ES149&gt;0,MIN(FD149-FR149,BM149),0)</f>
        <v>0</v>
      </c>
      <c r="FY149" s="1115" t="n">
        <f aca="false">IF(ET149&gt;0,MIN(FF149-FT149,BN149),0)</f>
        <v>0</v>
      </c>
      <c r="FZ149" s="1143" t="n">
        <f aca="false">IF(EU149&gt;0,MIN(FH149-FV149,BO149),0)</f>
        <v>0</v>
      </c>
      <c r="GA149" s="1132" t="e">
        <f aca="false">(SUM(FP149:FV149)+SUM(GU149:HB149)/(1-Summary!$O$25))*CY149/1000</f>
        <v>#VALUE!</v>
      </c>
      <c r="GB149" s="1196" t="n">
        <f aca="false">IF($C149&lt;Summary!$M$81,+Summary!$O$81,VLOOKUP(C149,GasTable,19))</f>
        <v>3.60772730179545</v>
      </c>
      <c r="GC149" s="1134" t="n">
        <f aca="false">IF(H149&lt;=Summary!$N$84,MIN(GA149,Summary!$O$75*(H149-G149+1)),0)</f>
        <v>0</v>
      </c>
      <c r="GD149" s="1135" t="n">
        <f aca="false">IF(C149&lt;Summary!$N$84,IF(Summary!$O$75*(H149-G149+1)*0.8&gt;GC149,1,0),0)</f>
        <v>0</v>
      </c>
      <c r="GE149" s="1136" t="n">
        <v>0</v>
      </c>
      <c r="GF149" s="1134" t="e">
        <f aca="false">ABS(MIN(0,GC149-$GA149))</f>
        <v>#VALUE!</v>
      </c>
      <c r="GG149" s="1135" t="e">
        <f aca="false">GF149*(IF(Summary!$O$74=1,VLOOKUP($C149,GasTable,16)+Summary!$O$92+Summary!$O$93,VLOOKUP($C149,GasTable,19)+Summary!$O$92+Summary!$O$93))</f>
        <v>#VALUE!</v>
      </c>
      <c r="GH149" s="1137" t="n">
        <v>5591.97731778294</v>
      </c>
      <c r="GI149" s="1138" t="n">
        <v>0</v>
      </c>
      <c r="GJ149" s="1139" t="e">
        <f aca="false">+GB149*GC149+GE149+GG149+GH149-GI149</f>
        <v>#VALUE!</v>
      </c>
      <c r="GK149" s="1115" t="e">
        <f aca="false">SUM(FP149:FV149,GU149:GX149,GY149:HB149)</f>
        <v>#VALUE!</v>
      </c>
      <c r="GL149" s="1140" t="n">
        <v>0.51852274984</v>
      </c>
      <c r="GM149" s="1141" t="e">
        <f aca="false">IF(GK149&gt;GC149/(CY149/1000),GC149/(CY149/1000),+GK149)*GL149</f>
        <v>#VALUE!</v>
      </c>
      <c r="GN149" s="1115" t="n">
        <f aca="false">IF(SUM(GU149:HB149)=0,0,IF(Summary!$O$16="Yes",SUM(GX149:HB149),IF(Summary!$O$17="Yes",SUM(GY149:HB149),SUM(GU149:HB149))))</f>
        <v>12199.03785</v>
      </c>
      <c r="GO149" s="1142" t="n">
        <v>3.29381985902785</v>
      </c>
      <c r="GP149" s="1143" t="n">
        <f aca="false">GN149*GO149</f>
        <v>40181.4331313624</v>
      </c>
      <c r="GQ149" s="1115"/>
      <c r="GR149" s="1115"/>
      <c r="GS149" s="1115"/>
      <c r="GT149" s="1115"/>
      <c r="GU149" s="1150" t="n">
        <v>5389.47675</v>
      </c>
      <c r="GV149" s="1115" t="n">
        <v>1026.567</v>
      </c>
      <c r="GW149" s="1115" t="n">
        <v>1539.8505</v>
      </c>
      <c r="GX149" s="1115"/>
      <c r="GY149" s="1151" t="n">
        <v>2874.3876</v>
      </c>
      <c r="GZ149" s="1115" t="n">
        <v>547.5024</v>
      </c>
      <c r="HA149" s="1115" t="n">
        <v>821.2536</v>
      </c>
      <c r="HB149" s="1141"/>
      <c r="HC149" s="1115" t="n">
        <v>12199.03785</v>
      </c>
      <c r="HD149" s="1115"/>
      <c r="HE149" s="1115" t="n">
        <v>20950.521525</v>
      </c>
      <c r="HF149" s="1115" t="n">
        <v>571616.38416598</v>
      </c>
      <c r="HG149" s="1115"/>
      <c r="HH149" s="1142" t="n">
        <v>46.4986800897685</v>
      </c>
      <c r="HI149" s="1115" t="n">
        <v>974171.598104784</v>
      </c>
      <c r="HJ149" s="1150" t="e">
        <f aca="false">MAX(FB149-FP149-FW149,0)</f>
        <v>#VALUE!</v>
      </c>
      <c r="HK149" s="1115" t="e">
        <f aca="false">MAX(FD149-FR149-FX149,0)</f>
        <v>#VALUE!</v>
      </c>
      <c r="HL149" s="1115" t="e">
        <f aca="false">MAX(FF149-FT149-FY149,0)</f>
        <v>#VALUE!</v>
      </c>
      <c r="HM149" s="1141" t="e">
        <f aca="false">MAX(FH149-FV149-FZ149,0)</f>
        <v>#VALUE!</v>
      </c>
      <c r="HN149" s="1115" t="e">
        <f aca="false">SUM(HJ149:HM149)</f>
        <v>#VALUE!</v>
      </c>
      <c r="HO149" s="1142" t="n">
        <f aca="false">IF(ISERROR(+HP149/HN149),0,+HP149/HN149)</f>
        <v>0</v>
      </c>
      <c r="HP149" s="1143" t="e">
        <f aca="false">(HJ149*CE149+HK149*CF149+HL149*CG149+HM149*CH149)</f>
        <v>#VALUE!</v>
      </c>
      <c r="HQ149" s="1142"/>
      <c r="HR149" s="1150"/>
      <c r="HS149" s="1110"/>
      <c r="HT149" s="1141"/>
      <c r="HU149" s="1151"/>
      <c r="HV149" s="1142"/>
      <c r="HW149" s="1115"/>
      <c r="HX149" s="1149"/>
      <c r="HY149" s="1143"/>
      <c r="HZ149" s="1150"/>
      <c r="IA149" s="1142"/>
      <c r="IB149" s="1141"/>
      <c r="IC149" s="1151"/>
      <c r="ID149" s="1142"/>
      <c r="IE149" s="1141"/>
      <c r="IF149" s="1115"/>
      <c r="IG149" s="1142"/>
      <c r="IH149" s="1141"/>
      <c r="II149" s="1115"/>
      <c r="IJ149" s="1142"/>
      <c r="IK149" s="1115"/>
      <c r="IL149" s="1152"/>
      <c r="IM149" s="1192"/>
      <c r="IN149" s="1151"/>
      <c r="IO149" s="1151"/>
      <c r="IP149" s="1151"/>
      <c r="IQ149" s="1151"/>
      <c r="IR149" s="844"/>
    </row>
    <row r="150" customFormat="false" ht="13.5" hidden="false" customHeight="false" outlineLevel="0" collapsed="false">
      <c r="A150" s="0" t="str">
        <f aca="false">+D150&amp;"Q"&amp;ROUNDUP(E150/3,0)</f>
        <v>2011Q1</v>
      </c>
      <c r="B150" s="0" t="n">
        <f aca="false">YEAR(C150)</f>
        <v>2011</v>
      </c>
      <c r="C150" s="1153" t="n">
        <f aca="false">EOMONTH(C149,0)+1</f>
        <v>40575</v>
      </c>
      <c r="D150" s="841" t="n">
        <f aca="false">+YEAR(C150)</f>
        <v>2011</v>
      </c>
      <c r="E150" s="807" t="n">
        <f aca="false">MONTH(C150)</f>
        <v>2</v>
      </c>
      <c r="F150" s="1154" t="e">
        <f aca="false">IF(G150="","",Holiday(D150,E150))</f>
        <v>#VALUE!</v>
      </c>
      <c r="G150" s="1155" t="n">
        <v>40575</v>
      </c>
      <c r="H150" s="1156" t="n">
        <v>40602</v>
      </c>
      <c r="I150" s="1157" t="n">
        <f aca="false">I149</f>
        <v>0.0715</v>
      </c>
      <c r="J150" s="1158" t="n">
        <f aca="false">(1+I150/2)^(-2*(DATE(D151,E151,20)-$H$7)/365.25)</f>
        <v>0.453351336458744</v>
      </c>
      <c r="K150" s="1159"/>
      <c r="L150" s="1158"/>
      <c r="M150" s="1082" t="n">
        <v>0</v>
      </c>
      <c r="N150" s="1110" t="n">
        <f aca="false">M150</f>
        <v>0</v>
      </c>
      <c r="O150" s="1174" t="n">
        <f aca="false">N150</f>
        <v>0</v>
      </c>
      <c r="P150" s="1175" t="n">
        <f aca="false">M150</f>
        <v>0</v>
      </c>
      <c r="Q150" s="1110" t="n">
        <f aca="false">P150</f>
        <v>0</v>
      </c>
      <c r="R150" s="1174" t="n">
        <f aca="false">Q150</f>
        <v>0</v>
      </c>
      <c r="S150" s="1110" t="n">
        <f aca="false">R150</f>
        <v>0</v>
      </c>
      <c r="T150" s="1110" t="n">
        <f aca="false">S150</f>
        <v>0</v>
      </c>
      <c r="U150" s="1110" t="n">
        <f aca="false">T150</f>
        <v>0</v>
      </c>
      <c r="V150" s="1175" t="n">
        <f aca="false">U150</f>
        <v>0</v>
      </c>
      <c r="W150" s="1110" t="n">
        <f aca="false">V150</f>
        <v>0</v>
      </c>
      <c r="X150" s="1176" t="n">
        <f aca="false">W150</f>
        <v>0</v>
      </c>
      <c r="Y150" s="1086" t="n">
        <v>0</v>
      </c>
      <c r="Z150" s="1086" t="n">
        <v>0</v>
      </c>
      <c r="AA150" s="1087" t="n">
        <v>0</v>
      </c>
      <c r="AB150" s="1086" t="n">
        <v>0</v>
      </c>
      <c r="AC150" s="1086" t="n">
        <v>0</v>
      </c>
      <c r="AD150" s="1087" t="n">
        <v>0</v>
      </c>
      <c r="AE150" s="1086" t="n">
        <v>0</v>
      </c>
      <c r="AF150" s="1086" t="n">
        <v>0</v>
      </c>
      <c r="AG150" s="1087" t="n">
        <v>0</v>
      </c>
      <c r="AH150" s="1086" t="n">
        <v>0</v>
      </c>
      <c r="AI150" s="1086" t="n">
        <v>0</v>
      </c>
      <c r="AJ150" s="1087" t="n">
        <v>0</v>
      </c>
      <c r="AK150" s="1086" t="n">
        <v>0</v>
      </c>
      <c r="AL150" s="1086" t="n">
        <v>0</v>
      </c>
      <c r="AM150" s="1087" t="n">
        <v>0</v>
      </c>
      <c r="AN150" s="1086" t="n">
        <v>0</v>
      </c>
      <c r="AO150" s="1086" t="n">
        <v>0</v>
      </c>
      <c r="AP150" s="1087" t="n">
        <v>0</v>
      </c>
      <c r="AQ150" s="1086" t="n">
        <v>0</v>
      </c>
      <c r="AR150" s="1086" t="n">
        <v>0</v>
      </c>
      <c r="AS150" s="1087" t="n">
        <v>0</v>
      </c>
      <c r="AT150" s="1086" t="n">
        <v>0</v>
      </c>
      <c r="AU150" s="1086" t="n">
        <v>0</v>
      </c>
      <c r="AV150" s="1086" t="n">
        <v>0</v>
      </c>
      <c r="AW150" s="1172" t="n">
        <v>0</v>
      </c>
      <c r="AX150" s="807" t="n">
        <f aca="false">BB150-SUM(AY150:BA150)</f>
        <v>20</v>
      </c>
      <c r="AY150" s="807" t="n">
        <f aca="false">IF(AND($E150=MONTH(Summary!$E$24),$D150=YEAR(Summary!$E$24)),Summary!$E$25,1)*IF(G150="",0,INT((H150-MOD(H150,7)-G150)/7)+1-IF(BA150,IF(WEEKDAY(F150)=7,1,0),0))</f>
        <v>4</v>
      </c>
      <c r="AZ150" s="807" t="n">
        <f aca="false">IF(AND($E150=MONTH(Summary!$E$24),$D150=YEAR(Summary!$E$24)),Summary!$E$25,1)*IF(G150="",0,INT((H150-MOD(H150-1,7)-G150)/7)+1-IF(BA150,IF(WEEKDAY(F150)=1,1,0),0))</f>
        <v>4</v>
      </c>
      <c r="BA150" s="807" t="n">
        <v>0</v>
      </c>
      <c r="BB150" s="807" t="n">
        <f aca="false">IF(AND($E150=MONTH(Summary!$E$24),$D150=YEAR(Summary!$E$24)),Summary!$E$25,1)*IF(G150="",0,H150-G150+1)</f>
        <v>28</v>
      </c>
      <c r="BC150" s="1089" t="n">
        <f aca="false">Summary!$E$19</f>
        <v>0.015</v>
      </c>
      <c r="BD150" s="1090" t="n">
        <v>14184</v>
      </c>
      <c r="BE150" s="1091" t="n">
        <v>2836.8</v>
      </c>
      <c r="BF150" s="1091" t="n">
        <v>2836.8</v>
      </c>
      <c r="BG150" s="842"/>
      <c r="BH150" s="1092" t="n">
        <v>1</v>
      </c>
      <c r="BI150" s="1092" t="n">
        <v>1</v>
      </c>
      <c r="BJ150" s="1092" t="n">
        <v>1</v>
      </c>
      <c r="BK150" s="1092" t="n">
        <v>1</v>
      </c>
      <c r="BL150" s="1093" t="n">
        <v>2836.8</v>
      </c>
      <c r="BM150" s="1091" t="n">
        <v>567.36</v>
      </c>
      <c r="BN150" s="1091" t="n">
        <v>567.36</v>
      </c>
      <c r="BO150" s="842"/>
      <c r="BP150" s="1092" t="n">
        <v>1</v>
      </c>
      <c r="BQ150" s="1094" t="n">
        <v>1</v>
      </c>
      <c r="BR150" s="1094" t="n">
        <v>1</v>
      </c>
      <c r="BS150" s="1095" t="n">
        <v>1</v>
      </c>
      <c r="BT150" s="1093" t="n">
        <f aca="false">SUM(BD150:BF150)</f>
        <v>19857.6</v>
      </c>
      <c r="BU150" s="1098" t="n">
        <f aca="false">SUM(BD150:BG150)</f>
        <v>19857.6</v>
      </c>
      <c r="BV150" s="1090" t="n">
        <f aca="false">SUM(BL150:BN150)</f>
        <v>3971.52</v>
      </c>
      <c r="BW150" s="1098" t="n">
        <f aca="false">SUM(BL150:BO150)</f>
        <v>3971.52</v>
      </c>
      <c r="BX150" s="852" t="n">
        <v>11.1321013004791</v>
      </c>
      <c r="BY150" s="1099" t="n">
        <v>0</v>
      </c>
      <c r="BZ150" s="852" t="n">
        <v>0</v>
      </c>
      <c r="CA150" s="852" t="n">
        <v>0</v>
      </c>
      <c r="CB150" s="852" t="n">
        <v>0</v>
      </c>
      <c r="CC150" s="852" t="n">
        <v>0</v>
      </c>
      <c r="CD150" s="852" t="n">
        <v>0</v>
      </c>
      <c r="CE150" s="1100" t="n">
        <v>0</v>
      </c>
      <c r="CF150" s="852" t="n">
        <v>0</v>
      </c>
      <c r="CG150" s="852" t="n">
        <v>0</v>
      </c>
      <c r="CH150" s="852" t="n">
        <v>0</v>
      </c>
      <c r="CI150" s="852" t="n">
        <v>0</v>
      </c>
      <c r="CJ150" s="1101" t="n">
        <v>0</v>
      </c>
      <c r="CK150" s="852" t="n">
        <v>0</v>
      </c>
      <c r="CL150" s="852" t="n">
        <v>0</v>
      </c>
      <c r="CM150" s="852" t="n">
        <v>0</v>
      </c>
      <c r="CN150" s="852" t="n">
        <v>0</v>
      </c>
      <c r="CO150" s="852" t="n">
        <v>0</v>
      </c>
      <c r="CP150" s="852" t="n">
        <v>0</v>
      </c>
      <c r="CQ150" s="1102" t="n">
        <v>0</v>
      </c>
      <c r="CR150" s="1103" t="n">
        <v>0</v>
      </c>
      <c r="CS150" s="1103" t="n">
        <v>0</v>
      </c>
      <c r="CT150" s="1103" t="n">
        <v>0</v>
      </c>
      <c r="CU150" s="1103" t="n">
        <v>0</v>
      </c>
      <c r="CV150" s="1103" t="n">
        <v>0</v>
      </c>
      <c r="CW150" s="1103" t="n">
        <v>0</v>
      </c>
      <c r="CX150" s="1104" t="n">
        <v>0</v>
      </c>
      <c r="CY150" s="1105" t="n">
        <v>7741.17648</v>
      </c>
      <c r="CZ150" s="1099" t="n">
        <v>0</v>
      </c>
      <c r="DA150" s="852" t="n">
        <v>0</v>
      </c>
      <c r="DB150" s="852" t="n">
        <v>0</v>
      </c>
      <c r="DC150" s="852" t="n">
        <v>0</v>
      </c>
      <c r="DD150" s="852" t="n">
        <v>0</v>
      </c>
      <c r="DE150" s="1113" t="n">
        <v>0</v>
      </c>
      <c r="DF150" s="1109" t="n">
        <v>0</v>
      </c>
      <c r="DG150" s="1110" t="n">
        <v>0</v>
      </c>
      <c r="DH150" s="1111" t="n">
        <v>0</v>
      </c>
      <c r="DI150" s="1112" t="n">
        <v>0</v>
      </c>
      <c r="DJ150" s="1112" t="n">
        <v>0</v>
      </c>
      <c r="DK150" s="1112" t="n">
        <v>0</v>
      </c>
      <c r="DL150" s="1113" t="n">
        <v>0</v>
      </c>
      <c r="DM150" s="1114" t="n">
        <v>0</v>
      </c>
      <c r="DN150" s="1114" t="n">
        <v>0</v>
      </c>
      <c r="DO150" s="1114" t="n">
        <v>0</v>
      </c>
      <c r="DP150" s="1114" t="n">
        <v>0</v>
      </c>
      <c r="DQ150" s="1114" t="n">
        <v>0</v>
      </c>
      <c r="DR150" s="1109" t="n">
        <v>0</v>
      </c>
      <c r="DS150" s="852" t="n">
        <v>0</v>
      </c>
      <c r="DT150" s="852" t="n">
        <v>0</v>
      </c>
      <c r="DU150" s="852" t="n">
        <v>0</v>
      </c>
      <c r="DV150" s="852" t="n">
        <v>0</v>
      </c>
      <c r="DW150" s="852" t="n">
        <v>0</v>
      </c>
      <c r="DX150" s="852" t="n">
        <v>0</v>
      </c>
      <c r="DY150" s="852" t="n">
        <v>0</v>
      </c>
      <c r="DZ150" s="852" t="n">
        <v>0</v>
      </c>
      <c r="EA150" s="852" t="n">
        <v>0</v>
      </c>
      <c r="EB150" s="1113" t="n">
        <v>0</v>
      </c>
      <c r="EC150" s="1115" t="n">
        <f aca="false">DS150*BD150</f>
        <v>0</v>
      </c>
      <c r="ED150" s="1115" t="n">
        <f aca="false">DT150*BE150</f>
        <v>0</v>
      </c>
      <c r="EE150" s="1115" t="n">
        <f aca="false">DU150*BF150</f>
        <v>0</v>
      </c>
      <c r="EF150" s="1115" t="n">
        <f aca="false">DV150*BG150</f>
        <v>0</v>
      </c>
      <c r="EG150" s="1115" t="n">
        <f aca="false">DS150*BD150+DT150*BE150+DU150*BF150+DV150*BG150</f>
        <v>0</v>
      </c>
      <c r="EH150" s="1116" t="n">
        <v>0</v>
      </c>
      <c r="EI150" s="1117" t="n">
        <v>0</v>
      </c>
      <c r="EJ150" s="1117" t="n">
        <v>0</v>
      </c>
      <c r="EK150" s="1117" t="n">
        <v>0</v>
      </c>
      <c r="EL150" s="1118" t="n">
        <f aca="false">IF(C150&gt;=Summary!$E$26,MAX(0,SUM(EH150:EK150)),0)</f>
        <v>0</v>
      </c>
      <c r="EM150" s="1115" t="n">
        <f aca="false">IF(C150&gt;=Summary!$E$26,DX150*BL150,0)</f>
        <v>0</v>
      </c>
      <c r="EN150" s="1115" t="n">
        <f aca="false">IF(C150&gt;=Summary!$E$26,DY150*BM150,0)</f>
        <v>0</v>
      </c>
      <c r="EO150" s="1115" t="n">
        <f aca="false">IF(C150&gt;=Summary!$E$26,DZ150*BN150,0)</f>
        <v>0</v>
      </c>
      <c r="EP150" s="1115" t="n">
        <f aca="false">IF(C150&gt;=Summary!$E$26,EA150*BO150,0)</f>
        <v>0</v>
      </c>
      <c r="EQ150" s="1115" t="n">
        <f aca="false">IF(C150&gt;=Summary!$E$26,DX150*BL150+DY150*BM150+DZ150*BN150+EA150*BO150,0)</f>
        <v>0</v>
      </c>
      <c r="ER150" s="1119" t="n">
        <v>0</v>
      </c>
      <c r="ES150" s="1120" t="n">
        <v>0</v>
      </c>
      <c r="ET150" s="1120" t="n">
        <v>0</v>
      </c>
      <c r="EU150" s="1120" t="n">
        <v>0</v>
      </c>
      <c r="EV150" s="1143" t="n">
        <f aca="false">IF(C150&gt;=Summary!$E$26,MAX(0,SUM(ER150:EU150)),0)</f>
        <v>0</v>
      </c>
      <c r="EW150" s="1115"/>
      <c r="EX150" s="1165" t="n">
        <f aca="false">(EQ150-EV150)+IF(EZ150="Yes",(EG150-EL150),0)</f>
        <v>0</v>
      </c>
      <c r="EY150" s="1166" t="str">
        <f aca="false">IF(EX150,EX150/EQ150,"")</f>
        <v/>
      </c>
      <c r="EZ150" s="1122" t="s">
        <v>37</v>
      </c>
      <c r="FA150" s="1096" t="n">
        <f aca="false">FA149</f>
        <v>45</v>
      </c>
      <c r="FB150" s="1167" t="n">
        <f aca="false">IF(EZ150="No",IF((OR(MONTH(C150)=5,MONTH(C150)=6,MONTH(C150)=7,MONTH(C150)=8,MONTH(C150)=9)),$FA150*12*AX150*(1-$BC150),$FA150*10*AX150*(1-$BC150)),0)</f>
        <v>8865</v>
      </c>
      <c r="FC150" s="1129" t="n">
        <f aca="false">IF(EZ150="No",IF((OR(MONTH(C150)=5,MONTH(C150)=6,MONTH(C150)=7,MONTH(C150)=8,MONTH(C150)=9)),0,$FA150*3*AX150*(1-$BC150)),0)</f>
        <v>2659.5</v>
      </c>
      <c r="FD150" s="1129" t="n">
        <f aca="false">IF(EZ150="No",IF((OR(MONTH(C150)=5,MONTH(C150)=6,MONTH(C150)=7,MONTH(C150)=8,MONTH(C150)=9)),$FA150*12*AY150*(1-$BC150),$FA150*10*AY150*(1-$BC150)),0)</f>
        <v>1773</v>
      </c>
      <c r="FE150" s="1129" t="n">
        <f aca="false">IF(EZ150="No",IF((OR(MONTH(C150)=5,MONTH(C150)=6,MONTH(C150)=7,MONTH(C150)=8,MONTH(C150)=9)),0,$FA150*3*AY150*(1-$BC150)),0)</f>
        <v>531.9</v>
      </c>
      <c r="FF150" s="1129" t="n">
        <f aca="false">IF(EZ150="No",IF((OR(MONTH(C150)=5,MONTH(C150)=6,MONTH(C150)=7,MONTH(C150)=8,MONTH(C150)=9)),$FA150*12*(AZ150+BA150)*(1-$BC150),$FA150*10*(AZ150+BA150)*(1-$BC150)),0)</f>
        <v>1773</v>
      </c>
      <c r="FG150" s="1129" t="n">
        <f aca="false">IF(EZ150="No",IF((OR(MONTH(C150)=5,MONTH(C150)=6,MONTH(C150)=7,MONTH(C150)=8,MONTH(C150)=9)),0,$FA150*3*(AZ150+BA150)*(1-$BC150)),0)</f>
        <v>531.9</v>
      </c>
      <c r="FH150" s="1170" t="n">
        <f aca="false">IF(EZ150="No",IF((OR(MONTH(C150)=5,MONTH(C150)=6,MONTH(C150)=7,MONTH(C150)=8,MONTH(C150)=9)),Summary!$O$15*12*(AX150+AY150+AZ150+BA150)*(1-$BC150),Summary!$O$15*13*(AX150+AY150+AZ150+BA150)*(1-$BC150)+IF(Summary!$O$16="Yes",(CALC!FA150+Summary!$O$15)*6*(AX150+AY150+AZ150+BA150)*(1-$BC150),0)),0)</f>
        <v>0</v>
      </c>
      <c r="FI150" s="1126" t="n">
        <f aca="false">IF(MONTH(C150)=5,FI149*(IF(Summary!$E$70="no",(1+(Summary!$E$71*0.8)),1+HLOOKUP(YEAR(C150)-1,CCFMODEL!$I$127:$AF$128,2)*0.8)),+FI149)</f>
        <v>34.5321162654377</v>
      </c>
      <c r="FJ150" s="1127" t="n">
        <f aca="false">IF(MONTH(C150)=5,FJ149*(IF(Summary!$E$70="no",(1+(Summary!$E$71*0.8)),1+HLOOKUP(YEAR(CALC!C150)-1,CCFMODEL!$I$127:$AF$128,2)*0.8)),FJ149)</f>
        <v>30.1816134288471</v>
      </c>
      <c r="FK150" s="1128" t="n">
        <f aca="false">SUM(FB150:FG150)*FI150+FH150*FJ150</f>
        <v>557151.523461451</v>
      </c>
      <c r="FL150" s="1126" t="n">
        <f aca="false">IF(MONTH(C150)=5,FL149*(IF(Summary!$E$70="no",(1+(Summary!$E$71*0.8)),1+HLOOKUP(YEAR(CALC!C150)-1,CCFMODEL!$I$127:$AF$128,2)*0.8)),+FL149)</f>
        <v>72.6249119358229</v>
      </c>
      <c r="FM150" s="1127" t="n">
        <f aca="false">IF(MONTH(C150)=5,FM149*(IF(Summary!$E$70="no",(1+(Summary!$E$71*0.8)),1+HLOOKUP(YEAR(CALC!C150)-1,CCFMODEL!$I$127:$AF$128,2)*0.8)),+FM149)</f>
        <v>34.6615955165267</v>
      </c>
      <c r="FN150" s="1128" t="n">
        <f aca="false">IF((OR(MONTH(C150)=5,MONTH(C150)=6,MONTH(C150)=7,MONTH(C150)=8,MONTH(C150)=9)),SUM(FB150:FG150)/(1-BC150)*FL150,SUM(FB150:FG150)/(1-BC150)*FM150)</f>
        <v>567756.934560707</v>
      </c>
      <c r="FO150" s="1129" t="n">
        <f aca="false">FK150+FN150</f>
        <v>1124908.45802216</v>
      </c>
      <c r="FP150" s="1169" t="n">
        <f aca="false">FB150</f>
        <v>8865</v>
      </c>
      <c r="FQ150" s="1129" t="n">
        <f aca="false">FC150</f>
        <v>2659.5</v>
      </c>
      <c r="FR150" s="1129" t="n">
        <f aca="false">FD150</f>
        <v>1773</v>
      </c>
      <c r="FS150" s="1129" t="n">
        <f aca="false">FE150</f>
        <v>531.9</v>
      </c>
      <c r="FT150" s="1129" t="n">
        <f aca="false">FF150</f>
        <v>1773</v>
      </c>
      <c r="FU150" s="1129" t="n">
        <f aca="false">FG150</f>
        <v>531.9</v>
      </c>
      <c r="FV150" s="1170" t="n">
        <f aca="false">FH150</f>
        <v>0</v>
      </c>
      <c r="FW150" s="1115" t="n">
        <f aca="false">IF(ER150&gt;0,MIN(FB150-FP150,BL150),0)</f>
        <v>0</v>
      </c>
      <c r="FX150" s="1115" t="n">
        <f aca="false">IF(ES150&gt;0,MIN(FD150-FR150,BM150),0)</f>
        <v>0</v>
      </c>
      <c r="FY150" s="1115" t="n">
        <f aca="false">IF(ET150&gt;0,MIN(FF150-FT150,BN150),0)</f>
        <v>0</v>
      </c>
      <c r="FZ150" s="1143" t="n">
        <f aca="false">IF(EU150&gt;0,MIN(FH150-FV150,BO150),0)</f>
        <v>0</v>
      </c>
      <c r="GA150" s="1132" t="n">
        <f aca="false">(SUM(FP150:FV150)+SUM(GU150:HB150)/(1-Summary!$O$25))*CY150/1000</f>
        <v>213288.145671082</v>
      </c>
      <c r="GB150" s="1196" t="n">
        <f aca="false">IF($C150&lt;Summary!$M$81,+Summary!$O$81,VLOOKUP(C150,GasTable,19))</f>
        <v>3.33215910962207</v>
      </c>
      <c r="GC150" s="1134" t="n">
        <f aca="false">IF(H150&lt;=Summary!$N$84,MIN(GA150,Summary!$O$75*(H150-G150+1)),0)</f>
        <v>0</v>
      </c>
      <c r="GD150" s="1135" t="n">
        <f aca="false">IF(C150&lt;Summary!$N$84,IF(Summary!$O$75*(H150-G150+1)*0.8&gt;GC150,1,0),0)</f>
        <v>0</v>
      </c>
      <c r="GE150" s="1136" t="n">
        <v>0</v>
      </c>
      <c r="GF150" s="1134" t="n">
        <f aca="false">ABS(MIN(0,GC150-$GA150))</f>
        <v>213288.145671082</v>
      </c>
      <c r="GG150" s="1135" t="n">
        <f aca="false">GF150*(IF(Summary!$O$74=1,VLOOKUP($C150,GasTable,16)+Summary!$O$92+Summary!$O$93,VLOOKUP($C150,GasTable,19)+Summary!$O$92+Summary!$O$93))</f>
        <v>721822.349961756</v>
      </c>
      <c r="GH150" s="1137" t="n">
        <v>4665.02275347089</v>
      </c>
      <c r="GI150" s="1138" t="n">
        <v>0</v>
      </c>
      <c r="GJ150" s="1139" t="n">
        <f aca="false">+GB150*GC150+GE150+GG150+GH150-GI150</f>
        <v>726487.372715227</v>
      </c>
      <c r="GK150" s="1115" t="n">
        <f aca="false">SUM(FP150:FV150,GU150:GX150,GY150:HB150)</f>
        <v>27152.7858</v>
      </c>
      <c r="GL150" s="1140" t="n">
        <v>0.51865882416</v>
      </c>
      <c r="GM150" s="1141" t="n">
        <f aca="false">IF(GK150&gt;GC150/(CY150/1000),GC150/(CY150/1000),+GK150)*GL150</f>
        <v>0</v>
      </c>
      <c r="GN150" s="1115" t="n">
        <f aca="false">IF(SUM(GU150:HB150)=0,0,IF(Summary!$O$16="Yes",SUM(GX150:HB150),IF(Summary!$O$17="Yes",SUM(GY150:HB150),SUM(GU150:HB150))))</f>
        <v>11018.4858</v>
      </c>
      <c r="GO150" s="1142" t="n">
        <v>3.29381985902785</v>
      </c>
      <c r="GP150" s="1143" t="n">
        <f aca="false">GN150*GO150</f>
        <v>36292.9073444564</v>
      </c>
      <c r="GQ150" s="1115"/>
      <c r="GR150" s="1115"/>
      <c r="GS150" s="1115"/>
      <c r="GT150" s="1115"/>
      <c r="GU150" s="1150" t="n">
        <v>5132.835</v>
      </c>
      <c r="GV150" s="1115" t="n">
        <v>1026.567</v>
      </c>
      <c r="GW150" s="1115" t="n">
        <v>1026.567</v>
      </c>
      <c r="GX150" s="1115"/>
      <c r="GY150" s="1151" t="n">
        <v>2737.512</v>
      </c>
      <c r="GZ150" s="1115" t="n">
        <v>547.5024</v>
      </c>
      <c r="HA150" s="1115" t="n">
        <v>547.5024</v>
      </c>
      <c r="HB150" s="1141"/>
      <c r="HC150" s="1115" t="n">
        <v>11018.4858</v>
      </c>
      <c r="HD150" s="1115"/>
      <c r="HE150" s="1115" t="n">
        <v>18923.0517</v>
      </c>
      <c r="HF150" s="1115" t="n">
        <v>428230.595193963</v>
      </c>
      <c r="HG150" s="1115"/>
      <c r="HH150" s="1142" t="n">
        <v>38.5745802091127</v>
      </c>
      <c r="HI150" s="1115" t="n">
        <v>729948.775602837</v>
      </c>
      <c r="HJ150" s="1150" t="n">
        <f aca="false">MAX(FB150-FP150-FW150,0)</f>
        <v>0</v>
      </c>
      <c r="HK150" s="1115" t="n">
        <f aca="false">MAX(FD150-FR150-FX150,0)</f>
        <v>0</v>
      </c>
      <c r="HL150" s="1115" t="n">
        <f aca="false">MAX(FF150-FT150-FY150,0)</f>
        <v>0</v>
      </c>
      <c r="HM150" s="1141" t="n">
        <f aca="false">MAX(FH150-FV150-FZ150,0)</f>
        <v>0</v>
      </c>
      <c r="HN150" s="1115" t="n">
        <f aca="false">SUM(HJ150:HM150)</f>
        <v>0</v>
      </c>
      <c r="HO150" s="1142" t="n">
        <f aca="false">IF(ISERROR(+HP150/HN150),0,+HP150/HN150)</f>
        <v>0</v>
      </c>
      <c r="HP150" s="1143" t="n">
        <f aca="false">(HJ150*CE150+HK150*CF150+HL150*CG150+HM150*CH150)</f>
        <v>0</v>
      </c>
      <c r="HQ150" s="1142"/>
      <c r="HR150" s="1150"/>
      <c r="HS150" s="1110"/>
      <c r="HT150" s="1141"/>
      <c r="HU150" s="1151"/>
      <c r="HV150" s="1142"/>
      <c r="HW150" s="1115"/>
      <c r="HX150" s="1149"/>
      <c r="HY150" s="1143"/>
      <c r="HZ150" s="1150"/>
      <c r="IA150" s="1142"/>
      <c r="IB150" s="1141"/>
      <c r="IC150" s="1151"/>
      <c r="ID150" s="1142"/>
      <c r="IE150" s="1141"/>
      <c r="IF150" s="1115"/>
      <c r="IG150" s="1142"/>
      <c r="IH150" s="1141"/>
      <c r="II150" s="1115"/>
      <c r="IJ150" s="1142"/>
      <c r="IK150" s="1115"/>
      <c r="IL150" s="1152"/>
      <c r="IM150" s="1192"/>
      <c r="IN150" s="1151"/>
      <c r="IO150" s="1151"/>
      <c r="IP150" s="1151"/>
      <c r="IQ150" s="1151"/>
      <c r="IR150" s="844"/>
    </row>
    <row r="151" customFormat="false" ht="13.5" hidden="false" customHeight="false" outlineLevel="0" collapsed="false">
      <c r="A151" s="0" t="str">
        <f aca="false">+D151&amp;"Q"&amp;ROUNDUP(E151/3,0)</f>
        <v>2011Q1</v>
      </c>
      <c r="B151" s="0" t="n">
        <f aca="false">YEAR(C151)</f>
        <v>2011</v>
      </c>
      <c r="C151" s="1153" t="n">
        <f aca="false">EOMONTH(C150,0)+1</f>
        <v>40603</v>
      </c>
      <c r="D151" s="841" t="n">
        <f aca="false">+YEAR(C151)</f>
        <v>2011</v>
      </c>
      <c r="E151" s="807" t="n">
        <f aca="false">MONTH(C151)</f>
        <v>3</v>
      </c>
      <c r="F151" s="1154" t="e">
        <f aca="false">IF(G151="","",Holiday(D151,E151))</f>
        <v>#VALUE!</v>
      </c>
      <c r="G151" s="1155" t="n">
        <v>40603</v>
      </c>
      <c r="H151" s="1156" t="n">
        <v>40633</v>
      </c>
      <c r="I151" s="1157" t="n">
        <f aca="false">I150</f>
        <v>0.0715</v>
      </c>
      <c r="J151" s="1158" t="n">
        <f aca="false">(1+I151/2)^(-2*(DATE(D152,E152,20)-$H$7)/365.25)</f>
        <v>0.450656275959317</v>
      </c>
      <c r="K151" s="1159"/>
      <c r="L151" s="1158"/>
      <c r="M151" s="1082" t="n">
        <v>0</v>
      </c>
      <c r="N151" s="1110" t="n">
        <f aca="false">M151</f>
        <v>0</v>
      </c>
      <c r="O151" s="1174" t="n">
        <f aca="false">N151</f>
        <v>0</v>
      </c>
      <c r="P151" s="1175" t="n">
        <f aca="false">M151</f>
        <v>0</v>
      </c>
      <c r="Q151" s="1110" t="n">
        <f aca="false">P151</f>
        <v>0</v>
      </c>
      <c r="R151" s="1174" t="n">
        <f aca="false">Q151</f>
        <v>0</v>
      </c>
      <c r="S151" s="1110" t="n">
        <f aca="false">R151</f>
        <v>0</v>
      </c>
      <c r="T151" s="1110" t="n">
        <f aca="false">S151</f>
        <v>0</v>
      </c>
      <c r="U151" s="1110" t="n">
        <f aca="false">T151</f>
        <v>0</v>
      </c>
      <c r="V151" s="1175" t="n">
        <f aca="false">U151</f>
        <v>0</v>
      </c>
      <c r="W151" s="1110" t="n">
        <f aca="false">V151</f>
        <v>0</v>
      </c>
      <c r="X151" s="1176" t="n">
        <f aca="false">W151</f>
        <v>0</v>
      </c>
      <c r="Y151" s="1086" t="n">
        <v>0</v>
      </c>
      <c r="Z151" s="1086" t="n">
        <v>0</v>
      </c>
      <c r="AA151" s="1087" t="n">
        <v>0</v>
      </c>
      <c r="AB151" s="1086" t="n">
        <v>0</v>
      </c>
      <c r="AC151" s="1086" t="n">
        <v>0</v>
      </c>
      <c r="AD151" s="1087" t="n">
        <v>0</v>
      </c>
      <c r="AE151" s="1086" t="n">
        <v>0</v>
      </c>
      <c r="AF151" s="1086" t="n">
        <v>0</v>
      </c>
      <c r="AG151" s="1087" t="n">
        <v>0</v>
      </c>
      <c r="AH151" s="1086" t="n">
        <v>0</v>
      </c>
      <c r="AI151" s="1086" t="n">
        <v>0</v>
      </c>
      <c r="AJ151" s="1087" t="n">
        <v>0</v>
      </c>
      <c r="AK151" s="1086" t="n">
        <v>0</v>
      </c>
      <c r="AL151" s="1086" t="n">
        <v>0</v>
      </c>
      <c r="AM151" s="1087" t="n">
        <v>0</v>
      </c>
      <c r="AN151" s="1086" t="n">
        <v>0</v>
      </c>
      <c r="AO151" s="1086" t="n">
        <v>0</v>
      </c>
      <c r="AP151" s="1087" t="n">
        <v>0</v>
      </c>
      <c r="AQ151" s="1086" t="n">
        <v>0</v>
      </c>
      <c r="AR151" s="1086" t="n">
        <v>0</v>
      </c>
      <c r="AS151" s="1087" t="n">
        <v>0</v>
      </c>
      <c r="AT151" s="1086" t="n">
        <v>0</v>
      </c>
      <c r="AU151" s="1086" t="n">
        <v>0</v>
      </c>
      <c r="AV151" s="1086" t="n">
        <v>0</v>
      </c>
      <c r="AW151" s="1172" t="n">
        <v>0</v>
      </c>
      <c r="AX151" s="807" t="n">
        <f aca="false">BB151-SUM(AY151:BA151)</f>
        <v>23</v>
      </c>
      <c r="AY151" s="807" t="n">
        <f aca="false">IF(AND($E151=MONTH(Summary!$E$24),$D151=YEAR(Summary!$E$24)),Summary!$E$25,1)*IF(G151="",0,INT((H151-MOD(H151,7)-G151)/7)+1-IF(BA151,IF(WEEKDAY(F151)=7,1,0),0))</f>
        <v>4</v>
      </c>
      <c r="AZ151" s="807" t="n">
        <f aca="false">IF(AND($E151=MONTH(Summary!$E$24),$D151=YEAR(Summary!$E$24)),Summary!$E$25,1)*IF(G151="",0,INT((H151-MOD(H151-1,7)-G151)/7)+1-IF(BA151,IF(WEEKDAY(F151)=1,1,0),0))</f>
        <v>4</v>
      </c>
      <c r="BA151" s="807" t="n">
        <v>0</v>
      </c>
      <c r="BB151" s="807" t="n">
        <f aca="false">IF(AND($E151=MONTH(Summary!$E$24),$D151=YEAR(Summary!$E$24)),Summary!$E$25,1)*IF(G151="",0,H151-G151+1)</f>
        <v>31</v>
      </c>
      <c r="BC151" s="1089" t="n">
        <f aca="false">Summary!$E$19</f>
        <v>0.015</v>
      </c>
      <c r="BD151" s="1090" t="n">
        <v>16311.6</v>
      </c>
      <c r="BE151" s="1091" t="n">
        <v>2836.8</v>
      </c>
      <c r="BF151" s="1091" t="n">
        <v>2836.8</v>
      </c>
      <c r="BG151" s="842"/>
      <c r="BH151" s="1092" t="n">
        <v>1</v>
      </c>
      <c r="BI151" s="1092" t="n">
        <v>1</v>
      </c>
      <c r="BJ151" s="1092" t="n">
        <v>1</v>
      </c>
      <c r="BK151" s="1092" t="n">
        <v>1</v>
      </c>
      <c r="BL151" s="1093" t="n">
        <v>3262.32</v>
      </c>
      <c r="BM151" s="1091" t="n">
        <v>567.36</v>
      </c>
      <c r="BN151" s="1091" t="n">
        <v>567.36</v>
      </c>
      <c r="BO151" s="842"/>
      <c r="BP151" s="1092" t="n">
        <v>1</v>
      </c>
      <c r="BQ151" s="1094" t="n">
        <v>1</v>
      </c>
      <c r="BR151" s="1094" t="n">
        <v>1</v>
      </c>
      <c r="BS151" s="1095" t="n">
        <v>1</v>
      </c>
      <c r="BT151" s="1093" t="n">
        <f aca="false">SUM(BD151:BF151)</f>
        <v>21985.2</v>
      </c>
      <c r="BU151" s="1098" t="n">
        <f aca="false">SUM(BD151:BG151)</f>
        <v>21985.2</v>
      </c>
      <c r="BV151" s="1090" t="n">
        <f aca="false">SUM(BL151:BN151)</f>
        <v>4397.04</v>
      </c>
      <c r="BW151" s="1098" t="n">
        <f aca="false">SUM(BL151:BO151)</f>
        <v>4397.04</v>
      </c>
      <c r="BX151" s="852" t="n">
        <v>11.2087611225188</v>
      </c>
      <c r="BY151" s="1099" t="n">
        <v>0</v>
      </c>
      <c r="BZ151" s="852" t="n">
        <v>0</v>
      </c>
      <c r="CA151" s="852" t="n">
        <v>0</v>
      </c>
      <c r="CB151" s="852" t="n">
        <v>0</v>
      </c>
      <c r="CC151" s="852" t="n">
        <v>0</v>
      </c>
      <c r="CD151" s="852" t="n">
        <v>0</v>
      </c>
      <c r="CE151" s="1100" t="n">
        <v>0</v>
      </c>
      <c r="CF151" s="852" t="n">
        <v>0</v>
      </c>
      <c r="CG151" s="852" t="n">
        <v>0</v>
      </c>
      <c r="CH151" s="852" t="n">
        <v>0</v>
      </c>
      <c r="CI151" s="852" t="n">
        <v>0</v>
      </c>
      <c r="CJ151" s="1101" t="n">
        <v>0</v>
      </c>
      <c r="CK151" s="852" t="n">
        <v>0</v>
      </c>
      <c r="CL151" s="852" t="n">
        <v>0</v>
      </c>
      <c r="CM151" s="852" t="n">
        <v>0</v>
      </c>
      <c r="CN151" s="852" t="n">
        <v>0</v>
      </c>
      <c r="CO151" s="852" t="n">
        <v>0</v>
      </c>
      <c r="CP151" s="852" t="n">
        <v>0</v>
      </c>
      <c r="CQ151" s="1102" t="n">
        <v>0</v>
      </c>
      <c r="CR151" s="1103" t="n">
        <v>0</v>
      </c>
      <c r="CS151" s="1103" t="n">
        <v>0</v>
      </c>
      <c r="CT151" s="1103" t="n">
        <v>0</v>
      </c>
      <c r="CU151" s="1103" t="n">
        <v>0</v>
      </c>
      <c r="CV151" s="1103" t="n">
        <v>0</v>
      </c>
      <c r="CW151" s="1103" t="n">
        <v>0</v>
      </c>
      <c r="CX151" s="1104" t="n">
        <v>0</v>
      </c>
      <c r="CY151" s="1105" t="n">
        <v>7743.20744</v>
      </c>
      <c r="CZ151" s="1099" t="n">
        <v>0</v>
      </c>
      <c r="DA151" s="852" t="n">
        <v>0</v>
      </c>
      <c r="DB151" s="852" t="n">
        <v>0</v>
      </c>
      <c r="DC151" s="852" t="n">
        <v>0</v>
      </c>
      <c r="DD151" s="852" t="n">
        <v>0</v>
      </c>
      <c r="DE151" s="1113" t="n">
        <v>0</v>
      </c>
      <c r="DF151" s="1109" t="n">
        <v>0</v>
      </c>
      <c r="DG151" s="1110" t="n">
        <v>0</v>
      </c>
      <c r="DH151" s="1111" t="n">
        <v>0</v>
      </c>
      <c r="DI151" s="1112" t="n">
        <v>0</v>
      </c>
      <c r="DJ151" s="1112" t="n">
        <v>0</v>
      </c>
      <c r="DK151" s="1112" t="n">
        <v>0</v>
      </c>
      <c r="DL151" s="1113" t="n">
        <v>0</v>
      </c>
      <c r="DM151" s="1114" t="n">
        <v>0</v>
      </c>
      <c r="DN151" s="1114" t="n">
        <v>0</v>
      </c>
      <c r="DO151" s="1114" t="n">
        <v>0</v>
      </c>
      <c r="DP151" s="1114" t="n">
        <v>0</v>
      </c>
      <c r="DQ151" s="1114" t="n">
        <v>0</v>
      </c>
      <c r="DR151" s="1109" t="n">
        <v>0</v>
      </c>
      <c r="DS151" s="852" t="n">
        <v>0</v>
      </c>
      <c r="DT151" s="852" t="n">
        <v>0</v>
      </c>
      <c r="DU151" s="852" t="n">
        <v>0</v>
      </c>
      <c r="DV151" s="852" t="n">
        <v>0</v>
      </c>
      <c r="DW151" s="852" t="n">
        <v>0</v>
      </c>
      <c r="DX151" s="852" t="n">
        <v>0</v>
      </c>
      <c r="DY151" s="852" t="n">
        <v>0</v>
      </c>
      <c r="DZ151" s="852" t="n">
        <v>0</v>
      </c>
      <c r="EA151" s="852" t="n">
        <v>0</v>
      </c>
      <c r="EB151" s="1113" t="n">
        <v>0</v>
      </c>
      <c r="EC151" s="1115" t="n">
        <f aca="false">DS151*BD151</f>
        <v>0</v>
      </c>
      <c r="ED151" s="1115" t="n">
        <f aca="false">DT151*BE151</f>
        <v>0</v>
      </c>
      <c r="EE151" s="1115" t="n">
        <f aca="false">DU151*BF151</f>
        <v>0</v>
      </c>
      <c r="EF151" s="1115" t="n">
        <f aca="false">DV151*BG151</f>
        <v>0</v>
      </c>
      <c r="EG151" s="1115" t="n">
        <f aca="false">DS151*BD151+DT151*BE151+DU151*BF151+DV151*BG151</f>
        <v>0</v>
      </c>
      <c r="EH151" s="1116" t="n">
        <v>0</v>
      </c>
      <c r="EI151" s="1117" t="n">
        <v>0</v>
      </c>
      <c r="EJ151" s="1117" t="n">
        <v>0</v>
      </c>
      <c r="EK151" s="1117" t="n">
        <v>0</v>
      </c>
      <c r="EL151" s="1118" t="n">
        <f aca="false">IF(C151&gt;=Summary!$E$26,MAX(0,SUM(EH151:EK151)),0)</f>
        <v>0</v>
      </c>
      <c r="EM151" s="1115" t="n">
        <f aca="false">IF(C151&gt;=Summary!$E$26,DX151*BL151,0)</f>
        <v>0</v>
      </c>
      <c r="EN151" s="1115" t="n">
        <f aca="false">IF(C151&gt;=Summary!$E$26,DY151*BM151,0)</f>
        <v>0</v>
      </c>
      <c r="EO151" s="1115" t="n">
        <f aca="false">IF(C151&gt;=Summary!$E$26,DZ151*BN151,0)</f>
        <v>0</v>
      </c>
      <c r="EP151" s="1115" t="n">
        <f aca="false">IF(C151&gt;=Summary!$E$26,EA151*BO151,0)</f>
        <v>0</v>
      </c>
      <c r="EQ151" s="1115" t="n">
        <f aca="false">IF(C151&gt;=Summary!$E$26,DX151*BL151+DY151*BM151+DZ151*BN151+EA151*BO151,0)</f>
        <v>0</v>
      </c>
      <c r="ER151" s="1119" t="n">
        <v>0</v>
      </c>
      <c r="ES151" s="1120" t="n">
        <v>0</v>
      </c>
      <c r="ET151" s="1120" t="n">
        <v>0</v>
      </c>
      <c r="EU151" s="1120" t="n">
        <v>0</v>
      </c>
      <c r="EV151" s="1143" t="n">
        <f aca="false">IF(C151&gt;=Summary!$E$26,MAX(0,SUM(ER151:EU151)),0)</f>
        <v>0</v>
      </c>
      <c r="EW151" s="1115"/>
      <c r="EX151" s="1165" t="n">
        <f aca="false">(EQ151-EV151)+IF(EZ151="Yes",(EG151-EL151),0)</f>
        <v>0</v>
      </c>
      <c r="EY151" s="1166" t="str">
        <f aca="false">IF(EX151,EX151/EQ151,"")</f>
        <v/>
      </c>
      <c r="EZ151" s="1122" t="s">
        <v>37</v>
      </c>
      <c r="FA151" s="1096" t="n">
        <f aca="false">FA150</f>
        <v>45</v>
      </c>
      <c r="FB151" s="1167" t="n">
        <f aca="false">IF(EZ151="No",IF((OR(MONTH(C151)=5,MONTH(C151)=6,MONTH(C151)=7,MONTH(C151)=8,MONTH(C151)=9)),$FA151*12*AX151*(1-$BC151),$FA151*10*AX151*(1-$BC151)),0)</f>
        <v>10194.75</v>
      </c>
      <c r="FC151" s="1129" t="n">
        <f aca="false">IF(EZ151="No",IF((OR(MONTH(C151)=5,MONTH(C151)=6,MONTH(C151)=7,MONTH(C151)=8,MONTH(C151)=9)),0,$FA151*3*AX151*(1-$BC151)),0)</f>
        <v>3058.425</v>
      </c>
      <c r="FD151" s="1129" t="n">
        <f aca="false">IF(EZ151="No",IF((OR(MONTH(C151)=5,MONTH(C151)=6,MONTH(C151)=7,MONTH(C151)=8,MONTH(C151)=9)),$FA151*12*AY151*(1-$BC151),$FA151*10*AY151*(1-$BC151)),0)</f>
        <v>1773</v>
      </c>
      <c r="FE151" s="1129" t="n">
        <f aca="false">IF(EZ151="No",IF((OR(MONTH(C151)=5,MONTH(C151)=6,MONTH(C151)=7,MONTH(C151)=8,MONTH(C151)=9)),0,$FA151*3*AY151*(1-$BC151)),0)</f>
        <v>531.9</v>
      </c>
      <c r="FF151" s="1129" t="n">
        <f aca="false">IF(EZ151="No",IF((OR(MONTH(C151)=5,MONTH(C151)=6,MONTH(C151)=7,MONTH(C151)=8,MONTH(C151)=9)),$FA151*12*(AZ151+BA151)*(1-$BC151),$FA151*10*(AZ151+BA151)*(1-$BC151)),0)</f>
        <v>1773</v>
      </c>
      <c r="FG151" s="1129" t="n">
        <f aca="false">IF(EZ151="No",IF((OR(MONTH(C151)=5,MONTH(C151)=6,MONTH(C151)=7,MONTH(C151)=8,MONTH(C151)=9)),0,$FA151*3*(AZ151+BA151)*(1-$BC151)),0)</f>
        <v>531.9</v>
      </c>
      <c r="FH151" s="1170" t="n">
        <f aca="false">IF(EZ151="No",IF((OR(MONTH(C151)=5,MONTH(C151)=6,MONTH(C151)=7,MONTH(C151)=8,MONTH(C151)=9)),Summary!$O$15*12*(AX151+AY151+AZ151+BA151)*(1-$BC151),Summary!$O$15*13*(AX151+AY151+AZ151+BA151)*(1-$BC151)+IF(Summary!$O$16="Yes",(CALC!FA151+Summary!$O$15)*6*(AX151+AY151+AZ151+BA151)*(1-$BC151),0)),0)</f>
        <v>0</v>
      </c>
      <c r="FI151" s="1126" t="n">
        <f aca="false">IF(MONTH(C151)=5,FI150*(IF(Summary!$E$70="no",(1+(Summary!$E$71*0.8)),1+HLOOKUP(YEAR(C151)-1,CCFMODEL!$I$127:$AF$128,2)*0.8)),+FI150)</f>
        <v>34.5321162654377</v>
      </c>
      <c r="FJ151" s="1127" t="n">
        <f aca="false">IF(MONTH(C151)=5,FJ150*(IF(Summary!$E$70="no",(1+(Summary!$E$71*0.8)),1+HLOOKUP(YEAR(CALC!C151)-1,CCFMODEL!$I$127:$AF$128,2)*0.8)),FJ150)</f>
        <v>30.1816134288471</v>
      </c>
      <c r="FK151" s="1128" t="n">
        <f aca="false">SUM(FB151:FG151)*FI151+FH151*FJ151</f>
        <v>616846.329546606</v>
      </c>
      <c r="FL151" s="1126" t="n">
        <f aca="false">IF(MONTH(C151)=5,FL150*(IF(Summary!$E$70="no",(1+(Summary!$E$71*0.8)),1+HLOOKUP(YEAR(CALC!C151)-1,CCFMODEL!$I$127:$AF$128,2)*0.8)),+FL150)</f>
        <v>72.6249119358229</v>
      </c>
      <c r="FM151" s="1127" t="n">
        <f aca="false">IF(MONTH(C151)=5,FM150*(IF(Summary!$E$70="no",(1+(Summary!$E$71*0.8)),1+HLOOKUP(YEAR(CALC!C151)-1,CCFMODEL!$I$127:$AF$128,2)*0.8)),+FM150)</f>
        <v>34.6615955165267</v>
      </c>
      <c r="FN151" s="1128" t="n">
        <f aca="false">IF((OR(MONTH(C151)=5,MONTH(C151)=6,MONTH(C151)=7,MONTH(C151)=8,MONTH(C151)=9)),SUM(FB151:FG151)/(1-BC151)*FL151,SUM(FB151:FG151)/(1-BC151)*FM151)</f>
        <v>628588.034692211</v>
      </c>
      <c r="FO151" s="1129" t="n">
        <f aca="false">FK151+FN151</f>
        <v>1245434.36423882</v>
      </c>
      <c r="FP151" s="1169" t="n">
        <f aca="false">FB151</f>
        <v>10194.75</v>
      </c>
      <c r="FQ151" s="1129" t="n">
        <f aca="false">FC151</f>
        <v>3058.425</v>
      </c>
      <c r="FR151" s="1129" t="n">
        <f aca="false">FD151</f>
        <v>1773</v>
      </c>
      <c r="FS151" s="1129" t="n">
        <f aca="false">FE151</f>
        <v>531.9</v>
      </c>
      <c r="FT151" s="1129" t="n">
        <f aca="false">FF151</f>
        <v>1773</v>
      </c>
      <c r="FU151" s="1129" t="n">
        <f aca="false">FG151</f>
        <v>531.9</v>
      </c>
      <c r="FV151" s="1170" t="n">
        <f aca="false">FH151</f>
        <v>0</v>
      </c>
      <c r="FW151" s="1115" t="n">
        <f aca="false">IF(ER151&gt;0,MIN(FB151-FP151,BL151),0)</f>
        <v>0</v>
      </c>
      <c r="FX151" s="1115" t="n">
        <f aca="false">IF(ES151&gt;0,MIN(FD151-FR151,BM151),0)</f>
        <v>0</v>
      </c>
      <c r="FY151" s="1115" t="n">
        <f aca="false">IF(ET151&gt;0,MIN(FF151-FT151,BN151),0)</f>
        <v>0</v>
      </c>
      <c r="FZ151" s="1143" t="n">
        <f aca="false">IF(EU151&gt;0,MIN(FH151-FV151,BO151),0)</f>
        <v>0</v>
      </c>
      <c r="GA151" s="1132" t="n">
        <f aca="false">(SUM(FP151:FV151)+SUM(GU151:HB151)/(1-Summary!$O$25))*CY151/1000</f>
        <v>236202.40034122</v>
      </c>
      <c r="GB151" s="1196" t="n">
        <f aca="false">IF($C151&lt;Summary!$M$81,+Summary!$O$81,VLOOKUP(C151,GasTable,19))</f>
        <v>3.15327733438925</v>
      </c>
      <c r="GC151" s="1134" t="n">
        <f aca="false">IF(H151&lt;=Summary!$N$84,MIN(GA151,Summary!$O$75*(H151-G151+1)),0)</f>
        <v>0</v>
      </c>
      <c r="GD151" s="1135" t="n">
        <f aca="false">IF(C151&lt;Summary!$N$84,IF(Summary!$O$75*(H151-G151+1)*0.8&gt;GC151,1,0),0)</f>
        <v>0</v>
      </c>
      <c r="GE151" s="1136" t="n">
        <v>0</v>
      </c>
      <c r="GF151" s="1134" t="n">
        <f aca="false">ABS(MIN(0,GC151-$GA151))</f>
        <v>236202.40034122</v>
      </c>
      <c r="GG151" s="1135" t="n">
        <f aca="false">GF151*(IF(Summary!$O$74=1,VLOOKUP($C151,GasTable,16)+Summary!$O$92+Summary!$O$93,VLOOKUP($C151,GasTable,19)+Summary!$O$92+Summary!$O$93))</f>
        <v>757117.82038208</v>
      </c>
      <c r="GH151" s="1137" t="n">
        <v>4887.57986830333</v>
      </c>
      <c r="GI151" s="1138" t="n">
        <v>0</v>
      </c>
      <c r="GJ151" s="1139" t="n">
        <f aca="false">+GB151*GC151+GE151+GG151+GH151-GI151</f>
        <v>762005.400250383</v>
      </c>
      <c r="GK151" s="1115" t="n">
        <f aca="false">SUM(FP151:FV151,GU151:GX151,GY151:HB151)</f>
        <v>30062.01285</v>
      </c>
      <c r="GL151" s="1140" t="n">
        <v>0.51879489848</v>
      </c>
      <c r="GM151" s="1141" t="n">
        <f aca="false">IF(GK151&gt;GC151/(CY151/1000),GC151/(CY151/1000),+GK151)*GL151</f>
        <v>0</v>
      </c>
      <c r="GN151" s="1115" t="n">
        <f aca="false">IF(SUM(GU151:HB151)=0,0,IF(Summary!$O$16="Yes",SUM(GX151:HB151),IF(Summary!$O$17="Yes",SUM(GY151:HB151),SUM(GU151:HB151))))</f>
        <v>12199.03785</v>
      </c>
      <c r="GO151" s="1142" t="n">
        <v>3.29381985902785</v>
      </c>
      <c r="GP151" s="1143" t="n">
        <f aca="false">GN151*GO151</f>
        <v>40181.4331313624</v>
      </c>
      <c r="GQ151" s="1115"/>
      <c r="GR151" s="1115"/>
      <c r="GS151" s="1115"/>
      <c r="GT151" s="1115"/>
      <c r="GU151" s="1150" t="n">
        <v>5902.76025</v>
      </c>
      <c r="GV151" s="1115" t="n">
        <v>1026.567</v>
      </c>
      <c r="GW151" s="1115" t="n">
        <v>1026.567</v>
      </c>
      <c r="GX151" s="1115"/>
      <c r="GY151" s="1151" t="n">
        <v>3148.1388</v>
      </c>
      <c r="GZ151" s="1115" t="n">
        <v>547.5024</v>
      </c>
      <c r="HA151" s="1115" t="n">
        <v>547.5024</v>
      </c>
      <c r="HB151" s="1141"/>
      <c r="HC151" s="1115" t="n">
        <v>12199.03785</v>
      </c>
      <c r="HD151" s="1115"/>
      <c r="HE151" s="1115" t="n">
        <v>20950.521525</v>
      </c>
      <c r="HF151" s="1115" t="n">
        <v>462727.39308042</v>
      </c>
      <c r="HG151" s="1115"/>
      <c r="HH151" s="1142" t="n">
        <v>37.3089953914276</v>
      </c>
      <c r="HI151" s="1115" t="n">
        <v>781642.911024229</v>
      </c>
      <c r="HJ151" s="1150" t="n">
        <f aca="false">MAX(FB151-FP151-FW151,0)</f>
        <v>0</v>
      </c>
      <c r="HK151" s="1115" t="n">
        <f aca="false">MAX(FD151-FR151-FX151,0)</f>
        <v>0</v>
      </c>
      <c r="HL151" s="1115" t="n">
        <f aca="false">MAX(FF151-FT151-FY151,0)</f>
        <v>0</v>
      </c>
      <c r="HM151" s="1141" t="n">
        <f aca="false">MAX(FH151-FV151-FZ151,0)</f>
        <v>0</v>
      </c>
      <c r="HN151" s="1115" t="n">
        <f aca="false">SUM(HJ151:HM151)</f>
        <v>0</v>
      </c>
      <c r="HO151" s="1142" t="n">
        <f aca="false">IF(ISERROR(+HP151/HN151),0,+HP151/HN151)</f>
        <v>0</v>
      </c>
      <c r="HP151" s="1143" t="n">
        <f aca="false">(HJ151*CE151+HK151*CF151+HL151*CG151+HM151*CH151)</f>
        <v>0</v>
      </c>
      <c r="HQ151" s="1142"/>
      <c r="HR151" s="1150"/>
      <c r="HS151" s="1110"/>
      <c r="HT151" s="1141"/>
      <c r="HU151" s="1151"/>
      <c r="HV151" s="1142"/>
      <c r="HW151" s="1115"/>
      <c r="HX151" s="1149"/>
      <c r="HY151" s="1143"/>
      <c r="HZ151" s="1150"/>
      <c r="IA151" s="1142"/>
      <c r="IB151" s="1141"/>
      <c r="IC151" s="1151"/>
      <c r="ID151" s="1142"/>
      <c r="IE151" s="1141"/>
      <c r="IF151" s="1115"/>
      <c r="IG151" s="1142"/>
      <c r="IH151" s="1141"/>
      <c r="II151" s="1115"/>
      <c r="IJ151" s="1142"/>
      <c r="IK151" s="1115"/>
      <c r="IL151" s="1152"/>
      <c r="IM151" s="1192"/>
      <c r="IN151" s="1151"/>
      <c r="IO151" s="1151"/>
      <c r="IP151" s="1151"/>
      <c r="IQ151" s="1151"/>
      <c r="IR151" s="844"/>
    </row>
    <row r="152" customFormat="false" ht="13.5" hidden="false" customHeight="false" outlineLevel="0" collapsed="false">
      <c r="A152" s="0" t="str">
        <f aca="false">+D152&amp;"Q"&amp;ROUNDUP(E152/3,0)</f>
        <v>2011Q2</v>
      </c>
      <c r="B152" s="0" t="n">
        <f aca="false">YEAR(C152)</f>
        <v>2011</v>
      </c>
      <c r="C152" s="1153" t="n">
        <f aca="false">EOMONTH(C151,0)+1</f>
        <v>40634</v>
      </c>
      <c r="D152" s="841" t="n">
        <f aca="false">+YEAR(C152)</f>
        <v>2011</v>
      </c>
      <c r="E152" s="807" t="n">
        <f aca="false">MONTH(C152)</f>
        <v>4</v>
      </c>
      <c r="F152" s="1154" t="e">
        <f aca="false">IF(G152="","",Holiday(D152,E152))</f>
        <v>#VALUE!</v>
      </c>
      <c r="G152" s="1155" t="n">
        <v>40634</v>
      </c>
      <c r="H152" s="1156" t="n">
        <v>40663</v>
      </c>
      <c r="I152" s="1157" t="n">
        <f aca="false">I151</f>
        <v>0.0715</v>
      </c>
      <c r="J152" s="1158" t="n">
        <f aca="false">(1+I152/2)^(-2*(DATE(D153,E153,20)-$H$7)/365.25)</f>
        <v>0.448063408437514</v>
      </c>
      <c r="K152" s="1159"/>
      <c r="L152" s="1158"/>
      <c r="M152" s="1082" t="n">
        <v>0</v>
      </c>
      <c r="N152" s="1110" t="n">
        <f aca="false">M152</f>
        <v>0</v>
      </c>
      <c r="O152" s="1174" t="n">
        <f aca="false">N152</f>
        <v>0</v>
      </c>
      <c r="P152" s="1175" t="n">
        <f aca="false">M152</f>
        <v>0</v>
      </c>
      <c r="Q152" s="1110" t="n">
        <f aca="false">P152</f>
        <v>0</v>
      </c>
      <c r="R152" s="1174" t="n">
        <f aca="false">Q152</f>
        <v>0</v>
      </c>
      <c r="S152" s="1110" t="n">
        <f aca="false">R152</f>
        <v>0</v>
      </c>
      <c r="T152" s="1110" t="n">
        <f aca="false">S152</f>
        <v>0</v>
      </c>
      <c r="U152" s="1110" t="n">
        <f aca="false">T152</f>
        <v>0</v>
      </c>
      <c r="V152" s="1175" t="n">
        <f aca="false">U152</f>
        <v>0</v>
      </c>
      <c r="W152" s="1110" t="n">
        <f aca="false">V152</f>
        <v>0</v>
      </c>
      <c r="X152" s="1176" t="n">
        <f aca="false">W152</f>
        <v>0</v>
      </c>
      <c r="Y152" s="1086" t="n">
        <v>0</v>
      </c>
      <c r="Z152" s="1086" t="n">
        <v>0</v>
      </c>
      <c r="AA152" s="1087" t="n">
        <v>0</v>
      </c>
      <c r="AB152" s="1086" t="n">
        <v>0</v>
      </c>
      <c r="AC152" s="1086" t="n">
        <v>0</v>
      </c>
      <c r="AD152" s="1087" t="n">
        <v>0</v>
      </c>
      <c r="AE152" s="1086" t="n">
        <v>0</v>
      </c>
      <c r="AF152" s="1086" t="n">
        <v>0</v>
      </c>
      <c r="AG152" s="1087" t="n">
        <v>0</v>
      </c>
      <c r="AH152" s="1086" t="n">
        <v>0</v>
      </c>
      <c r="AI152" s="1086" t="n">
        <v>0</v>
      </c>
      <c r="AJ152" s="1087" t="n">
        <v>0</v>
      </c>
      <c r="AK152" s="1086" t="n">
        <v>0</v>
      </c>
      <c r="AL152" s="1086" t="n">
        <v>0</v>
      </c>
      <c r="AM152" s="1087" t="n">
        <v>0</v>
      </c>
      <c r="AN152" s="1086" t="n">
        <v>0</v>
      </c>
      <c r="AO152" s="1086" t="n">
        <v>0</v>
      </c>
      <c r="AP152" s="1087" t="n">
        <v>0</v>
      </c>
      <c r="AQ152" s="1086" t="n">
        <v>0</v>
      </c>
      <c r="AR152" s="1086" t="n">
        <v>0</v>
      </c>
      <c r="AS152" s="1087" t="n">
        <v>0</v>
      </c>
      <c r="AT152" s="1086" t="n">
        <v>0</v>
      </c>
      <c r="AU152" s="1086" t="n">
        <v>0</v>
      </c>
      <c r="AV152" s="1086" t="n">
        <v>0</v>
      </c>
      <c r="AW152" s="1172" t="n">
        <v>0</v>
      </c>
      <c r="AX152" s="807" t="n">
        <f aca="false">BB152-SUM(AY152:BA152)</f>
        <v>21</v>
      </c>
      <c r="AY152" s="807" t="n">
        <f aca="false">IF(AND($E152=MONTH(Summary!$E$24),$D152=YEAR(Summary!$E$24)),Summary!$E$25,1)*IF(G152="",0,INT((H152-MOD(H152,7)-G152)/7)+1-IF(BA152,IF(WEEKDAY(F152)=7,1,0),0))</f>
        <v>5</v>
      </c>
      <c r="AZ152" s="807" t="n">
        <f aca="false">IF(AND($E152=MONTH(Summary!$E$24),$D152=YEAR(Summary!$E$24)),Summary!$E$25,1)*IF(G152="",0,INT((H152-MOD(H152-1,7)-G152)/7)+1-IF(BA152,IF(WEEKDAY(F152)=1,1,0),0))</f>
        <v>4</v>
      </c>
      <c r="BA152" s="807" t="n">
        <v>0</v>
      </c>
      <c r="BB152" s="807" t="n">
        <f aca="false">IF(AND($E152=MONTH(Summary!$E$24),$D152=YEAR(Summary!$E$24)),Summary!$E$25,1)*IF(G152="",0,H152-G152+1)</f>
        <v>30</v>
      </c>
      <c r="BC152" s="1089" t="n">
        <f aca="false">Summary!$E$19</f>
        <v>0.015</v>
      </c>
      <c r="BD152" s="1090" t="n">
        <v>14893.2</v>
      </c>
      <c r="BE152" s="1091" t="n">
        <v>3546</v>
      </c>
      <c r="BF152" s="1091" t="n">
        <v>2836.8</v>
      </c>
      <c r="BG152" s="842"/>
      <c r="BH152" s="1092" t="n">
        <v>1</v>
      </c>
      <c r="BI152" s="1092" t="n">
        <v>1</v>
      </c>
      <c r="BJ152" s="1092" t="n">
        <v>1</v>
      </c>
      <c r="BK152" s="1092" t="n">
        <v>1</v>
      </c>
      <c r="BL152" s="1093" t="n">
        <v>2978.64</v>
      </c>
      <c r="BM152" s="1091" t="n">
        <v>709.2</v>
      </c>
      <c r="BN152" s="1091" t="n">
        <v>567.36</v>
      </c>
      <c r="BO152" s="842"/>
      <c r="BP152" s="1092" t="n">
        <v>1</v>
      </c>
      <c r="BQ152" s="1094" t="n">
        <v>1</v>
      </c>
      <c r="BR152" s="1094" t="n">
        <v>1</v>
      </c>
      <c r="BS152" s="1095" t="n">
        <v>1</v>
      </c>
      <c r="BT152" s="1093" t="n">
        <f aca="false">SUM(BD152:BF152)</f>
        <v>21276</v>
      </c>
      <c r="BU152" s="1098" t="n">
        <f aca="false">SUM(BD152:BG152)</f>
        <v>21276</v>
      </c>
      <c r="BV152" s="1090" t="n">
        <f aca="false">SUM(BL152:BN152)</f>
        <v>4255.2</v>
      </c>
      <c r="BW152" s="1098" t="n">
        <f aca="false">SUM(BL152:BO152)</f>
        <v>4255.2</v>
      </c>
      <c r="BX152" s="852" t="n">
        <v>11.2936344969199</v>
      </c>
      <c r="BY152" s="1099" t="n">
        <v>0</v>
      </c>
      <c r="BZ152" s="852" t="n">
        <v>0</v>
      </c>
      <c r="CA152" s="852" t="n">
        <v>0</v>
      </c>
      <c r="CB152" s="852" t="n">
        <v>0</v>
      </c>
      <c r="CC152" s="852" t="n">
        <v>0</v>
      </c>
      <c r="CD152" s="852" t="n">
        <v>0</v>
      </c>
      <c r="CE152" s="1100" t="n">
        <v>0</v>
      </c>
      <c r="CF152" s="852" t="n">
        <v>0</v>
      </c>
      <c r="CG152" s="852" t="n">
        <v>0</v>
      </c>
      <c r="CH152" s="852" t="n">
        <v>0</v>
      </c>
      <c r="CI152" s="852" t="n">
        <v>0</v>
      </c>
      <c r="CJ152" s="1101" t="n">
        <v>0</v>
      </c>
      <c r="CK152" s="852" t="n">
        <v>0</v>
      </c>
      <c r="CL152" s="852" t="n">
        <v>0</v>
      </c>
      <c r="CM152" s="852" t="n">
        <v>0</v>
      </c>
      <c r="CN152" s="852" t="n">
        <v>0</v>
      </c>
      <c r="CO152" s="852" t="n">
        <v>0</v>
      </c>
      <c r="CP152" s="852" t="n">
        <v>0</v>
      </c>
      <c r="CQ152" s="1102" t="n">
        <v>0</v>
      </c>
      <c r="CR152" s="1103" t="n">
        <v>0</v>
      </c>
      <c r="CS152" s="1103" t="n">
        <v>0</v>
      </c>
      <c r="CT152" s="1103" t="n">
        <v>0</v>
      </c>
      <c r="CU152" s="1103" t="n">
        <v>0</v>
      </c>
      <c r="CV152" s="1103" t="n">
        <v>0</v>
      </c>
      <c r="CW152" s="1103" t="n">
        <v>0</v>
      </c>
      <c r="CX152" s="1104" t="n">
        <v>0</v>
      </c>
      <c r="CY152" s="1105" t="n">
        <v>7745.2384</v>
      </c>
      <c r="CZ152" s="1099" t="n">
        <v>0</v>
      </c>
      <c r="DA152" s="852" t="n">
        <v>0</v>
      </c>
      <c r="DB152" s="852" t="n">
        <v>0</v>
      </c>
      <c r="DC152" s="852" t="n">
        <v>0</v>
      </c>
      <c r="DD152" s="852" t="n">
        <v>0</v>
      </c>
      <c r="DE152" s="1113" t="n">
        <v>0</v>
      </c>
      <c r="DF152" s="1109" t="n">
        <v>0</v>
      </c>
      <c r="DG152" s="1110" t="n">
        <v>0</v>
      </c>
      <c r="DH152" s="1111" t="n">
        <v>0</v>
      </c>
      <c r="DI152" s="1112" t="n">
        <v>0</v>
      </c>
      <c r="DJ152" s="1112" t="n">
        <v>0</v>
      </c>
      <c r="DK152" s="1112" t="n">
        <v>0</v>
      </c>
      <c r="DL152" s="1113" t="n">
        <v>0</v>
      </c>
      <c r="DM152" s="1114" t="n">
        <v>0</v>
      </c>
      <c r="DN152" s="1114" t="n">
        <v>0</v>
      </c>
      <c r="DO152" s="1114" t="n">
        <v>0</v>
      </c>
      <c r="DP152" s="1114" t="n">
        <v>0</v>
      </c>
      <c r="DQ152" s="1114" t="n">
        <v>0</v>
      </c>
      <c r="DR152" s="1109" t="n">
        <v>0</v>
      </c>
      <c r="DS152" s="852" t="n">
        <v>0</v>
      </c>
      <c r="DT152" s="852" t="n">
        <v>0</v>
      </c>
      <c r="DU152" s="852" t="n">
        <v>0</v>
      </c>
      <c r="DV152" s="852" t="n">
        <v>0</v>
      </c>
      <c r="DW152" s="852" t="n">
        <v>0</v>
      </c>
      <c r="DX152" s="852" t="n">
        <v>0</v>
      </c>
      <c r="DY152" s="852" t="n">
        <v>0</v>
      </c>
      <c r="DZ152" s="852" t="n">
        <v>0</v>
      </c>
      <c r="EA152" s="852" t="n">
        <v>0</v>
      </c>
      <c r="EB152" s="1113" t="n">
        <v>0</v>
      </c>
      <c r="EC152" s="1115" t="n">
        <f aca="false">DS152*BD152</f>
        <v>0</v>
      </c>
      <c r="ED152" s="1115" t="n">
        <f aca="false">DT152*BE152</f>
        <v>0</v>
      </c>
      <c r="EE152" s="1115" t="n">
        <f aca="false">DU152*BF152</f>
        <v>0</v>
      </c>
      <c r="EF152" s="1115" t="n">
        <f aca="false">DV152*BG152</f>
        <v>0</v>
      </c>
      <c r="EG152" s="1115" t="n">
        <f aca="false">DS152*BD152+DT152*BE152+DU152*BF152+DV152*BG152</f>
        <v>0</v>
      </c>
      <c r="EH152" s="1116" t="n">
        <v>0</v>
      </c>
      <c r="EI152" s="1117" t="n">
        <v>0</v>
      </c>
      <c r="EJ152" s="1117" t="n">
        <v>0</v>
      </c>
      <c r="EK152" s="1117" t="n">
        <v>0</v>
      </c>
      <c r="EL152" s="1118" t="n">
        <f aca="false">IF(C152&gt;=Summary!$E$26,MAX(0,SUM(EH152:EK152)),0)</f>
        <v>0</v>
      </c>
      <c r="EM152" s="1115" t="n">
        <f aca="false">IF(C152&gt;=Summary!$E$26,DX152*BL152,0)</f>
        <v>0</v>
      </c>
      <c r="EN152" s="1115" t="n">
        <f aca="false">IF(C152&gt;=Summary!$E$26,DY152*BM152,0)</f>
        <v>0</v>
      </c>
      <c r="EO152" s="1115" t="n">
        <f aca="false">IF(C152&gt;=Summary!$E$26,DZ152*BN152,0)</f>
        <v>0</v>
      </c>
      <c r="EP152" s="1115" t="n">
        <f aca="false">IF(C152&gt;=Summary!$E$26,EA152*BO152,0)</f>
        <v>0</v>
      </c>
      <c r="EQ152" s="1115" t="n">
        <f aca="false">IF(C152&gt;=Summary!$E$26,DX152*BL152+DY152*BM152+DZ152*BN152+EA152*BO152,0)</f>
        <v>0</v>
      </c>
      <c r="ER152" s="1119" t="n">
        <v>0</v>
      </c>
      <c r="ES152" s="1120" t="n">
        <v>0</v>
      </c>
      <c r="ET152" s="1120" t="n">
        <v>0</v>
      </c>
      <c r="EU152" s="1120" t="n">
        <v>0</v>
      </c>
      <c r="EV152" s="1143" t="n">
        <f aca="false">IF(C152&gt;=Summary!$E$26,MAX(0,SUM(ER152:EU152)),0)</f>
        <v>0</v>
      </c>
      <c r="EW152" s="1115"/>
      <c r="EX152" s="1165" t="n">
        <f aca="false">(EQ152-EV152)+IF(EZ152="Yes",(EG152-EL152),0)</f>
        <v>0</v>
      </c>
      <c r="EY152" s="1166" t="str">
        <f aca="false">IF(EX152,EX152/EQ152,"")</f>
        <v/>
      </c>
      <c r="EZ152" s="1122" t="s">
        <v>37</v>
      </c>
      <c r="FA152" s="1096" t="n">
        <f aca="false">FA151</f>
        <v>45</v>
      </c>
      <c r="FB152" s="1167" t="n">
        <f aca="false">IF(EZ152="No",IF((OR(MONTH(C152)=5,MONTH(C152)=6,MONTH(C152)=7,MONTH(C152)=8,MONTH(C152)=9)),$FA152*12*AX152*(1-$BC152),$FA152*10*AX152*(1-$BC152)),0)</f>
        <v>9308.25</v>
      </c>
      <c r="FC152" s="1129" t="n">
        <f aca="false">IF(EZ152="No",IF((OR(MONTH(C152)=5,MONTH(C152)=6,MONTH(C152)=7,MONTH(C152)=8,MONTH(C152)=9)),0,$FA152*3*AX152*(1-$BC152)),0)</f>
        <v>2792.475</v>
      </c>
      <c r="FD152" s="1129" t="n">
        <f aca="false">IF(EZ152="No",IF((OR(MONTH(C152)=5,MONTH(C152)=6,MONTH(C152)=7,MONTH(C152)=8,MONTH(C152)=9)),$FA152*12*AY152*(1-$BC152),$FA152*10*AY152*(1-$BC152)),0)</f>
        <v>2216.25</v>
      </c>
      <c r="FE152" s="1129" t="n">
        <f aca="false">IF(EZ152="No",IF((OR(MONTH(C152)=5,MONTH(C152)=6,MONTH(C152)=7,MONTH(C152)=8,MONTH(C152)=9)),0,$FA152*3*AY152*(1-$BC152)),0)</f>
        <v>664.875</v>
      </c>
      <c r="FF152" s="1129" t="n">
        <f aca="false">IF(EZ152="No",IF((OR(MONTH(C152)=5,MONTH(C152)=6,MONTH(C152)=7,MONTH(C152)=8,MONTH(C152)=9)),$FA152*12*(AZ152+BA152)*(1-$BC152),$FA152*10*(AZ152+BA152)*(1-$BC152)),0)</f>
        <v>1773</v>
      </c>
      <c r="FG152" s="1129" t="n">
        <f aca="false">IF(EZ152="No",IF((OR(MONTH(C152)=5,MONTH(C152)=6,MONTH(C152)=7,MONTH(C152)=8,MONTH(C152)=9)),0,$FA152*3*(AZ152+BA152)*(1-$BC152)),0)</f>
        <v>531.9</v>
      </c>
      <c r="FH152" s="1170" t="n">
        <f aca="false">IF(EZ152="No",IF((OR(MONTH(C152)=5,MONTH(C152)=6,MONTH(C152)=7,MONTH(C152)=8,MONTH(C152)=9)),Summary!$O$15*12*(AX152+AY152+AZ152+BA152)*(1-$BC152),Summary!$O$15*13*(AX152+AY152+AZ152+BA152)*(1-$BC152)+IF(Summary!$O$16="Yes",(CALC!FA152+Summary!$O$15)*6*(AX152+AY152+AZ152+BA152)*(1-$BC152),0)),0)</f>
        <v>0</v>
      </c>
      <c r="FI152" s="1126" t="n">
        <f aca="false">IF(MONTH(C152)=5,FI151*(IF(Summary!$E$70="no",(1+(Summary!$E$71*0.8)),1+HLOOKUP(YEAR(C152)-1,CCFMODEL!$I$127:$AF$128,2)*0.8)),+FI151)</f>
        <v>34.5321162654377</v>
      </c>
      <c r="FJ152" s="1127" t="n">
        <f aca="false">IF(MONTH(C152)=5,FJ151*(IF(Summary!$E$70="no",(1+(Summary!$E$71*0.8)),1+HLOOKUP(YEAR(CALC!C152)-1,CCFMODEL!$I$127:$AF$128,2)*0.8)),FJ151)</f>
        <v>30.1816134288471</v>
      </c>
      <c r="FK152" s="1128" t="n">
        <f aca="false">SUM(FB152:FG152)*FI152+FH152*FJ152</f>
        <v>596948.060851554</v>
      </c>
      <c r="FL152" s="1126" t="n">
        <f aca="false">IF(MONTH(C152)=5,FL151*(IF(Summary!$E$70="no",(1+(Summary!$E$71*0.8)),1+HLOOKUP(YEAR(CALC!C152)-1,CCFMODEL!$I$127:$AF$128,2)*0.8)),+FL151)</f>
        <v>72.6249119358229</v>
      </c>
      <c r="FM152" s="1127" t="n">
        <f aca="false">IF(MONTH(C152)=5,FM151*(IF(Summary!$E$70="no",(1+(Summary!$E$71*0.8)),1+HLOOKUP(YEAR(CALC!C152)-1,CCFMODEL!$I$127:$AF$128,2)*0.8)),+FM151)</f>
        <v>34.6615955165267</v>
      </c>
      <c r="FN152" s="1128" t="n">
        <f aca="false">IF((OR(MONTH(C152)=5,MONTH(C152)=6,MONTH(C152)=7,MONTH(C152)=8,MONTH(C152)=9)),SUM(FB152:FG152)/(1-BC152)*FL152,SUM(FB152:FG152)/(1-BC152)*FM152)</f>
        <v>608311.001315043</v>
      </c>
      <c r="FO152" s="1129" t="n">
        <f aca="false">FK152+FN152</f>
        <v>1205259.0621666</v>
      </c>
      <c r="FP152" s="1169" t="n">
        <f aca="false">FB152</f>
        <v>9308.25</v>
      </c>
      <c r="FQ152" s="1129" t="n">
        <f aca="false">FC152</f>
        <v>2792.475</v>
      </c>
      <c r="FR152" s="1129" t="n">
        <f aca="false">FD152</f>
        <v>2216.25</v>
      </c>
      <c r="FS152" s="1129" t="n">
        <f aca="false">FE152</f>
        <v>664.875</v>
      </c>
      <c r="FT152" s="1129" t="n">
        <f aca="false">FF152</f>
        <v>1773</v>
      </c>
      <c r="FU152" s="1129" t="n">
        <f aca="false">FG152</f>
        <v>531.9</v>
      </c>
      <c r="FV152" s="1170" t="n">
        <f aca="false">FH152</f>
        <v>0</v>
      </c>
      <c r="FW152" s="1115" t="n">
        <f aca="false">IF(ER152&gt;0,MIN(FB152-FP152,BL152),0)</f>
        <v>0</v>
      </c>
      <c r="FX152" s="1115" t="n">
        <f aca="false">IF(ES152&gt;0,MIN(FD152-FR152,BM152),0)</f>
        <v>0</v>
      </c>
      <c r="FY152" s="1115" t="n">
        <f aca="false">IF(ET152&gt;0,MIN(FF152-FT152,BN152),0)</f>
        <v>0</v>
      </c>
      <c r="FZ152" s="1143" t="n">
        <f aca="false">IF(EU152&gt;0,MIN(FH152-FV152,BO152),0)</f>
        <v>0</v>
      </c>
      <c r="GA152" s="1132" t="n">
        <f aca="false">(SUM(FP152:FV152)+SUM(GU152:HB152)/(1-Summary!$O$25))*CY152/1000</f>
        <v>228642.92292528</v>
      </c>
      <c r="GB152" s="1133" t="n">
        <f aca="false">IF($C152&lt;Summary!$M$81,+Summary!$O$81,VLOOKUP(C152,GasTable,19))</f>
        <v>3.05867676332002</v>
      </c>
      <c r="GC152" s="1134" t="n">
        <f aca="false">IF(H152&lt;=Summary!$N$84,MIN(GA152,Summary!$O$75*(H152-G152+1)),0)</f>
        <v>0</v>
      </c>
      <c r="GD152" s="1135" t="n">
        <f aca="false">IF(C152&lt;Summary!$N$84,IF(Summary!$O$75*(H152-G152+1)*0.8&gt;GC152,1,0),0)</f>
        <v>0</v>
      </c>
      <c r="GE152" s="1136" t="n">
        <v>0</v>
      </c>
      <c r="GF152" s="1134" t="n">
        <f aca="false">ABS(MIN(0,GC152-$GA152))</f>
        <v>228642.92292528</v>
      </c>
      <c r="GG152" s="1135" t="n">
        <f aca="false">GF152*(IF(Summary!$O$74=1,VLOOKUP($C152,GasTable,16)+Summary!$O$92+Summary!$O$93,VLOOKUP($C152,GasTable,19)+Summary!$O$92+Summary!$O$93))</f>
        <v>711257.091733531</v>
      </c>
      <c r="GH152" s="1137" t="n">
        <v>4588.01514498003</v>
      </c>
      <c r="GI152" s="1138" t="n">
        <v>0</v>
      </c>
      <c r="GJ152" s="1139" t="n">
        <f aca="false">+GB152*GC152+GE152+GG152+GH152-GI152</f>
        <v>715845.106878512</v>
      </c>
      <c r="GK152" s="1115" t="n">
        <f aca="false">SUM(FP152:FV152,GU152:GX152,GY152:HB152)</f>
        <v>29092.2705</v>
      </c>
      <c r="GL152" s="1140" t="n">
        <v>0.5189309728</v>
      </c>
      <c r="GM152" s="1141" t="n">
        <f aca="false">IF(GK152&gt;GC152/(CY152/1000),GC152/(CY152/1000),+GK152)*GL152</f>
        <v>0</v>
      </c>
      <c r="GN152" s="1115" t="n">
        <f aca="false">IF(SUM(GU152:HB152)=0,0,IF(Summary!$O$16="Yes",SUM(GX152:HB152),IF(Summary!$O$17="Yes",SUM(GY152:HB152),SUM(GU152:HB152))))</f>
        <v>11805.5205</v>
      </c>
      <c r="GO152" s="1142" t="n">
        <v>3.29381985902785</v>
      </c>
      <c r="GP152" s="1143" t="n">
        <f aca="false">GN152*GO152</f>
        <v>38885.2578690604</v>
      </c>
      <c r="GQ152" s="1115"/>
      <c r="GR152" s="1115"/>
      <c r="GS152" s="1115"/>
      <c r="GT152" s="1115"/>
      <c r="GU152" s="1150" t="n">
        <v>5389.47675</v>
      </c>
      <c r="GV152" s="1115" t="n">
        <v>1283.20875</v>
      </c>
      <c r="GW152" s="1115" t="n">
        <v>1026.567</v>
      </c>
      <c r="GX152" s="1115"/>
      <c r="GY152" s="1151" t="n">
        <v>2874.3876</v>
      </c>
      <c r="GZ152" s="1115" t="n">
        <v>684.378</v>
      </c>
      <c r="HA152" s="1115" t="n">
        <v>547.5024</v>
      </c>
      <c r="HB152" s="1141"/>
      <c r="HC152" s="1115" t="n">
        <v>11805.5205</v>
      </c>
      <c r="HD152" s="1115"/>
      <c r="HE152" s="1115" t="n">
        <v>20274.69825</v>
      </c>
      <c r="HF152" s="1115" t="n">
        <v>431624.306826793</v>
      </c>
      <c r="HG152" s="1115"/>
      <c r="HH152" s="1142" t="n">
        <v>35.9005788444819</v>
      </c>
      <c r="HI152" s="1115" t="n">
        <v>727873.403072204</v>
      </c>
      <c r="HJ152" s="1150" t="n">
        <f aca="false">MAX(FB152-FP152-FW152,0)</f>
        <v>0</v>
      </c>
      <c r="HK152" s="1115" t="n">
        <f aca="false">MAX(FD152-FR152-FX152,0)</f>
        <v>0</v>
      </c>
      <c r="HL152" s="1115" t="n">
        <f aca="false">MAX(FF152-FT152-FY152,0)</f>
        <v>0</v>
      </c>
      <c r="HM152" s="1141" t="n">
        <f aca="false">MAX(FH152-FV152-FZ152,0)</f>
        <v>0</v>
      </c>
      <c r="HN152" s="1115" t="n">
        <f aca="false">SUM(HJ152:HM152)</f>
        <v>0</v>
      </c>
      <c r="HO152" s="1142" t="n">
        <f aca="false">IF(ISERROR(+HP152/HN152),0,+HP152/HN152)</f>
        <v>0</v>
      </c>
      <c r="HP152" s="1143" t="n">
        <f aca="false">(HJ152*CE152+HK152*CF152+HL152*CG152+HM152*CH152)</f>
        <v>0</v>
      </c>
      <c r="HQ152" s="1142"/>
      <c r="HR152" s="1150"/>
      <c r="HS152" s="1110"/>
      <c r="HT152" s="1141"/>
      <c r="HU152" s="1151"/>
      <c r="HV152" s="1142"/>
      <c r="HW152" s="1115"/>
      <c r="HX152" s="1149"/>
      <c r="HY152" s="1143"/>
      <c r="HZ152" s="1150"/>
      <c r="IA152" s="1142"/>
      <c r="IB152" s="1141"/>
      <c r="IC152" s="1151"/>
      <c r="ID152" s="1142"/>
      <c r="IE152" s="1141"/>
      <c r="IF152" s="1115"/>
      <c r="IG152" s="1142"/>
      <c r="IH152" s="1141"/>
      <c r="II152" s="1115"/>
      <c r="IJ152" s="1142"/>
      <c r="IK152" s="1115"/>
      <c r="IL152" s="1152"/>
      <c r="IM152" s="1192"/>
      <c r="IN152" s="1151"/>
      <c r="IO152" s="1151"/>
      <c r="IP152" s="1151"/>
      <c r="IQ152" s="1151"/>
      <c r="IR152" s="844"/>
    </row>
    <row r="153" customFormat="false" ht="13.5" hidden="false" customHeight="false" outlineLevel="0" collapsed="false">
      <c r="A153" s="0" t="str">
        <f aca="false">+D153&amp;"Q"&amp;ROUNDUP(E153/3,0)</f>
        <v>2011Q2</v>
      </c>
      <c r="B153" s="0" t="n">
        <f aca="false">YEAR(C153)</f>
        <v>2011</v>
      </c>
      <c r="C153" s="1153" t="n">
        <f aca="false">EOMONTH(C152,0)+1</f>
        <v>40664</v>
      </c>
      <c r="D153" s="841" t="n">
        <f aca="false">+YEAR(C153)</f>
        <v>2011</v>
      </c>
      <c r="E153" s="807" t="n">
        <f aca="false">MONTH(C153)</f>
        <v>5</v>
      </c>
      <c r="F153" s="1154" t="e">
        <f aca="false">IF(G153="","",Holiday(D153,E153))</f>
        <v>#VALUE!</v>
      </c>
      <c r="G153" s="1155" t="n">
        <v>40664</v>
      </c>
      <c r="H153" s="1156" t="n">
        <v>40694</v>
      </c>
      <c r="I153" s="1157" t="n">
        <f aca="false">I152</f>
        <v>0.0715</v>
      </c>
      <c r="J153" s="1158" t="n">
        <f aca="false">(1+I153/2)^(-2*(DATE(D154,E154,20)-$H$7)/365.25)</f>
        <v>0.445399783349848</v>
      </c>
      <c r="K153" s="1159"/>
      <c r="L153" s="1158"/>
      <c r="M153" s="1082" t="n">
        <v>0</v>
      </c>
      <c r="N153" s="1110" t="n">
        <f aca="false">M153</f>
        <v>0</v>
      </c>
      <c r="O153" s="1174" t="n">
        <f aca="false">N153</f>
        <v>0</v>
      </c>
      <c r="P153" s="1175" t="n">
        <f aca="false">M153</f>
        <v>0</v>
      </c>
      <c r="Q153" s="1110" t="n">
        <f aca="false">P153</f>
        <v>0</v>
      </c>
      <c r="R153" s="1174" t="n">
        <f aca="false">Q153</f>
        <v>0</v>
      </c>
      <c r="S153" s="1110" t="n">
        <f aca="false">R153</f>
        <v>0</v>
      </c>
      <c r="T153" s="1110" t="n">
        <f aca="false">S153</f>
        <v>0</v>
      </c>
      <c r="U153" s="1110" t="n">
        <f aca="false">T153</f>
        <v>0</v>
      </c>
      <c r="V153" s="1175" t="n">
        <f aca="false">U153</f>
        <v>0</v>
      </c>
      <c r="W153" s="1110" t="n">
        <f aca="false">V153</f>
        <v>0</v>
      </c>
      <c r="X153" s="1176" t="n">
        <f aca="false">W153</f>
        <v>0</v>
      </c>
      <c r="Y153" s="1086" t="n">
        <v>0</v>
      </c>
      <c r="Z153" s="1086" t="n">
        <v>0</v>
      </c>
      <c r="AA153" s="1087" t="n">
        <v>0</v>
      </c>
      <c r="AB153" s="1086" t="n">
        <v>0</v>
      </c>
      <c r="AC153" s="1086" t="n">
        <v>0</v>
      </c>
      <c r="AD153" s="1087" t="n">
        <v>0</v>
      </c>
      <c r="AE153" s="1086" t="n">
        <v>0</v>
      </c>
      <c r="AF153" s="1086" t="n">
        <v>0</v>
      </c>
      <c r="AG153" s="1087" t="n">
        <v>0</v>
      </c>
      <c r="AH153" s="1086" t="n">
        <v>0</v>
      </c>
      <c r="AI153" s="1086" t="n">
        <v>0</v>
      </c>
      <c r="AJ153" s="1087" t="n">
        <v>0</v>
      </c>
      <c r="AK153" s="1086" t="n">
        <v>0</v>
      </c>
      <c r="AL153" s="1086" t="n">
        <v>0</v>
      </c>
      <c r="AM153" s="1087" t="n">
        <v>0</v>
      </c>
      <c r="AN153" s="1086" t="n">
        <v>0</v>
      </c>
      <c r="AO153" s="1086" t="n">
        <v>0</v>
      </c>
      <c r="AP153" s="1087" t="n">
        <v>0</v>
      </c>
      <c r="AQ153" s="1086" t="n">
        <v>0</v>
      </c>
      <c r="AR153" s="1086" t="n">
        <v>0</v>
      </c>
      <c r="AS153" s="1087" t="n">
        <v>0</v>
      </c>
      <c r="AT153" s="1086" t="n">
        <v>0</v>
      </c>
      <c r="AU153" s="1086" t="n">
        <v>0</v>
      </c>
      <c r="AV153" s="1086" t="n">
        <v>0</v>
      </c>
      <c r="AW153" s="1172" t="n">
        <v>0</v>
      </c>
      <c r="AX153" s="807" t="e">
        <f aca="false">BB153-SUM(AY153:BA153)</f>
        <v>#VALUE!</v>
      </c>
      <c r="AY153" s="807" t="e">
        <f aca="false">IF(AND($E153=MONTH(Summary!$E$24),$D153=YEAR(Summary!$E$24)),Summary!$E$25,1)*IF(G153="",0,INT((H153-MOD(H153,7)-G153)/7)+1-IF(BA153,IF(WEEKDAY(F153)=7,1,0),0))</f>
        <v>#VALUE!</v>
      </c>
      <c r="AZ153" s="807" t="e">
        <f aca="false">IF(AND($E153=MONTH(Summary!$E$24),$D153=YEAR(Summary!$E$24)),Summary!$E$25,1)*IF(G153="",0,INT((H153-MOD(H153-1,7)-G153)/7)+1-IF(BA153,IF(WEEKDAY(F153)=1,1,0),0))</f>
        <v>#VALUE!</v>
      </c>
      <c r="BA153" s="807" t="n">
        <v>1</v>
      </c>
      <c r="BB153" s="807" t="n">
        <f aca="false">IF(AND($E153=MONTH(Summary!$E$24),$D153=YEAR(Summary!$E$24)),Summary!$E$25,1)*IF(G153="",0,H153-G153+1)</f>
        <v>31</v>
      </c>
      <c r="BC153" s="1089" t="n">
        <f aca="false">Summary!$E$19</f>
        <v>0.015</v>
      </c>
      <c r="BD153" s="1090" t="n">
        <v>14893.2</v>
      </c>
      <c r="BE153" s="1091" t="n">
        <v>2836.8</v>
      </c>
      <c r="BF153" s="1091" t="n">
        <v>4255.2</v>
      </c>
      <c r="BG153" s="842"/>
      <c r="BH153" s="1092" t="n">
        <v>1</v>
      </c>
      <c r="BI153" s="1092" t="n">
        <v>1</v>
      </c>
      <c r="BJ153" s="1092" t="n">
        <v>1</v>
      </c>
      <c r="BK153" s="1092" t="n">
        <v>1</v>
      </c>
      <c r="BL153" s="1093" t="n">
        <v>2978.64</v>
      </c>
      <c r="BM153" s="1091" t="n">
        <v>567.36</v>
      </c>
      <c r="BN153" s="1091" t="n">
        <v>851.04</v>
      </c>
      <c r="BO153" s="842"/>
      <c r="BP153" s="1092" t="n">
        <v>1</v>
      </c>
      <c r="BQ153" s="1094" t="n">
        <v>1</v>
      </c>
      <c r="BR153" s="1094" t="n">
        <v>1</v>
      </c>
      <c r="BS153" s="1095" t="n">
        <v>1</v>
      </c>
      <c r="BT153" s="1093" t="n">
        <f aca="false">SUM(BD153:BF153)</f>
        <v>21985.2</v>
      </c>
      <c r="BU153" s="1098" t="n">
        <f aca="false">SUM(BD153:BG153)</f>
        <v>21985.2</v>
      </c>
      <c r="BV153" s="1090" t="n">
        <f aca="false">SUM(BL153:BN153)</f>
        <v>4397.04</v>
      </c>
      <c r="BW153" s="1098" t="n">
        <f aca="false">SUM(BL153:BO153)</f>
        <v>4397.04</v>
      </c>
      <c r="BX153" s="852" t="n">
        <v>11.3757700205339</v>
      </c>
      <c r="BY153" s="1099" t="n">
        <v>0</v>
      </c>
      <c r="BZ153" s="852" t="n">
        <v>0</v>
      </c>
      <c r="CA153" s="852" t="n">
        <v>0</v>
      </c>
      <c r="CB153" s="852" t="n">
        <v>0</v>
      </c>
      <c r="CC153" s="852" t="n">
        <v>0</v>
      </c>
      <c r="CD153" s="852" t="n">
        <v>0</v>
      </c>
      <c r="CE153" s="1100" t="n">
        <v>0</v>
      </c>
      <c r="CF153" s="852" t="n">
        <v>0</v>
      </c>
      <c r="CG153" s="852" t="n">
        <v>0</v>
      </c>
      <c r="CH153" s="852" t="n">
        <v>0</v>
      </c>
      <c r="CI153" s="852" t="n">
        <v>0</v>
      </c>
      <c r="CJ153" s="1101" t="n">
        <v>0</v>
      </c>
      <c r="CK153" s="852" t="n">
        <v>0</v>
      </c>
      <c r="CL153" s="852" t="n">
        <v>0</v>
      </c>
      <c r="CM153" s="852" t="n">
        <v>0</v>
      </c>
      <c r="CN153" s="852" t="n">
        <v>0</v>
      </c>
      <c r="CO153" s="852" t="n">
        <v>0</v>
      </c>
      <c r="CP153" s="852" t="n">
        <v>0</v>
      </c>
      <c r="CQ153" s="1102" t="n">
        <v>0</v>
      </c>
      <c r="CR153" s="1103" t="n">
        <v>0</v>
      </c>
      <c r="CS153" s="1103" t="n">
        <v>0</v>
      </c>
      <c r="CT153" s="1103" t="n">
        <v>0</v>
      </c>
      <c r="CU153" s="1103" t="n">
        <v>0</v>
      </c>
      <c r="CV153" s="1103" t="n">
        <v>0</v>
      </c>
      <c r="CW153" s="1103" t="n">
        <v>0</v>
      </c>
      <c r="CX153" s="1104" t="n">
        <v>0</v>
      </c>
      <c r="CY153" s="1105" t="n">
        <v>7747.26936</v>
      </c>
      <c r="CZ153" s="1099" t="n">
        <v>0</v>
      </c>
      <c r="DA153" s="852" t="n">
        <v>0</v>
      </c>
      <c r="DB153" s="852" t="n">
        <v>0</v>
      </c>
      <c r="DC153" s="852" t="n">
        <v>0</v>
      </c>
      <c r="DD153" s="852" t="n">
        <v>0</v>
      </c>
      <c r="DE153" s="1113" t="n">
        <v>0</v>
      </c>
      <c r="DF153" s="1109" t="n">
        <v>0</v>
      </c>
      <c r="DG153" s="1110" t="n">
        <v>0</v>
      </c>
      <c r="DH153" s="1111" t="n">
        <v>0</v>
      </c>
      <c r="DI153" s="1112" t="n">
        <v>0</v>
      </c>
      <c r="DJ153" s="1112" t="n">
        <v>0</v>
      </c>
      <c r="DK153" s="1112" t="n">
        <v>0</v>
      </c>
      <c r="DL153" s="1113" t="n">
        <v>0</v>
      </c>
      <c r="DM153" s="1114" t="n">
        <v>0</v>
      </c>
      <c r="DN153" s="1114" t="n">
        <v>0</v>
      </c>
      <c r="DO153" s="1114" t="n">
        <v>0</v>
      </c>
      <c r="DP153" s="1114" t="n">
        <v>0</v>
      </c>
      <c r="DQ153" s="1114" t="n">
        <v>0</v>
      </c>
      <c r="DR153" s="1109" t="n">
        <v>0</v>
      </c>
      <c r="DS153" s="852" t="n">
        <v>0</v>
      </c>
      <c r="DT153" s="852" t="n">
        <v>0</v>
      </c>
      <c r="DU153" s="852" t="n">
        <v>0</v>
      </c>
      <c r="DV153" s="852" t="n">
        <v>0</v>
      </c>
      <c r="DW153" s="852" t="n">
        <v>0</v>
      </c>
      <c r="DX153" s="852" t="n">
        <v>0</v>
      </c>
      <c r="DY153" s="852" t="n">
        <v>0</v>
      </c>
      <c r="DZ153" s="852" t="n">
        <v>0</v>
      </c>
      <c r="EA153" s="852" t="n">
        <v>0</v>
      </c>
      <c r="EB153" s="1113" t="n">
        <v>0</v>
      </c>
      <c r="EC153" s="1115" t="n">
        <f aca="false">DS153*BD153</f>
        <v>0</v>
      </c>
      <c r="ED153" s="1115" t="n">
        <f aca="false">DT153*BE153</f>
        <v>0</v>
      </c>
      <c r="EE153" s="1115" t="n">
        <f aca="false">DU153*BF153</f>
        <v>0</v>
      </c>
      <c r="EF153" s="1115" t="n">
        <f aca="false">DV153*BG153</f>
        <v>0</v>
      </c>
      <c r="EG153" s="1115" t="n">
        <f aca="false">DS153*BD153+DT153*BE153+DU153*BF153+DV153*BG153</f>
        <v>0</v>
      </c>
      <c r="EH153" s="1116" t="n">
        <v>0</v>
      </c>
      <c r="EI153" s="1117" t="n">
        <v>0</v>
      </c>
      <c r="EJ153" s="1117" t="n">
        <v>0</v>
      </c>
      <c r="EK153" s="1117" t="n">
        <v>0</v>
      </c>
      <c r="EL153" s="1118" t="n">
        <f aca="false">IF(C153&gt;=Summary!$E$26,MAX(0,SUM(EH153:EK153)),0)</f>
        <v>0</v>
      </c>
      <c r="EM153" s="1115" t="n">
        <f aca="false">IF(C153&gt;=Summary!$E$26,DX153*BL153,0)</f>
        <v>0</v>
      </c>
      <c r="EN153" s="1115" t="n">
        <f aca="false">IF(C153&gt;=Summary!$E$26,DY153*BM153,0)</f>
        <v>0</v>
      </c>
      <c r="EO153" s="1115" t="n">
        <f aca="false">IF(C153&gt;=Summary!$E$26,DZ153*BN153,0)</f>
        <v>0</v>
      </c>
      <c r="EP153" s="1115" t="n">
        <f aca="false">IF(C153&gt;=Summary!$E$26,EA153*BO153,0)</f>
        <v>0</v>
      </c>
      <c r="EQ153" s="1115" t="n">
        <f aca="false">IF(C153&gt;=Summary!$E$26,DX153*BL153+DY153*BM153+DZ153*BN153+EA153*BO153,0)</f>
        <v>0</v>
      </c>
      <c r="ER153" s="1119" t="n">
        <v>0</v>
      </c>
      <c r="ES153" s="1120" t="n">
        <v>0</v>
      </c>
      <c r="ET153" s="1120" t="n">
        <v>0</v>
      </c>
      <c r="EU153" s="1120" t="n">
        <v>0</v>
      </c>
      <c r="EV153" s="1143" t="n">
        <f aca="false">IF(C153&gt;=Summary!$E$26,MAX(0,SUM(ER153:EU153)),0)</f>
        <v>0</v>
      </c>
      <c r="EW153" s="1115"/>
      <c r="EX153" s="1165" t="n">
        <f aca="false">(EQ153-EV153)+IF(EZ153="Yes",(EG153-EL153),0)</f>
        <v>0</v>
      </c>
      <c r="EY153" s="1166" t="str">
        <f aca="false">IF(EX153,EX153/EQ153,"")</f>
        <v/>
      </c>
      <c r="EZ153" s="1122" t="s">
        <v>37</v>
      </c>
      <c r="FA153" s="1096" t="n">
        <f aca="false">FA152</f>
        <v>45</v>
      </c>
      <c r="FB153" s="1167" t="e">
        <f aca="false">IF(EZ153="No",IF((OR(MONTH(C153)=5,MONTH(C153)=6,MONTH(C153)=7,MONTH(C153)=8,MONTH(C153)=9)),$FA153*12*AX153*(1-$BC153),$FA153*10*AX153*(1-$BC153)),0)</f>
        <v>#VALUE!</v>
      </c>
      <c r="FC153" s="1129" t="n">
        <f aca="false">IF(EZ153="No",IF((OR(MONTH(C153)=5,MONTH(C153)=6,MONTH(C153)=7,MONTH(C153)=8,MONTH(C153)=9)),0,$FA153*3*AX153*(1-$BC153)),0)</f>
        <v>0</v>
      </c>
      <c r="FD153" s="1129" t="e">
        <f aca="false">IF(EZ153="No",IF((OR(MONTH(C153)=5,MONTH(C153)=6,MONTH(C153)=7,MONTH(C153)=8,MONTH(C153)=9)),$FA153*12*AY153*(1-$BC153),$FA153*10*AY153*(1-$BC153)),0)</f>
        <v>#VALUE!</v>
      </c>
      <c r="FE153" s="1129" t="n">
        <f aca="false">IF(EZ153="No",IF((OR(MONTH(C153)=5,MONTH(C153)=6,MONTH(C153)=7,MONTH(C153)=8,MONTH(C153)=9)),0,$FA153*3*AY153*(1-$BC153)),0)</f>
        <v>0</v>
      </c>
      <c r="FF153" s="1129" t="e">
        <f aca="false">IF(EZ153="No",IF((OR(MONTH(C153)=5,MONTH(C153)=6,MONTH(C153)=7,MONTH(C153)=8,MONTH(C153)=9)),$FA153*12*(AZ153+BA153)*(1-$BC153),$FA153*10*(AZ153+BA153)*(1-$BC153)),0)</f>
        <v>#VALUE!</v>
      </c>
      <c r="FG153" s="1129" t="n">
        <f aca="false">IF(EZ153="No",IF((OR(MONTH(C153)=5,MONTH(C153)=6,MONTH(C153)=7,MONTH(C153)=8,MONTH(C153)=9)),0,$FA153*3*(AZ153+BA153)*(1-$BC153)),0)</f>
        <v>0</v>
      </c>
      <c r="FH153" s="1170" t="e">
        <f aca="false">IF(EZ153="No",IF((OR(MONTH(C153)=5,MONTH(C153)=6,MONTH(C153)=7,MONTH(C153)=8,MONTH(C153)=9)),Summary!$O$15*12*(AX153+AY153+AZ153+BA153)*(1-$BC153),Summary!$O$15*13*(AX153+AY153+AZ153+BA153)*(1-$BC153)+IF(Summary!$O$16="Yes",(CALC!FA153+Summary!$O$15)*6*(AX153+AY153+AZ153+BA153)*(1-$BC153),0)),0)</f>
        <v>#VALUE!</v>
      </c>
      <c r="FI153" s="1126" t="n">
        <f aca="false">IF(MONTH(C153)=5,FI152*(IF(Summary!$E$70="no",(1+(Summary!$E$71*0.8)),1+HLOOKUP(YEAR(C153)-1,CCFMODEL!$I$127:$AF$128,2)*0.8)),+FI152)</f>
        <v>35.3608870558082</v>
      </c>
      <c r="FJ153" s="1127" t="n">
        <f aca="false">IF(MONTH(C153)=5,FJ152*(IF(Summary!$E$70="no",(1+(Summary!$E$71*0.8)),1+HLOOKUP(YEAR(CALC!C153)-1,CCFMODEL!$I$127:$AF$128,2)*0.8)),FJ152)</f>
        <v>30.9059721511394</v>
      </c>
      <c r="FK153" s="1128" t="e">
        <f aca="false">SUM(FB153:FG153)*FI153+FH153*FJ153</f>
        <v>#VALUE!</v>
      </c>
      <c r="FL153" s="1126" t="n">
        <f aca="false">IF(MONTH(C153)=5,FL152*(IF(Summary!$E$70="no",(1+(Summary!$E$71*0.8)),1+HLOOKUP(YEAR(CALC!C153)-1,CCFMODEL!$I$127:$AF$128,2)*0.8)),+FL152)</f>
        <v>74.3679098222827</v>
      </c>
      <c r="FM153" s="1127" t="n">
        <f aca="false">IF(MONTH(C153)=5,FM152*(IF(Summary!$E$70="no",(1+(Summary!$E$71*0.8)),1+HLOOKUP(YEAR(CALC!C153)-1,CCFMODEL!$I$127:$AF$128,2)*0.8)),+FM152)</f>
        <v>35.4934738089233</v>
      </c>
      <c r="FN153" s="1128" t="e">
        <f aca="false">IF((OR(MONTH(C153)=5,MONTH(C153)=6,MONTH(C153)=7,MONTH(C153)=8,MONTH(C153)=9)),SUM(FB153:FG153)/(1-BC153)*FL153,SUM(FB153:FG153)/(1-BC153)*FM153)</f>
        <v>#VALUE!</v>
      </c>
      <c r="FO153" s="1129" t="e">
        <f aca="false">FK153+FN153</f>
        <v>#VALUE!</v>
      </c>
      <c r="FP153" s="1169" t="e">
        <f aca="false">FB153</f>
        <v>#VALUE!</v>
      </c>
      <c r="FQ153" s="1129" t="n">
        <f aca="false">FC153</f>
        <v>0</v>
      </c>
      <c r="FR153" s="1129" t="e">
        <f aca="false">FD153</f>
        <v>#VALUE!</v>
      </c>
      <c r="FS153" s="1129" t="n">
        <f aca="false">FE153</f>
        <v>0</v>
      </c>
      <c r="FT153" s="1129" t="e">
        <f aca="false">FF153</f>
        <v>#VALUE!</v>
      </c>
      <c r="FU153" s="1129" t="n">
        <f aca="false">FG153</f>
        <v>0</v>
      </c>
      <c r="FV153" s="1170" t="e">
        <f aca="false">FH153</f>
        <v>#VALUE!</v>
      </c>
      <c r="FW153" s="1115" t="n">
        <f aca="false">IF(ER153&gt;0,MIN(FB153-FP153,BL153),0)</f>
        <v>0</v>
      </c>
      <c r="FX153" s="1115" t="n">
        <f aca="false">IF(ES153&gt;0,MIN(FD153-FR153,BM153),0)</f>
        <v>0</v>
      </c>
      <c r="FY153" s="1115" t="n">
        <f aca="false">IF(ET153&gt;0,MIN(FF153-FT153,BN153),0)</f>
        <v>0</v>
      </c>
      <c r="FZ153" s="1143" t="n">
        <f aca="false">IF(EU153&gt;0,MIN(FH153-FV153,BO153),0)</f>
        <v>0</v>
      </c>
      <c r="GA153" s="1132" t="e">
        <f aca="false">(SUM(FP153:FV153)+SUM(GU153:HB153)/(1-Summary!$O$25))*CY153/1000</f>
        <v>#VALUE!</v>
      </c>
      <c r="GB153" s="1133" t="n">
        <f aca="false">IF($C153&lt;Summary!$M$81,+Summary!$O$81,VLOOKUP(C153,GasTable,19))</f>
        <v>3.03560916932453</v>
      </c>
      <c r="GC153" s="1134" t="n">
        <f aca="false">IF(H153&lt;=Summary!$N$84,MIN(GA153,Summary!$O$75*(H153-G153+1)),0)</f>
        <v>0</v>
      </c>
      <c r="GD153" s="1135" t="n">
        <f aca="false">IF(C153&lt;Summary!$N$84,IF(Summary!$O$75*(H153-G153+1)*0.8&gt;GC153,1,0),0)</f>
        <v>0</v>
      </c>
      <c r="GE153" s="1136" t="n">
        <v>0</v>
      </c>
      <c r="GF153" s="1134" t="e">
        <f aca="false">ABS(MIN(0,GC153-$GA153))</f>
        <v>#VALUE!</v>
      </c>
      <c r="GG153" s="1135" t="e">
        <f aca="false">GF153*(IF(Summary!$O$74=1,VLOOKUP($C153,GasTable,16)+Summary!$O$92+Summary!$O$93,VLOOKUP($C153,GasTable,19)+Summary!$O$92+Summary!$O$93))</f>
        <v>#VALUE!</v>
      </c>
      <c r="GH153" s="1137" t="n">
        <v>4705.19421245302</v>
      </c>
      <c r="GI153" s="1138" t="n">
        <v>0</v>
      </c>
      <c r="GJ153" s="1139" t="e">
        <f aca="false">+GB153*GC153+GE153+GG153+GH153-GI153</f>
        <v>#VALUE!</v>
      </c>
      <c r="GK153" s="1115" t="e">
        <f aca="false">SUM(FP153:FV153,GU153:GX153,GY153:HB153)</f>
        <v>#VALUE!</v>
      </c>
      <c r="GL153" s="1140" t="n">
        <v>0.51906704712</v>
      </c>
      <c r="GM153" s="1141" t="e">
        <f aca="false">IF(GK153&gt;GC153/(CY153/1000),GC153/(CY153/1000),+GK153)*GL153</f>
        <v>#VALUE!</v>
      </c>
      <c r="GN153" s="1115" t="n">
        <f aca="false">IF(SUM(GU153:HB153)=0,0,IF(Summary!$O$16="Yes",SUM(GX153:HB153),IF(Summary!$O$17="Yes",SUM(GY153:HB153),SUM(GU153:HB153))))</f>
        <v>9547.0731</v>
      </c>
      <c r="GO153" s="1142" t="n">
        <v>3.29381985902785</v>
      </c>
      <c r="GP153" s="1143" t="n">
        <f aca="false">GN153*GO153</f>
        <v>31446.3389723706</v>
      </c>
      <c r="GQ153" s="1115"/>
      <c r="GR153" s="1115"/>
      <c r="GS153" s="1115"/>
      <c r="GT153" s="1115"/>
      <c r="GU153" s="1150" t="n">
        <v>3592.9845</v>
      </c>
      <c r="GV153" s="1115" t="n">
        <v>684.378</v>
      </c>
      <c r="GW153" s="1115" t="n">
        <v>1026.567</v>
      </c>
      <c r="GX153" s="1115"/>
      <c r="GY153" s="1151" t="n">
        <v>2874.3876</v>
      </c>
      <c r="GZ153" s="1115" t="n">
        <v>547.5024</v>
      </c>
      <c r="HA153" s="1115" t="n">
        <v>821.2536</v>
      </c>
      <c r="HB153" s="1141"/>
      <c r="HC153" s="1115" t="n">
        <v>9547.0731</v>
      </c>
      <c r="HD153" s="1115"/>
      <c r="HE153" s="1115" t="n">
        <v>22276.5039</v>
      </c>
      <c r="HF153" s="1115" t="n">
        <v>355470.659873309</v>
      </c>
      <c r="HG153" s="1115"/>
      <c r="HH153" s="1142" t="n">
        <v>37.7247515140738</v>
      </c>
      <c r="HI153" s="1115" t="n">
        <v>840375.574229795</v>
      </c>
      <c r="HJ153" s="1150" t="e">
        <f aca="false">MAX(FB153-FP153-FW153,0)</f>
        <v>#VALUE!</v>
      </c>
      <c r="HK153" s="1115" t="e">
        <f aca="false">MAX(FD153-FR153-FX153,0)</f>
        <v>#VALUE!</v>
      </c>
      <c r="HL153" s="1115" t="e">
        <f aca="false">MAX(FF153-FT153-FY153,0)</f>
        <v>#VALUE!</v>
      </c>
      <c r="HM153" s="1141" t="e">
        <f aca="false">MAX(FH153-FV153-FZ153,0)</f>
        <v>#VALUE!</v>
      </c>
      <c r="HN153" s="1115" t="e">
        <f aca="false">SUM(HJ153:HM153)</f>
        <v>#VALUE!</v>
      </c>
      <c r="HO153" s="1142" t="n">
        <f aca="false">IF(ISERROR(+HP153/HN153),0,+HP153/HN153)</f>
        <v>0</v>
      </c>
      <c r="HP153" s="1143" t="e">
        <f aca="false">(HJ153*CE153+HK153*CF153+HL153*CG153+HM153*CH153)</f>
        <v>#VALUE!</v>
      </c>
      <c r="HQ153" s="1142"/>
      <c r="HR153" s="1150"/>
      <c r="HS153" s="1110"/>
      <c r="HT153" s="1141"/>
      <c r="HU153" s="1151"/>
      <c r="HV153" s="1142"/>
      <c r="HW153" s="1115"/>
      <c r="HX153" s="1149"/>
      <c r="HY153" s="1143"/>
      <c r="HZ153" s="1150"/>
      <c r="IA153" s="1142"/>
      <c r="IB153" s="1141"/>
      <c r="IC153" s="1151"/>
      <c r="ID153" s="1142"/>
      <c r="IE153" s="1141"/>
      <c r="IF153" s="1115"/>
      <c r="IG153" s="1142"/>
      <c r="IH153" s="1141"/>
      <c r="II153" s="1115"/>
      <c r="IJ153" s="1142"/>
      <c r="IK153" s="1115"/>
      <c r="IL153" s="1152"/>
      <c r="IM153" s="1192"/>
      <c r="IN153" s="1151"/>
      <c r="IO153" s="1151"/>
      <c r="IP153" s="1151"/>
      <c r="IQ153" s="1151"/>
      <c r="IR153" s="844"/>
    </row>
    <row r="154" customFormat="false" ht="13.5" hidden="false" customHeight="false" outlineLevel="0" collapsed="false">
      <c r="A154" s="0" t="str">
        <f aca="false">+D154&amp;"Q"&amp;ROUNDUP(E154/3,0)</f>
        <v>2011Q2</v>
      </c>
      <c r="B154" s="0" t="n">
        <f aca="false">YEAR(C154)</f>
        <v>2011</v>
      </c>
      <c r="C154" s="1153" t="n">
        <f aca="false">EOMONTH(C153,0)+1</f>
        <v>40695</v>
      </c>
      <c r="D154" s="841" t="n">
        <f aca="false">+YEAR(C154)</f>
        <v>2011</v>
      </c>
      <c r="E154" s="807" t="n">
        <f aca="false">MONTH(C154)</f>
        <v>6</v>
      </c>
      <c r="F154" s="1154" t="e">
        <f aca="false">IF(G154="","",Holiday(D154,E154))</f>
        <v>#VALUE!</v>
      </c>
      <c r="G154" s="1155" t="n">
        <v>40695</v>
      </c>
      <c r="H154" s="1156" t="n">
        <v>40724</v>
      </c>
      <c r="I154" s="1157" t="n">
        <f aca="false">I153</f>
        <v>0.0715</v>
      </c>
      <c r="J154" s="1158" t="n">
        <f aca="false">(1+I154/2)^(-2*(DATE(D155,E155,20)-$H$7)/365.25)</f>
        <v>0.442837159252342</v>
      </c>
      <c r="K154" s="1159"/>
      <c r="L154" s="1158"/>
      <c r="M154" s="1082" t="n">
        <v>0</v>
      </c>
      <c r="N154" s="1110" t="n">
        <f aca="false">M154</f>
        <v>0</v>
      </c>
      <c r="O154" s="1174" t="n">
        <f aca="false">N154</f>
        <v>0</v>
      </c>
      <c r="P154" s="1175" t="n">
        <f aca="false">M154</f>
        <v>0</v>
      </c>
      <c r="Q154" s="1110" t="n">
        <f aca="false">P154</f>
        <v>0</v>
      </c>
      <c r="R154" s="1174" t="n">
        <f aca="false">Q154</f>
        <v>0</v>
      </c>
      <c r="S154" s="1110" t="n">
        <f aca="false">R154</f>
        <v>0</v>
      </c>
      <c r="T154" s="1110" t="n">
        <f aca="false">S154</f>
        <v>0</v>
      </c>
      <c r="U154" s="1110" t="n">
        <f aca="false">T154</f>
        <v>0</v>
      </c>
      <c r="V154" s="1175" t="n">
        <f aca="false">U154</f>
        <v>0</v>
      </c>
      <c r="W154" s="1110" t="n">
        <f aca="false">V154</f>
        <v>0</v>
      </c>
      <c r="X154" s="1176" t="n">
        <f aca="false">W154</f>
        <v>0</v>
      </c>
      <c r="Y154" s="1086" t="n">
        <v>0</v>
      </c>
      <c r="Z154" s="1086" t="n">
        <v>0</v>
      </c>
      <c r="AA154" s="1087" t="n">
        <v>0</v>
      </c>
      <c r="AB154" s="1086" t="n">
        <v>0</v>
      </c>
      <c r="AC154" s="1086" t="n">
        <v>0</v>
      </c>
      <c r="AD154" s="1087" t="n">
        <v>0</v>
      </c>
      <c r="AE154" s="1086" t="n">
        <v>0</v>
      </c>
      <c r="AF154" s="1086" t="n">
        <v>0</v>
      </c>
      <c r="AG154" s="1087" t="n">
        <v>0</v>
      </c>
      <c r="AH154" s="1086" t="n">
        <v>0</v>
      </c>
      <c r="AI154" s="1086" t="n">
        <v>0</v>
      </c>
      <c r="AJ154" s="1087" t="n">
        <v>0</v>
      </c>
      <c r="AK154" s="1086" t="n">
        <v>0</v>
      </c>
      <c r="AL154" s="1086" t="n">
        <v>0</v>
      </c>
      <c r="AM154" s="1087" t="n">
        <v>0</v>
      </c>
      <c r="AN154" s="1086" t="n">
        <v>0</v>
      </c>
      <c r="AO154" s="1086" t="n">
        <v>0</v>
      </c>
      <c r="AP154" s="1087" t="n">
        <v>0</v>
      </c>
      <c r="AQ154" s="1086" t="n">
        <v>0</v>
      </c>
      <c r="AR154" s="1086" t="n">
        <v>0</v>
      </c>
      <c r="AS154" s="1087" t="n">
        <v>0</v>
      </c>
      <c r="AT154" s="1086" t="n">
        <v>0</v>
      </c>
      <c r="AU154" s="1086" t="n">
        <v>0</v>
      </c>
      <c r="AV154" s="1086" t="n">
        <v>0</v>
      </c>
      <c r="AW154" s="1172" t="n">
        <v>0</v>
      </c>
      <c r="AX154" s="807" t="n">
        <f aca="false">BB154-SUM(AY154:BA154)</f>
        <v>22</v>
      </c>
      <c r="AY154" s="807" t="n">
        <f aca="false">IF(AND($E154=MONTH(Summary!$E$24),$D154=YEAR(Summary!$E$24)),Summary!$E$25,1)*IF(G154="",0,INT((H154-MOD(H154,7)-G154)/7)+1-IF(BA154,IF(WEEKDAY(F154)=7,1,0),0))</f>
        <v>4</v>
      </c>
      <c r="AZ154" s="807" t="n">
        <f aca="false">IF(AND($E154=MONTH(Summary!$E$24),$D154=YEAR(Summary!$E$24)),Summary!$E$25,1)*IF(G154="",0,INT((H154-MOD(H154-1,7)-G154)/7)+1-IF(BA154,IF(WEEKDAY(F154)=1,1,0),0))</f>
        <v>4</v>
      </c>
      <c r="BA154" s="807" t="n">
        <v>0</v>
      </c>
      <c r="BB154" s="807" t="n">
        <f aca="false">IF(AND($E154=MONTH(Summary!$E$24),$D154=YEAR(Summary!$E$24)),Summary!$E$25,1)*IF(G154="",0,H154-G154+1)</f>
        <v>30</v>
      </c>
      <c r="BC154" s="1089" t="n">
        <f aca="false">Summary!$E$19</f>
        <v>0.015</v>
      </c>
      <c r="BD154" s="1090" t="n">
        <v>15602.4</v>
      </c>
      <c r="BE154" s="1091" t="n">
        <v>2836.8</v>
      </c>
      <c r="BF154" s="1091" t="n">
        <v>2836.8</v>
      </c>
      <c r="BG154" s="842"/>
      <c r="BH154" s="1092" t="n">
        <v>1</v>
      </c>
      <c r="BI154" s="1092" t="n">
        <v>1</v>
      </c>
      <c r="BJ154" s="1092" t="n">
        <v>1</v>
      </c>
      <c r="BK154" s="1092" t="n">
        <v>1</v>
      </c>
      <c r="BL154" s="1093" t="n">
        <v>3120.48</v>
      </c>
      <c r="BM154" s="1091" t="n">
        <v>567.36</v>
      </c>
      <c r="BN154" s="1091" t="n">
        <v>567.36</v>
      </c>
      <c r="BO154" s="842"/>
      <c r="BP154" s="1092" t="n">
        <v>1</v>
      </c>
      <c r="BQ154" s="1094" t="n">
        <v>1</v>
      </c>
      <c r="BR154" s="1094" t="n">
        <v>1</v>
      </c>
      <c r="BS154" s="1095" t="n">
        <v>1</v>
      </c>
      <c r="BT154" s="1093" t="n">
        <f aca="false">SUM(BD154:BF154)</f>
        <v>21276</v>
      </c>
      <c r="BU154" s="1098" t="n">
        <f aca="false">SUM(BD154:BG154)</f>
        <v>21276</v>
      </c>
      <c r="BV154" s="1090" t="n">
        <f aca="false">SUM(BL154:BN154)</f>
        <v>4255.2</v>
      </c>
      <c r="BW154" s="1098" t="n">
        <f aca="false">SUM(BL154:BO154)</f>
        <v>4255.2</v>
      </c>
      <c r="BX154" s="852" t="n">
        <v>11.460643394935</v>
      </c>
      <c r="BY154" s="1099" t="n">
        <v>0</v>
      </c>
      <c r="BZ154" s="852" t="n">
        <v>0</v>
      </c>
      <c r="CA154" s="852" t="n">
        <v>0</v>
      </c>
      <c r="CB154" s="852" t="n">
        <v>0</v>
      </c>
      <c r="CC154" s="852" t="n">
        <v>0</v>
      </c>
      <c r="CD154" s="852" t="n">
        <v>0</v>
      </c>
      <c r="CE154" s="1100" t="n">
        <v>0</v>
      </c>
      <c r="CF154" s="852" t="n">
        <v>0</v>
      </c>
      <c r="CG154" s="852" t="n">
        <v>0</v>
      </c>
      <c r="CH154" s="852" t="n">
        <v>0</v>
      </c>
      <c r="CI154" s="852" t="n">
        <v>0</v>
      </c>
      <c r="CJ154" s="1101" t="n">
        <v>0</v>
      </c>
      <c r="CK154" s="852" t="n">
        <v>0</v>
      </c>
      <c r="CL154" s="852" t="n">
        <v>0</v>
      </c>
      <c r="CM154" s="852" t="n">
        <v>0</v>
      </c>
      <c r="CN154" s="852" t="n">
        <v>0</v>
      </c>
      <c r="CO154" s="852" t="n">
        <v>0</v>
      </c>
      <c r="CP154" s="852" t="n">
        <v>0</v>
      </c>
      <c r="CQ154" s="1102" t="n">
        <v>0</v>
      </c>
      <c r="CR154" s="1103" t="n">
        <v>0</v>
      </c>
      <c r="CS154" s="1103" t="n">
        <v>0</v>
      </c>
      <c r="CT154" s="1103" t="n">
        <v>0</v>
      </c>
      <c r="CU154" s="1103" t="n">
        <v>0</v>
      </c>
      <c r="CV154" s="1103" t="n">
        <v>0</v>
      </c>
      <c r="CW154" s="1103" t="n">
        <v>0</v>
      </c>
      <c r="CX154" s="1104" t="n">
        <v>0</v>
      </c>
      <c r="CY154" s="1105" t="n">
        <v>7749.30032</v>
      </c>
      <c r="CZ154" s="1099" t="n">
        <v>0</v>
      </c>
      <c r="DA154" s="852" t="n">
        <v>0</v>
      </c>
      <c r="DB154" s="852" t="n">
        <v>0</v>
      </c>
      <c r="DC154" s="852" t="n">
        <v>0</v>
      </c>
      <c r="DD154" s="852" t="n">
        <v>0</v>
      </c>
      <c r="DE154" s="1113" t="n">
        <v>0</v>
      </c>
      <c r="DF154" s="1109" t="n">
        <v>0</v>
      </c>
      <c r="DG154" s="1110" t="n">
        <v>0</v>
      </c>
      <c r="DH154" s="1111" t="n">
        <v>0</v>
      </c>
      <c r="DI154" s="1112" t="n">
        <v>0</v>
      </c>
      <c r="DJ154" s="1112" t="n">
        <v>0</v>
      </c>
      <c r="DK154" s="1112" t="n">
        <v>0</v>
      </c>
      <c r="DL154" s="1113" t="n">
        <v>0</v>
      </c>
      <c r="DM154" s="1114" t="n">
        <v>0</v>
      </c>
      <c r="DN154" s="1114" t="n">
        <v>0</v>
      </c>
      <c r="DO154" s="1114" t="n">
        <v>0</v>
      </c>
      <c r="DP154" s="1114" t="n">
        <v>0</v>
      </c>
      <c r="DQ154" s="1114" t="n">
        <v>0</v>
      </c>
      <c r="DR154" s="1109" t="n">
        <v>0</v>
      </c>
      <c r="DS154" s="852" t="n">
        <v>0</v>
      </c>
      <c r="DT154" s="852" t="n">
        <v>0</v>
      </c>
      <c r="DU154" s="852" t="n">
        <v>0</v>
      </c>
      <c r="DV154" s="852" t="n">
        <v>0</v>
      </c>
      <c r="DW154" s="852" t="n">
        <v>0</v>
      </c>
      <c r="DX154" s="852" t="n">
        <v>0</v>
      </c>
      <c r="DY154" s="852" t="n">
        <v>0</v>
      </c>
      <c r="DZ154" s="852" t="n">
        <v>0</v>
      </c>
      <c r="EA154" s="852" t="n">
        <v>0</v>
      </c>
      <c r="EB154" s="1113" t="n">
        <v>0</v>
      </c>
      <c r="EC154" s="1115" t="n">
        <f aca="false">DS154*BD154</f>
        <v>0</v>
      </c>
      <c r="ED154" s="1115" t="n">
        <f aca="false">DT154*BE154</f>
        <v>0</v>
      </c>
      <c r="EE154" s="1115" t="n">
        <f aca="false">DU154*BF154</f>
        <v>0</v>
      </c>
      <c r="EF154" s="1115" t="n">
        <f aca="false">DV154*BG154</f>
        <v>0</v>
      </c>
      <c r="EG154" s="1115" t="n">
        <f aca="false">DS154*BD154+DT154*BE154+DU154*BF154+DV154*BG154</f>
        <v>0</v>
      </c>
      <c r="EH154" s="1116" t="n">
        <v>0</v>
      </c>
      <c r="EI154" s="1117" t="n">
        <v>0</v>
      </c>
      <c r="EJ154" s="1117" t="n">
        <v>0</v>
      </c>
      <c r="EK154" s="1117" t="n">
        <v>0</v>
      </c>
      <c r="EL154" s="1118" t="n">
        <f aca="false">IF(C154&gt;=Summary!$E$26,MAX(0,SUM(EH154:EK154)),0)</f>
        <v>0</v>
      </c>
      <c r="EM154" s="1115" t="n">
        <f aca="false">IF(C154&gt;=Summary!$E$26,DX154*BL154,0)</f>
        <v>0</v>
      </c>
      <c r="EN154" s="1115" t="n">
        <f aca="false">IF(C154&gt;=Summary!$E$26,DY154*BM154,0)</f>
        <v>0</v>
      </c>
      <c r="EO154" s="1115" t="n">
        <f aca="false">IF(C154&gt;=Summary!$E$26,DZ154*BN154,0)</f>
        <v>0</v>
      </c>
      <c r="EP154" s="1115" t="n">
        <f aca="false">IF(C154&gt;=Summary!$E$26,EA154*BO154,0)</f>
        <v>0</v>
      </c>
      <c r="EQ154" s="1115" t="n">
        <f aca="false">IF(C154&gt;=Summary!$E$26,DX154*BL154+DY154*BM154+DZ154*BN154+EA154*BO154,0)</f>
        <v>0</v>
      </c>
      <c r="ER154" s="1119" t="n">
        <v>0</v>
      </c>
      <c r="ES154" s="1120" t="n">
        <v>0</v>
      </c>
      <c r="ET154" s="1120" t="n">
        <v>0</v>
      </c>
      <c r="EU154" s="1120" t="n">
        <v>0</v>
      </c>
      <c r="EV154" s="1143" t="n">
        <f aca="false">IF(C154&gt;=Summary!$E$26,MAX(0,SUM(ER154:EU154)),0)</f>
        <v>0</v>
      </c>
      <c r="EW154" s="1115"/>
      <c r="EX154" s="1165" t="n">
        <f aca="false">(EQ154-EV154)+IF(EZ154="Yes",(EG154-EL154),0)</f>
        <v>0</v>
      </c>
      <c r="EY154" s="1166" t="str">
        <f aca="false">IF(EX154,EX154/EQ154,"")</f>
        <v/>
      </c>
      <c r="EZ154" s="1122" t="s">
        <v>37</v>
      </c>
      <c r="FA154" s="1096" t="n">
        <f aca="false">FA153</f>
        <v>45</v>
      </c>
      <c r="FB154" s="1167" t="n">
        <f aca="false">IF(EZ154="No",IF((OR(MONTH(C154)=5,MONTH(C154)=6,MONTH(C154)=7,MONTH(C154)=8,MONTH(C154)=9)),$FA154*12*AX154*(1-$BC154),$FA154*10*AX154*(1-$BC154)),0)</f>
        <v>11701.8</v>
      </c>
      <c r="FC154" s="1129" t="n">
        <f aca="false">IF(EZ154="No",IF((OR(MONTH(C154)=5,MONTH(C154)=6,MONTH(C154)=7,MONTH(C154)=8,MONTH(C154)=9)),0,$FA154*3*AX154*(1-$BC154)),0)</f>
        <v>0</v>
      </c>
      <c r="FD154" s="1129" t="n">
        <f aca="false">IF(EZ154="No",IF((OR(MONTH(C154)=5,MONTH(C154)=6,MONTH(C154)=7,MONTH(C154)=8,MONTH(C154)=9)),$FA154*12*AY154*(1-$BC154),$FA154*10*AY154*(1-$BC154)),0)</f>
        <v>2127.6</v>
      </c>
      <c r="FE154" s="1129" t="n">
        <f aca="false">IF(EZ154="No",IF((OR(MONTH(C154)=5,MONTH(C154)=6,MONTH(C154)=7,MONTH(C154)=8,MONTH(C154)=9)),0,$FA154*3*AY154*(1-$BC154)),0)</f>
        <v>0</v>
      </c>
      <c r="FF154" s="1129" t="n">
        <f aca="false">IF(EZ154="No",IF((OR(MONTH(C154)=5,MONTH(C154)=6,MONTH(C154)=7,MONTH(C154)=8,MONTH(C154)=9)),$FA154*12*(AZ154+BA154)*(1-$BC154),$FA154*10*(AZ154+BA154)*(1-$BC154)),0)</f>
        <v>2127.6</v>
      </c>
      <c r="FG154" s="1129" t="n">
        <f aca="false">IF(EZ154="No",IF((OR(MONTH(C154)=5,MONTH(C154)=6,MONTH(C154)=7,MONTH(C154)=8,MONTH(C154)=9)),0,$FA154*3*(AZ154+BA154)*(1-$BC154)),0)</f>
        <v>0</v>
      </c>
      <c r="FH154" s="1170" t="n">
        <f aca="false">IF(EZ154="No",IF((OR(MONTH(C154)=5,MONTH(C154)=6,MONTH(C154)=7,MONTH(C154)=8,MONTH(C154)=9)),Summary!$O$15*12*(AX154+AY154+AZ154+BA154)*(1-$BC154),Summary!$O$15*13*(AX154+AY154+AZ154+BA154)*(1-$BC154)+IF(Summary!$O$16="Yes",(CALC!FA154+Summary!$O$15)*6*(AX154+AY154+AZ154+BA154)*(1-$BC154),0)),0)</f>
        <v>0</v>
      </c>
      <c r="FI154" s="1126" t="n">
        <f aca="false">IF(MONTH(C154)=5,FI153*(IF(Summary!$E$70="no",(1+(Summary!$E$71*0.8)),1+HLOOKUP(YEAR(C154)-1,CCFMODEL!$I$127:$AF$128,2)*0.8)),+FI153)</f>
        <v>35.3608870558082</v>
      </c>
      <c r="FJ154" s="1127" t="n">
        <f aca="false">IF(MONTH(C154)=5,FJ153*(IF(Summary!$E$70="no",(1+(Summary!$E$71*0.8)),1+HLOOKUP(YEAR(CALC!C154)-1,CCFMODEL!$I$127:$AF$128,2)*0.8)),FJ153)</f>
        <v>30.9059721511394</v>
      </c>
      <c r="FK154" s="1128" t="n">
        <f aca="false">SUM(FB154:FG154)*FI154+FH154*FJ154</f>
        <v>564253.674749531</v>
      </c>
      <c r="FL154" s="1126" t="n">
        <f aca="false">IF(MONTH(C154)=5,FL153*(IF(Summary!$E$70="no",(1+(Summary!$E$71*0.8)),1+HLOOKUP(YEAR(CALC!C154)-1,CCFMODEL!$I$127:$AF$128,2)*0.8)),+FL153)</f>
        <v>74.3679098222827</v>
      </c>
      <c r="FM154" s="1127" t="n">
        <f aca="false">IF(MONTH(C154)=5,FM153*(IF(Summary!$E$70="no",(1+(Summary!$E$71*0.8)),1+HLOOKUP(YEAR(CALC!C154)-1,CCFMODEL!$I$127:$AF$128,2)*0.8)),+FM153)</f>
        <v>35.4934738089233</v>
      </c>
      <c r="FN154" s="1128" t="n">
        <f aca="false">IF((OR(MONTH(C154)=5,MONTH(C154)=6,MONTH(C154)=7,MONTH(C154)=8,MONTH(C154)=9)),SUM(FB154:FG154)/(1-BC154)*FL154,SUM(FB154:FG154)/(1-BC154)*FM154)</f>
        <v>1204760.13912098</v>
      </c>
      <c r="FO154" s="1129" t="n">
        <f aca="false">FK154+FN154</f>
        <v>1769013.81387051</v>
      </c>
      <c r="FP154" s="1169" t="n">
        <f aca="false">FB154</f>
        <v>11701.8</v>
      </c>
      <c r="FQ154" s="1129" t="n">
        <f aca="false">FC154</f>
        <v>0</v>
      </c>
      <c r="FR154" s="1129" t="n">
        <f aca="false">FD154</f>
        <v>2127.6</v>
      </c>
      <c r="FS154" s="1129" t="n">
        <f aca="false">FE154</f>
        <v>0</v>
      </c>
      <c r="FT154" s="1129" t="n">
        <f aca="false">FF154</f>
        <v>2127.6</v>
      </c>
      <c r="FU154" s="1129" t="n">
        <f aca="false">FG154</f>
        <v>0</v>
      </c>
      <c r="FV154" s="1170" t="n">
        <f aca="false">FH154</f>
        <v>0</v>
      </c>
      <c r="FW154" s="1115" t="n">
        <f aca="false">IF(ER154&gt;0,MIN(FB154-FP154,BL154),0)</f>
        <v>0</v>
      </c>
      <c r="FX154" s="1115" t="n">
        <f aca="false">IF(ES154&gt;0,MIN(FD154-FR154,BM154),0)</f>
        <v>0</v>
      </c>
      <c r="FY154" s="1115" t="n">
        <f aca="false">IF(ET154&gt;0,MIN(FF154-FT154,BN154),0)</f>
        <v>0</v>
      </c>
      <c r="FZ154" s="1143" t="n">
        <f aca="false">IF(EU154&gt;0,MIN(FH154-FV154,BO154),0)</f>
        <v>0</v>
      </c>
      <c r="GA154" s="1132" t="n">
        <f aca="false">(SUM(FP154:FV154)+SUM(GU154:HB154)/(1-Summary!$O$25))*CY154/1000</f>
        <v>197848.936329984</v>
      </c>
      <c r="GB154" s="1133" t="n">
        <f aca="false">IF($C154&lt;Summary!$M$81,+Summary!$O$81,VLOOKUP(C154,GasTable,19))</f>
        <v>3.07227757557298</v>
      </c>
      <c r="GC154" s="1134" t="n">
        <f aca="false">IF(H154&lt;=Summary!$N$84,MIN(GA154,Summary!$O$75*(H154-G154+1)),0)</f>
        <v>0</v>
      </c>
      <c r="GD154" s="1135" t="n">
        <f aca="false">IF(C154&lt;Summary!$N$84,IF(Summary!$O$75*(H154-G154+1)*0.8&gt;GC154,1,0),0)</f>
        <v>0</v>
      </c>
      <c r="GE154" s="1136" t="n">
        <v>0</v>
      </c>
      <c r="GF154" s="1134" t="n">
        <f aca="false">ABS(MIN(0,GC154-$GA154))</f>
        <v>197848.936329984</v>
      </c>
      <c r="GG154" s="1135" t="n">
        <f aca="false">GF154*(IF(Summary!$O$74=1,VLOOKUP($C154,GasTable,16)+Summary!$O$92+Summary!$O$93,VLOOKUP($C154,GasTable,19)+Summary!$O$92+Summary!$O$93))</f>
        <v>618154.780020368</v>
      </c>
      <c r="GH154" s="1137" t="n">
        <v>4608.41636335947</v>
      </c>
      <c r="GI154" s="1138" t="n">
        <v>0</v>
      </c>
      <c r="GJ154" s="1139" t="n">
        <f aca="false">+GB154*GC154+GE154+GG154+GH154-GI154</f>
        <v>622763.196383727</v>
      </c>
      <c r="GK154" s="1115" t="n">
        <f aca="false">SUM(FP154:FV154,GU154:GX154,GY154:HB154)</f>
        <v>25196.103</v>
      </c>
      <c r="GL154" s="1140" t="n">
        <v>0.51920312144</v>
      </c>
      <c r="GM154" s="1141" t="n">
        <f aca="false">IF(GK154&gt;GC154/(CY154/1000),GC154/(CY154/1000),+GK154)*GL154</f>
        <v>0</v>
      </c>
      <c r="GN154" s="1115" t="n">
        <f aca="false">IF(SUM(GU154:HB154)=0,0,IF(Summary!$O$16="Yes",SUM(GX154:HB154),IF(Summary!$O$17="Yes",SUM(GY154:HB154),SUM(GU154:HB154))))</f>
        <v>9239.103</v>
      </c>
      <c r="GO154" s="1142" t="n">
        <v>3.29381985902785</v>
      </c>
      <c r="GP154" s="1143" t="n">
        <f aca="false">GN154*GO154</f>
        <v>30431.9409410038</v>
      </c>
      <c r="GQ154" s="1115"/>
      <c r="GR154" s="1115"/>
      <c r="GS154" s="1115"/>
      <c r="GT154" s="1115"/>
      <c r="GU154" s="1150" t="n">
        <v>3764.079</v>
      </c>
      <c r="GV154" s="1115" t="n">
        <v>684.378</v>
      </c>
      <c r="GW154" s="1115" t="n">
        <v>684.378</v>
      </c>
      <c r="GX154" s="1115"/>
      <c r="GY154" s="1151" t="n">
        <v>3011.2632</v>
      </c>
      <c r="GZ154" s="1115" t="n">
        <v>547.5024</v>
      </c>
      <c r="HA154" s="1115" t="n">
        <v>547.5024</v>
      </c>
      <c r="HB154" s="1141"/>
      <c r="HC154" s="1115" t="n">
        <v>9239.103</v>
      </c>
      <c r="HD154" s="1115"/>
      <c r="HE154" s="1115" t="n">
        <v>21557.907</v>
      </c>
      <c r="HF154" s="1115" t="n">
        <v>338829.061990445</v>
      </c>
      <c r="HG154" s="1115"/>
      <c r="HH154" s="1142" t="n">
        <v>37.9390965801616</v>
      </c>
      <c r="HI154" s="1115" t="n">
        <v>817887.515739141</v>
      </c>
      <c r="HJ154" s="1150" t="n">
        <f aca="false">MAX(FB154-FP154-FW154,0)</f>
        <v>0</v>
      </c>
      <c r="HK154" s="1115" t="n">
        <f aca="false">MAX(FD154-FR154-FX154,0)</f>
        <v>0</v>
      </c>
      <c r="HL154" s="1115" t="n">
        <f aca="false">MAX(FF154-FT154-FY154,0)</f>
        <v>0</v>
      </c>
      <c r="HM154" s="1141" t="n">
        <f aca="false">MAX(FH154-FV154-FZ154,0)</f>
        <v>0</v>
      </c>
      <c r="HN154" s="1115" t="n">
        <f aca="false">SUM(HJ154:HM154)</f>
        <v>0</v>
      </c>
      <c r="HO154" s="1142" t="n">
        <f aca="false">IF(ISERROR(+HP154/HN154),0,+HP154/HN154)</f>
        <v>0</v>
      </c>
      <c r="HP154" s="1143" t="n">
        <f aca="false">(HJ154*CE154+HK154*CF154+HL154*CG154+HM154*CH154)</f>
        <v>0</v>
      </c>
      <c r="HQ154" s="1142"/>
      <c r="HR154" s="1150"/>
      <c r="HS154" s="1110"/>
      <c r="HT154" s="1141"/>
      <c r="HU154" s="1151"/>
      <c r="HV154" s="1142"/>
      <c r="HW154" s="1115"/>
      <c r="HX154" s="1149"/>
      <c r="HY154" s="1143"/>
      <c r="HZ154" s="1150"/>
      <c r="IA154" s="1142"/>
      <c r="IB154" s="1141"/>
      <c r="IC154" s="1151"/>
      <c r="ID154" s="1142"/>
      <c r="IE154" s="1141"/>
      <c r="IF154" s="1115"/>
      <c r="IG154" s="1142"/>
      <c r="IH154" s="1141"/>
      <c r="II154" s="1115"/>
      <c r="IJ154" s="1142"/>
      <c r="IK154" s="1115"/>
      <c r="IL154" s="1152"/>
      <c r="IM154" s="1192"/>
      <c r="IN154" s="1151"/>
      <c r="IO154" s="1151"/>
      <c r="IP154" s="1151"/>
      <c r="IQ154" s="1151"/>
      <c r="IR154" s="844"/>
    </row>
    <row r="155" customFormat="false" ht="13.5" hidden="false" customHeight="false" outlineLevel="0" collapsed="false">
      <c r="A155" s="0" t="str">
        <f aca="false">+D155&amp;"Q"&amp;ROUNDUP(E155/3,0)</f>
        <v>2011Q3</v>
      </c>
      <c r="B155" s="0" t="n">
        <f aca="false">YEAR(C155)</f>
        <v>2011</v>
      </c>
      <c r="C155" s="1153" t="n">
        <f aca="false">EOMONTH(C154,0)+1</f>
        <v>40725</v>
      </c>
      <c r="D155" s="841" t="n">
        <f aca="false">+YEAR(C155)</f>
        <v>2011</v>
      </c>
      <c r="E155" s="807" t="n">
        <f aca="false">MONTH(C155)</f>
        <v>7</v>
      </c>
      <c r="F155" s="1154" t="e">
        <f aca="false">IF(G155="","",Holiday(D155,E155))</f>
        <v>#VALUE!</v>
      </c>
      <c r="G155" s="1155" t="n">
        <v>40725</v>
      </c>
      <c r="H155" s="1156" t="n">
        <v>40755</v>
      </c>
      <c r="I155" s="1157" t="n">
        <f aca="false">I154</f>
        <v>0.0715</v>
      </c>
      <c r="J155" s="1158" t="n">
        <f aca="false">(1+I155/2)^(-2*(DATE(D156,E156,20)-$H$7)/365.25)</f>
        <v>0.440204602911156</v>
      </c>
      <c r="K155" s="1159"/>
      <c r="L155" s="1158"/>
      <c r="M155" s="1082" t="n">
        <v>0</v>
      </c>
      <c r="N155" s="1110" t="n">
        <f aca="false">M155</f>
        <v>0</v>
      </c>
      <c r="O155" s="1174" t="n">
        <f aca="false">N155</f>
        <v>0</v>
      </c>
      <c r="P155" s="1175" t="n">
        <f aca="false">M155</f>
        <v>0</v>
      </c>
      <c r="Q155" s="1110" t="n">
        <f aca="false">P155</f>
        <v>0</v>
      </c>
      <c r="R155" s="1174" t="n">
        <f aca="false">Q155</f>
        <v>0</v>
      </c>
      <c r="S155" s="1110" t="n">
        <f aca="false">R155</f>
        <v>0</v>
      </c>
      <c r="T155" s="1110" t="n">
        <f aca="false">S155</f>
        <v>0</v>
      </c>
      <c r="U155" s="1110" t="n">
        <f aca="false">T155</f>
        <v>0</v>
      </c>
      <c r="V155" s="1175" t="n">
        <f aca="false">U155</f>
        <v>0</v>
      </c>
      <c r="W155" s="1110" t="n">
        <f aca="false">V155</f>
        <v>0</v>
      </c>
      <c r="X155" s="1176" t="n">
        <f aca="false">W155</f>
        <v>0</v>
      </c>
      <c r="Y155" s="1086" t="n">
        <v>0</v>
      </c>
      <c r="Z155" s="1086" t="n">
        <v>0</v>
      </c>
      <c r="AA155" s="1087" t="n">
        <v>0</v>
      </c>
      <c r="AB155" s="1086" t="n">
        <v>0</v>
      </c>
      <c r="AC155" s="1086" t="n">
        <v>0</v>
      </c>
      <c r="AD155" s="1087" t="n">
        <v>0</v>
      </c>
      <c r="AE155" s="1086" t="n">
        <v>0</v>
      </c>
      <c r="AF155" s="1086" t="n">
        <v>0</v>
      </c>
      <c r="AG155" s="1087" t="n">
        <v>0</v>
      </c>
      <c r="AH155" s="1086" t="n">
        <v>0</v>
      </c>
      <c r="AI155" s="1086" t="n">
        <v>0</v>
      </c>
      <c r="AJ155" s="1087" t="n">
        <v>0</v>
      </c>
      <c r="AK155" s="1086" t="n">
        <v>0</v>
      </c>
      <c r="AL155" s="1086" t="n">
        <v>0</v>
      </c>
      <c r="AM155" s="1087" t="n">
        <v>0</v>
      </c>
      <c r="AN155" s="1086" t="n">
        <v>0</v>
      </c>
      <c r="AO155" s="1086" t="n">
        <v>0</v>
      </c>
      <c r="AP155" s="1087" t="n">
        <v>0</v>
      </c>
      <c r="AQ155" s="1086" t="n">
        <v>0</v>
      </c>
      <c r="AR155" s="1086" t="n">
        <v>0</v>
      </c>
      <c r="AS155" s="1087" t="n">
        <v>0</v>
      </c>
      <c r="AT155" s="1086" t="n">
        <v>0</v>
      </c>
      <c r="AU155" s="1086" t="n">
        <v>0</v>
      </c>
      <c r="AV155" s="1086" t="n">
        <v>0</v>
      </c>
      <c r="AW155" s="1172" t="n">
        <v>0</v>
      </c>
      <c r="AX155" s="807" t="e">
        <f aca="false">BB155-SUM(AY155:BA155)</f>
        <v>#VALUE!</v>
      </c>
      <c r="AY155" s="807" t="e">
        <f aca="false">IF(AND($E155=MONTH(Summary!$E$24),$D155=YEAR(Summary!$E$24)),Summary!$E$25,1)*IF(G155="",0,INT((H155-MOD(H155,7)-G155)/7)+1-IF(BA155,IF(WEEKDAY(F155)=7,1,0),0))</f>
        <v>#VALUE!</v>
      </c>
      <c r="AZ155" s="807" t="e">
        <f aca="false">IF(AND($E155=MONTH(Summary!$E$24),$D155=YEAR(Summary!$E$24)),Summary!$E$25,1)*IF(G155="",0,INT((H155-MOD(H155-1,7)-G155)/7)+1-IF(BA155,IF(WEEKDAY(F155)=1,1,0),0))</f>
        <v>#VALUE!</v>
      </c>
      <c r="BA155" s="807" t="n">
        <v>1</v>
      </c>
      <c r="BB155" s="807" t="n">
        <f aca="false">IF(AND($E155=MONTH(Summary!$E$24),$D155=YEAR(Summary!$E$24)),Summary!$E$25,1)*IF(G155="",0,H155-G155+1)</f>
        <v>31</v>
      </c>
      <c r="BC155" s="1089" t="n">
        <f aca="false">Summary!$E$19</f>
        <v>0.015</v>
      </c>
      <c r="BD155" s="1090" t="n">
        <v>14184</v>
      </c>
      <c r="BE155" s="1091" t="n">
        <v>3546</v>
      </c>
      <c r="BF155" s="1091" t="n">
        <v>4255.2</v>
      </c>
      <c r="BG155" s="842"/>
      <c r="BH155" s="1092" t="n">
        <v>1</v>
      </c>
      <c r="BI155" s="1092" t="n">
        <v>1</v>
      </c>
      <c r="BJ155" s="1092" t="n">
        <v>1</v>
      </c>
      <c r="BK155" s="1092" t="n">
        <v>1</v>
      </c>
      <c r="BL155" s="1093" t="n">
        <v>2836.8</v>
      </c>
      <c r="BM155" s="1091" t="n">
        <v>709.2</v>
      </c>
      <c r="BN155" s="1091" t="n">
        <v>851.04</v>
      </c>
      <c r="BO155" s="842"/>
      <c r="BP155" s="1092" t="n">
        <v>1</v>
      </c>
      <c r="BQ155" s="1094" t="n">
        <v>1</v>
      </c>
      <c r="BR155" s="1094" t="n">
        <v>1</v>
      </c>
      <c r="BS155" s="1095" t="n">
        <v>1</v>
      </c>
      <c r="BT155" s="1093" t="n">
        <f aca="false">SUM(BD155:BF155)</f>
        <v>21985.2</v>
      </c>
      <c r="BU155" s="1098" t="n">
        <f aca="false">SUM(BD155:BG155)</f>
        <v>21985.2</v>
      </c>
      <c r="BV155" s="1090" t="n">
        <f aca="false">SUM(BL155:BN155)</f>
        <v>4397.04</v>
      </c>
      <c r="BW155" s="1098" t="n">
        <f aca="false">SUM(BL155:BO155)</f>
        <v>4397.04</v>
      </c>
      <c r="BX155" s="852" t="n">
        <v>11.5427789185489</v>
      </c>
      <c r="BY155" s="1099" t="n">
        <v>0</v>
      </c>
      <c r="BZ155" s="852" t="n">
        <v>0</v>
      </c>
      <c r="CA155" s="852" t="n">
        <v>0</v>
      </c>
      <c r="CB155" s="852" t="n">
        <v>0</v>
      </c>
      <c r="CC155" s="852" t="n">
        <v>0</v>
      </c>
      <c r="CD155" s="852" t="n">
        <v>0</v>
      </c>
      <c r="CE155" s="1100" t="n">
        <v>0</v>
      </c>
      <c r="CF155" s="852" t="n">
        <v>0</v>
      </c>
      <c r="CG155" s="852" t="n">
        <v>0</v>
      </c>
      <c r="CH155" s="852" t="n">
        <v>0</v>
      </c>
      <c r="CI155" s="852" t="n">
        <v>0</v>
      </c>
      <c r="CJ155" s="1101" t="n">
        <v>0</v>
      </c>
      <c r="CK155" s="852" t="n">
        <v>0</v>
      </c>
      <c r="CL155" s="852" t="n">
        <v>0</v>
      </c>
      <c r="CM155" s="852" t="n">
        <v>0</v>
      </c>
      <c r="CN155" s="852" t="n">
        <v>0</v>
      </c>
      <c r="CO155" s="852" t="n">
        <v>0</v>
      </c>
      <c r="CP155" s="852" t="n">
        <v>0</v>
      </c>
      <c r="CQ155" s="1102" t="n">
        <v>0</v>
      </c>
      <c r="CR155" s="1103" t="n">
        <v>0</v>
      </c>
      <c r="CS155" s="1103" t="n">
        <v>0</v>
      </c>
      <c r="CT155" s="1103" t="n">
        <v>0</v>
      </c>
      <c r="CU155" s="1103" t="n">
        <v>0</v>
      </c>
      <c r="CV155" s="1103" t="n">
        <v>0</v>
      </c>
      <c r="CW155" s="1103" t="n">
        <v>0</v>
      </c>
      <c r="CX155" s="1104" t="n">
        <v>0</v>
      </c>
      <c r="CY155" s="1105" t="n">
        <v>7751.33128</v>
      </c>
      <c r="CZ155" s="1099" t="n">
        <v>0</v>
      </c>
      <c r="DA155" s="852" t="n">
        <v>0</v>
      </c>
      <c r="DB155" s="852" t="n">
        <v>0</v>
      </c>
      <c r="DC155" s="852" t="n">
        <v>0</v>
      </c>
      <c r="DD155" s="852" t="n">
        <v>0</v>
      </c>
      <c r="DE155" s="1113" t="n">
        <v>0</v>
      </c>
      <c r="DF155" s="1109" t="n">
        <v>0</v>
      </c>
      <c r="DG155" s="1110" t="n">
        <v>0</v>
      </c>
      <c r="DH155" s="1111" t="n">
        <v>0</v>
      </c>
      <c r="DI155" s="1112" t="n">
        <v>0</v>
      </c>
      <c r="DJ155" s="1112" t="n">
        <v>0</v>
      </c>
      <c r="DK155" s="1112" t="n">
        <v>0</v>
      </c>
      <c r="DL155" s="1113" t="n">
        <v>0</v>
      </c>
      <c r="DM155" s="1114" t="n">
        <v>0</v>
      </c>
      <c r="DN155" s="1114" t="n">
        <v>0</v>
      </c>
      <c r="DO155" s="1114" t="n">
        <v>0</v>
      </c>
      <c r="DP155" s="1114" t="n">
        <v>0</v>
      </c>
      <c r="DQ155" s="1114" t="n">
        <v>0</v>
      </c>
      <c r="DR155" s="1109" t="n">
        <v>0</v>
      </c>
      <c r="DS155" s="852" t="n">
        <v>0</v>
      </c>
      <c r="DT155" s="852" t="n">
        <v>0</v>
      </c>
      <c r="DU155" s="852" t="n">
        <v>0</v>
      </c>
      <c r="DV155" s="852" t="n">
        <v>0</v>
      </c>
      <c r="DW155" s="852" t="n">
        <v>0</v>
      </c>
      <c r="DX155" s="852" t="n">
        <v>0</v>
      </c>
      <c r="DY155" s="852" t="n">
        <v>0</v>
      </c>
      <c r="DZ155" s="852" t="n">
        <v>0</v>
      </c>
      <c r="EA155" s="852" t="n">
        <v>0</v>
      </c>
      <c r="EB155" s="1113" t="n">
        <v>0</v>
      </c>
      <c r="EC155" s="1115" t="n">
        <f aca="false">DS155*BD155</f>
        <v>0</v>
      </c>
      <c r="ED155" s="1115" t="n">
        <f aca="false">DT155*BE155</f>
        <v>0</v>
      </c>
      <c r="EE155" s="1115" t="n">
        <f aca="false">DU155*BF155</f>
        <v>0</v>
      </c>
      <c r="EF155" s="1115" t="n">
        <f aca="false">DV155*BG155</f>
        <v>0</v>
      </c>
      <c r="EG155" s="1115" t="n">
        <f aca="false">DS155*BD155+DT155*BE155+DU155*BF155+DV155*BG155</f>
        <v>0</v>
      </c>
      <c r="EH155" s="1116" t="n">
        <v>0</v>
      </c>
      <c r="EI155" s="1117" t="n">
        <v>0</v>
      </c>
      <c r="EJ155" s="1117" t="n">
        <v>0</v>
      </c>
      <c r="EK155" s="1117" t="n">
        <v>0</v>
      </c>
      <c r="EL155" s="1118" t="n">
        <f aca="false">IF(C155&gt;=Summary!$E$26,MAX(0,SUM(EH155:EK155)),0)</f>
        <v>0</v>
      </c>
      <c r="EM155" s="1115" t="n">
        <f aca="false">IF(C155&gt;=Summary!$E$26,DX155*BL155,0)</f>
        <v>0</v>
      </c>
      <c r="EN155" s="1115" t="n">
        <f aca="false">IF(C155&gt;=Summary!$E$26,DY155*BM155,0)</f>
        <v>0</v>
      </c>
      <c r="EO155" s="1115" t="n">
        <f aca="false">IF(C155&gt;=Summary!$E$26,DZ155*BN155,0)</f>
        <v>0</v>
      </c>
      <c r="EP155" s="1115" t="n">
        <f aca="false">IF(C155&gt;=Summary!$E$26,EA155*BO155,0)</f>
        <v>0</v>
      </c>
      <c r="EQ155" s="1115" t="n">
        <f aca="false">IF(C155&gt;=Summary!$E$26,DX155*BL155+DY155*BM155+DZ155*BN155+EA155*BO155,0)</f>
        <v>0</v>
      </c>
      <c r="ER155" s="1119" t="n">
        <v>0</v>
      </c>
      <c r="ES155" s="1120" t="n">
        <v>0</v>
      </c>
      <c r="ET155" s="1120" t="n">
        <v>0</v>
      </c>
      <c r="EU155" s="1120" t="n">
        <v>0</v>
      </c>
      <c r="EV155" s="1143" t="n">
        <f aca="false">IF(C155&gt;=Summary!$E$26,MAX(0,SUM(ER155:EU155)),0)</f>
        <v>0</v>
      </c>
      <c r="EW155" s="1115"/>
      <c r="EX155" s="1165" t="n">
        <f aca="false">(EQ155-EV155)+IF(EZ155="Yes",(EG155-EL155),0)</f>
        <v>0</v>
      </c>
      <c r="EY155" s="1166" t="str">
        <f aca="false">IF(EX155,EX155/EQ155,"")</f>
        <v/>
      </c>
      <c r="EZ155" s="1122" t="s">
        <v>37</v>
      </c>
      <c r="FA155" s="1096" t="n">
        <f aca="false">FA154</f>
        <v>45</v>
      </c>
      <c r="FB155" s="1167" t="e">
        <f aca="false">IF(EZ155="No",IF((OR(MONTH(C155)=5,MONTH(C155)=6,MONTH(C155)=7,MONTH(C155)=8,MONTH(C155)=9)),$FA155*12*AX155*(1-$BC155),$FA155*10*AX155*(1-$BC155)),0)</f>
        <v>#VALUE!</v>
      </c>
      <c r="FC155" s="1129" t="n">
        <f aca="false">IF(EZ155="No",IF((OR(MONTH(C155)=5,MONTH(C155)=6,MONTH(C155)=7,MONTH(C155)=8,MONTH(C155)=9)),0,$FA155*3*AX155*(1-$BC155)),0)</f>
        <v>0</v>
      </c>
      <c r="FD155" s="1129" t="e">
        <f aca="false">IF(EZ155="No",IF((OR(MONTH(C155)=5,MONTH(C155)=6,MONTH(C155)=7,MONTH(C155)=8,MONTH(C155)=9)),$FA155*12*AY155*(1-$BC155),$FA155*10*AY155*(1-$BC155)),0)</f>
        <v>#VALUE!</v>
      </c>
      <c r="FE155" s="1129" t="n">
        <f aca="false">IF(EZ155="No",IF((OR(MONTH(C155)=5,MONTH(C155)=6,MONTH(C155)=7,MONTH(C155)=8,MONTH(C155)=9)),0,$FA155*3*AY155*(1-$BC155)),0)</f>
        <v>0</v>
      </c>
      <c r="FF155" s="1129" t="e">
        <f aca="false">IF(EZ155="No",IF((OR(MONTH(C155)=5,MONTH(C155)=6,MONTH(C155)=7,MONTH(C155)=8,MONTH(C155)=9)),$FA155*12*(AZ155+BA155)*(1-$BC155),$FA155*10*(AZ155+BA155)*(1-$BC155)),0)</f>
        <v>#VALUE!</v>
      </c>
      <c r="FG155" s="1129" t="n">
        <f aca="false">IF(EZ155="No",IF((OR(MONTH(C155)=5,MONTH(C155)=6,MONTH(C155)=7,MONTH(C155)=8,MONTH(C155)=9)),0,$FA155*3*(AZ155+BA155)*(1-$BC155)),0)</f>
        <v>0</v>
      </c>
      <c r="FH155" s="1170" t="e">
        <f aca="false">IF(EZ155="No",IF((OR(MONTH(C155)=5,MONTH(C155)=6,MONTH(C155)=7,MONTH(C155)=8,MONTH(C155)=9)),Summary!$O$15*12*(AX155+AY155+AZ155+BA155)*(1-$BC155),Summary!$O$15*13*(AX155+AY155+AZ155+BA155)*(1-$BC155)+IF(Summary!$O$16="Yes",(CALC!FA155+Summary!$O$15)*6*(AX155+AY155+AZ155+BA155)*(1-$BC155),0)),0)</f>
        <v>#VALUE!</v>
      </c>
      <c r="FI155" s="1126" t="n">
        <f aca="false">IF(MONTH(C155)=5,FI154*(IF(Summary!$E$70="no",(1+(Summary!$E$71*0.8)),1+HLOOKUP(YEAR(C155)-1,CCFMODEL!$I$127:$AF$128,2)*0.8)),+FI154)</f>
        <v>35.3608870558082</v>
      </c>
      <c r="FJ155" s="1127" t="n">
        <f aca="false">IF(MONTH(C155)=5,FJ154*(IF(Summary!$E$70="no",(1+(Summary!$E$71*0.8)),1+HLOOKUP(YEAR(CALC!C155)-1,CCFMODEL!$I$127:$AF$128,2)*0.8)),FJ154)</f>
        <v>30.9059721511394</v>
      </c>
      <c r="FK155" s="1128" t="e">
        <f aca="false">SUM(FB155:FG155)*FI155+FH155*FJ155</f>
        <v>#VALUE!</v>
      </c>
      <c r="FL155" s="1126" t="n">
        <f aca="false">IF(MONTH(C155)=5,FL154*(IF(Summary!$E$70="no",(1+(Summary!$E$71*0.8)),1+HLOOKUP(YEAR(CALC!C155)-1,CCFMODEL!$I$127:$AF$128,2)*0.8)),+FL154)</f>
        <v>74.3679098222827</v>
      </c>
      <c r="FM155" s="1127" t="n">
        <f aca="false">IF(MONTH(C155)=5,FM154*(IF(Summary!$E$70="no",(1+(Summary!$E$71*0.8)),1+HLOOKUP(YEAR(CALC!C155)-1,CCFMODEL!$I$127:$AF$128,2)*0.8)),+FM154)</f>
        <v>35.4934738089233</v>
      </c>
      <c r="FN155" s="1128" t="e">
        <f aca="false">IF((OR(MONTH(C155)=5,MONTH(C155)=6,MONTH(C155)=7,MONTH(C155)=8,MONTH(C155)=9)),SUM(FB155:FG155)/(1-BC155)*FL155,SUM(FB155:FG155)/(1-BC155)*FM155)</f>
        <v>#VALUE!</v>
      </c>
      <c r="FO155" s="1129" t="e">
        <f aca="false">FK155+FN155</f>
        <v>#VALUE!</v>
      </c>
      <c r="FP155" s="1169" t="e">
        <f aca="false">FB155</f>
        <v>#VALUE!</v>
      </c>
      <c r="FQ155" s="1129" t="n">
        <f aca="false">FC155</f>
        <v>0</v>
      </c>
      <c r="FR155" s="1129" t="e">
        <f aca="false">FD155</f>
        <v>#VALUE!</v>
      </c>
      <c r="FS155" s="1129" t="n">
        <f aca="false">FE155</f>
        <v>0</v>
      </c>
      <c r="FT155" s="1129" t="e">
        <f aca="false">FF155</f>
        <v>#VALUE!</v>
      </c>
      <c r="FU155" s="1129" t="n">
        <f aca="false">FG155</f>
        <v>0</v>
      </c>
      <c r="FV155" s="1170" t="e">
        <f aca="false">FH155</f>
        <v>#VALUE!</v>
      </c>
      <c r="FW155" s="1115" t="n">
        <f aca="false">IF(ER155&gt;0,MIN(FB155-FP155,BL155),0)</f>
        <v>0</v>
      </c>
      <c r="FX155" s="1115" t="n">
        <f aca="false">IF(ES155&gt;0,MIN(FD155-FR155,BM155),0)</f>
        <v>0</v>
      </c>
      <c r="FY155" s="1115" t="n">
        <f aca="false">IF(ET155&gt;0,MIN(FF155-FT155,BN155),0)</f>
        <v>0</v>
      </c>
      <c r="FZ155" s="1143" t="n">
        <f aca="false">IF(EU155&gt;0,MIN(FH155-FV155,BO155),0)</f>
        <v>0</v>
      </c>
      <c r="GA155" s="1132" t="e">
        <f aca="false">(SUM(FP155:FV155)+SUM(GU155:HB155)/(1-Summary!$O$25))*CY155/1000</f>
        <v>#VALUE!</v>
      </c>
      <c r="GB155" s="1133" t="n">
        <f aca="false">IF($C155&lt;Summary!$M$81,+Summary!$O$81,VLOOKUP(C155,GasTable,19))</f>
        <v>3.15613874194806</v>
      </c>
      <c r="GC155" s="1134" t="n">
        <f aca="false">IF(H155&lt;=Summary!$N$84,MIN(GA155,Summary!$O$75*(H155-G155+1)),0)</f>
        <v>0</v>
      </c>
      <c r="GD155" s="1135" t="n">
        <f aca="false">IF(C155&lt;Summary!$N$84,IF(Summary!$O$75*(H155-G155+1)*0.8&gt;GC155,1,0),0)</f>
        <v>0</v>
      </c>
      <c r="GE155" s="1136" t="n">
        <v>0</v>
      </c>
      <c r="GF155" s="1134" t="e">
        <f aca="false">ABS(MIN(0,GC155-$GA155))</f>
        <v>#VALUE!</v>
      </c>
      <c r="GG155" s="1135" t="e">
        <f aca="false">GF155*(IF(Summary!$O$74=1,VLOOKUP($C155,GasTable,16)+Summary!$O$92+Summary!$O$93,VLOOKUP($C155,GasTable,19)+Summary!$O$92+Summary!$O$93))</f>
        <v>#VALUE!</v>
      </c>
      <c r="GH155" s="1137" t="n">
        <v>4892.01505001949</v>
      </c>
      <c r="GI155" s="1138" t="n">
        <v>0</v>
      </c>
      <c r="GJ155" s="1139" t="e">
        <f aca="false">+GB155*GC155+GE155+GG155+GH155-GI155</f>
        <v>#VALUE!</v>
      </c>
      <c r="GK155" s="1115" t="e">
        <f aca="false">SUM(FP155:FV155,GU155:GX155,GY155:HB155)</f>
        <v>#VALUE!</v>
      </c>
      <c r="GL155" s="1140" t="n">
        <v>0.51933919576</v>
      </c>
      <c r="GM155" s="1141" t="e">
        <f aca="false">IF(GK155&gt;GC155/(CY155/1000),GC155/(CY155/1000),+GK155)*GL155</f>
        <v>#VALUE!</v>
      </c>
      <c r="GN155" s="1115" t="n">
        <f aca="false">IF(SUM(GU155:HB155)=0,0,IF(Summary!$O$16="Yes",SUM(GX155:HB155),IF(Summary!$O$17="Yes",SUM(GY155:HB155),SUM(GU155:HB155))))</f>
        <v>9547.0731</v>
      </c>
      <c r="GO155" s="1142" t="n">
        <v>3.29381985902785</v>
      </c>
      <c r="GP155" s="1143" t="n">
        <f aca="false">GN155*GO155</f>
        <v>31446.3389723706</v>
      </c>
      <c r="GQ155" s="1115"/>
      <c r="GR155" s="1115"/>
      <c r="GS155" s="1115"/>
      <c r="GT155" s="1115"/>
      <c r="GU155" s="1150" t="n">
        <v>3421.89</v>
      </c>
      <c r="GV155" s="1115" t="n">
        <v>855.4725</v>
      </c>
      <c r="GW155" s="1115" t="n">
        <v>1026.567</v>
      </c>
      <c r="GX155" s="1115"/>
      <c r="GY155" s="1151" t="n">
        <v>2737.512</v>
      </c>
      <c r="GZ155" s="1115" t="n">
        <v>684.378</v>
      </c>
      <c r="HA155" s="1115" t="n">
        <v>821.2536</v>
      </c>
      <c r="HB155" s="1141"/>
      <c r="HC155" s="1115" t="n">
        <v>9547.0731</v>
      </c>
      <c r="HD155" s="1115"/>
      <c r="HE155" s="1115" t="n">
        <v>22276.5039</v>
      </c>
      <c r="HF155" s="1115" t="n">
        <v>473902.20874748</v>
      </c>
      <c r="HG155" s="1115"/>
      <c r="HH155" s="1142" t="n">
        <v>52.5659080793896</v>
      </c>
      <c r="HI155" s="1115" t="n">
        <v>1170984.65633756</v>
      </c>
      <c r="HJ155" s="1150" t="e">
        <f aca="false">MAX(FB155-FP155-FW155,0)</f>
        <v>#VALUE!</v>
      </c>
      <c r="HK155" s="1115" t="e">
        <f aca="false">MAX(FD155-FR155-FX155,0)</f>
        <v>#VALUE!</v>
      </c>
      <c r="HL155" s="1115" t="e">
        <f aca="false">MAX(FF155-FT155-FY155,0)</f>
        <v>#VALUE!</v>
      </c>
      <c r="HM155" s="1141" t="e">
        <f aca="false">MAX(FH155-FV155-FZ155,0)</f>
        <v>#VALUE!</v>
      </c>
      <c r="HN155" s="1115" t="e">
        <f aca="false">SUM(HJ155:HM155)</f>
        <v>#VALUE!</v>
      </c>
      <c r="HO155" s="1142" t="n">
        <f aca="false">IF(ISERROR(+HP155/HN155),0,+HP155/HN155)</f>
        <v>0</v>
      </c>
      <c r="HP155" s="1143" t="e">
        <f aca="false">(HJ155*CE155+HK155*CF155+HL155*CG155+HM155*CH155)</f>
        <v>#VALUE!</v>
      </c>
      <c r="HQ155" s="1142"/>
      <c r="HR155" s="1150"/>
      <c r="HS155" s="1110"/>
      <c r="HT155" s="1141"/>
      <c r="HU155" s="1151"/>
      <c r="HV155" s="1142"/>
      <c r="HW155" s="1115"/>
      <c r="HX155" s="1149"/>
      <c r="HY155" s="1143"/>
      <c r="HZ155" s="1150"/>
      <c r="IA155" s="1142"/>
      <c r="IB155" s="1141"/>
      <c r="IC155" s="1151"/>
      <c r="ID155" s="1142"/>
      <c r="IE155" s="1141"/>
      <c r="IF155" s="1115"/>
      <c r="IG155" s="1142"/>
      <c r="IH155" s="1141"/>
      <c r="II155" s="1115"/>
      <c r="IJ155" s="1142"/>
      <c r="IK155" s="1115"/>
      <c r="IL155" s="1152"/>
      <c r="IM155" s="1192"/>
      <c r="IN155" s="1151"/>
      <c r="IO155" s="1151"/>
      <c r="IP155" s="1151"/>
      <c r="IQ155" s="1151"/>
      <c r="IR155" s="844"/>
    </row>
    <row r="156" customFormat="false" ht="13.5" hidden="false" customHeight="false" outlineLevel="0" collapsed="false">
      <c r="A156" s="0" t="str">
        <f aca="false">+D156&amp;"Q"&amp;ROUNDUP(E156/3,0)</f>
        <v>2011Q3</v>
      </c>
      <c r="B156" s="0" t="n">
        <f aca="false">YEAR(C156)</f>
        <v>2011</v>
      </c>
      <c r="C156" s="1153" t="n">
        <f aca="false">EOMONTH(C155,0)+1</f>
        <v>40756</v>
      </c>
      <c r="D156" s="841" t="n">
        <f aca="false">+YEAR(C156)</f>
        <v>2011</v>
      </c>
      <c r="E156" s="807" t="n">
        <f aca="false">MONTH(C156)</f>
        <v>8</v>
      </c>
      <c r="F156" s="1154" t="e">
        <f aca="false">IF(G156="","",Holiday(D156,E156))</f>
        <v>#VALUE!</v>
      </c>
      <c r="G156" s="1155" t="n">
        <v>40756</v>
      </c>
      <c r="H156" s="1156" t="n">
        <v>40786</v>
      </c>
      <c r="I156" s="1157" t="n">
        <f aca="false">I155</f>
        <v>0.0715</v>
      </c>
      <c r="J156" s="1158" t="n">
        <f aca="false">(1+I156/2)^(-2*(DATE(D157,E157,20)-$H$7)/365.25)</f>
        <v>0.437587696460105</v>
      </c>
      <c r="K156" s="1159"/>
      <c r="L156" s="1158"/>
      <c r="M156" s="1082" t="n">
        <v>0</v>
      </c>
      <c r="N156" s="1110" t="n">
        <f aca="false">M156</f>
        <v>0</v>
      </c>
      <c r="O156" s="1174" t="n">
        <f aca="false">N156</f>
        <v>0</v>
      </c>
      <c r="P156" s="1175" t="n">
        <f aca="false">M156</f>
        <v>0</v>
      </c>
      <c r="Q156" s="1110" t="n">
        <f aca="false">P156</f>
        <v>0</v>
      </c>
      <c r="R156" s="1174" t="n">
        <f aca="false">Q156</f>
        <v>0</v>
      </c>
      <c r="S156" s="1110" t="n">
        <f aca="false">R156</f>
        <v>0</v>
      </c>
      <c r="T156" s="1110" t="n">
        <f aca="false">S156</f>
        <v>0</v>
      </c>
      <c r="U156" s="1110" t="n">
        <f aca="false">T156</f>
        <v>0</v>
      </c>
      <c r="V156" s="1175" t="n">
        <f aca="false">U156</f>
        <v>0</v>
      </c>
      <c r="W156" s="1110" t="n">
        <f aca="false">V156</f>
        <v>0</v>
      </c>
      <c r="X156" s="1176" t="n">
        <f aca="false">W156</f>
        <v>0</v>
      </c>
      <c r="Y156" s="1086" t="n">
        <v>0</v>
      </c>
      <c r="Z156" s="1086" t="n">
        <v>0</v>
      </c>
      <c r="AA156" s="1087" t="n">
        <v>0</v>
      </c>
      <c r="AB156" s="1086" t="n">
        <v>0</v>
      </c>
      <c r="AC156" s="1086" t="n">
        <v>0</v>
      </c>
      <c r="AD156" s="1087" t="n">
        <v>0</v>
      </c>
      <c r="AE156" s="1086" t="n">
        <v>0</v>
      </c>
      <c r="AF156" s="1086" t="n">
        <v>0</v>
      </c>
      <c r="AG156" s="1087" t="n">
        <v>0</v>
      </c>
      <c r="AH156" s="1086" t="n">
        <v>0</v>
      </c>
      <c r="AI156" s="1086" t="n">
        <v>0</v>
      </c>
      <c r="AJ156" s="1087" t="n">
        <v>0</v>
      </c>
      <c r="AK156" s="1086" t="n">
        <v>0</v>
      </c>
      <c r="AL156" s="1086" t="n">
        <v>0</v>
      </c>
      <c r="AM156" s="1087" t="n">
        <v>0</v>
      </c>
      <c r="AN156" s="1086" t="n">
        <v>0</v>
      </c>
      <c r="AO156" s="1086" t="n">
        <v>0</v>
      </c>
      <c r="AP156" s="1087" t="n">
        <v>0</v>
      </c>
      <c r="AQ156" s="1086" t="n">
        <v>0</v>
      </c>
      <c r="AR156" s="1086" t="n">
        <v>0</v>
      </c>
      <c r="AS156" s="1087" t="n">
        <v>0</v>
      </c>
      <c r="AT156" s="1086" t="n">
        <v>0</v>
      </c>
      <c r="AU156" s="1086" t="n">
        <v>0</v>
      </c>
      <c r="AV156" s="1086" t="n">
        <v>0</v>
      </c>
      <c r="AW156" s="1172" t="n">
        <v>0</v>
      </c>
      <c r="AX156" s="807" t="n">
        <f aca="false">BB156-SUM(AY156:BA156)</f>
        <v>23</v>
      </c>
      <c r="AY156" s="807" t="n">
        <f aca="false">IF(AND($E156=MONTH(Summary!$E$24),$D156=YEAR(Summary!$E$24)),Summary!$E$25,1)*IF(G156="",0,INT((H156-MOD(H156,7)-G156)/7)+1-IF(BA156,IF(WEEKDAY(F156)=7,1,0),0))</f>
        <v>4</v>
      </c>
      <c r="AZ156" s="807" t="n">
        <f aca="false">IF(AND($E156=MONTH(Summary!$E$24),$D156=YEAR(Summary!$E$24)),Summary!$E$25,1)*IF(G156="",0,INT((H156-MOD(H156-1,7)-G156)/7)+1-IF(BA156,IF(WEEKDAY(F156)=1,1,0),0))</f>
        <v>4</v>
      </c>
      <c r="BA156" s="807" t="n">
        <v>0</v>
      </c>
      <c r="BB156" s="807" t="n">
        <f aca="false">IF(AND($E156=MONTH(Summary!$E$24),$D156=YEAR(Summary!$E$24)),Summary!$E$25,1)*IF(G156="",0,H156-G156+1)</f>
        <v>31</v>
      </c>
      <c r="BC156" s="1089" t="n">
        <f aca="false">Summary!$E$19</f>
        <v>0.015</v>
      </c>
      <c r="BD156" s="1090" t="n">
        <v>16311.6</v>
      </c>
      <c r="BE156" s="1091" t="n">
        <v>2836.8</v>
      </c>
      <c r="BF156" s="1091" t="n">
        <v>2836.8</v>
      </c>
      <c r="BG156" s="842"/>
      <c r="BH156" s="1092" t="n">
        <v>1</v>
      </c>
      <c r="BI156" s="1092" t="n">
        <v>1</v>
      </c>
      <c r="BJ156" s="1092" t="n">
        <v>1</v>
      </c>
      <c r="BK156" s="1092" t="n">
        <v>1</v>
      </c>
      <c r="BL156" s="1093" t="n">
        <v>3262.32</v>
      </c>
      <c r="BM156" s="1091" t="n">
        <v>567.36</v>
      </c>
      <c r="BN156" s="1091" t="n">
        <v>567.36</v>
      </c>
      <c r="BO156" s="842"/>
      <c r="BP156" s="1092" t="n">
        <v>1</v>
      </c>
      <c r="BQ156" s="1094" t="n">
        <v>1</v>
      </c>
      <c r="BR156" s="1094" t="n">
        <v>1</v>
      </c>
      <c r="BS156" s="1095" t="n">
        <v>1</v>
      </c>
      <c r="BT156" s="1093" t="n">
        <f aca="false">SUM(BD156:BF156)</f>
        <v>21985.2</v>
      </c>
      <c r="BU156" s="1098" t="n">
        <f aca="false">SUM(BD156:BG156)</f>
        <v>21985.2</v>
      </c>
      <c r="BV156" s="1090" t="n">
        <f aca="false">SUM(BL156:BN156)</f>
        <v>4397.04</v>
      </c>
      <c r="BW156" s="1098" t="n">
        <f aca="false">SUM(BL156:BO156)</f>
        <v>4397.04</v>
      </c>
      <c r="BX156" s="852" t="n">
        <v>11.62765229295</v>
      </c>
      <c r="BY156" s="1099" t="n">
        <v>0</v>
      </c>
      <c r="BZ156" s="852" t="n">
        <v>0</v>
      </c>
      <c r="CA156" s="852" t="n">
        <v>0</v>
      </c>
      <c r="CB156" s="852" t="n">
        <v>0</v>
      </c>
      <c r="CC156" s="852" t="n">
        <v>0</v>
      </c>
      <c r="CD156" s="852" t="n">
        <v>0</v>
      </c>
      <c r="CE156" s="1100" t="n">
        <v>0</v>
      </c>
      <c r="CF156" s="852" t="n">
        <v>0</v>
      </c>
      <c r="CG156" s="852" t="n">
        <v>0</v>
      </c>
      <c r="CH156" s="852" t="n">
        <v>0</v>
      </c>
      <c r="CI156" s="852" t="n">
        <v>0</v>
      </c>
      <c r="CJ156" s="1101" t="n">
        <v>0</v>
      </c>
      <c r="CK156" s="852" t="n">
        <v>0</v>
      </c>
      <c r="CL156" s="852" t="n">
        <v>0</v>
      </c>
      <c r="CM156" s="852" t="n">
        <v>0</v>
      </c>
      <c r="CN156" s="852" t="n">
        <v>0</v>
      </c>
      <c r="CO156" s="852" t="n">
        <v>0</v>
      </c>
      <c r="CP156" s="852" t="n">
        <v>0</v>
      </c>
      <c r="CQ156" s="1102" t="n">
        <v>0</v>
      </c>
      <c r="CR156" s="1103" t="n">
        <v>0</v>
      </c>
      <c r="CS156" s="1103" t="n">
        <v>0</v>
      </c>
      <c r="CT156" s="1103" t="n">
        <v>0</v>
      </c>
      <c r="CU156" s="1103" t="n">
        <v>0</v>
      </c>
      <c r="CV156" s="1103" t="n">
        <v>0</v>
      </c>
      <c r="CW156" s="1103" t="n">
        <v>0</v>
      </c>
      <c r="CX156" s="1104" t="n">
        <v>0</v>
      </c>
      <c r="CY156" s="1105" t="n">
        <v>7753.36224</v>
      </c>
      <c r="CZ156" s="1099" t="n">
        <v>0</v>
      </c>
      <c r="DA156" s="852" t="n">
        <v>0</v>
      </c>
      <c r="DB156" s="852" t="n">
        <v>0</v>
      </c>
      <c r="DC156" s="852" t="n">
        <v>0</v>
      </c>
      <c r="DD156" s="852" t="n">
        <v>0</v>
      </c>
      <c r="DE156" s="1113" t="n">
        <v>0</v>
      </c>
      <c r="DF156" s="1109" t="n">
        <v>0</v>
      </c>
      <c r="DG156" s="1110" t="n">
        <v>0</v>
      </c>
      <c r="DH156" s="1111" t="n">
        <v>0</v>
      </c>
      <c r="DI156" s="1112" t="n">
        <v>0</v>
      </c>
      <c r="DJ156" s="1112" t="n">
        <v>0</v>
      </c>
      <c r="DK156" s="1112" t="n">
        <v>0</v>
      </c>
      <c r="DL156" s="1113" t="n">
        <v>0</v>
      </c>
      <c r="DM156" s="1114" t="n">
        <v>0</v>
      </c>
      <c r="DN156" s="1114" t="n">
        <v>0</v>
      </c>
      <c r="DO156" s="1114" t="n">
        <v>0</v>
      </c>
      <c r="DP156" s="1114" t="n">
        <v>0</v>
      </c>
      <c r="DQ156" s="1114" t="n">
        <v>0</v>
      </c>
      <c r="DR156" s="1109" t="n">
        <v>0</v>
      </c>
      <c r="DS156" s="852" t="n">
        <v>0</v>
      </c>
      <c r="DT156" s="852" t="n">
        <v>0</v>
      </c>
      <c r="DU156" s="852" t="n">
        <v>0</v>
      </c>
      <c r="DV156" s="852" t="n">
        <v>0</v>
      </c>
      <c r="DW156" s="852" t="n">
        <v>0</v>
      </c>
      <c r="DX156" s="852" t="n">
        <v>0</v>
      </c>
      <c r="DY156" s="852" t="n">
        <v>0</v>
      </c>
      <c r="DZ156" s="852" t="n">
        <v>0</v>
      </c>
      <c r="EA156" s="852" t="n">
        <v>0</v>
      </c>
      <c r="EB156" s="1113" t="n">
        <v>0</v>
      </c>
      <c r="EC156" s="1115" t="n">
        <f aca="false">DS156*BD156</f>
        <v>0</v>
      </c>
      <c r="ED156" s="1115" t="n">
        <f aca="false">DT156*BE156</f>
        <v>0</v>
      </c>
      <c r="EE156" s="1115" t="n">
        <f aca="false">DU156*BF156</f>
        <v>0</v>
      </c>
      <c r="EF156" s="1115" t="n">
        <f aca="false">DV156*BG156</f>
        <v>0</v>
      </c>
      <c r="EG156" s="1115" t="n">
        <f aca="false">DS156*BD156+DT156*BE156+DU156*BF156+DV156*BG156</f>
        <v>0</v>
      </c>
      <c r="EH156" s="1116" t="n">
        <v>0</v>
      </c>
      <c r="EI156" s="1117" t="n">
        <v>0</v>
      </c>
      <c r="EJ156" s="1117" t="n">
        <v>0</v>
      </c>
      <c r="EK156" s="1117" t="n">
        <v>0</v>
      </c>
      <c r="EL156" s="1118" t="n">
        <f aca="false">IF(C156&gt;=Summary!$E$26,MAX(0,SUM(EH156:EK156)),0)</f>
        <v>0</v>
      </c>
      <c r="EM156" s="1115" t="n">
        <f aca="false">IF(C156&gt;=Summary!$E$26,DX156*BL156,0)</f>
        <v>0</v>
      </c>
      <c r="EN156" s="1115" t="n">
        <f aca="false">IF(C156&gt;=Summary!$E$26,DY156*BM156,0)</f>
        <v>0</v>
      </c>
      <c r="EO156" s="1115" t="n">
        <f aca="false">IF(C156&gt;=Summary!$E$26,DZ156*BN156,0)</f>
        <v>0</v>
      </c>
      <c r="EP156" s="1115" t="n">
        <f aca="false">IF(C156&gt;=Summary!$E$26,EA156*BO156,0)</f>
        <v>0</v>
      </c>
      <c r="EQ156" s="1115" t="n">
        <f aca="false">IF(C156&gt;=Summary!$E$26,DX156*BL156+DY156*BM156+DZ156*BN156+EA156*BO156,0)</f>
        <v>0</v>
      </c>
      <c r="ER156" s="1119" t="n">
        <v>0</v>
      </c>
      <c r="ES156" s="1120" t="n">
        <v>0</v>
      </c>
      <c r="ET156" s="1120" t="n">
        <v>0</v>
      </c>
      <c r="EU156" s="1120" t="n">
        <v>0</v>
      </c>
      <c r="EV156" s="1143" t="n">
        <f aca="false">IF(C156&gt;=Summary!$E$26,MAX(0,SUM(ER156:EU156)),0)</f>
        <v>0</v>
      </c>
      <c r="EW156" s="1115"/>
      <c r="EX156" s="1165" t="n">
        <f aca="false">(EQ156-EV156)+IF(EZ156="Yes",(EG156-EL156),0)</f>
        <v>0</v>
      </c>
      <c r="EY156" s="1166" t="str">
        <f aca="false">IF(EX156,EX156/EQ156,"")</f>
        <v/>
      </c>
      <c r="EZ156" s="1122" t="s">
        <v>37</v>
      </c>
      <c r="FA156" s="1096" t="n">
        <f aca="false">FA155</f>
        <v>45</v>
      </c>
      <c r="FB156" s="1167" t="n">
        <f aca="false">IF(EZ156="No",IF((OR(MONTH(C156)=5,MONTH(C156)=6,MONTH(C156)=7,MONTH(C156)=8,MONTH(C156)=9)),$FA156*12*AX156*(1-$BC156),$FA156*10*AX156*(1-$BC156)),0)</f>
        <v>12233.7</v>
      </c>
      <c r="FC156" s="1129" t="n">
        <f aca="false">IF(EZ156="No",IF((OR(MONTH(C156)=5,MONTH(C156)=6,MONTH(C156)=7,MONTH(C156)=8,MONTH(C156)=9)),0,$FA156*3*AX156*(1-$BC156)),0)</f>
        <v>0</v>
      </c>
      <c r="FD156" s="1129" t="n">
        <f aca="false">IF(EZ156="No",IF((OR(MONTH(C156)=5,MONTH(C156)=6,MONTH(C156)=7,MONTH(C156)=8,MONTH(C156)=9)),$FA156*12*AY156*(1-$BC156),$FA156*10*AY156*(1-$BC156)),0)</f>
        <v>2127.6</v>
      </c>
      <c r="FE156" s="1129" t="n">
        <f aca="false">IF(EZ156="No",IF((OR(MONTH(C156)=5,MONTH(C156)=6,MONTH(C156)=7,MONTH(C156)=8,MONTH(C156)=9)),0,$FA156*3*AY156*(1-$BC156)),0)</f>
        <v>0</v>
      </c>
      <c r="FF156" s="1129" t="n">
        <f aca="false">IF(EZ156="No",IF((OR(MONTH(C156)=5,MONTH(C156)=6,MONTH(C156)=7,MONTH(C156)=8,MONTH(C156)=9)),$FA156*12*(AZ156+BA156)*(1-$BC156),$FA156*10*(AZ156+BA156)*(1-$BC156)),0)</f>
        <v>2127.6</v>
      </c>
      <c r="FG156" s="1129" t="n">
        <f aca="false">IF(EZ156="No",IF((OR(MONTH(C156)=5,MONTH(C156)=6,MONTH(C156)=7,MONTH(C156)=8,MONTH(C156)=9)),0,$FA156*3*(AZ156+BA156)*(1-$BC156)),0)</f>
        <v>0</v>
      </c>
      <c r="FH156" s="1170" t="n">
        <f aca="false">IF(EZ156="No",IF((OR(MONTH(C156)=5,MONTH(C156)=6,MONTH(C156)=7,MONTH(C156)=8,MONTH(C156)=9)),Summary!$O$15*12*(AX156+AY156+AZ156+BA156)*(1-$BC156),Summary!$O$15*13*(AX156+AY156+AZ156+BA156)*(1-$BC156)+IF(Summary!$O$16="Yes",(CALC!FA156+Summary!$O$15)*6*(AX156+AY156+AZ156+BA156)*(1-$BC156),0)),0)</f>
        <v>0</v>
      </c>
      <c r="FI156" s="1126" t="n">
        <f aca="false">IF(MONTH(C156)=5,FI155*(IF(Summary!$E$70="no",(1+(Summary!$E$71*0.8)),1+HLOOKUP(YEAR(C156)-1,CCFMODEL!$I$127:$AF$128,2)*0.8)),+FI155)</f>
        <v>35.3608870558082</v>
      </c>
      <c r="FJ156" s="1127" t="n">
        <f aca="false">IF(MONTH(C156)=5,FJ155*(IF(Summary!$E$70="no",(1+(Summary!$E$71*0.8)),1+HLOOKUP(YEAR(CALC!C156)-1,CCFMODEL!$I$127:$AF$128,2)*0.8)),FJ155)</f>
        <v>30.9059721511394</v>
      </c>
      <c r="FK156" s="1128" t="n">
        <f aca="false">SUM(FB156:FG156)*FI156+FH156*FJ156</f>
        <v>583062.130574515</v>
      </c>
      <c r="FL156" s="1126" t="n">
        <f aca="false">IF(MONTH(C156)=5,FL155*(IF(Summary!$E$70="no",(1+(Summary!$E$71*0.8)),1+HLOOKUP(YEAR(CALC!C156)-1,CCFMODEL!$I$127:$AF$128,2)*0.8)),+FL155)</f>
        <v>74.3679098222827</v>
      </c>
      <c r="FM156" s="1127" t="n">
        <f aca="false">IF(MONTH(C156)=5,FM155*(IF(Summary!$E$70="no",(1+(Summary!$E$71*0.8)),1+HLOOKUP(YEAR(CALC!C156)-1,CCFMODEL!$I$127:$AF$128,2)*0.8)),+FM155)</f>
        <v>35.4934738089233</v>
      </c>
      <c r="FN156" s="1128" t="n">
        <f aca="false">IF((OR(MONTH(C156)=5,MONTH(C156)=6,MONTH(C156)=7,MONTH(C156)=8,MONTH(C156)=9)),SUM(FB156:FG156)/(1-BC156)*FL156,SUM(FB156:FG156)/(1-BC156)*FM156)</f>
        <v>1244918.81042501</v>
      </c>
      <c r="FO156" s="1129" t="n">
        <f aca="false">FK156+FN156</f>
        <v>1827980.94099953</v>
      </c>
      <c r="FP156" s="1169" t="n">
        <f aca="false">FB156</f>
        <v>12233.7</v>
      </c>
      <c r="FQ156" s="1129" t="n">
        <f aca="false">FC156</f>
        <v>0</v>
      </c>
      <c r="FR156" s="1129" t="n">
        <f aca="false">FD156</f>
        <v>2127.6</v>
      </c>
      <c r="FS156" s="1129" t="n">
        <f aca="false">FE156</f>
        <v>0</v>
      </c>
      <c r="FT156" s="1129" t="n">
        <f aca="false">FF156</f>
        <v>2127.6</v>
      </c>
      <c r="FU156" s="1129" t="n">
        <f aca="false">FG156</f>
        <v>0</v>
      </c>
      <c r="FV156" s="1170" t="n">
        <f aca="false">FH156</f>
        <v>0</v>
      </c>
      <c r="FW156" s="1115" t="n">
        <f aca="false">IF(ER156&gt;0,MIN(FB156-FP156,BL156),0)</f>
        <v>0</v>
      </c>
      <c r="FX156" s="1115" t="n">
        <f aca="false">IF(ES156&gt;0,MIN(FD156-FR156,BM156),0)</f>
        <v>0</v>
      </c>
      <c r="FY156" s="1115" t="n">
        <f aca="false">IF(ET156&gt;0,MIN(FF156-FT156,BN156),0)</f>
        <v>0</v>
      </c>
      <c r="FZ156" s="1143" t="n">
        <f aca="false">IF(EU156&gt;0,MIN(FH156-FV156,BO156),0)</f>
        <v>0</v>
      </c>
      <c r="GA156" s="1132" t="n">
        <f aca="false">(SUM(FP156:FV156)+SUM(GU156:HB156)/(1-Summary!$O$25))*CY156/1000</f>
        <v>204551.063422618</v>
      </c>
      <c r="GB156" s="1133" t="n">
        <f aca="false">IF($C156&lt;Summary!$M$81,+Summary!$O$81,VLOOKUP(C156,GasTable,19))</f>
        <v>3.27523901519133</v>
      </c>
      <c r="GC156" s="1134" t="n">
        <f aca="false">IF(H156&lt;=Summary!$N$84,MIN(GA156,Summary!$O$75*(H156-G156+1)),0)</f>
        <v>0</v>
      </c>
      <c r="GD156" s="1135" t="n">
        <f aca="false">IF(C156&lt;Summary!$N$84,IF(Summary!$O$75*(H156-G156+1)*0.8&gt;GC156,1,0),0)</f>
        <v>0</v>
      </c>
      <c r="GE156" s="1136" t="n">
        <v>0</v>
      </c>
      <c r="GF156" s="1134" t="n">
        <f aca="false">ABS(MIN(0,GC156-$GA156))</f>
        <v>204551.063422618</v>
      </c>
      <c r="GG156" s="1135" t="n">
        <f aca="false">GF156*(IF(Summary!$O$74=1,VLOOKUP($C156,GasTable,16)+Summary!$O$92+Summary!$O$93,VLOOKUP($C156,GasTable,19)+Summary!$O$92+Summary!$O$93))</f>
        <v>680610.733924952</v>
      </c>
      <c r="GH156" s="1137" t="n">
        <v>5076.62047354656</v>
      </c>
      <c r="GI156" s="1138" t="n">
        <v>0</v>
      </c>
      <c r="GJ156" s="1139" t="n">
        <f aca="false">+GB156*GC156+GE156+GG156+GH156-GI156</f>
        <v>685687.354398498</v>
      </c>
      <c r="GK156" s="1115" t="n">
        <f aca="false">SUM(FP156:FV156,GU156:GX156,GY156:HB156)</f>
        <v>26035.9731</v>
      </c>
      <c r="GL156" s="1140" t="n">
        <v>0.51947527008</v>
      </c>
      <c r="GM156" s="1141" t="n">
        <f aca="false">IF(GK156&gt;GC156/(CY156/1000),GC156/(CY156/1000),+GK156)*GL156</f>
        <v>0</v>
      </c>
      <c r="GN156" s="1115" t="n">
        <f aca="false">IF(SUM(GU156:HB156)=0,0,IF(Summary!$O$16="Yes",SUM(GX156:HB156),IF(Summary!$O$17="Yes",SUM(GY156:HB156),SUM(GU156:HB156))))</f>
        <v>9547.0731</v>
      </c>
      <c r="GO156" s="1142" t="n">
        <v>3.29381985902785</v>
      </c>
      <c r="GP156" s="1143" t="n">
        <f aca="false">GN156*GO156</f>
        <v>31446.3389723706</v>
      </c>
      <c r="GQ156" s="1115"/>
      <c r="GR156" s="1115"/>
      <c r="GS156" s="1115"/>
      <c r="GT156" s="1115"/>
      <c r="GU156" s="1150" t="n">
        <v>3935.1735</v>
      </c>
      <c r="GV156" s="1115" t="n">
        <v>684.378</v>
      </c>
      <c r="GW156" s="1115" t="n">
        <v>684.378</v>
      </c>
      <c r="GX156" s="1115"/>
      <c r="GY156" s="1151" t="n">
        <v>3148.1388</v>
      </c>
      <c r="GZ156" s="1115" t="n">
        <v>547.5024</v>
      </c>
      <c r="HA156" s="1115" t="n">
        <v>547.5024</v>
      </c>
      <c r="HB156" s="1141"/>
      <c r="HC156" s="1115" t="n">
        <v>9547.0731</v>
      </c>
      <c r="HD156" s="1115"/>
      <c r="HE156" s="1115" t="n">
        <v>22276.5039</v>
      </c>
      <c r="HF156" s="1115" t="n">
        <v>649530.826847812</v>
      </c>
      <c r="HG156" s="1115"/>
      <c r="HH156" s="1142" t="n">
        <v>71.6338142331305</v>
      </c>
      <c r="HI156" s="1115" t="n">
        <v>1595750.94213621</v>
      </c>
      <c r="HJ156" s="1150" t="n">
        <f aca="false">MAX(FB156-FP156-FW156,0)</f>
        <v>0</v>
      </c>
      <c r="HK156" s="1115" t="n">
        <f aca="false">MAX(FD156-FR156-FX156,0)</f>
        <v>0</v>
      </c>
      <c r="HL156" s="1115" t="n">
        <f aca="false">MAX(FF156-FT156-FY156,0)</f>
        <v>0</v>
      </c>
      <c r="HM156" s="1141" t="n">
        <f aca="false">MAX(FH156-FV156-FZ156,0)</f>
        <v>0</v>
      </c>
      <c r="HN156" s="1115" t="n">
        <f aca="false">SUM(HJ156:HM156)</f>
        <v>0</v>
      </c>
      <c r="HO156" s="1142" t="n">
        <f aca="false">IF(ISERROR(+HP156/HN156),0,+HP156/HN156)</f>
        <v>0</v>
      </c>
      <c r="HP156" s="1143" t="n">
        <f aca="false">(HJ156*CE156+HK156*CF156+HL156*CG156+HM156*CH156)</f>
        <v>0</v>
      </c>
      <c r="HQ156" s="1142"/>
      <c r="HR156" s="1150"/>
      <c r="HS156" s="1110"/>
      <c r="HT156" s="1141"/>
      <c r="HU156" s="1151"/>
      <c r="HV156" s="1142"/>
      <c r="HW156" s="1115"/>
      <c r="HX156" s="1149"/>
      <c r="HY156" s="1143"/>
      <c r="HZ156" s="1150"/>
      <c r="IA156" s="1142"/>
      <c r="IB156" s="1141"/>
      <c r="IC156" s="1151"/>
      <c r="ID156" s="1142"/>
      <c r="IE156" s="1141"/>
      <c r="IF156" s="1115"/>
      <c r="IG156" s="1142"/>
      <c r="IH156" s="1141"/>
      <c r="II156" s="1115"/>
      <c r="IJ156" s="1142"/>
      <c r="IK156" s="1115"/>
      <c r="IL156" s="1152"/>
      <c r="IM156" s="1192"/>
      <c r="IN156" s="1151"/>
      <c r="IO156" s="1151"/>
      <c r="IP156" s="1151"/>
      <c r="IQ156" s="1151"/>
      <c r="IR156" s="844"/>
    </row>
    <row r="157" customFormat="false" ht="13.5" hidden="false" customHeight="false" outlineLevel="0" collapsed="false">
      <c r="A157" s="0" t="str">
        <f aca="false">+D157&amp;"Q"&amp;ROUNDUP(E157/3,0)</f>
        <v>2011Q3</v>
      </c>
      <c r="B157" s="0" t="n">
        <f aca="false">YEAR(C157)</f>
        <v>2011</v>
      </c>
      <c r="C157" s="1153" t="n">
        <f aca="false">EOMONTH(C156,0)+1</f>
        <v>40787</v>
      </c>
      <c r="D157" s="841" t="n">
        <f aca="false">+YEAR(C157)</f>
        <v>2011</v>
      </c>
      <c r="E157" s="807" t="n">
        <f aca="false">MONTH(C157)</f>
        <v>9</v>
      </c>
      <c r="F157" s="1154" t="e">
        <f aca="false">IF(G157="","",Holiday(D157,E157))</f>
        <v>#VALUE!</v>
      </c>
      <c r="G157" s="1155" t="n">
        <v>40787</v>
      </c>
      <c r="H157" s="1156" t="n">
        <v>40816</v>
      </c>
      <c r="I157" s="1157" t="n">
        <f aca="false">I156</f>
        <v>0.0715</v>
      </c>
      <c r="J157" s="1158" t="n">
        <f aca="false">(1+I157/2)^(-2*(DATE(D158,E158,20)-$H$7)/365.25)</f>
        <v>0.435070019492938</v>
      </c>
      <c r="K157" s="1159"/>
      <c r="L157" s="1158"/>
      <c r="M157" s="1082" t="n">
        <v>0</v>
      </c>
      <c r="N157" s="1110" t="n">
        <f aca="false">M157</f>
        <v>0</v>
      </c>
      <c r="O157" s="1174" t="n">
        <f aca="false">N157</f>
        <v>0</v>
      </c>
      <c r="P157" s="1175" t="n">
        <f aca="false">M157</f>
        <v>0</v>
      </c>
      <c r="Q157" s="1110" t="n">
        <f aca="false">P157</f>
        <v>0</v>
      </c>
      <c r="R157" s="1174" t="n">
        <f aca="false">Q157</f>
        <v>0</v>
      </c>
      <c r="S157" s="1110" t="n">
        <f aca="false">R157</f>
        <v>0</v>
      </c>
      <c r="T157" s="1110" t="n">
        <f aca="false">S157</f>
        <v>0</v>
      </c>
      <c r="U157" s="1110" t="n">
        <f aca="false">T157</f>
        <v>0</v>
      </c>
      <c r="V157" s="1175" t="n">
        <f aca="false">U157</f>
        <v>0</v>
      </c>
      <c r="W157" s="1110" t="n">
        <f aca="false">V157</f>
        <v>0</v>
      </c>
      <c r="X157" s="1176" t="n">
        <f aca="false">W157</f>
        <v>0</v>
      </c>
      <c r="Y157" s="1086" t="n">
        <v>0</v>
      </c>
      <c r="Z157" s="1086" t="n">
        <v>0</v>
      </c>
      <c r="AA157" s="1087" t="n">
        <v>0</v>
      </c>
      <c r="AB157" s="1086" t="n">
        <v>0</v>
      </c>
      <c r="AC157" s="1086" t="n">
        <v>0</v>
      </c>
      <c r="AD157" s="1087" t="n">
        <v>0</v>
      </c>
      <c r="AE157" s="1086" t="n">
        <v>0</v>
      </c>
      <c r="AF157" s="1086" t="n">
        <v>0</v>
      </c>
      <c r="AG157" s="1087" t="n">
        <v>0</v>
      </c>
      <c r="AH157" s="1086" t="n">
        <v>0</v>
      </c>
      <c r="AI157" s="1086" t="n">
        <v>0</v>
      </c>
      <c r="AJ157" s="1087" t="n">
        <v>0</v>
      </c>
      <c r="AK157" s="1086" t="n">
        <v>0</v>
      </c>
      <c r="AL157" s="1086" t="n">
        <v>0</v>
      </c>
      <c r="AM157" s="1087" t="n">
        <v>0</v>
      </c>
      <c r="AN157" s="1086" t="n">
        <v>0</v>
      </c>
      <c r="AO157" s="1086" t="n">
        <v>0</v>
      </c>
      <c r="AP157" s="1087" t="n">
        <v>0</v>
      </c>
      <c r="AQ157" s="1086" t="n">
        <v>0</v>
      </c>
      <c r="AR157" s="1086" t="n">
        <v>0</v>
      </c>
      <c r="AS157" s="1087" t="n">
        <v>0</v>
      </c>
      <c r="AT157" s="1086" t="n">
        <v>0</v>
      </c>
      <c r="AU157" s="1086" t="n">
        <v>0</v>
      </c>
      <c r="AV157" s="1086" t="n">
        <v>0</v>
      </c>
      <c r="AW157" s="1172" t="n">
        <v>0</v>
      </c>
      <c r="AX157" s="807" t="e">
        <f aca="false">BB157-SUM(AY157:BA157)</f>
        <v>#VALUE!</v>
      </c>
      <c r="AY157" s="807" t="e">
        <f aca="false">IF(AND($E157=MONTH(Summary!$E$24),$D157=YEAR(Summary!$E$24)),Summary!$E$25,1)*IF(G157="",0,INT((H157-MOD(H157,7)-G157)/7)+1-IF(BA157,IF(WEEKDAY(F157)=7,1,0),0))</f>
        <v>#VALUE!</v>
      </c>
      <c r="AZ157" s="807" t="e">
        <f aca="false">IF(AND($E157=MONTH(Summary!$E$24),$D157=YEAR(Summary!$E$24)),Summary!$E$25,1)*IF(G157="",0,INT((H157-MOD(H157-1,7)-G157)/7)+1-IF(BA157,IF(WEEKDAY(F157)=1,1,0),0))</f>
        <v>#VALUE!</v>
      </c>
      <c r="BA157" s="807" t="n">
        <v>1</v>
      </c>
      <c r="BB157" s="807" t="n">
        <f aca="false">IF(AND($E157=MONTH(Summary!$E$24),$D157=YEAR(Summary!$E$24)),Summary!$E$25,1)*IF(G157="",0,H157-G157+1)</f>
        <v>30</v>
      </c>
      <c r="BC157" s="1089" t="n">
        <f aca="false">Summary!$E$19</f>
        <v>0.015</v>
      </c>
      <c r="BD157" s="1090" t="n">
        <v>14893.2</v>
      </c>
      <c r="BE157" s="1091" t="n">
        <v>2836.8</v>
      </c>
      <c r="BF157" s="1091" t="n">
        <v>3546</v>
      </c>
      <c r="BG157" s="842"/>
      <c r="BH157" s="1092" t="n">
        <v>1</v>
      </c>
      <c r="BI157" s="1092" t="n">
        <v>1</v>
      </c>
      <c r="BJ157" s="1092" t="n">
        <v>1</v>
      </c>
      <c r="BK157" s="1092" t="n">
        <v>1</v>
      </c>
      <c r="BL157" s="1093" t="n">
        <v>2978.64</v>
      </c>
      <c r="BM157" s="1091" t="n">
        <v>567.36</v>
      </c>
      <c r="BN157" s="1091" t="n">
        <v>709.2</v>
      </c>
      <c r="BO157" s="842"/>
      <c r="BP157" s="1092" t="n">
        <v>1</v>
      </c>
      <c r="BQ157" s="1094" t="n">
        <v>1</v>
      </c>
      <c r="BR157" s="1094" t="n">
        <v>1</v>
      </c>
      <c r="BS157" s="1095" t="n">
        <v>1</v>
      </c>
      <c r="BT157" s="1093" t="n">
        <f aca="false">SUM(BD157:BF157)</f>
        <v>21276</v>
      </c>
      <c r="BU157" s="1098" t="n">
        <f aca="false">SUM(BD157:BG157)</f>
        <v>21276</v>
      </c>
      <c r="BV157" s="1090" t="n">
        <f aca="false">SUM(BL157:BN157)</f>
        <v>4255.2</v>
      </c>
      <c r="BW157" s="1098" t="n">
        <f aca="false">SUM(BL157:BO157)</f>
        <v>4255.2</v>
      </c>
      <c r="BX157" s="852" t="n">
        <v>11.7125256673511</v>
      </c>
      <c r="BY157" s="1099" t="n">
        <v>0</v>
      </c>
      <c r="BZ157" s="852" t="n">
        <v>0</v>
      </c>
      <c r="CA157" s="852" t="n">
        <v>0</v>
      </c>
      <c r="CB157" s="852" t="n">
        <v>0</v>
      </c>
      <c r="CC157" s="852" t="n">
        <v>0</v>
      </c>
      <c r="CD157" s="852" t="n">
        <v>0</v>
      </c>
      <c r="CE157" s="1100" t="n">
        <v>0</v>
      </c>
      <c r="CF157" s="852" t="n">
        <v>0</v>
      </c>
      <c r="CG157" s="852" t="n">
        <v>0</v>
      </c>
      <c r="CH157" s="852" t="n">
        <v>0</v>
      </c>
      <c r="CI157" s="852" t="n">
        <v>0</v>
      </c>
      <c r="CJ157" s="1101" t="n">
        <v>0</v>
      </c>
      <c r="CK157" s="852" t="n">
        <v>0</v>
      </c>
      <c r="CL157" s="852" t="n">
        <v>0</v>
      </c>
      <c r="CM157" s="852" t="n">
        <v>0</v>
      </c>
      <c r="CN157" s="852" t="n">
        <v>0</v>
      </c>
      <c r="CO157" s="852" t="n">
        <v>0</v>
      </c>
      <c r="CP157" s="852" t="n">
        <v>0</v>
      </c>
      <c r="CQ157" s="1102" t="n">
        <v>0</v>
      </c>
      <c r="CR157" s="1103" t="n">
        <v>0</v>
      </c>
      <c r="CS157" s="1103" t="n">
        <v>0</v>
      </c>
      <c r="CT157" s="1103" t="n">
        <v>0</v>
      </c>
      <c r="CU157" s="1103" t="n">
        <v>0</v>
      </c>
      <c r="CV157" s="1103" t="n">
        <v>0</v>
      </c>
      <c r="CW157" s="1103" t="n">
        <v>0</v>
      </c>
      <c r="CX157" s="1104" t="n">
        <v>0</v>
      </c>
      <c r="CY157" s="1105" t="n">
        <v>7755.3932</v>
      </c>
      <c r="CZ157" s="1099" t="n">
        <v>0</v>
      </c>
      <c r="DA157" s="852" t="n">
        <v>0</v>
      </c>
      <c r="DB157" s="852" t="n">
        <v>0</v>
      </c>
      <c r="DC157" s="852" t="n">
        <v>0</v>
      </c>
      <c r="DD157" s="852" t="n">
        <v>0</v>
      </c>
      <c r="DE157" s="1113" t="n">
        <v>0</v>
      </c>
      <c r="DF157" s="1109" t="n">
        <v>0</v>
      </c>
      <c r="DG157" s="1110" t="n">
        <v>0</v>
      </c>
      <c r="DH157" s="1111" t="n">
        <v>0</v>
      </c>
      <c r="DI157" s="1112" t="n">
        <v>0</v>
      </c>
      <c r="DJ157" s="1112" t="n">
        <v>0</v>
      </c>
      <c r="DK157" s="1112" t="n">
        <v>0</v>
      </c>
      <c r="DL157" s="1113" t="n">
        <v>0</v>
      </c>
      <c r="DM157" s="1114" t="n">
        <v>0</v>
      </c>
      <c r="DN157" s="1114" t="n">
        <v>0</v>
      </c>
      <c r="DO157" s="1114" t="n">
        <v>0</v>
      </c>
      <c r="DP157" s="1114" t="n">
        <v>0</v>
      </c>
      <c r="DQ157" s="1114" t="n">
        <v>0</v>
      </c>
      <c r="DR157" s="1109" t="n">
        <v>0</v>
      </c>
      <c r="DS157" s="852" t="n">
        <v>0</v>
      </c>
      <c r="DT157" s="852" t="n">
        <v>0</v>
      </c>
      <c r="DU157" s="852" t="n">
        <v>0</v>
      </c>
      <c r="DV157" s="852" t="n">
        <v>0</v>
      </c>
      <c r="DW157" s="852" t="n">
        <v>0</v>
      </c>
      <c r="DX157" s="852" t="n">
        <v>0</v>
      </c>
      <c r="DY157" s="852" t="n">
        <v>0</v>
      </c>
      <c r="DZ157" s="852" t="n">
        <v>0</v>
      </c>
      <c r="EA157" s="852" t="n">
        <v>0</v>
      </c>
      <c r="EB157" s="1113" t="n">
        <v>0</v>
      </c>
      <c r="EC157" s="1115" t="n">
        <f aca="false">DS157*BD157</f>
        <v>0</v>
      </c>
      <c r="ED157" s="1115" t="n">
        <f aca="false">DT157*BE157</f>
        <v>0</v>
      </c>
      <c r="EE157" s="1115" t="n">
        <f aca="false">DU157*BF157</f>
        <v>0</v>
      </c>
      <c r="EF157" s="1115" t="n">
        <f aca="false">DV157*BG157</f>
        <v>0</v>
      </c>
      <c r="EG157" s="1115" t="n">
        <f aca="false">DS157*BD157+DT157*BE157+DU157*BF157+DV157*BG157</f>
        <v>0</v>
      </c>
      <c r="EH157" s="1116" t="n">
        <v>0</v>
      </c>
      <c r="EI157" s="1117" t="n">
        <v>0</v>
      </c>
      <c r="EJ157" s="1117" t="n">
        <v>0</v>
      </c>
      <c r="EK157" s="1117" t="n">
        <v>0</v>
      </c>
      <c r="EL157" s="1118" t="n">
        <f aca="false">IF(C157&gt;=Summary!$E$26,MAX(0,SUM(EH157:EK157)),0)</f>
        <v>0</v>
      </c>
      <c r="EM157" s="1115" t="n">
        <f aca="false">IF(C157&gt;=Summary!$E$26,DX157*BL157,0)</f>
        <v>0</v>
      </c>
      <c r="EN157" s="1115" t="n">
        <f aca="false">IF(C157&gt;=Summary!$E$26,DY157*BM157,0)</f>
        <v>0</v>
      </c>
      <c r="EO157" s="1115" t="n">
        <f aca="false">IF(C157&gt;=Summary!$E$26,DZ157*BN157,0)</f>
        <v>0</v>
      </c>
      <c r="EP157" s="1115" t="n">
        <f aca="false">IF(C157&gt;=Summary!$E$26,EA157*BO157,0)</f>
        <v>0</v>
      </c>
      <c r="EQ157" s="1115" t="n">
        <f aca="false">IF(C157&gt;=Summary!$E$26,DX157*BL157+DY157*BM157+DZ157*BN157+EA157*BO157,0)</f>
        <v>0</v>
      </c>
      <c r="ER157" s="1119" t="n">
        <v>0</v>
      </c>
      <c r="ES157" s="1120" t="n">
        <v>0</v>
      </c>
      <c r="ET157" s="1120" t="n">
        <v>0</v>
      </c>
      <c r="EU157" s="1120" t="n">
        <v>0</v>
      </c>
      <c r="EV157" s="1143" t="n">
        <f aca="false">IF(C157&gt;=Summary!$E$26,MAX(0,SUM(ER157:EU157)),0)</f>
        <v>0</v>
      </c>
      <c r="EW157" s="1115"/>
      <c r="EX157" s="1165" t="n">
        <f aca="false">(EQ157-EV157)+IF(EZ157="Yes",(EG157-EL157),0)</f>
        <v>0</v>
      </c>
      <c r="EY157" s="1166" t="str">
        <f aca="false">IF(EX157,EX157/EQ157,"")</f>
        <v/>
      </c>
      <c r="EZ157" s="1122" t="s">
        <v>37</v>
      </c>
      <c r="FA157" s="1096" t="n">
        <f aca="false">FA156</f>
        <v>45</v>
      </c>
      <c r="FB157" s="1167" t="e">
        <f aca="false">IF(EZ157="No",IF((OR(MONTH(C157)=5,MONTH(C157)=6,MONTH(C157)=7,MONTH(C157)=8,MONTH(C157)=9)),$FA157*12*AX157*(1-$BC157),$FA157*10*AX157*(1-$BC157)),0)</f>
        <v>#VALUE!</v>
      </c>
      <c r="FC157" s="1129" t="n">
        <f aca="false">IF(EZ157="No",IF((OR(MONTH(C157)=5,MONTH(C157)=6,MONTH(C157)=7,MONTH(C157)=8,MONTH(C157)=9)),0,$FA157*3*AX157*(1-$BC157)),0)</f>
        <v>0</v>
      </c>
      <c r="FD157" s="1129" t="e">
        <f aca="false">IF(EZ157="No",IF((OR(MONTH(C157)=5,MONTH(C157)=6,MONTH(C157)=7,MONTH(C157)=8,MONTH(C157)=9)),$FA157*12*AY157*(1-$BC157),$FA157*10*AY157*(1-$BC157)),0)</f>
        <v>#VALUE!</v>
      </c>
      <c r="FE157" s="1129" t="n">
        <f aca="false">IF(EZ157="No",IF((OR(MONTH(C157)=5,MONTH(C157)=6,MONTH(C157)=7,MONTH(C157)=8,MONTH(C157)=9)),0,$FA157*3*AY157*(1-$BC157)),0)</f>
        <v>0</v>
      </c>
      <c r="FF157" s="1129" t="e">
        <f aca="false">IF(EZ157="No",IF((OR(MONTH(C157)=5,MONTH(C157)=6,MONTH(C157)=7,MONTH(C157)=8,MONTH(C157)=9)),$FA157*12*(AZ157+BA157)*(1-$BC157),$FA157*10*(AZ157+BA157)*(1-$BC157)),0)</f>
        <v>#VALUE!</v>
      </c>
      <c r="FG157" s="1129" t="n">
        <f aca="false">IF(EZ157="No",IF((OR(MONTH(C157)=5,MONTH(C157)=6,MONTH(C157)=7,MONTH(C157)=8,MONTH(C157)=9)),0,$FA157*3*(AZ157+BA157)*(1-$BC157)),0)</f>
        <v>0</v>
      </c>
      <c r="FH157" s="1170" t="e">
        <f aca="false">IF(EZ157="No",IF((OR(MONTH(C157)=5,MONTH(C157)=6,MONTH(C157)=7,MONTH(C157)=8,MONTH(C157)=9)),Summary!$O$15*12*(AX157+AY157+AZ157+BA157)*(1-$BC157),Summary!$O$15*13*(AX157+AY157+AZ157+BA157)*(1-$BC157)+IF(Summary!$O$16="Yes",(CALC!FA157+Summary!$O$15)*6*(AX157+AY157+AZ157+BA157)*(1-$BC157),0)),0)</f>
        <v>#VALUE!</v>
      </c>
      <c r="FI157" s="1126" t="n">
        <f aca="false">IF(MONTH(C157)=5,FI156*(IF(Summary!$E$70="no",(1+(Summary!$E$71*0.8)),1+HLOOKUP(YEAR(C157)-1,CCFMODEL!$I$127:$AF$128,2)*0.8)),+FI156)</f>
        <v>35.3608870558082</v>
      </c>
      <c r="FJ157" s="1127" t="n">
        <f aca="false">IF(MONTH(C157)=5,FJ156*(IF(Summary!$E$70="no",(1+(Summary!$E$71*0.8)),1+HLOOKUP(YEAR(CALC!C157)-1,CCFMODEL!$I$127:$AF$128,2)*0.8)),FJ156)</f>
        <v>30.9059721511394</v>
      </c>
      <c r="FK157" s="1128" t="e">
        <f aca="false">SUM(FB157:FG157)*FI157+FH157*FJ157</f>
        <v>#VALUE!</v>
      </c>
      <c r="FL157" s="1126" t="n">
        <f aca="false">IF(MONTH(C157)=5,FL156*(IF(Summary!$E$70="no",(1+(Summary!$E$71*0.8)),1+HLOOKUP(YEAR(CALC!C157)-1,CCFMODEL!$I$127:$AF$128,2)*0.8)),+FL156)</f>
        <v>74.3679098222827</v>
      </c>
      <c r="FM157" s="1127" t="n">
        <f aca="false">IF(MONTH(C157)=5,FM156*(IF(Summary!$E$70="no",(1+(Summary!$E$71*0.8)),1+HLOOKUP(YEAR(CALC!C157)-1,CCFMODEL!$I$127:$AF$128,2)*0.8)),+FM156)</f>
        <v>35.4934738089233</v>
      </c>
      <c r="FN157" s="1128" t="e">
        <f aca="false">IF((OR(MONTH(C157)=5,MONTH(C157)=6,MONTH(C157)=7,MONTH(C157)=8,MONTH(C157)=9)),SUM(FB157:FG157)/(1-BC157)*FL157,SUM(FB157:FG157)/(1-BC157)*FM157)</f>
        <v>#VALUE!</v>
      </c>
      <c r="FO157" s="1129" t="e">
        <f aca="false">FK157+FN157</f>
        <v>#VALUE!</v>
      </c>
      <c r="FP157" s="1169" t="e">
        <f aca="false">FB157</f>
        <v>#VALUE!</v>
      </c>
      <c r="FQ157" s="1129" t="n">
        <f aca="false">FC157</f>
        <v>0</v>
      </c>
      <c r="FR157" s="1129" t="e">
        <f aca="false">FD157</f>
        <v>#VALUE!</v>
      </c>
      <c r="FS157" s="1129" t="n">
        <f aca="false">FE157</f>
        <v>0</v>
      </c>
      <c r="FT157" s="1129" t="e">
        <f aca="false">FF157</f>
        <v>#VALUE!</v>
      </c>
      <c r="FU157" s="1129" t="n">
        <f aca="false">FG157</f>
        <v>0</v>
      </c>
      <c r="FV157" s="1170" t="e">
        <f aca="false">FH157</f>
        <v>#VALUE!</v>
      </c>
      <c r="FW157" s="1115" t="n">
        <f aca="false">IF(ER157&gt;0,MIN(FB157-FP157,BL157),0)</f>
        <v>0</v>
      </c>
      <c r="FX157" s="1115" t="n">
        <f aca="false">IF(ES157&gt;0,MIN(FD157-FR157,BM157),0)</f>
        <v>0</v>
      </c>
      <c r="FY157" s="1115" t="n">
        <f aca="false">IF(ET157&gt;0,MIN(FF157-FT157,BN157),0)</f>
        <v>0</v>
      </c>
      <c r="FZ157" s="1143" t="n">
        <f aca="false">IF(EU157&gt;0,MIN(FH157-FV157,BO157),0)</f>
        <v>0</v>
      </c>
      <c r="GA157" s="1132" t="e">
        <f aca="false">(SUM(FP157:FV157)+SUM(GU157:HB157)/(1-Summary!$O$25))*CY157/1000</f>
        <v>#VALUE!</v>
      </c>
      <c r="GB157" s="1133" t="n">
        <f aca="false">IF($C157&lt;Summary!$M$81,+Summary!$O$81,VLOOKUP(C157,GasTable,19))</f>
        <v>3.4170395733397</v>
      </c>
      <c r="GC157" s="1134" t="n">
        <f aca="false">IF(H157&lt;=Summary!$N$84,MIN(GA157,Summary!$O$75*(H157-G157+1)),0)</f>
        <v>0</v>
      </c>
      <c r="GD157" s="1135" t="n">
        <f aca="false">IF(C157&lt;Summary!$N$84,IF(Summary!$O$75*(H157-G157+1)*0.8&gt;GC157,1,0),0)</f>
        <v>0</v>
      </c>
      <c r="GE157" s="1136" t="n">
        <v>0</v>
      </c>
      <c r="GF157" s="1134" t="e">
        <f aca="false">ABS(MIN(0,GC157-$GA157))</f>
        <v>#VALUE!</v>
      </c>
      <c r="GG157" s="1135" t="e">
        <f aca="false">GF157*(IF(Summary!$O$74=1,VLOOKUP($C157,GasTable,16)+Summary!$O$92+Summary!$O$93,VLOOKUP($C157,GasTable,19)+Summary!$O$92+Summary!$O$93))</f>
        <v>#VALUE!</v>
      </c>
      <c r="GH157" s="1137" t="n">
        <v>5125.55936000954</v>
      </c>
      <c r="GI157" s="1138" t="n">
        <v>0</v>
      </c>
      <c r="GJ157" s="1139" t="e">
        <f aca="false">+GB157*GC157+GE157+GG157+GH157-GI157</f>
        <v>#VALUE!</v>
      </c>
      <c r="GK157" s="1115" t="e">
        <f aca="false">SUM(FP157:FV157,GU157:GX157,GY157:HB157)</f>
        <v>#VALUE!</v>
      </c>
      <c r="GL157" s="1140" t="n">
        <v>0.5196113444</v>
      </c>
      <c r="GM157" s="1141" t="e">
        <f aca="false">IF(GK157&gt;GC157/(CY157/1000),GC157/(CY157/1000),+GK157)*GL157</f>
        <v>#VALUE!</v>
      </c>
      <c r="GN157" s="1115" t="n">
        <f aca="false">IF(SUM(GU157:HB157)=0,0,IF(Summary!$O$16="Yes",SUM(GX157:HB157),IF(Summary!$O$17="Yes",SUM(GY157:HB157),SUM(GU157:HB157))))</f>
        <v>9239.103</v>
      </c>
      <c r="GO157" s="1142" t="n">
        <v>3.29381985902785</v>
      </c>
      <c r="GP157" s="1143" t="n">
        <f aca="false">GN157*GO157</f>
        <v>30431.9409410038</v>
      </c>
      <c r="GQ157" s="1115"/>
      <c r="GR157" s="1115"/>
      <c r="GS157" s="1115"/>
      <c r="GT157" s="1115"/>
      <c r="GU157" s="1150" t="n">
        <v>3592.9845</v>
      </c>
      <c r="GV157" s="1115" t="n">
        <v>684.378</v>
      </c>
      <c r="GW157" s="1115" t="n">
        <v>855.4725</v>
      </c>
      <c r="GX157" s="1115"/>
      <c r="GY157" s="1151" t="n">
        <v>2874.3876</v>
      </c>
      <c r="GZ157" s="1115" t="n">
        <v>547.5024</v>
      </c>
      <c r="HA157" s="1115" t="n">
        <v>684.378</v>
      </c>
      <c r="HB157" s="1141"/>
      <c r="HC157" s="1115" t="n">
        <v>9239.103</v>
      </c>
      <c r="HD157" s="1115"/>
      <c r="HE157" s="1115" t="n">
        <v>21557.907</v>
      </c>
      <c r="HF157" s="1115" t="n">
        <v>527134.036070572</v>
      </c>
      <c r="HG157" s="1115"/>
      <c r="HH157" s="1142" t="n">
        <v>59.2194321104249</v>
      </c>
      <c r="HI157" s="1115" t="n">
        <v>1276647.01002935</v>
      </c>
      <c r="HJ157" s="1150" t="e">
        <f aca="false">MAX(FB157-FP157-FW157,0)</f>
        <v>#VALUE!</v>
      </c>
      <c r="HK157" s="1115" t="e">
        <f aca="false">MAX(FD157-FR157-FX157,0)</f>
        <v>#VALUE!</v>
      </c>
      <c r="HL157" s="1115" t="e">
        <f aca="false">MAX(FF157-FT157-FY157,0)</f>
        <v>#VALUE!</v>
      </c>
      <c r="HM157" s="1141" t="e">
        <f aca="false">MAX(FH157-FV157-FZ157,0)</f>
        <v>#VALUE!</v>
      </c>
      <c r="HN157" s="1115" t="e">
        <f aca="false">SUM(HJ157:HM157)</f>
        <v>#VALUE!</v>
      </c>
      <c r="HO157" s="1142" t="n">
        <f aca="false">IF(ISERROR(+HP157/HN157),0,+HP157/HN157)</f>
        <v>0</v>
      </c>
      <c r="HP157" s="1143" t="e">
        <f aca="false">(HJ157*CE157+HK157*CF157+HL157*CG157+HM157*CH157)</f>
        <v>#VALUE!</v>
      </c>
      <c r="HQ157" s="1142"/>
      <c r="HR157" s="1150"/>
      <c r="HS157" s="1110"/>
      <c r="HT157" s="1141"/>
      <c r="HU157" s="1151"/>
      <c r="HV157" s="1142"/>
      <c r="HW157" s="1115"/>
      <c r="HX157" s="1149"/>
      <c r="HY157" s="1143"/>
      <c r="HZ157" s="1150"/>
      <c r="IA157" s="1142"/>
      <c r="IB157" s="1141"/>
      <c r="IC157" s="1151"/>
      <c r="ID157" s="1142"/>
      <c r="IE157" s="1141"/>
      <c r="IF157" s="1115"/>
      <c r="IG157" s="1142"/>
      <c r="IH157" s="1141"/>
      <c r="II157" s="1115"/>
      <c r="IJ157" s="1142"/>
      <c r="IK157" s="1115"/>
      <c r="IL157" s="1152"/>
      <c r="IM157" s="1192"/>
      <c r="IN157" s="1151"/>
      <c r="IO157" s="1151"/>
      <c r="IP157" s="1151"/>
      <c r="IQ157" s="1151"/>
      <c r="IR157" s="844"/>
    </row>
    <row r="158" customFormat="false" ht="13.5" hidden="false" customHeight="false" outlineLevel="0" collapsed="false">
      <c r="A158" s="0" t="str">
        <f aca="false">+D158&amp;"Q"&amp;ROUNDUP(E158/3,0)</f>
        <v>2011Q4</v>
      </c>
      <c r="B158" s="0" t="n">
        <f aca="false">YEAR(C158)</f>
        <v>2011</v>
      </c>
      <c r="C158" s="1153" t="n">
        <f aca="false">EOMONTH(C157,0)+1</f>
        <v>40817</v>
      </c>
      <c r="D158" s="841" t="n">
        <f aca="false">+YEAR(C158)</f>
        <v>2011</v>
      </c>
      <c r="E158" s="807" t="n">
        <f aca="false">MONTH(C158)</f>
        <v>10</v>
      </c>
      <c r="F158" s="1154" t="e">
        <f aca="false">IF(G158="","",Holiday(D158,E158))</f>
        <v>#VALUE!</v>
      </c>
      <c r="G158" s="1155" t="n">
        <v>40817</v>
      </c>
      <c r="H158" s="1156" t="n">
        <v>40847</v>
      </c>
      <c r="I158" s="1157" t="n">
        <f aca="false">I157</f>
        <v>0.0715</v>
      </c>
      <c r="J158" s="1158" t="n">
        <f aca="false">(1+I158/2)^(-2*(DATE(D159,E159,20)-$H$7)/365.25)</f>
        <v>0.43248363685827</v>
      </c>
      <c r="K158" s="1159"/>
      <c r="L158" s="1158"/>
      <c r="M158" s="1082" t="n">
        <v>0</v>
      </c>
      <c r="N158" s="1110" t="n">
        <f aca="false">M158</f>
        <v>0</v>
      </c>
      <c r="O158" s="1174" t="n">
        <f aca="false">N158</f>
        <v>0</v>
      </c>
      <c r="P158" s="1175" t="n">
        <f aca="false">M158</f>
        <v>0</v>
      </c>
      <c r="Q158" s="1110" t="n">
        <f aca="false">P158</f>
        <v>0</v>
      </c>
      <c r="R158" s="1174" t="n">
        <f aca="false">Q158</f>
        <v>0</v>
      </c>
      <c r="S158" s="1110" t="n">
        <f aca="false">R158</f>
        <v>0</v>
      </c>
      <c r="T158" s="1110" t="n">
        <f aca="false">S158</f>
        <v>0</v>
      </c>
      <c r="U158" s="1110" t="n">
        <f aca="false">T158</f>
        <v>0</v>
      </c>
      <c r="V158" s="1175" t="n">
        <f aca="false">U158</f>
        <v>0</v>
      </c>
      <c r="W158" s="1110" t="n">
        <f aca="false">V158</f>
        <v>0</v>
      </c>
      <c r="X158" s="1176" t="n">
        <f aca="false">W158</f>
        <v>0</v>
      </c>
      <c r="Y158" s="1086" t="n">
        <v>0</v>
      </c>
      <c r="Z158" s="1086" t="n">
        <v>0</v>
      </c>
      <c r="AA158" s="1087" t="n">
        <v>0</v>
      </c>
      <c r="AB158" s="1086" t="n">
        <v>0</v>
      </c>
      <c r="AC158" s="1086" t="n">
        <v>0</v>
      </c>
      <c r="AD158" s="1087" t="n">
        <v>0</v>
      </c>
      <c r="AE158" s="1086" t="n">
        <v>0</v>
      </c>
      <c r="AF158" s="1086" t="n">
        <v>0</v>
      </c>
      <c r="AG158" s="1087" t="n">
        <v>0</v>
      </c>
      <c r="AH158" s="1086" t="n">
        <v>0</v>
      </c>
      <c r="AI158" s="1086" t="n">
        <v>0</v>
      </c>
      <c r="AJ158" s="1087" t="n">
        <v>0</v>
      </c>
      <c r="AK158" s="1086" t="n">
        <v>0</v>
      </c>
      <c r="AL158" s="1086" t="n">
        <v>0</v>
      </c>
      <c r="AM158" s="1087" t="n">
        <v>0</v>
      </c>
      <c r="AN158" s="1086" t="n">
        <v>0</v>
      </c>
      <c r="AO158" s="1086" t="n">
        <v>0</v>
      </c>
      <c r="AP158" s="1087" t="n">
        <v>0</v>
      </c>
      <c r="AQ158" s="1086" t="n">
        <v>0</v>
      </c>
      <c r="AR158" s="1086" t="n">
        <v>0</v>
      </c>
      <c r="AS158" s="1087" t="n">
        <v>0</v>
      </c>
      <c r="AT158" s="1086" t="n">
        <v>0</v>
      </c>
      <c r="AU158" s="1086" t="n">
        <v>0</v>
      </c>
      <c r="AV158" s="1086" t="n">
        <v>0</v>
      </c>
      <c r="AW158" s="1172" t="n">
        <v>0</v>
      </c>
      <c r="AX158" s="807" t="n">
        <f aca="false">BB158-SUM(AY158:BA158)</f>
        <v>21</v>
      </c>
      <c r="AY158" s="807" t="n">
        <f aca="false">IF(AND($E158=MONTH(Summary!$E$24),$D158=YEAR(Summary!$E$24)),Summary!$E$25,1)*IF(G158="",0,INT((H158-MOD(H158,7)-G158)/7)+1-IF(BA158,IF(WEEKDAY(F158)=7,1,0),0))</f>
        <v>5</v>
      </c>
      <c r="AZ158" s="807" t="n">
        <f aca="false">IF(AND($E158=MONTH(Summary!$E$24),$D158=YEAR(Summary!$E$24)),Summary!$E$25,1)*IF(G158="",0,INT((H158-MOD(H158-1,7)-G158)/7)+1-IF(BA158,IF(WEEKDAY(F158)=1,1,0),0))</f>
        <v>5</v>
      </c>
      <c r="BA158" s="807" t="n">
        <v>0</v>
      </c>
      <c r="BB158" s="807" t="n">
        <f aca="false">IF(AND($E158=MONTH(Summary!$E$24),$D158=YEAR(Summary!$E$24)),Summary!$E$25,1)*IF(G158="",0,H158-G158+1)</f>
        <v>31</v>
      </c>
      <c r="BC158" s="1089" t="n">
        <f aca="false">Summary!$E$19</f>
        <v>0.015</v>
      </c>
      <c r="BD158" s="1090" t="n">
        <v>14893.2</v>
      </c>
      <c r="BE158" s="1091" t="n">
        <v>3546</v>
      </c>
      <c r="BF158" s="1091" t="n">
        <v>3546</v>
      </c>
      <c r="BG158" s="842"/>
      <c r="BH158" s="1092" t="n">
        <v>1</v>
      </c>
      <c r="BI158" s="1092" t="n">
        <v>1</v>
      </c>
      <c r="BJ158" s="1092" t="n">
        <v>1</v>
      </c>
      <c r="BK158" s="1092" t="n">
        <v>1</v>
      </c>
      <c r="BL158" s="1093" t="n">
        <v>2978.64</v>
      </c>
      <c r="BM158" s="1091" t="n">
        <v>709.2</v>
      </c>
      <c r="BN158" s="1091" t="n">
        <v>709.2</v>
      </c>
      <c r="BO158" s="842"/>
      <c r="BP158" s="1092" t="n">
        <v>1</v>
      </c>
      <c r="BQ158" s="1094" t="n">
        <v>1</v>
      </c>
      <c r="BR158" s="1094" t="n">
        <v>1</v>
      </c>
      <c r="BS158" s="1095" t="n">
        <v>1</v>
      </c>
      <c r="BT158" s="1093" t="n">
        <f aca="false">SUM(BD158:BF158)</f>
        <v>21985.2</v>
      </c>
      <c r="BU158" s="1098" t="n">
        <f aca="false">SUM(BD158:BG158)</f>
        <v>21985.2</v>
      </c>
      <c r="BV158" s="1090" t="n">
        <f aca="false">SUM(BL158:BN158)</f>
        <v>4397.04</v>
      </c>
      <c r="BW158" s="1098" t="n">
        <f aca="false">SUM(BL158:BO158)</f>
        <v>4397.04</v>
      </c>
      <c r="BX158" s="852" t="n">
        <v>11.7946611909651</v>
      </c>
      <c r="BY158" s="1099" t="n">
        <v>0</v>
      </c>
      <c r="BZ158" s="852" t="n">
        <v>0</v>
      </c>
      <c r="CA158" s="852" t="n">
        <v>0</v>
      </c>
      <c r="CB158" s="852" t="n">
        <v>0</v>
      </c>
      <c r="CC158" s="852" t="n">
        <v>0</v>
      </c>
      <c r="CD158" s="852" t="n">
        <v>0</v>
      </c>
      <c r="CE158" s="1100" t="n">
        <v>0</v>
      </c>
      <c r="CF158" s="852" t="n">
        <v>0</v>
      </c>
      <c r="CG158" s="852" t="n">
        <v>0</v>
      </c>
      <c r="CH158" s="852" t="n">
        <v>0</v>
      </c>
      <c r="CI158" s="852" t="n">
        <v>0</v>
      </c>
      <c r="CJ158" s="1101" t="n">
        <v>0</v>
      </c>
      <c r="CK158" s="852" t="n">
        <v>0</v>
      </c>
      <c r="CL158" s="852" t="n">
        <v>0</v>
      </c>
      <c r="CM158" s="852" t="n">
        <v>0</v>
      </c>
      <c r="CN158" s="852" t="n">
        <v>0</v>
      </c>
      <c r="CO158" s="852" t="n">
        <v>0</v>
      </c>
      <c r="CP158" s="852" t="n">
        <v>0</v>
      </c>
      <c r="CQ158" s="1102" t="n">
        <v>0</v>
      </c>
      <c r="CR158" s="1103" t="n">
        <v>0</v>
      </c>
      <c r="CS158" s="1103" t="n">
        <v>0</v>
      </c>
      <c r="CT158" s="1103" t="n">
        <v>0</v>
      </c>
      <c r="CU158" s="1103" t="n">
        <v>0</v>
      </c>
      <c r="CV158" s="1103" t="n">
        <v>0</v>
      </c>
      <c r="CW158" s="1103" t="n">
        <v>0</v>
      </c>
      <c r="CX158" s="1104" t="n">
        <v>0</v>
      </c>
      <c r="CY158" s="1105" t="n">
        <v>7757.42416</v>
      </c>
      <c r="CZ158" s="1099" t="n">
        <v>0</v>
      </c>
      <c r="DA158" s="852" t="n">
        <v>0</v>
      </c>
      <c r="DB158" s="852" t="n">
        <v>0</v>
      </c>
      <c r="DC158" s="852" t="n">
        <v>0</v>
      </c>
      <c r="DD158" s="852" t="n">
        <v>0</v>
      </c>
      <c r="DE158" s="1113" t="n">
        <v>0</v>
      </c>
      <c r="DF158" s="1109" t="n">
        <v>0</v>
      </c>
      <c r="DG158" s="1110" t="n">
        <v>0</v>
      </c>
      <c r="DH158" s="1111" t="n">
        <v>0</v>
      </c>
      <c r="DI158" s="1112" t="n">
        <v>0</v>
      </c>
      <c r="DJ158" s="1112" t="n">
        <v>0</v>
      </c>
      <c r="DK158" s="1112" t="n">
        <v>0</v>
      </c>
      <c r="DL158" s="1113" t="n">
        <v>0</v>
      </c>
      <c r="DM158" s="1114" t="n">
        <v>0</v>
      </c>
      <c r="DN158" s="1114" t="n">
        <v>0</v>
      </c>
      <c r="DO158" s="1114" t="n">
        <v>0</v>
      </c>
      <c r="DP158" s="1114" t="n">
        <v>0</v>
      </c>
      <c r="DQ158" s="1114" t="n">
        <v>0</v>
      </c>
      <c r="DR158" s="1109" t="n">
        <v>0</v>
      </c>
      <c r="DS158" s="852" t="n">
        <v>0</v>
      </c>
      <c r="DT158" s="852" t="n">
        <v>0</v>
      </c>
      <c r="DU158" s="852" t="n">
        <v>0</v>
      </c>
      <c r="DV158" s="852" t="n">
        <v>0</v>
      </c>
      <c r="DW158" s="852" t="n">
        <v>0</v>
      </c>
      <c r="DX158" s="852" t="n">
        <v>0</v>
      </c>
      <c r="DY158" s="852" t="n">
        <v>0</v>
      </c>
      <c r="DZ158" s="852" t="n">
        <v>0</v>
      </c>
      <c r="EA158" s="852" t="n">
        <v>0</v>
      </c>
      <c r="EB158" s="1113" t="n">
        <v>0</v>
      </c>
      <c r="EC158" s="1115" t="n">
        <f aca="false">DS158*BD158</f>
        <v>0</v>
      </c>
      <c r="ED158" s="1115" t="n">
        <f aca="false">DT158*BE158</f>
        <v>0</v>
      </c>
      <c r="EE158" s="1115" t="n">
        <f aca="false">DU158*BF158</f>
        <v>0</v>
      </c>
      <c r="EF158" s="1115" t="n">
        <f aca="false">DV158*BG158</f>
        <v>0</v>
      </c>
      <c r="EG158" s="1115" t="n">
        <f aca="false">DS158*BD158+DT158*BE158+DU158*BF158+DV158*BG158</f>
        <v>0</v>
      </c>
      <c r="EH158" s="1116" t="n">
        <v>0</v>
      </c>
      <c r="EI158" s="1117" t="n">
        <v>0</v>
      </c>
      <c r="EJ158" s="1117" t="n">
        <v>0</v>
      </c>
      <c r="EK158" s="1117" t="n">
        <v>0</v>
      </c>
      <c r="EL158" s="1118" t="n">
        <f aca="false">IF(C158&gt;=Summary!$E$26,MAX(0,SUM(EH158:EK158)),0)</f>
        <v>0</v>
      </c>
      <c r="EM158" s="1115" t="n">
        <f aca="false">IF(C158&gt;=Summary!$E$26,DX158*BL158,0)</f>
        <v>0</v>
      </c>
      <c r="EN158" s="1115" t="n">
        <f aca="false">IF(C158&gt;=Summary!$E$26,DY158*BM158,0)</f>
        <v>0</v>
      </c>
      <c r="EO158" s="1115" t="n">
        <f aca="false">IF(C158&gt;=Summary!$E$26,DZ158*BN158,0)</f>
        <v>0</v>
      </c>
      <c r="EP158" s="1115" t="n">
        <f aca="false">IF(C158&gt;=Summary!$E$26,EA158*BO158,0)</f>
        <v>0</v>
      </c>
      <c r="EQ158" s="1115" t="n">
        <f aca="false">IF(C158&gt;=Summary!$E$26,DX158*BL158+DY158*BM158+DZ158*BN158+EA158*BO158,0)</f>
        <v>0</v>
      </c>
      <c r="ER158" s="1119" t="n">
        <v>0</v>
      </c>
      <c r="ES158" s="1120" t="n">
        <v>0</v>
      </c>
      <c r="ET158" s="1120" t="n">
        <v>0</v>
      </c>
      <c r="EU158" s="1120" t="n">
        <v>0</v>
      </c>
      <c r="EV158" s="1143" t="n">
        <f aca="false">IF(C158&gt;=Summary!$E$26,MAX(0,SUM(ER158:EU158)),0)</f>
        <v>0</v>
      </c>
      <c r="EW158" s="1115"/>
      <c r="EX158" s="1165" t="n">
        <f aca="false">(EQ158-EV158)+IF(EZ158="Yes",(EG158-EL158),0)</f>
        <v>0</v>
      </c>
      <c r="EY158" s="1166" t="str">
        <f aca="false">IF(EX158,EX158/EQ158,"")</f>
        <v/>
      </c>
      <c r="EZ158" s="1122" t="s">
        <v>37</v>
      </c>
      <c r="FA158" s="1096" t="n">
        <f aca="false">FA157</f>
        <v>45</v>
      </c>
      <c r="FB158" s="1167" t="n">
        <f aca="false">IF(EZ158="No",IF((OR(MONTH(C158)=5,MONTH(C158)=6,MONTH(C158)=7,MONTH(C158)=8,MONTH(C158)=9)),$FA158*12*AX158*(1-$BC158),$FA158*10*AX158*(1-$BC158)),0)</f>
        <v>9308.25</v>
      </c>
      <c r="FC158" s="1129" t="n">
        <f aca="false">IF(EZ158="No",IF((OR(MONTH(C158)=5,MONTH(C158)=6,MONTH(C158)=7,MONTH(C158)=8,MONTH(C158)=9)),0,$FA158*3*AX158*(1-$BC158)),0)</f>
        <v>2792.475</v>
      </c>
      <c r="FD158" s="1129" t="n">
        <f aca="false">IF(EZ158="No",IF((OR(MONTH(C158)=5,MONTH(C158)=6,MONTH(C158)=7,MONTH(C158)=8,MONTH(C158)=9)),$FA158*12*AY158*(1-$BC158),$FA158*10*AY158*(1-$BC158)),0)</f>
        <v>2216.25</v>
      </c>
      <c r="FE158" s="1129" t="n">
        <f aca="false">IF(EZ158="No",IF((OR(MONTH(C158)=5,MONTH(C158)=6,MONTH(C158)=7,MONTH(C158)=8,MONTH(C158)=9)),0,$FA158*3*AY158*(1-$BC158)),0)</f>
        <v>664.875</v>
      </c>
      <c r="FF158" s="1129" t="n">
        <f aca="false">IF(EZ158="No",IF((OR(MONTH(C158)=5,MONTH(C158)=6,MONTH(C158)=7,MONTH(C158)=8,MONTH(C158)=9)),$FA158*12*(AZ158+BA158)*(1-$BC158),$FA158*10*(AZ158+BA158)*(1-$BC158)),0)</f>
        <v>2216.25</v>
      </c>
      <c r="FG158" s="1129" t="n">
        <f aca="false">IF(EZ158="No",IF((OR(MONTH(C158)=5,MONTH(C158)=6,MONTH(C158)=7,MONTH(C158)=8,MONTH(C158)=9)),0,$FA158*3*(AZ158+BA158)*(1-$BC158)),0)</f>
        <v>664.875</v>
      </c>
      <c r="FH158" s="1170" t="n">
        <f aca="false">IF(EZ158="No",IF((OR(MONTH(C158)=5,MONTH(C158)=6,MONTH(C158)=7,MONTH(C158)=8,MONTH(C158)=9)),Summary!$O$15*12*(AX158+AY158+AZ158+BA158)*(1-$BC158),Summary!$O$15*13*(AX158+AY158+AZ158+BA158)*(1-$BC158)+IF(Summary!$O$16="Yes",(CALC!FA158+Summary!$O$15)*6*(AX158+AY158+AZ158+BA158)*(1-$BC158),0)),0)</f>
        <v>0</v>
      </c>
      <c r="FI158" s="1126" t="n">
        <f aca="false">IF(MONTH(C158)=5,FI157*(IF(Summary!$E$70="no",(1+(Summary!$E$71*0.8)),1+HLOOKUP(YEAR(C158)-1,CCFMODEL!$I$127:$AF$128,2)*0.8)),+FI157)</f>
        <v>35.3608870558082</v>
      </c>
      <c r="FJ158" s="1127" t="n">
        <f aca="false">IF(MONTH(C158)=5,FJ157*(IF(Summary!$E$70="no",(1+(Summary!$E$71*0.8)),1+HLOOKUP(YEAR(CALC!C158)-1,CCFMODEL!$I$127:$AF$128,2)*0.8)),FJ157)</f>
        <v>30.9059721511394</v>
      </c>
      <c r="FK158" s="1128" t="n">
        <f aca="false">SUM(FB158:FG158)*FI158+FH158*FJ158</f>
        <v>631650.641455725</v>
      </c>
      <c r="FL158" s="1126" t="n">
        <f aca="false">IF(MONTH(C158)=5,FL157*(IF(Summary!$E$70="no",(1+(Summary!$E$71*0.8)),1+HLOOKUP(YEAR(CALC!C158)-1,CCFMODEL!$I$127:$AF$128,2)*0.8)),+FL157)</f>
        <v>74.3679098222827</v>
      </c>
      <c r="FM158" s="1127" t="n">
        <f aca="false">IF(MONTH(C158)=5,FM157*(IF(Summary!$E$70="no",(1+(Summary!$E$71*0.8)),1+HLOOKUP(YEAR(CALC!C158)-1,CCFMODEL!$I$127:$AF$128,2)*0.8)),+FM157)</f>
        <v>35.4934738089233</v>
      </c>
      <c r="FN158" s="1128" t="n">
        <f aca="false">IF((OR(MONTH(C158)=5,MONTH(C158)=6,MONTH(C158)=7,MONTH(C158)=8,MONTH(C158)=9)),SUM(FB158:FG158)/(1-BC158)*FL158,SUM(FB158:FG158)/(1-BC158)*FM158)</f>
        <v>643674.147524824</v>
      </c>
      <c r="FO158" s="1129" t="n">
        <f aca="false">FK158+FN158</f>
        <v>1275324.78898055</v>
      </c>
      <c r="FP158" s="1169" t="n">
        <f aca="false">FB158</f>
        <v>9308.25</v>
      </c>
      <c r="FQ158" s="1129" t="n">
        <f aca="false">FC158</f>
        <v>2792.475</v>
      </c>
      <c r="FR158" s="1129" t="n">
        <f aca="false">FD158</f>
        <v>2216.25</v>
      </c>
      <c r="FS158" s="1129" t="n">
        <f aca="false">FE158</f>
        <v>664.875</v>
      </c>
      <c r="FT158" s="1129" t="n">
        <f aca="false">FF158</f>
        <v>2216.25</v>
      </c>
      <c r="FU158" s="1129" t="n">
        <f aca="false">FG158</f>
        <v>664.875</v>
      </c>
      <c r="FV158" s="1170" t="n">
        <f aca="false">FH158</f>
        <v>0</v>
      </c>
      <c r="FW158" s="1115" t="n">
        <f aca="false">IF(ER158&gt;0,MIN(FB158-FP158,BL158),0)</f>
        <v>0</v>
      </c>
      <c r="FX158" s="1115" t="n">
        <f aca="false">IF(ES158&gt;0,MIN(FD158-FR158,BM158),0)</f>
        <v>0</v>
      </c>
      <c r="FY158" s="1115" t="n">
        <f aca="false">IF(ET158&gt;0,MIN(FF158-FT158,BN158),0)</f>
        <v>0</v>
      </c>
      <c r="FZ158" s="1143" t="n">
        <f aca="false">IF(EU158&gt;0,MIN(FH158-FV158,BO158),0)</f>
        <v>0</v>
      </c>
      <c r="GA158" s="1132" t="n">
        <f aca="false">(SUM(FP158:FV158)+SUM(GU158:HB158)/(1-Summary!$O$25))*CY158/1000</f>
        <v>236636.073778874</v>
      </c>
      <c r="GB158" s="1133" t="n">
        <f aca="false">IF($C158&lt;Summary!$M$81,+Summary!$O$81,VLOOKUP(C158,GasTable,19))</f>
        <v>3.56889081916992</v>
      </c>
      <c r="GC158" s="1134" t="n">
        <f aca="false">IF(H158&lt;=Summary!$N$84,MIN(GA158,Summary!$O$75*(H158-G158+1)),0)</f>
        <v>0</v>
      </c>
      <c r="GD158" s="1135" t="n">
        <f aca="false">IF(C158&lt;Summary!$N$84,IF(Summary!$O$75*(H158-G158+1)*0.8&gt;GC158,1,0),0)</f>
        <v>0</v>
      </c>
      <c r="GE158" s="1136" t="n">
        <v>0</v>
      </c>
      <c r="GF158" s="1134" t="n">
        <f aca="false">ABS(MIN(0,GC158-$GA158))</f>
        <v>236636.073778874</v>
      </c>
      <c r="GG158" s="1135" t="n">
        <f aca="false">GF158*(IF(Summary!$O$74=1,VLOOKUP($C158,GasTable,16)+Summary!$O$92+Summary!$O$93,VLOOKUP($C158,GasTable,19)+Summary!$O$92+Summary!$O$93))</f>
        <v>856857.05063772</v>
      </c>
      <c r="GH158" s="1137" t="n">
        <v>5531.78076971338</v>
      </c>
      <c r="GI158" s="1138" t="n">
        <v>0</v>
      </c>
      <c r="GJ158" s="1139" t="n">
        <f aca="false">+GB158*GC158+GE158+GG158+GH158-GI158</f>
        <v>862388.831407433</v>
      </c>
      <c r="GK158" s="1115" t="n">
        <f aca="false">SUM(FP158:FV158,GU158:GX158,GY158:HB158)</f>
        <v>30062.01285</v>
      </c>
      <c r="GL158" s="1140" t="n">
        <v>0.51974741872</v>
      </c>
      <c r="GM158" s="1141" t="n">
        <f aca="false">IF(GK158&gt;GC158/(CY158/1000),GC158/(CY158/1000),+GK158)*GL158</f>
        <v>0</v>
      </c>
      <c r="GN158" s="1115" t="n">
        <f aca="false">IF(SUM(GU158:HB158)=0,0,IF(Summary!$O$16="Yes",SUM(GX158:HB158),IF(Summary!$O$17="Yes",SUM(GY158:HB158),SUM(GU158:HB158))))</f>
        <v>12199.03785</v>
      </c>
      <c r="GO158" s="1142" t="n">
        <v>3.29381985902785</v>
      </c>
      <c r="GP158" s="1143" t="n">
        <f aca="false">GN158*GO158</f>
        <v>40181.4331313624</v>
      </c>
      <c r="GQ158" s="1115"/>
      <c r="GR158" s="1115"/>
      <c r="GS158" s="1115"/>
      <c r="GT158" s="1115"/>
      <c r="GU158" s="1150" t="n">
        <v>5389.47675</v>
      </c>
      <c r="GV158" s="1115" t="n">
        <v>1283.20875</v>
      </c>
      <c r="GW158" s="1115" t="n">
        <v>1283.20875</v>
      </c>
      <c r="GX158" s="1115"/>
      <c r="GY158" s="1151" t="n">
        <v>2874.3876</v>
      </c>
      <c r="GZ158" s="1115" t="n">
        <v>684.378</v>
      </c>
      <c r="HA158" s="1115" t="n">
        <v>684.378</v>
      </c>
      <c r="HB158" s="1141"/>
      <c r="HC158" s="1115" t="n">
        <v>12199.03785</v>
      </c>
      <c r="HD158" s="1115"/>
      <c r="HE158" s="1115" t="n">
        <v>20950.521525</v>
      </c>
      <c r="HF158" s="1115" t="n">
        <v>598437.766820648</v>
      </c>
      <c r="HG158" s="1115"/>
      <c r="HH158" s="1142" t="n">
        <v>48.2802504293234</v>
      </c>
      <c r="HI158" s="1115" t="n">
        <v>1011496.42585193</v>
      </c>
      <c r="HJ158" s="1150" t="n">
        <f aca="false">MAX(FB158-FP158-FW158,0)</f>
        <v>0</v>
      </c>
      <c r="HK158" s="1115" t="n">
        <f aca="false">MAX(FD158-FR158-FX158,0)</f>
        <v>0</v>
      </c>
      <c r="HL158" s="1115" t="n">
        <f aca="false">MAX(FF158-FT158-FY158,0)</f>
        <v>0</v>
      </c>
      <c r="HM158" s="1141" t="n">
        <f aca="false">MAX(FH158-FV158-FZ158,0)</f>
        <v>0</v>
      </c>
      <c r="HN158" s="1115" t="n">
        <f aca="false">SUM(HJ158:HM158)</f>
        <v>0</v>
      </c>
      <c r="HO158" s="1142" t="n">
        <f aca="false">IF(ISERROR(+HP158/HN158),0,+HP158/HN158)</f>
        <v>0</v>
      </c>
      <c r="HP158" s="1143" t="n">
        <f aca="false">(HJ158*CE158+HK158*CF158+HL158*CG158+HM158*CH158)</f>
        <v>0</v>
      </c>
      <c r="HQ158" s="1142"/>
      <c r="HR158" s="1150"/>
      <c r="HS158" s="1110"/>
      <c r="HT158" s="1141"/>
      <c r="HU158" s="1151"/>
      <c r="HV158" s="1142"/>
      <c r="HW158" s="1115"/>
      <c r="HX158" s="1149"/>
      <c r="HY158" s="1143"/>
      <c r="HZ158" s="1150"/>
      <c r="IA158" s="1142"/>
      <c r="IB158" s="1141"/>
      <c r="IC158" s="1151"/>
      <c r="ID158" s="1142"/>
      <c r="IE158" s="1141"/>
      <c r="IF158" s="1115"/>
      <c r="IG158" s="1142"/>
      <c r="IH158" s="1141"/>
      <c r="II158" s="1115"/>
      <c r="IJ158" s="1142"/>
      <c r="IK158" s="1115"/>
      <c r="IL158" s="1152"/>
      <c r="IM158" s="1192"/>
      <c r="IN158" s="1151"/>
      <c r="IO158" s="1151"/>
      <c r="IP158" s="1151"/>
      <c r="IQ158" s="1151"/>
      <c r="IR158" s="844"/>
    </row>
    <row r="159" customFormat="false" ht="13.5" hidden="false" customHeight="false" outlineLevel="0" collapsed="false">
      <c r="A159" s="0" t="str">
        <f aca="false">+D159&amp;"Q"&amp;ROUNDUP(E159/3,0)</f>
        <v>2011Q4</v>
      </c>
      <c r="B159" s="0" t="n">
        <f aca="false">YEAR(C159)</f>
        <v>2011</v>
      </c>
      <c r="C159" s="1153" t="n">
        <f aca="false">EOMONTH(C158,0)+1</f>
        <v>40848</v>
      </c>
      <c r="D159" s="841" t="n">
        <f aca="false">+YEAR(C159)</f>
        <v>2011</v>
      </c>
      <c r="E159" s="807" t="n">
        <f aca="false">MONTH(C159)</f>
        <v>11</v>
      </c>
      <c r="F159" s="1154" t="e">
        <f aca="false">IF(G159="","",Holiday(D159,E159))</f>
        <v>#VALUE!</v>
      </c>
      <c r="G159" s="1155" t="n">
        <v>40848</v>
      </c>
      <c r="H159" s="1156" t="n">
        <v>40877</v>
      </c>
      <c r="I159" s="1157" t="n">
        <f aca="false">I158</f>
        <v>0.0715</v>
      </c>
      <c r="J159" s="1158" t="n">
        <f aca="false">(1+I159/2)^(-2*(DATE(D160,E160,20)-$H$7)/365.25)</f>
        <v>0.429995326286463</v>
      </c>
      <c r="K159" s="1159"/>
      <c r="L159" s="1158"/>
      <c r="M159" s="1082" t="n">
        <v>0</v>
      </c>
      <c r="N159" s="1110" t="n">
        <f aca="false">M159</f>
        <v>0</v>
      </c>
      <c r="O159" s="1174" t="n">
        <f aca="false">N159</f>
        <v>0</v>
      </c>
      <c r="P159" s="1175" t="n">
        <f aca="false">M159</f>
        <v>0</v>
      </c>
      <c r="Q159" s="1110" t="n">
        <f aca="false">P159</f>
        <v>0</v>
      </c>
      <c r="R159" s="1174" t="n">
        <f aca="false">Q159</f>
        <v>0</v>
      </c>
      <c r="S159" s="1110" t="n">
        <f aca="false">R159</f>
        <v>0</v>
      </c>
      <c r="T159" s="1110" t="n">
        <f aca="false">S159</f>
        <v>0</v>
      </c>
      <c r="U159" s="1110" t="n">
        <f aca="false">T159</f>
        <v>0</v>
      </c>
      <c r="V159" s="1175" t="n">
        <f aca="false">U159</f>
        <v>0</v>
      </c>
      <c r="W159" s="1110" t="n">
        <f aca="false">V159</f>
        <v>0</v>
      </c>
      <c r="X159" s="1176" t="n">
        <f aca="false">W159</f>
        <v>0</v>
      </c>
      <c r="Y159" s="1086" t="n">
        <v>0</v>
      </c>
      <c r="Z159" s="1086" t="n">
        <v>0</v>
      </c>
      <c r="AA159" s="1087" t="n">
        <v>0</v>
      </c>
      <c r="AB159" s="1086" t="n">
        <v>0</v>
      </c>
      <c r="AC159" s="1086" t="n">
        <v>0</v>
      </c>
      <c r="AD159" s="1087" t="n">
        <v>0</v>
      </c>
      <c r="AE159" s="1086" t="n">
        <v>0</v>
      </c>
      <c r="AF159" s="1086" t="n">
        <v>0</v>
      </c>
      <c r="AG159" s="1087" t="n">
        <v>0</v>
      </c>
      <c r="AH159" s="1086" t="n">
        <v>0</v>
      </c>
      <c r="AI159" s="1086" t="n">
        <v>0</v>
      </c>
      <c r="AJ159" s="1087" t="n">
        <v>0</v>
      </c>
      <c r="AK159" s="1086" t="n">
        <v>0</v>
      </c>
      <c r="AL159" s="1086" t="n">
        <v>0</v>
      </c>
      <c r="AM159" s="1087" t="n">
        <v>0</v>
      </c>
      <c r="AN159" s="1086" t="n">
        <v>0</v>
      </c>
      <c r="AO159" s="1086" t="n">
        <v>0</v>
      </c>
      <c r="AP159" s="1087" t="n">
        <v>0</v>
      </c>
      <c r="AQ159" s="1086" t="n">
        <v>0</v>
      </c>
      <c r="AR159" s="1086" t="n">
        <v>0</v>
      </c>
      <c r="AS159" s="1087" t="n">
        <v>0</v>
      </c>
      <c r="AT159" s="1086" t="n">
        <v>0</v>
      </c>
      <c r="AU159" s="1086" t="n">
        <v>0</v>
      </c>
      <c r="AV159" s="1086" t="n">
        <v>0</v>
      </c>
      <c r="AW159" s="1172" t="n">
        <v>0</v>
      </c>
      <c r="AX159" s="807" t="e">
        <f aca="false">BB159-SUM(AY159:BA159)</f>
        <v>#VALUE!</v>
      </c>
      <c r="AY159" s="807" t="e">
        <f aca="false">IF(AND($E159=MONTH(Summary!$E$24),$D159=YEAR(Summary!$E$24)),Summary!$E$25,1)*IF(G159="",0,INT((H159-MOD(H159,7)-G159)/7)+1-IF(BA159,IF(WEEKDAY(F159)=7,1,0),0))</f>
        <v>#VALUE!</v>
      </c>
      <c r="AZ159" s="807" t="e">
        <f aca="false">IF(AND($E159=MONTH(Summary!$E$24),$D159=YEAR(Summary!$E$24)),Summary!$E$25,1)*IF(G159="",0,INT((H159-MOD(H159-1,7)-G159)/7)+1-IF(BA159,IF(WEEKDAY(F159)=1,1,0),0))</f>
        <v>#VALUE!</v>
      </c>
      <c r="BA159" s="807" t="n">
        <v>1</v>
      </c>
      <c r="BB159" s="807" t="n">
        <f aca="false">IF(AND($E159=MONTH(Summary!$E$24),$D159=YEAR(Summary!$E$24)),Summary!$E$25,1)*IF(G159="",0,H159-G159+1)</f>
        <v>30</v>
      </c>
      <c r="BC159" s="1089" t="n">
        <f aca="false">Summary!$E$19</f>
        <v>0.015</v>
      </c>
      <c r="BD159" s="1090" t="n">
        <v>14893.2</v>
      </c>
      <c r="BE159" s="1091" t="n">
        <v>2836.8</v>
      </c>
      <c r="BF159" s="1091" t="n">
        <v>3546</v>
      </c>
      <c r="BG159" s="842"/>
      <c r="BH159" s="1092" t="n">
        <v>1</v>
      </c>
      <c r="BI159" s="1092" t="n">
        <v>1</v>
      </c>
      <c r="BJ159" s="1092" t="n">
        <v>1</v>
      </c>
      <c r="BK159" s="1092" t="n">
        <v>1</v>
      </c>
      <c r="BL159" s="1093" t="n">
        <v>2978.64</v>
      </c>
      <c r="BM159" s="1091" t="n">
        <v>567.36</v>
      </c>
      <c r="BN159" s="1091" t="n">
        <v>709.2</v>
      </c>
      <c r="BO159" s="842"/>
      <c r="BP159" s="1092" t="n">
        <v>1</v>
      </c>
      <c r="BQ159" s="1094" t="n">
        <v>1</v>
      </c>
      <c r="BR159" s="1094" t="n">
        <v>1</v>
      </c>
      <c r="BS159" s="1095" t="n">
        <v>1</v>
      </c>
      <c r="BT159" s="1093" t="n">
        <f aca="false">SUM(BD159:BF159)</f>
        <v>21276</v>
      </c>
      <c r="BU159" s="1098" t="n">
        <f aca="false">SUM(BD159:BG159)</f>
        <v>21276</v>
      </c>
      <c r="BV159" s="1090" t="n">
        <f aca="false">SUM(BL159:BN159)</f>
        <v>4255.2</v>
      </c>
      <c r="BW159" s="1098" t="n">
        <f aca="false">SUM(BL159:BO159)</f>
        <v>4255.2</v>
      </c>
      <c r="BX159" s="852" t="n">
        <v>11.8795345653662</v>
      </c>
      <c r="BY159" s="1099" t="n">
        <v>0</v>
      </c>
      <c r="BZ159" s="852" t="n">
        <v>0</v>
      </c>
      <c r="CA159" s="852" t="n">
        <v>0</v>
      </c>
      <c r="CB159" s="852" t="n">
        <v>0</v>
      </c>
      <c r="CC159" s="852" t="n">
        <v>0</v>
      </c>
      <c r="CD159" s="852" t="n">
        <v>0</v>
      </c>
      <c r="CE159" s="1100" t="n">
        <v>0</v>
      </c>
      <c r="CF159" s="852" t="n">
        <v>0</v>
      </c>
      <c r="CG159" s="852" t="n">
        <v>0</v>
      </c>
      <c r="CH159" s="852" t="n">
        <v>0</v>
      </c>
      <c r="CI159" s="852" t="n">
        <v>0</v>
      </c>
      <c r="CJ159" s="1101" t="n">
        <v>0</v>
      </c>
      <c r="CK159" s="852" t="n">
        <v>0</v>
      </c>
      <c r="CL159" s="852" t="n">
        <v>0</v>
      </c>
      <c r="CM159" s="852" t="n">
        <v>0</v>
      </c>
      <c r="CN159" s="852" t="n">
        <v>0</v>
      </c>
      <c r="CO159" s="852" t="n">
        <v>0</v>
      </c>
      <c r="CP159" s="852" t="n">
        <v>0</v>
      </c>
      <c r="CQ159" s="1102" t="n">
        <v>0</v>
      </c>
      <c r="CR159" s="1103" t="n">
        <v>0</v>
      </c>
      <c r="CS159" s="1103" t="n">
        <v>0</v>
      </c>
      <c r="CT159" s="1103" t="n">
        <v>0</v>
      </c>
      <c r="CU159" s="1103" t="n">
        <v>0</v>
      </c>
      <c r="CV159" s="1103" t="n">
        <v>0</v>
      </c>
      <c r="CW159" s="1103" t="n">
        <v>0</v>
      </c>
      <c r="CX159" s="1104" t="n">
        <v>0</v>
      </c>
      <c r="CY159" s="1105" t="n">
        <v>7759.45512</v>
      </c>
      <c r="CZ159" s="1099" t="n">
        <v>0</v>
      </c>
      <c r="DA159" s="852" t="n">
        <v>0</v>
      </c>
      <c r="DB159" s="852" t="n">
        <v>0</v>
      </c>
      <c r="DC159" s="852" t="n">
        <v>0</v>
      </c>
      <c r="DD159" s="852" t="n">
        <v>0</v>
      </c>
      <c r="DE159" s="1113" t="n">
        <v>0</v>
      </c>
      <c r="DF159" s="1109" t="n">
        <v>0</v>
      </c>
      <c r="DG159" s="1110" t="n">
        <v>0</v>
      </c>
      <c r="DH159" s="1111" t="n">
        <v>0</v>
      </c>
      <c r="DI159" s="1112" t="n">
        <v>0</v>
      </c>
      <c r="DJ159" s="1112" t="n">
        <v>0</v>
      </c>
      <c r="DK159" s="1112" t="n">
        <v>0</v>
      </c>
      <c r="DL159" s="1113" t="n">
        <v>0</v>
      </c>
      <c r="DM159" s="1114" t="n">
        <v>0</v>
      </c>
      <c r="DN159" s="1114" t="n">
        <v>0</v>
      </c>
      <c r="DO159" s="1114" t="n">
        <v>0</v>
      </c>
      <c r="DP159" s="1114" t="n">
        <v>0</v>
      </c>
      <c r="DQ159" s="1114" t="n">
        <v>0</v>
      </c>
      <c r="DR159" s="1109" t="n">
        <v>0</v>
      </c>
      <c r="DS159" s="852" t="n">
        <v>0</v>
      </c>
      <c r="DT159" s="852" t="n">
        <v>0</v>
      </c>
      <c r="DU159" s="852" t="n">
        <v>0</v>
      </c>
      <c r="DV159" s="852" t="n">
        <v>0</v>
      </c>
      <c r="DW159" s="852" t="n">
        <v>0</v>
      </c>
      <c r="DX159" s="852" t="n">
        <v>0</v>
      </c>
      <c r="DY159" s="852" t="n">
        <v>0</v>
      </c>
      <c r="DZ159" s="852" t="n">
        <v>0</v>
      </c>
      <c r="EA159" s="852" t="n">
        <v>0</v>
      </c>
      <c r="EB159" s="1113" t="n">
        <v>0</v>
      </c>
      <c r="EC159" s="1115" t="n">
        <f aca="false">DS159*BD159</f>
        <v>0</v>
      </c>
      <c r="ED159" s="1115" t="n">
        <f aca="false">DT159*BE159</f>
        <v>0</v>
      </c>
      <c r="EE159" s="1115" t="n">
        <f aca="false">DU159*BF159</f>
        <v>0</v>
      </c>
      <c r="EF159" s="1115" t="n">
        <f aca="false">DV159*BG159</f>
        <v>0</v>
      </c>
      <c r="EG159" s="1115" t="n">
        <f aca="false">DS159*BD159+DT159*BE159+DU159*BF159+DV159*BG159</f>
        <v>0</v>
      </c>
      <c r="EH159" s="1116" t="n">
        <v>0</v>
      </c>
      <c r="EI159" s="1117" t="n">
        <v>0</v>
      </c>
      <c r="EJ159" s="1117" t="n">
        <v>0</v>
      </c>
      <c r="EK159" s="1117" t="n">
        <v>0</v>
      </c>
      <c r="EL159" s="1118" t="n">
        <f aca="false">IF(C159&gt;=Summary!$E$26,MAX(0,SUM(EH159:EK159)),0)</f>
        <v>0</v>
      </c>
      <c r="EM159" s="1115" t="n">
        <f aca="false">IF(C159&gt;=Summary!$E$26,DX159*BL159,0)</f>
        <v>0</v>
      </c>
      <c r="EN159" s="1115" t="n">
        <f aca="false">IF(C159&gt;=Summary!$E$26,DY159*BM159,0)</f>
        <v>0</v>
      </c>
      <c r="EO159" s="1115" t="n">
        <f aca="false">IF(C159&gt;=Summary!$E$26,DZ159*BN159,0)</f>
        <v>0</v>
      </c>
      <c r="EP159" s="1115" t="n">
        <f aca="false">IF(C159&gt;=Summary!$E$26,EA159*BO159,0)</f>
        <v>0</v>
      </c>
      <c r="EQ159" s="1115" t="n">
        <f aca="false">IF(C159&gt;=Summary!$E$26,DX159*BL159+DY159*BM159+DZ159*BN159+EA159*BO159,0)</f>
        <v>0</v>
      </c>
      <c r="ER159" s="1119" t="n">
        <v>0</v>
      </c>
      <c r="ES159" s="1120" t="n">
        <v>0</v>
      </c>
      <c r="ET159" s="1120" t="n">
        <v>0</v>
      </c>
      <c r="EU159" s="1120" t="n">
        <v>0</v>
      </c>
      <c r="EV159" s="1143" t="n">
        <f aca="false">IF(C159&gt;=Summary!$E$26,MAX(0,SUM(ER159:EU159)),0)</f>
        <v>0</v>
      </c>
      <c r="EW159" s="1115"/>
      <c r="EX159" s="1165" t="n">
        <f aca="false">(EQ159-EV159)+IF(EZ159="Yes",(EG159-EL159),0)</f>
        <v>0</v>
      </c>
      <c r="EY159" s="1166" t="str">
        <f aca="false">IF(EX159,EX159/EQ159,"")</f>
        <v/>
      </c>
      <c r="EZ159" s="1122" t="s">
        <v>37</v>
      </c>
      <c r="FA159" s="1096" t="n">
        <f aca="false">FA158</f>
        <v>45</v>
      </c>
      <c r="FB159" s="1167" t="e">
        <f aca="false">IF(EZ159="No",IF((OR(MONTH(C159)=5,MONTH(C159)=6,MONTH(C159)=7,MONTH(C159)=8,MONTH(C159)=9)),$FA159*12*AX159*(1-$BC159),$FA159*10*AX159*(1-$BC159)),0)</f>
        <v>#VALUE!</v>
      </c>
      <c r="FC159" s="1129" t="e">
        <f aca="false">IF(EZ159="No",IF((OR(MONTH(C159)=5,MONTH(C159)=6,MONTH(C159)=7,MONTH(C159)=8,MONTH(C159)=9)),0,$FA159*3*AX159*(1-$BC159)),0)</f>
        <v>#VALUE!</v>
      </c>
      <c r="FD159" s="1129" t="e">
        <f aca="false">IF(EZ159="No",IF((OR(MONTH(C159)=5,MONTH(C159)=6,MONTH(C159)=7,MONTH(C159)=8,MONTH(C159)=9)),$FA159*12*AY159*(1-$BC159),$FA159*10*AY159*(1-$BC159)),0)</f>
        <v>#VALUE!</v>
      </c>
      <c r="FE159" s="1129" t="e">
        <f aca="false">IF(EZ159="No",IF((OR(MONTH(C159)=5,MONTH(C159)=6,MONTH(C159)=7,MONTH(C159)=8,MONTH(C159)=9)),0,$FA159*3*AY159*(1-$BC159)),0)</f>
        <v>#VALUE!</v>
      </c>
      <c r="FF159" s="1129" t="e">
        <f aca="false">IF(EZ159="No",IF((OR(MONTH(C159)=5,MONTH(C159)=6,MONTH(C159)=7,MONTH(C159)=8,MONTH(C159)=9)),$FA159*12*(AZ159+BA159)*(1-$BC159),$FA159*10*(AZ159+BA159)*(1-$BC159)),0)</f>
        <v>#VALUE!</v>
      </c>
      <c r="FG159" s="1129" t="e">
        <f aca="false">IF(EZ159="No",IF((OR(MONTH(C159)=5,MONTH(C159)=6,MONTH(C159)=7,MONTH(C159)=8,MONTH(C159)=9)),0,$FA159*3*(AZ159+BA159)*(1-$BC159)),0)</f>
        <v>#VALUE!</v>
      </c>
      <c r="FH159" s="1170" t="e">
        <f aca="false">IF(EZ159="No",IF((OR(MONTH(C159)=5,MONTH(C159)=6,MONTH(C159)=7,MONTH(C159)=8,MONTH(C159)=9)),Summary!$O$15*12*(AX159+AY159+AZ159+BA159)*(1-$BC159),Summary!$O$15*13*(AX159+AY159+AZ159+BA159)*(1-$BC159)+IF(Summary!$O$16="Yes",(CALC!FA159+Summary!$O$15)*6*(AX159+AY159+AZ159+BA159)*(1-$BC159),0)),0)</f>
        <v>#VALUE!</v>
      </c>
      <c r="FI159" s="1126" t="n">
        <f aca="false">IF(MONTH(C159)=5,FI158*(IF(Summary!$E$70="no",(1+(Summary!$E$71*0.8)),1+HLOOKUP(YEAR(C159)-1,CCFMODEL!$I$127:$AF$128,2)*0.8)),+FI158)</f>
        <v>35.3608870558082</v>
      </c>
      <c r="FJ159" s="1127" t="n">
        <f aca="false">IF(MONTH(C159)=5,FJ158*(IF(Summary!$E$70="no",(1+(Summary!$E$71*0.8)),1+HLOOKUP(YEAR(CALC!C159)-1,CCFMODEL!$I$127:$AF$128,2)*0.8)),FJ158)</f>
        <v>30.9059721511394</v>
      </c>
      <c r="FK159" s="1128" t="e">
        <f aca="false">SUM(FB159:FG159)*FI159+FH159*FJ159</f>
        <v>#VALUE!</v>
      </c>
      <c r="FL159" s="1126" t="n">
        <f aca="false">IF(MONTH(C159)=5,FL158*(IF(Summary!$E$70="no",(1+(Summary!$E$71*0.8)),1+HLOOKUP(YEAR(CALC!C159)-1,CCFMODEL!$I$127:$AF$128,2)*0.8)),+FL158)</f>
        <v>74.3679098222827</v>
      </c>
      <c r="FM159" s="1127" t="n">
        <f aca="false">IF(MONTH(C159)=5,FM158*(IF(Summary!$E$70="no",(1+(Summary!$E$71*0.8)),1+HLOOKUP(YEAR(CALC!C159)-1,CCFMODEL!$I$127:$AF$128,2)*0.8)),+FM158)</f>
        <v>35.4934738089233</v>
      </c>
      <c r="FN159" s="1128" t="e">
        <f aca="false">IF((OR(MONTH(C159)=5,MONTH(C159)=6,MONTH(C159)=7,MONTH(C159)=8,MONTH(C159)=9)),SUM(FB159:FG159)/(1-BC159)*FL159,SUM(FB159:FG159)/(1-BC159)*FM159)</f>
        <v>#VALUE!</v>
      </c>
      <c r="FO159" s="1129" t="e">
        <f aca="false">FK159+FN159</f>
        <v>#VALUE!</v>
      </c>
      <c r="FP159" s="1169" t="e">
        <f aca="false">FB159</f>
        <v>#VALUE!</v>
      </c>
      <c r="FQ159" s="1129" t="e">
        <f aca="false">FC159</f>
        <v>#VALUE!</v>
      </c>
      <c r="FR159" s="1129" t="e">
        <f aca="false">FD159</f>
        <v>#VALUE!</v>
      </c>
      <c r="FS159" s="1129" t="e">
        <f aca="false">FE159</f>
        <v>#VALUE!</v>
      </c>
      <c r="FT159" s="1129" t="e">
        <f aca="false">FF159</f>
        <v>#VALUE!</v>
      </c>
      <c r="FU159" s="1129" t="e">
        <f aca="false">FG159</f>
        <v>#VALUE!</v>
      </c>
      <c r="FV159" s="1170" t="e">
        <f aca="false">FH159</f>
        <v>#VALUE!</v>
      </c>
      <c r="FW159" s="1115" t="n">
        <f aca="false">IF(ER159&gt;0,MIN(FB159-FP159,BL159),0)</f>
        <v>0</v>
      </c>
      <c r="FX159" s="1115" t="n">
        <f aca="false">IF(ES159&gt;0,MIN(FD159-FR159,BM159),0)</f>
        <v>0</v>
      </c>
      <c r="FY159" s="1115" t="n">
        <f aca="false">IF(ET159&gt;0,MIN(FF159-FT159,BN159),0)</f>
        <v>0</v>
      </c>
      <c r="FZ159" s="1143" t="n">
        <f aca="false">IF(EU159&gt;0,MIN(FH159-FV159,BO159),0)</f>
        <v>0</v>
      </c>
      <c r="GA159" s="1132" t="e">
        <f aca="false">(SUM(FP159:FV159)+SUM(GU159:HB159)/(1-Summary!$O$25))*CY159/1000</f>
        <v>#VALUE!</v>
      </c>
      <c r="GB159" s="1133" t="n">
        <f aca="false">IF($C159&lt;Summary!$M$81,+Summary!$O$81,VLOOKUP(C159,GasTable,19))</f>
        <v>3.71863133813216</v>
      </c>
      <c r="GC159" s="1134" t="n">
        <f aca="false">IF(H159&lt;=Summary!$N$84,MIN(GA159,Summary!$O$75*(H159-G159+1)),0)</f>
        <v>0</v>
      </c>
      <c r="GD159" s="1135" t="n">
        <f aca="false">IF(C159&lt;Summary!$N$84,IF(Summary!$O$75*(H159-G159+1)*0.8&gt;GC159,1,0),0)</f>
        <v>0</v>
      </c>
      <c r="GE159" s="1136" t="n">
        <v>0</v>
      </c>
      <c r="GF159" s="1134" t="e">
        <f aca="false">ABS(MIN(0,GC159-$GA159))</f>
        <v>#VALUE!</v>
      </c>
      <c r="GG159" s="1135" t="e">
        <f aca="false">GF159*(IF(Summary!$O$74=1,VLOOKUP($C159,GasTable,16)+Summary!$O$92+Summary!$O$93,VLOOKUP($C159,GasTable,19)+Summary!$O$92+Summary!$O$93))</f>
        <v>#VALUE!</v>
      </c>
      <c r="GH159" s="1137" t="n">
        <v>5577.94700719824</v>
      </c>
      <c r="GI159" s="1138" t="n">
        <v>0</v>
      </c>
      <c r="GJ159" s="1139" t="e">
        <f aca="false">+GB159*GC159+GE159+GG159+GH159-GI159</f>
        <v>#VALUE!</v>
      </c>
      <c r="GK159" s="1115" t="e">
        <f aca="false">SUM(FP159:FV159,GU159:GX159,GY159:HB159)</f>
        <v>#VALUE!</v>
      </c>
      <c r="GL159" s="1140" t="n">
        <v>0.51988349304</v>
      </c>
      <c r="GM159" s="1141" t="e">
        <f aca="false">IF(GK159&gt;GC159/(CY159/1000),GC159/(CY159/1000),+GK159)*GL159</f>
        <v>#VALUE!</v>
      </c>
      <c r="GN159" s="1115" t="n">
        <f aca="false">IF(SUM(GU159:HB159)=0,0,IF(Summary!$O$16="Yes",SUM(GX159:HB159),IF(Summary!$O$17="Yes",SUM(GY159:HB159),SUM(GU159:HB159))))</f>
        <v>11805.5205</v>
      </c>
      <c r="GO159" s="1142" t="n">
        <v>3.29381985902785</v>
      </c>
      <c r="GP159" s="1143" t="n">
        <f aca="false">GN159*GO159</f>
        <v>38885.2578690604</v>
      </c>
      <c r="GQ159" s="1115"/>
      <c r="GR159" s="1115"/>
      <c r="GS159" s="1115"/>
      <c r="GT159" s="1115"/>
      <c r="GU159" s="1150" t="n">
        <v>5389.47675</v>
      </c>
      <c r="GV159" s="1115" t="n">
        <v>1026.567</v>
      </c>
      <c r="GW159" s="1115" t="n">
        <v>1283.20875</v>
      </c>
      <c r="GX159" s="1115"/>
      <c r="GY159" s="1151" t="n">
        <v>2874.3876</v>
      </c>
      <c r="GZ159" s="1115" t="n">
        <v>547.5024</v>
      </c>
      <c r="HA159" s="1115" t="n">
        <v>684.378</v>
      </c>
      <c r="HB159" s="1141"/>
      <c r="HC159" s="1115" t="n">
        <v>11805.5205</v>
      </c>
      <c r="HD159" s="1115"/>
      <c r="HE159" s="1115" t="n">
        <v>20274.69825</v>
      </c>
      <c r="HF159" s="1115" t="n">
        <v>575823.245658966</v>
      </c>
      <c r="HG159" s="1115"/>
      <c r="HH159" s="1142" t="n">
        <v>48.4886305209419</v>
      </c>
      <c r="HI159" s="1115" t="n">
        <v>983092.352367838</v>
      </c>
      <c r="HJ159" s="1150" t="e">
        <f aca="false">MAX(FB159-FP159-FW159,0)</f>
        <v>#VALUE!</v>
      </c>
      <c r="HK159" s="1115" t="e">
        <f aca="false">MAX(FD159-FR159-FX159,0)</f>
        <v>#VALUE!</v>
      </c>
      <c r="HL159" s="1115" t="e">
        <f aca="false">MAX(FF159-FT159-FY159,0)</f>
        <v>#VALUE!</v>
      </c>
      <c r="HM159" s="1141" t="e">
        <f aca="false">MAX(FH159-FV159-FZ159,0)</f>
        <v>#VALUE!</v>
      </c>
      <c r="HN159" s="1115" t="e">
        <f aca="false">SUM(HJ159:HM159)</f>
        <v>#VALUE!</v>
      </c>
      <c r="HO159" s="1142" t="n">
        <f aca="false">IF(ISERROR(+HP159/HN159),0,+HP159/HN159)</f>
        <v>0</v>
      </c>
      <c r="HP159" s="1143" t="e">
        <f aca="false">(HJ159*CE159+HK159*CF159+HL159*CG159+HM159*CH159)</f>
        <v>#VALUE!</v>
      </c>
      <c r="HQ159" s="1142"/>
      <c r="HR159" s="1150"/>
      <c r="HS159" s="1110"/>
      <c r="HT159" s="1141"/>
      <c r="HU159" s="1151"/>
      <c r="HV159" s="1142"/>
      <c r="HW159" s="1115"/>
      <c r="HX159" s="1149"/>
      <c r="HY159" s="1143"/>
      <c r="HZ159" s="1150"/>
      <c r="IA159" s="1142"/>
      <c r="IB159" s="1141"/>
      <c r="IC159" s="1151"/>
      <c r="ID159" s="1142"/>
      <c r="IE159" s="1141"/>
      <c r="IF159" s="1115"/>
      <c r="IG159" s="1142"/>
      <c r="IH159" s="1141"/>
      <c r="II159" s="1115"/>
      <c r="IJ159" s="1142"/>
      <c r="IK159" s="1115"/>
      <c r="IL159" s="1152"/>
      <c r="IM159" s="1192"/>
      <c r="IN159" s="1151"/>
      <c r="IO159" s="1151"/>
      <c r="IP159" s="1151"/>
      <c r="IQ159" s="1151"/>
      <c r="IR159" s="844"/>
    </row>
    <row r="160" customFormat="false" ht="13.5" hidden="false" customHeight="false" outlineLevel="0" collapsed="false">
      <c r="A160" s="0" t="str">
        <f aca="false">+D160&amp;"Q"&amp;ROUNDUP(E160/3,0)</f>
        <v>2011Q4</v>
      </c>
      <c r="B160" s="0" t="n">
        <f aca="false">YEAR(C160)</f>
        <v>2011</v>
      </c>
      <c r="C160" s="1153" t="n">
        <f aca="false">EOMONTH(C159,0)+1</f>
        <v>40878</v>
      </c>
      <c r="D160" s="841" t="n">
        <f aca="false">+YEAR(C160)</f>
        <v>2011</v>
      </c>
      <c r="E160" s="807" t="n">
        <f aca="false">MONTH(C160)</f>
        <v>12</v>
      </c>
      <c r="F160" s="1154" t="e">
        <f aca="false">IF(G160="","",Holiday(D160,E160))</f>
        <v>#VALUE!</v>
      </c>
      <c r="G160" s="1155" t="n">
        <v>40878</v>
      </c>
      <c r="H160" s="1156" t="n">
        <v>40908</v>
      </c>
      <c r="I160" s="1157" t="n">
        <f aca="false">I159</f>
        <v>0.0715</v>
      </c>
      <c r="J160" s="1158" t="n">
        <f aca="false">(1+I160/2)^(-2*(DATE(D161,E161,20)-$H$7)/365.25)</f>
        <v>0.427439111435824</v>
      </c>
      <c r="K160" s="1159"/>
      <c r="L160" s="1158"/>
      <c r="M160" s="1082" t="n">
        <v>0</v>
      </c>
      <c r="N160" s="1110" t="n">
        <f aca="false">M160</f>
        <v>0</v>
      </c>
      <c r="O160" s="1174" t="n">
        <f aca="false">N160</f>
        <v>0</v>
      </c>
      <c r="P160" s="1175" t="n">
        <f aca="false">M160</f>
        <v>0</v>
      </c>
      <c r="Q160" s="1110" t="n">
        <f aca="false">P160</f>
        <v>0</v>
      </c>
      <c r="R160" s="1174" t="n">
        <f aca="false">Q160</f>
        <v>0</v>
      </c>
      <c r="S160" s="1110" t="n">
        <f aca="false">R160</f>
        <v>0</v>
      </c>
      <c r="T160" s="1110" t="n">
        <f aca="false">S160</f>
        <v>0</v>
      </c>
      <c r="U160" s="1110" t="n">
        <f aca="false">T160</f>
        <v>0</v>
      </c>
      <c r="V160" s="1175" t="n">
        <f aca="false">U160</f>
        <v>0</v>
      </c>
      <c r="W160" s="1110" t="n">
        <f aca="false">V160</f>
        <v>0</v>
      </c>
      <c r="X160" s="1176" t="n">
        <f aca="false">W160</f>
        <v>0</v>
      </c>
      <c r="Y160" s="1086" t="n">
        <v>0</v>
      </c>
      <c r="Z160" s="1086" t="n">
        <v>0</v>
      </c>
      <c r="AA160" s="1087" t="n">
        <v>0</v>
      </c>
      <c r="AB160" s="1086" t="n">
        <v>0</v>
      </c>
      <c r="AC160" s="1086" t="n">
        <v>0</v>
      </c>
      <c r="AD160" s="1087" t="n">
        <v>0</v>
      </c>
      <c r="AE160" s="1086" t="n">
        <v>0</v>
      </c>
      <c r="AF160" s="1086" t="n">
        <v>0</v>
      </c>
      <c r="AG160" s="1087" t="n">
        <v>0</v>
      </c>
      <c r="AH160" s="1086" t="n">
        <v>0</v>
      </c>
      <c r="AI160" s="1086" t="n">
        <v>0</v>
      </c>
      <c r="AJ160" s="1087" t="n">
        <v>0</v>
      </c>
      <c r="AK160" s="1086" t="n">
        <v>0</v>
      </c>
      <c r="AL160" s="1086" t="n">
        <v>0</v>
      </c>
      <c r="AM160" s="1087" t="n">
        <v>0</v>
      </c>
      <c r="AN160" s="1086" t="n">
        <v>0</v>
      </c>
      <c r="AO160" s="1086" t="n">
        <v>0</v>
      </c>
      <c r="AP160" s="1087" t="n">
        <v>0</v>
      </c>
      <c r="AQ160" s="1086" t="n">
        <v>0</v>
      </c>
      <c r="AR160" s="1086" t="n">
        <v>0</v>
      </c>
      <c r="AS160" s="1087" t="n">
        <v>0</v>
      </c>
      <c r="AT160" s="1086" t="n">
        <v>0</v>
      </c>
      <c r="AU160" s="1086" t="n">
        <v>0</v>
      </c>
      <c r="AV160" s="1086" t="n">
        <v>0</v>
      </c>
      <c r="AW160" s="1172" t="n">
        <v>0</v>
      </c>
      <c r="AX160" s="807" t="e">
        <f aca="false">BB160-SUM(AY160:BA160)</f>
        <v>#VALUE!</v>
      </c>
      <c r="AY160" s="807" t="e">
        <f aca="false">IF(AND($E160=MONTH(Summary!$E$24),$D160=YEAR(Summary!$E$24)),Summary!$E$25,1)*IF(G160="",0,INT((H160-MOD(H160,7)-G160)/7)+1-IF(BA160,IF(WEEKDAY(F160)=7,1,0),0))</f>
        <v>#VALUE!</v>
      </c>
      <c r="AZ160" s="807" t="e">
        <f aca="false">IF(AND($E160=MONTH(Summary!$E$24),$D160=YEAR(Summary!$E$24)),Summary!$E$25,1)*IF(G160="",0,INT((H160-MOD(H160-1,7)-G160)/7)+1-IF(BA160,IF(WEEKDAY(F160)=1,1,0),0))</f>
        <v>#VALUE!</v>
      </c>
      <c r="BA160" s="807" t="n">
        <v>1</v>
      </c>
      <c r="BB160" s="807" t="n">
        <f aca="false">IF(AND($E160=MONTH(Summary!$E$24),$D160=YEAR(Summary!$E$24)),Summary!$E$25,1)*IF(G160="",0,H160-G160+1)</f>
        <v>31</v>
      </c>
      <c r="BC160" s="1089" t="n">
        <f aca="false">Summary!$E$19</f>
        <v>0.015</v>
      </c>
      <c r="BD160" s="1090" t="n">
        <v>14893.2</v>
      </c>
      <c r="BE160" s="1091" t="n">
        <v>3546</v>
      </c>
      <c r="BF160" s="1091" t="n">
        <v>3546</v>
      </c>
      <c r="BG160" s="842"/>
      <c r="BH160" s="1092" t="n">
        <v>1</v>
      </c>
      <c r="BI160" s="1092" t="n">
        <v>1</v>
      </c>
      <c r="BJ160" s="1092" t="n">
        <v>1</v>
      </c>
      <c r="BK160" s="1092" t="n">
        <v>1</v>
      </c>
      <c r="BL160" s="1093" t="n">
        <v>2978.64</v>
      </c>
      <c r="BM160" s="1091" t="n">
        <v>709.2</v>
      </c>
      <c r="BN160" s="1091" t="n">
        <v>709.2</v>
      </c>
      <c r="BO160" s="842"/>
      <c r="BP160" s="1092" t="n">
        <v>1</v>
      </c>
      <c r="BQ160" s="1094" t="n">
        <v>1</v>
      </c>
      <c r="BR160" s="1094" t="n">
        <v>1</v>
      </c>
      <c r="BS160" s="1095" t="n">
        <v>1</v>
      </c>
      <c r="BT160" s="1093" t="n">
        <f aca="false">SUM(BD160:BF160)</f>
        <v>21985.2</v>
      </c>
      <c r="BU160" s="1098" t="n">
        <f aca="false">SUM(BD160:BG160)</f>
        <v>21985.2</v>
      </c>
      <c r="BV160" s="1090" t="n">
        <f aca="false">SUM(BL160:BN160)</f>
        <v>4397.04</v>
      </c>
      <c r="BW160" s="1098" t="n">
        <f aca="false">SUM(BL160:BO160)</f>
        <v>4397.04</v>
      </c>
      <c r="BX160" s="852" t="n">
        <v>11.9616700889802</v>
      </c>
      <c r="BY160" s="1099" t="n">
        <v>0</v>
      </c>
      <c r="BZ160" s="852" t="n">
        <v>0</v>
      </c>
      <c r="CA160" s="852" t="n">
        <v>0</v>
      </c>
      <c r="CB160" s="852" t="n">
        <v>0</v>
      </c>
      <c r="CC160" s="852" t="n">
        <v>0</v>
      </c>
      <c r="CD160" s="852" t="n">
        <v>0</v>
      </c>
      <c r="CE160" s="1100" t="n">
        <v>0</v>
      </c>
      <c r="CF160" s="852" t="n">
        <v>0</v>
      </c>
      <c r="CG160" s="852" t="n">
        <v>0</v>
      </c>
      <c r="CH160" s="852" t="n">
        <v>0</v>
      </c>
      <c r="CI160" s="852" t="n">
        <v>0</v>
      </c>
      <c r="CJ160" s="1101" t="n">
        <v>0</v>
      </c>
      <c r="CK160" s="852" t="n">
        <v>0</v>
      </c>
      <c r="CL160" s="852" t="n">
        <v>0</v>
      </c>
      <c r="CM160" s="852" t="n">
        <v>0</v>
      </c>
      <c r="CN160" s="852" t="n">
        <v>0</v>
      </c>
      <c r="CO160" s="852" t="n">
        <v>0</v>
      </c>
      <c r="CP160" s="852" t="n">
        <v>0</v>
      </c>
      <c r="CQ160" s="1102" t="n">
        <v>0</v>
      </c>
      <c r="CR160" s="1103" t="n">
        <v>0</v>
      </c>
      <c r="CS160" s="1103" t="n">
        <v>0</v>
      </c>
      <c r="CT160" s="1103" t="n">
        <v>0</v>
      </c>
      <c r="CU160" s="1103" t="n">
        <v>0</v>
      </c>
      <c r="CV160" s="1103" t="n">
        <v>0</v>
      </c>
      <c r="CW160" s="1103" t="n">
        <v>0</v>
      </c>
      <c r="CX160" s="1104" t="n">
        <v>0</v>
      </c>
      <c r="CY160" s="1105" t="n">
        <v>7717.648</v>
      </c>
      <c r="CZ160" s="1099" t="n">
        <v>0</v>
      </c>
      <c r="DA160" s="852" t="n">
        <v>0</v>
      </c>
      <c r="DB160" s="852" t="n">
        <v>0</v>
      </c>
      <c r="DC160" s="852" t="n">
        <v>0</v>
      </c>
      <c r="DD160" s="852" t="n">
        <v>0</v>
      </c>
      <c r="DE160" s="1113" t="n">
        <v>0</v>
      </c>
      <c r="DF160" s="1109" t="n">
        <v>0</v>
      </c>
      <c r="DG160" s="1110" t="n">
        <v>0</v>
      </c>
      <c r="DH160" s="1111" t="n">
        <v>0</v>
      </c>
      <c r="DI160" s="1112" t="n">
        <v>0</v>
      </c>
      <c r="DJ160" s="1112" t="n">
        <v>0</v>
      </c>
      <c r="DK160" s="1112" t="n">
        <v>0</v>
      </c>
      <c r="DL160" s="1113" t="n">
        <v>0</v>
      </c>
      <c r="DM160" s="1114" t="n">
        <v>0</v>
      </c>
      <c r="DN160" s="1114" t="n">
        <v>0</v>
      </c>
      <c r="DO160" s="1114" t="n">
        <v>0</v>
      </c>
      <c r="DP160" s="1114" t="n">
        <v>0</v>
      </c>
      <c r="DQ160" s="1114" t="n">
        <v>0</v>
      </c>
      <c r="DR160" s="1109" t="n">
        <v>0</v>
      </c>
      <c r="DS160" s="852" t="n">
        <v>0</v>
      </c>
      <c r="DT160" s="852" t="n">
        <v>0</v>
      </c>
      <c r="DU160" s="852" t="n">
        <v>0</v>
      </c>
      <c r="DV160" s="852" t="n">
        <v>0</v>
      </c>
      <c r="DW160" s="852" t="n">
        <v>0</v>
      </c>
      <c r="DX160" s="852" t="n">
        <v>0</v>
      </c>
      <c r="DY160" s="852" t="n">
        <v>0</v>
      </c>
      <c r="DZ160" s="852" t="n">
        <v>0</v>
      </c>
      <c r="EA160" s="852" t="n">
        <v>0</v>
      </c>
      <c r="EB160" s="1113" t="n">
        <v>0</v>
      </c>
      <c r="EC160" s="1115" t="n">
        <f aca="false">DS160*BD160</f>
        <v>0</v>
      </c>
      <c r="ED160" s="1115" t="n">
        <f aca="false">DT160*BE160</f>
        <v>0</v>
      </c>
      <c r="EE160" s="1115" t="n">
        <f aca="false">DU160*BF160</f>
        <v>0</v>
      </c>
      <c r="EF160" s="1115" t="n">
        <f aca="false">DV160*BG160</f>
        <v>0</v>
      </c>
      <c r="EG160" s="1115" t="n">
        <f aca="false">DS160*BD160+DT160*BE160+DU160*BF160+DV160*BG160</f>
        <v>0</v>
      </c>
      <c r="EH160" s="1116" t="n">
        <v>0</v>
      </c>
      <c r="EI160" s="1117" t="n">
        <v>0</v>
      </c>
      <c r="EJ160" s="1117" t="n">
        <v>0</v>
      </c>
      <c r="EK160" s="1117" t="n">
        <v>0</v>
      </c>
      <c r="EL160" s="1118" t="n">
        <f aca="false">IF(C160&gt;=Summary!$E$26,MAX(0,SUM(EH160:EK160)),0)</f>
        <v>0</v>
      </c>
      <c r="EM160" s="1115" t="n">
        <f aca="false">IF(C160&gt;=Summary!$E$26,DX160*BL160,0)</f>
        <v>0</v>
      </c>
      <c r="EN160" s="1115" t="n">
        <f aca="false">IF(C160&gt;=Summary!$E$26,DY160*BM160,0)</f>
        <v>0</v>
      </c>
      <c r="EO160" s="1115" t="n">
        <f aca="false">IF(C160&gt;=Summary!$E$26,DZ160*BN160,0)</f>
        <v>0</v>
      </c>
      <c r="EP160" s="1115" t="n">
        <f aca="false">IF(C160&gt;=Summary!$E$26,EA160*BO160,0)</f>
        <v>0</v>
      </c>
      <c r="EQ160" s="1115" t="n">
        <f aca="false">IF(C160&gt;=Summary!$E$26,DX160*BL160+DY160*BM160+DZ160*BN160+EA160*BO160,0)</f>
        <v>0</v>
      </c>
      <c r="ER160" s="1119" t="n">
        <v>0</v>
      </c>
      <c r="ES160" s="1120" t="n">
        <v>0</v>
      </c>
      <c r="ET160" s="1120" t="n">
        <v>0</v>
      </c>
      <c r="EU160" s="1120" t="n">
        <v>0</v>
      </c>
      <c r="EV160" s="1143" t="n">
        <f aca="false">IF(C160&gt;=Summary!$E$26,MAX(0,SUM(ER160:EU160)),0)</f>
        <v>0</v>
      </c>
      <c r="EW160" s="1115"/>
      <c r="EX160" s="1165" t="n">
        <f aca="false">(EQ160-EV160)+IF(EZ160="Yes",(EG160-EL160),0)</f>
        <v>0</v>
      </c>
      <c r="EY160" s="1166" t="str">
        <f aca="false">IF(EX160,EX160/EQ160,"")</f>
        <v/>
      </c>
      <c r="EZ160" s="1122" t="s">
        <v>37</v>
      </c>
      <c r="FA160" s="1096" t="n">
        <f aca="false">FA159</f>
        <v>45</v>
      </c>
      <c r="FB160" s="1167" t="e">
        <f aca="false">IF(EZ160="No",IF((OR(MONTH(C160)=5,MONTH(C160)=6,MONTH(C160)=7,MONTH(C160)=8,MONTH(C160)=9)),$FA160*12*AX160*(1-$BC160),$FA160*10*AX160*(1-$BC160)),0)</f>
        <v>#VALUE!</v>
      </c>
      <c r="FC160" s="1129" t="e">
        <f aca="false">IF(EZ160="No",IF((OR(MONTH(C160)=5,MONTH(C160)=6,MONTH(C160)=7,MONTH(C160)=8,MONTH(C160)=9)),0,$FA160*3*AX160*(1-$BC160)),0)</f>
        <v>#VALUE!</v>
      </c>
      <c r="FD160" s="1129" t="e">
        <f aca="false">IF(EZ160="No",IF((OR(MONTH(C160)=5,MONTH(C160)=6,MONTH(C160)=7,MONTH(C160)=8,MONTH(C160)=9)),$FA160*12*AY160*(1-$BC160),$FA160*10*AY160*(1-$BC160)),0)</f>
        <v>#VALUE!</v>
      </c>
      <c r="FE160" s="1129" t="e">
        <f aca="false">IF(EZ160="No",IF((OR(MONTH(C160)=5,MONTH(C160)=6,MONTH(C160)=7,MONTH(C160)=8,MONTH(C160)=9)),0,$FA160*3*AY160*(1-$BC160)),0)</f>
        <v>#VALUE!</v>
      </c>
      <c r="FF160" s="1129" t="e">
        <f aca="false">IF(EZ160="No",IF((OR(MONTH(C160)=5,MONTH(C160)=6,MONTH(C160)=7,MONTH(C160)=8,MONTH(C160)=9)),$FA160*12*(AZ160+BA160)*(1-$BC160),$FA160*10*(AZ160+BA160)*(1-$BC160)),0)</f>
        <v>#VALUE!</v>
      </c>
      <c r="FG160" s="1129" t="e">
        <f aca="false">IF(EZ160="No",IF((OR(MONTH(C160)=5,MONTH(C160)=6,MONTH(C160)=7,MONTH(C160)=8,MONTH(C160)=9)),0,$FA160*3*(AZ160+BA160)*(1-$BC160)),0)</f>
        <v>#VALUE!</v>
      </c>
      <c r="FH160" s="1170" t="e">
        <f aca="false">IF(EZ160="No",IF((OR(MONTH(C160)=5,MONTH(C160)=6,MONTH(C160)=7,MONTH(C160)=8,MONTH(C160)=9)),Summary!$O$15*12*(AX160+AY160+AZ160+BA160)*(1-$BC160),Summary!$O$15*13*(AX160+AY160+AZ160+BA160)*(1-$BC160)+IF(Summary!$O$16="Yes",(CALC!FA160+Summary!$O$15)*6*(AX160+AY160+AZ160+BA160)*(1-$BC160),0)),0)</f>
        <v>#VALUE!</v>
      </c>
      <c r="FI160" s="1126" t="n">
        <f aca="false">IF(MONTH(C160)=5,FI159*(IF(Summary!$E$70="no",(1+(Summary!$E$71*0.8)),1+HLOOKUP(YEAR(C160)-1,CCFMODEL!$I$127:$AF$128,2)*0.8)),+FI159)</f>
        <v>35.3608870558082</v>
      </c>
      <c r="FJ160" s="1127" t="n">
        <f aca="false">IF(MONTH(C160)=5,FJ159*(IF(Summary!$E$70="no",(1+(Summary!$E$71*0.8)),1+HLOOKUP(YEAR(CALC!C160)-1,CCFMODEL!$I$127:$AF$128,2)*0.8)),FJ159)</f>
        <v>30.9059721511394</v>
      </c>
      <c r="FK160" s="1128" t="e">
        <f aca="false">SUM(FB160:FG160)*FI160+FH160*FJ160</f>
        <v>#VALUE!</v>
      </c>
      <c r="FL160" s="1126" t="n">
        <f aca="false">IF(MONTH(C160)=5,FL159*(IF(Summary!$E$70="no",(1+(Summary!$E$71*0.8)),1+HLOOKUP(YEAR(CALC!C160)-1,CCFMODEL!$I$127:$AF$128,2)*0.8)),+FL159)</f>
        <v>74.3679098222827</v>
      </c>
      <c r="FM160" s="1127" t="n">
        <f aca="false">IF(MONTH(C160)=5,FM159*(IF(Summary!$E$70="no",(1+(Summary!$E$71*0.8)),1+HLOOKUP(YEAR(CALC!C160)-1,CCFMODEL!$I$127:$AF$128,2)*0.8)),+FM159)</f>
        <v>35.4934738089233</v>
      </c>
      <c r="FN160" s="1128" t="e">
        <f aca="false">IF((OR(MONTH(C160)=5,MONTH(C160)=6,MONTH(C160)=7,MONTH(C160)=8,MONTH(C160)=9)),SUM(FB160:FG160)/(1-BC160)*FL160,SUM(FB160:FG160)/(1-BC160)*FM160)</f>
        <v>#VALUE!</v>
      </c>
      <c r="FO160" s="1129" t="e">
        <f aca="false">FK160+FN160</f>
        <v>#VALUE!</v>
      </c>
      <c r="FP160" s="1169" t="e">
        <f aca="false">FB160</f>
        <v>#VALUE!</v>
      </c>
      <c r="FQ160" s="1129" t="e">
        <f aca="false">FC160</f>
        <v>#VALUE!</v>
      </c>
      <c r="FR160" s="1129" t="e">
        <f aca="false">FD160</f>
        <v>#VALUE!</v>
      </c>
      <c r="FS160" s="1129" t="e">
        <f aca="false">FE160</f>
        <v>#VALUE!</v>
      </c>
      <c r="FT160" s="1129" t="e">
        <f aca="false">FF160</f>
        <v>#VALUE!</v>
      </c>
      <c r="FU160" s="1129" t="e">
        <f aca="false">FG160</f>
        <v>#VALUE!</v>
      </c>
      <c r="FV160" s="1170" t="e">
        <f aca="false">FH160</f>
        <v>#VALUE!</v>
      </c>
      <c r="FW160" s="1115" t="n">
        <f aca="false">IF(ER160&gt;0,MIN(FB160-FP160,BL160),0)</f>
        <v>0</v>
      </c>
      <c r="FX160" s="1115" t="n">
        <f aca="false">IF(ES160&gt;0,MIN(FD160-FR160,BM160),0)</f>
        <v>0</v>
      </c>
      <c r="FY160" s="1115" t="n">
        <f aca="false">IF(ET160&gt;0,MIN(FF160-FT160,BN160),0)</f>
        <v>0</v>
      </c>
      <c r="FZ160" s="1143" t="n">
        <f aca="false">IF(EU160&gt;0,MIN(FH160-FV160,BO160),0)</f>
        <v>0</v>
      </c>
      <c r="GA160" s="1132" t="e">
        <f aca="false">(SUM(FP160:FV160)+SUM(GU160:HB160)/(1-Summary!$O$25))*CY160/1000</f>
        <v>#VALUE!</v>
      </c>
      <c r="GB160" s="1133" t="n">
        <f aca="false">IF($C160&lt;Summary!$M$81,+Summary!$O$81,VLOOKUP(C160,GasTable,19))</f>
        <v>3.87680369874494</v>
      </c>
      <c r="GC160" s="1134" t="n">
        <f aca="false">IF(H160&lt;=Summary!$N$84,MIN(GA160,Summary!$O$75*(H160-G160+1)),0)</f>
        <v>0</v>
      </c>
      <c r="GD160" s="1135" t="n">
        <f aca="false">IF(C160&lt;Summary!$N$84,IF(Summary!$O$75*(H160-G160+1)*0.8&gt;GC160,1,0),0)</f>
        <v>0</v>
      </c>
      <c r="GE160" s="1136" t="n">
        <v>0</v>
      </c>
      <c r="GF160" s="1134" t="e">
        <f aca="false">ABS(MIN(0,GC160-$GA160))</f>
        <v>#VALUE!</v>
      </c>
      <c r="GG160" s="1135" t="e">
        <f aca="false">GF160*(IF(Summary!$O$74=1,VLOOKUP($C160,GasTable,16)+Summary!$O$92+Summary!$O$93,VLOOKUP($C160,GasTable,19)+Summary!$O$92+Summary!$O$93))</f>
        <v>#VALUE!</v>
      </c>
      <c r="GH160" s="1137" t="n">
        <v>6009.04573305465</v>
      </c>
      <c r="GI160" s="1138" t="n">
        <v>0</v>
      </c>
      <c r="GJ160" s="1139" t="e">
        <f aca="false">+GB160*GC160+GE160+GG160+GH160-GI160</f>
        <v>#VALUE!</v>
      </c>
      <c r="GK160" s="1115" t="e">
        <f aca="false">SUM(FP160:FV160,GU160:GX160,GY160:HB160)</f>
        <v>#VALUE!</v>
      </c>
      <c r="GL160" s="1140" t="n">
        <v>0.517082416</v>
      </c>
      <c r="GM160" s="1141" t="e">
        <f aca="false">IF(GK160&gt;GC160/(CY160/1000),GC160/(CY160/1000),+GK160)*GL160</f>
        <v>#VALUE!</v>
      </c>
      <c r="GN160" s="1115" t="n">
        <f aca="false">IF(SUM(GU160:HB160)=0,0,IF(Summary!$O$16="Yes",SUM(GX160:HB160),IF(Summary!$O$17="Yes",SUM(GY160:HB160),SUM(GU160:HB160))))</f>
        <v>12199.03785</v>
      </c>
      <c r="GO160" s="1142" t="n">
        <v>3.29381985902785</v>
      </c>
      <c r="GP160" s="1143" t="n">
        <f aca="false">GN160*GO160</f>
        <v>40181.4331313624</v>
      </c>
      <c r="GQ160" s="1115"/>
      <c r="GR160" s="1115"/>
      <c r="GS160" s="1115"/>
      <c r="GT160" s="1115"/>
      <c r="GU160" s="1150" t="n">
        <v>5389.47675</v>
      </c>
      <c r="GV160" s="1115" t="n">
        <v>1283.20875</v>
      </c>
      <c r="GW160" s="1115" t="n">
        <v>1283.20875</v>
      </c>
      <c r="GX160" s="1115"/>
      <c r="GY160" s="1151" t="n">
        <v>2874.3876</v>
      </c>
      <c r="GZ160" s="1115" t="n">
        <v>684.378</v>
      </c>
      <c r="HA160" s="1115" t="n">
        <v>684.378</v>
      </c>
      <c r="HB160" s="1141"/>
      <c r="HC160" s="1115" t="n">
        <v>12199.03785</v>
      </c>
      <c r="HD160" s="1115"/>
      <c r="HE160" s="1115" t="n">
        <v>20950.521525</v>
      </c>
      <c r="HF160" s="1115" t="n">
        <v>589594.968077702</v>
      </c>
      <c r="HG160" s="1115"/>
      <c r="HH160" s="1142" t="n">
        <v>48.019398050337</v>
      </c>
      <c r="HI160" s="1115" t="n">
        <v>1006031.43247113</v>
      </c>
      <c r="HJ160" s="1150" t="e">
        <f aca="false">MAX(FB160-FP160-FW160,0)</f>
        <v>#VALUE!</v>
      </c>
      <c r="HK160" s="1115" t="e">
        <f aca="false">MAX(FD160-FR160-FX160,0)</f>
        <v>#VALUE!</v>
      </c>
      <c r="HL160" s="1115" t="e">
        <f aca="false">MAX(FF160-FT160-FY160,0)</f>
        <v>#VALUE!</v>
      </c>
      <c r="HM160" s="1141" t="e">
        <f aca="false">MAX(FH160-FV160-FZ160,0)</f>
        <v>#VALUE!</v>
      </c>
      <c r="HN160" s="1115" t="e">
        <f aca="false">SUM(HJ160:HM160)</f>
        <v>#VALUE!</v>
      </c>
      <c r="HO160" s="1142" t="n">
        <f aca="false">IF(ISERROR(+HP160/HN160),0,+HP160/HN160)</f>
        <v>0</v>
      </c>
      <c r="HP160" s="1143" t="e">
        <f aca="false">(HJ160*CE160+HK160*CF160+HL160*CG160+HM160*CH160)</f>
        <v>#VALUE!</v>
      </c>
      <c r="HQ160" s="1142"/>
      <c r="HR160" s="1150"/>
      <c r="HS160" s="1110"/>
      <c r="HT160" s="1141"/>
      <c r="HU160" s="1151"/>
      <c r="HV160" s="1142"/>
      <c r="HW160" s="1115"/>
      <c r="HX160" s="1149"/>
      <c r="HY160" s="1143"/>
      <c r="HZ160" s="1150"/>
      <c r="IA160" s="1142"/>
      <c r="IB160" s="1141"/>
      <c r="IC160" s="1151"/>
      <c r="ID160" s="1142"/>
      <c r="IE160" s="1141"/>
      <c r="IF160" s="1115"/>
      <c r="IG160" s="1142"/>
      <c r="IH160" s="1141"/>
      <c r="II160" s="1115"/>
      <c r="IJ160" s="1142"/>
      <c r="IK160" s="1115"/>
      <c r="IL160" s="1152"/>
      <c r="IM160" s="1192"/>
      <c r="IN160" s="1151"/>
      <c r="IO160" s="1151"/>
      <c r="IP160" s="1151"/>
      <c r="IQ160" s="1151"/>
      <c r="IR160" s="844"/>
    </row>
    <row r="161" customFormat="false" ht="13.5" hidden="false" customHeight="false" outlineLevel="0" collapsed="false">
      <c r="A161" s="0" t="str">
        <f aca="false">+D161&amp;"Q"&amp;ROUNDUP(E161/3,0)</f>
        <v>2012Q1</v>
      </c>
      <c r="B161" s="0" t="n">
        <f aca="false">YEAR(C161)</f>
        <v>2012</v>
      </c>
      <c r="C161" s="1153" t="n">
        <f aca="false">EOMONTH(C160,0)+1</f>
        <v>40909</v>
      </c>
      <c r="D161" s="841" t="n">
        <f aca="false">+YEAR(C161)</f>
        <v>2012</v>
      </c>
      <c r="E161" s="807" t="n">
        <f aca="false">MONTH(C161)</f>
        <v>1</v>
      </c>
      <c r="F161" s="1154" t="e">
        <f aca="false">IF(G161="","",Holiday(D161,E161))</f>
        <v>#VALUE!</v>
      </c>
      <c r="G161" s="1155" t="n">
        <v>40909</v>
      </c>
      <c r="H161" s="1156" t="n">
        <v>40939</v>
      </c>
      <c r="I161" s="1157" t="n">
        <f aca="false">I160</f>
        <v>0.0715</v>
      </c>
      <c r="J161" s="1158" t="n">
        <f aca="false">(1+I161/2)^(-2*(DATE(D162,E162,20)-$H$7)/365.25)</f>
        <v>0.424898092644219</v>
      </c>
      <c r="K161" s="1159"/>
      <c r="L161" s="1158"/>
      <c r="M161" s="1082" t="n">
        <v>0</v>
      </c>
      <c r="N161" s="1110" t="n">
        <f aca="false">M161</f>
        <v>0</v>
      </c>
      <c r="O161" s="1174" t="n">
        <f aca="false">N161</f>
        <v>0</v>
      </c>
      <c r="P161" s="1175" t="n">
        <f aca="false">M161</f>
        <v>0</v>
      </c>
      <c r="Q161" s="1110" t="n">
        <f aca="false">P161</f>
        <v>0</v>
      </c>
      <c r="R161" s="1174" t="n">
        <f aca="false">Q161</f>
        <v>0</v>
      </c>
      <c r="S161" s="1110" t="n">
        <f aca="false">R161</f>
        <v>0</v>
      </c>
      <c r="T161" s="1110" t="n">
        <f aca="false">S161</f>
        <v>0</v>
      </c>
      <c r="U161" s="1110" t="n">
        <f aca="false">T161</f>
        <v>0</v>
      </c>
      <c r="V161" s="1175" t="n">
        <f aca="false">U161</f>
        <v>0</v>
      </c>
      <c r="W161" s="1110" t="n">
        <f aca="false">V161</f>
        <v>0</v>
      </c>
      <c r="X161" s="1176" t="n">
        <f aca="false">W161</f>
        <v>0</v>
      </c>
      <c r="Y161" s="1086" t="n">
        <v>0</v>
      </c>
      <c r="Z161" s="1086" t="n">
        <v>0</v>
      </c>
      <c r="AA161" s="1087" t="n">
        <v>0</v>
      </c>
      <c r="AB161" s="1086" t="n">
        <v>0</v>
      </c>
      <c r="AC161" s="1086" t="n">
        <v>0</v>
      </c>
      <c r="AD161" s="1087" t="n">
        <v>0</v>
      </c>
      <c r="AE161" s="1086" t="n">
        <v>0</v>
      </c>
      <c r="AF161" s="1086" t="n">
        <v>0</v>
      </c>
      <c r="AG161" s="1087" t="n">
        <v>0</v>
      </c>
      <c r="AH161" s="1086" t="n">
        <v>0</v>
      </c>
      <c r="AI161" s="1086" t="n">
        <v>0</v>
      </c>
      <c r="AJ161" s="1087" t="n">
        <v>0</v>
      </c>
      <c r="AK161" s="1086" t="n">
        <v>0</v>
      </c>
      <c r="AL161" s="1086" t="n">
        <v>0</v>
      </c>
      <c r="AM161" s="1087" t="n">
        <v>0</v>
      </c>
      <c r="AN161" s="1086" t="n">
        <v>0</v>
      </c>
      <c r="AO161" s="1086" t="n">
        <v>0</v>
      </c>
      <c r="AP161" s="1087" t="n">
        <v>0</v>
      </c>
      <c r="AQ161" s="1086" t="n">
        <v>0</v>
      </c>
      <c r="AR161" s="1086" t="n">
        <v>0</v>
      </c>
      <c r="AS161" s="1087" t="n">
        <v>0</v>
      </c>
      <c r="AT161" s="1086" t="n">
        <v>0</v>
      </c>
      <c r="AU161" s="1086" t="n">
        <v>0</v>
      </c>
      <c r="AV161" s="1086" t="n">
        <v>0</v>
      </c>
      <c r="AW161" s="1172" t="n">
        <v>0</v>
      </c>
      <c r="AX161" s="807" t="e">
        <f aca="false">BB161-SUM(AY161:BA161)</f>
        <v>#VALUE!</v>
      </c>
      <c r="AY161" s="807" t="e">
        <f aca="false">IF(AND($E161=MONTH(Summary!$E$24),$D161=YEAR(Summary!$E$24)),Summary!$E$25,1)*IF(G161="",0,INT((H161-MOD(H161,7)-G161)/7)+1-IF(BA161,IF(WEEKDAY(F161)=7,1,0),0))</f>
        <v>#VALUE!</v>
      </c>
      <c r="AZ161" s="807" t="e">
        <f aca="false">IF(AND($E161=MONTH(Summary!$E$24),$D161=YEAR(Summary!$E$24)),Summary!$E$25,1)*IF(G161="",0,INT((H161-MOD(H161-1,7)-G161)/7)+1-IF(BA161,IF(WEEKDAY(F161)=1,1,0),0))</f>
        <v>#VALUE!</v>
      </c>
      <c r="BA161" s="807" t="n">
        <v>1</v>
      </c>
      <c r="BB161" s="807" t="n">
        <f aca="false">IF(AND($E161=MONTH(Summary!$E$24),$D161=YEAR(Summary!$E$24)),Summary!$E$25,1)*IF(G161="",0,H161-G161+1)</f>
        <v>31</v>
      </c>
      <c r="BC161" s="1089" t="n">
        <f aca="false">Summary!$E$19</f>
        <v>0.015</v>
      </c>
      <c r="BD161" s="1090" t="n">
        <v>14893.2</v>
      </c>
      <c r="BE161" s="1091" t="n">
        <v>2836.8</v>
      </c>
      <c r="BF161" s="1091" t="n">
        <v>4255.2</v>
      </c>
      <c r="BG161" s="842"/>
      <c r="BH161" s="1092" t="n">
        <v>1</v>
      </c>
      <c r="BI161" s="1092" t="n">
        <v>1</v>
      </c>
      <c r="BJ161" s="1092" t="n">
        <v>1</v>
      </c>
      <c r="BK161" s="1092" t="n">
        <v>1</v>
      </c>
      <c r="BL161" s="1093" t="n">
        <v>2978.64</v>
      </c>
      <c r="BM161" s="1091" t="n">
        <v>567.36</v>
      </c>
      <c r="BN161" s="1091" t="n">
        <v>851.04</v>
      </c>
      <c r="BO161" s="842"/>
      <c r="BP161" s="1092" t="n">
        <v>1</v>
      </c>
      <c r="BQ161" s="1094" t="n">
        <v>1</v>
      </c>
      <c r="BR161" s="1094" t="n">
        <v>1</v>
      </c>
      <c r="BS161" s="1095" t="n">
        <v>1</v>
      </c>
      <c r="BT161" s="1093" t="n">
        <f aca="false">SUM(BD161:BF161)</f>
        <v>21985.2</v>
      </c>
      <c r="BU161" s="1098" t="n">
        <f aca="false">SUM(BD161:BG161)</f>
        <v>21985.2</v>
      </c>
      <c r="BV161" s="1090" t="n">
        <f aca="false">SUM(BL161:BN161)</f>
        <v>4397.04</v>
      </c>
      <c r="BW161" s="1098" t="n">
        <f aca="false">SUM(BL161:BO161)</f>
        <v>4397.04</v>
      </c>
      <c r="BX161" s="852" t="n">
        <v>12.0465434633812</v>
      </c>
      <c r="BY161" s="1099" t="n">
        <v>0</v>
      </c>
      <c r="BZ161" s="852" t="n">
        <v>0</v>
      </c>
      <c r="CA161" s="852" t="n">
        <v>0</v>
      </c>
      <c r="CB161" s="852" t="n">
        <v>0</v>
      </c>
      <c r="CC161" s="852" t="n">
        <v>0</v>
      </c>
      <c r="CD161" s="852" t="n">
        <v>0</v>
      </c>
      <c r="CE161" s="1100" t="n">
        <v>0</v>
      </c>
      <c r="CF161" s="852" t="n">
        <v>0</v>
      </c>
      <c r="CG161" s="852" t="n">
        <v>0</v>
      </c>
      <c r="CH161" s="852" t="n">
        <v>0</v>
      </c>
      <c r="CI161" s="852" t="n">
        <v>0</v>
      </c>
      <c r="CJ161" s="1101" t="n">
        <v>0</v>
      </c>
      <c r="CK161" s="852" t="n">
        <v>0</v>
      </c>
      <c r="CL161" s="852" t="n">
        <v>0</v>
      </c>
      <c r="CM161" s="852" t="n">
        <v>0</v>
      </c>
      <c r="CN161" s="852" t="n">
        <v>0</v>
      </c>
      <c r="CO161" s="852" t="n">
        <v>0</v>
      </c>
      <c r="CP161" s="852" t="n">
        <v>0</v>
      </c>
      <c r="CQ161" s="1102" t="n">
        <v>0</v>
      </c>
      <c r="CR161" s="1103" t="n">
        <v>0</v>
      </c>
      <c r="CS161" s="1103" t="n">
        <v>0</v>
      </c>
      <c r="CT161" s="1103" t="n">
        <v>0</v>
      </c>
      <c r="CU161" s="1103" t="n">
        <v>0</v>
      </c>
      <c r="CV161" s="1103" t="n">
        <v>0</v>
      </c>
      <c r="CW161" s="1103" t="n">
        <v>0</v>
      </c>
      <c r="CX161" s="1104" t="n">
        <v>0</v>
      </c>
      <c r="CY161" s="1105" t="n">
        <v>7718.95088</v>
      </c>
      <c r="CZ161" s="1099" t="n">
        <v>0</v>
      </c>
      <c r="DA161" s="852" t="n">
        <v>0</v>
      </c>
      <c r="DB161" s="852" t="n">
        <v>0</v>
      </c>
      <c r="DC161" s="852" t="n">
        <v>0</v>
      </c>
      <c r="DD161" s="852" t="n">
        <v>0</v>
      </c>
      <c r="DE161" s="1113" t="n">
        <v>0</v>
      </c>
      <c r="DF161" s="1109" t="n">
        <v>0</v>
      </c>
      <c r="DG161" s="1110" t="n">
        <v>0</v>
      </c>
      <c r="DH161" s="1111" t="n">
        <v>0</v>
      </c>
      <c r="DI161" s="1112" t="n">
        <v>0</v>
      </c>
      <c r="DJ161" s="1112" t="n">
        <v>0</v>
      </c>
      <c r="DK161" s="1112" t="n">
        <v>0</v>
      </c>
      <c r="DL161" s="1113" t="n">
        <v>0</v>
      </c>
      <c r="DM161" s="1114" t="n">
        <v>0</v>
      </c>
      <c r="DN161" s="1114" t="n">
        <v>0</v>
      </c>
      <c r="DO161" s="1114" t="n">
        <v>0</v>
      </c>
      <c r="DP161" s="1114" t="n">
        <v>0</v>
      </c>
      <c r="DQ161" s="1114" t="n">
        <v>0</v>
      </c>
      <c r="DR161" s="1109" t="n">
        <v>0</v>
      </c>
      <c r="DS161" s="852" t="n">
        <v>0</v>
      </c>
      <c r="DT161" s="852" t="n">
        <v>0</v>
      </c>
      <c r="DU161" s="852" t="n">
        <v>0</v>
      </c>
      <c r="DV161" s="852" t="n">
        <v>0</v>
      </c>
      <c r="DW161" s="852" t="n">
        <v>0</v>
      </c>
      <c r="DX161" s="852" t="n">
        <v>0</v>
      </c>
      <c r="DY161" s="852" t="n">
        <v>0</v>
      </c>
      <c r="DZ161" s="852" t="n">
        <v>0</v>
      </c>
      <c r="EA161" s="852" t="n">
        <v>0</v>
      </c>
      <c r="EB161" s="1113" t="n">
        <v>0</v>
      </c>
      <c r="EC161" s="1115" t="n">
        <f aca="false">DS161*BD161</f>
        <v>0</v>
      </c>
      <c r="ED161" s="1115" t="n">
        <f aca="false">DT161*BE161</f>
        <v>0</v>
      </c>
      <c r="EE161" s="1115" t="n">
        <f aca="false">DU161*BF161</f>
        <v>0</v>
      </c>
      <c r="EF161" s="1115" t="n">
        <f aca="false">DV161*BG161</f>
        <v>0</v>
      </c>
      <c r="EG161" s="1115" t="n">
        <f aca="false">DS161*BD161+DT161*BE161+DU161*BF161+DV161*BG161</f>
        <v>0</v>
      </c>
      <c r="EH161" s="1116" t="n">
        <v>0</v>
      </c>
      <c r="EI161" s="1117" t="n">
        <v>0</v>
      </c>
      <c r="EJ161" s="1117" t="n">
        <v>0</v>
      </c>
      <c r="EK161" s="1117" t="n">
        <v>0</v>
      </c>
      <c r="EL161" s="1118" t="n">
        <f aca="false">IF(C161&gt;=Summary!$E$26,MAX(0,SUM(EH161:EK161)),0)</f>
        <v>0</v>
      </c>
      <c r="EM161" s="1115" t="n">
        <f aca="false">IF(C161&gt;=Summary!$E$26,DX161*BL161,0)</f>
        <v>0</v>
      </c>
      <c r="EN161" s="1115" t="n">
        <f aca="false">IF(C161&gt;=Summary!$E$26,DY161*BM161,0)</f>
        <v>0</v>
      </c>
      <c r="EO161" s="1115" t="n">
        <f aca="false">IF(C161&gt;=Summary!$E$26,DZ161*BN161,0)</f>
        <v>0</v>
      </c>
      <c r="EP161" s="1115" t="n">
        <f aca="false">IF(C161&gt;=Summary!$E$26,EA161*BO161,0)</f>
        <v>0</v>
      </c>
      <c r="EQ161" s="1115" t="n">
        <f aca="false">IF(C161&gt;=Summary!$E$26,DX161*BL161+DY161*BM161+DZ161*BN161+EA161*BO161,0)</f>
        <v>0</v>
      </c>
      <c r="ER161" s="1119" t="n">
        <v>0</v>
      </c>
      <c r="ES161" s="1120" t="n">
        <v>0</v>
      </c>
      <c r="ET161" s="1120" t="n">
        <v>0</v>
      </c>
      <c r="EU161" s="1120" t="n">
        <v>0</v>
      </c>
      <c r="EV161" s="1143" t="n">
        <f aca="false">IF(C161&gt;=Summary!$E$26,MAX(0,SUM(ER161:EU161)),0)</f>
        <v>0</v>
      </c>
      <c r="EW161" s="1115"/>
      <c r="EX161" s="1165" t="n">
        <f aca="false">(EQ161-EV161)+IF(EZ161="Yes",(EG161-EL161),0)</f>
        <v>0</v>
      </c>
      <c r="EY161" s="1166" t="str">
        <f aca="false">IF(EX161,EX161/EQ161,"")</f>
        <v/>
      </c>
      <c r="EZ161" s="1122" t="s">
        <v>37</v>
      </c>
      <c r="FA161" s="1096" t="n">
        <f aca="false">FA160</f>
        <v>45</v>
      </c>
      <c r="FB161" s="1167" t="e">
        <f aca="false">IF(EZ161="No",IF((OR(MONTH(C161)=5,MONTH(C161)=6,MONTH(C161)=7,MONTH(C161)=8,MONTH(C161)=9)),$FA161*12*AX161*(1-$BC161),$FA161*10*AX161*(1-$BC161)),0)</f>
        <v>#VALUE!</v>
      </c>
      <c r="FC161" s="1129" t="e">
        <f aca="false">IF(EZ161="No",IF((OR(MONTH(C161)=5,MONTH(C161)=6,MONTH(C161)=7,MONTH(C161)=8,MONTH(C161)=9)),0,$FA161*3*AX161*(1-$BC161)),0)</f>
        <v>#VALUE!</v>
      </c>
      <c r="FD161" s="1129" t="e">
        <f aca="false">IF(EZ161="No",IF((OR(MONTH(C161)=5,MONTH(C161)=6,MONTH(C161)=7,MONTH(C161)=8,MONTH(C161)=9)),$FA161*12*AY161*(1-$BC161),$FA161*10*AY161*(1-$BC161)),0)</f>
        <v>#VALUE!</v>
      </c>
      <c r="FE161" s="1129" t="e">
        <f aca="false">IF(EZ161="No",IF((OR(MONTH(C161)=5,MONTH(C161)=6,MONTH(C161)=7,MONTH(C161)=8,MONTH(C161)=9)),0,$FA161*3*AY161*(1-$BC161)),0)</f>
        <v>#VALUE!</v>
      </c>
      <c r="FF161" s="1129" t="e">
        <f aca="false">IF(EZ161="No",IF((OR(MONTH(C161)=5,MONTH(C161)=6,MONTH(C161)=7,MONTH(C161)=8,MONTH(C161)=9)),$FA161*12*(AZ161+BA161)*(1-$BC161),$FA161*10*(AZ161+BA161)*(1-$BC161)),0)</f>
        <v>#VALUE!</v>
      </c>
      <c r="FG161" s="1129" t="e">
        <f aca="false">IF(EZ161="No",IF((OR(MONTH(C161)=5,MONTH(C161)=6,MONTH(C161)=7,MONTH(C161)=8,MONTH(C161)=9)),0,$FA161*3*(AZ161+BA161)*(1-$BC161)),0)</f>
        <v>#VALUE!</v>
      </c>
      <c r="FH161" s="1170" t="e">
        <f aca="false">IF(EZ161="No",IF((OR(MONTH(C161)=5,MONTH(C161)=6,MONTH(C161)=7,MONTH(C161)=8,MONTH(C161)=9)),Summary!$O$15*12*(AX161+AY161+AZ161+BA161)*(1-$BC161),Summary!$O$15*13*(AX161+AY161+AZ161+BA161)*(1-$BC161)+IF(Summary!$O$16="Yes",(CALC!FA161+Summary!$O$15)*6*(AX161+AY161+AZ161+BA161)*(1-$BC161),0)),0)</f>
        <v>#VALUE!</v>
      </c>
      <c r="FI161" s="1126" t="n">
        <f aca="false">IF(MONTH(C161)=5,FI160*(IF(Summary!$E$70="no",(1+(Summary!$E$71*0.8)),1+HLOOKUP(YEAR(C161)-1,CCFMODEL!$I$127:$AF$128,2)*0.8)),+FI160)</f>
        <v>35.3608870558082</v>
      </c>
      <c r="FJ161" s="1127" t="n">
        <f aca="false">IF(MONTH(C161)=5,FJ160*(IF(Summary!$E$70="no",(1+(Summary!$E$71*0.8)),1+HLOOKUP(YEAR(CALC!C161)-1,CCFMODEL!$I$127:$AF$128,2)*0.8)),FJ160)</f>
        <v>30.9059721511394</v>
      </c>
      <c r="FK161" s="1128" t="e">
        <f aca="false">SUM(FB161:FG161)*FI161+FH161*FJ161</f>
        <v>#VALUE!</v>
      </c>
      <c r="FL161" s="1126" t="n">
        <f aca="false">IF(MONTH(C161)=5,FL160*(IF(Summary!$E$70="no",(1+(Summary!$E$71*0.8)),1+HLOOKUP(YEAR(CALC!C161)-1,CCFMODEL!$I$127:$AF$128,2)*0.8)),+FL160)</f>
        <v>74.3679098222827</v>
      </c>
      <c r="FM161" s="1127" t="n">
        <f aca="false">IF(MONTH(C161)=5,FM160*(IF(Summary!$E$70="no",(1+(Summary!$E$71*0.8)),1+HLOOKUP(YEAR(CALC!C161)-1,CCFMODEL!$I$127:$AF$128,2)*0.8)),+FM160)</f>
        <v>35.4934738089233</v>
      </c>
      <c r="FN161" s="1128" t="e">
        <f aca="false">IF((OR(MONTH(C161)=5,MONTH(C161)=6,MONTH(C161)=7,MONTH(C161)=8,MONTH(C161)=9)),SUM(FB161:FG161)/(1-BC161)*FL161,SUM(FB161:FG161)/(1-BC161)*FM161)</f>
        <v>#VALUE!</v>
      </c>
      <c r="FO161" s="1129" t="e">
        <f aca="false">FK161+FN161</f>
        <v>#VALUE!</v>
      </c>
      <c r="FP161" s="1169" t="e">
        <f aca="false">FB161</f>
        <v>#VALUE!</v>
      </c>
      <c r="FQ161" s="1129" t="e">
        <f aca="false">FC161</f>
        <v>#VALUE!</v>
      </c>
      <c r="FR161" s="1129" t="e">
        <f aca="false">FD161</f>
        <v>#VALUE!</v>
      </c>
      <c r="FS161" s="1129" t="e">
        <f aca="false">FE161</f>
        <v>#VALUE!</v>
      </c>
      <c r="FT161" s="1129" t="e">
        <f aca="false">FF161</f>
        <v>#VALUE!</v>
      </c>
      <c r="FU161" s="1129" t="e">
        <f aca="false">FG161</f>
        <v>#VALUE!</v>
      </c>
      <c r="FV161" s="1170" t="e">
        <f aca="false">FH161</f>
        <v>#VALUE!</v>
      </c>
      <c r="FW161" s="1115" t="n">
        <f aca="false">IF(ER161&gt;0,MIN(FB161-FP161,BL161),0)</f>
        <v>0</v>
      </c>
      <c r="FX161" s="1115" t="n">
        <f aca="false">IF(ES161&gt;0,MIN(FD161-FR161,BM161),0)</f>
        <v>0</v>
      </c>
      <c r="FY161" s="1115" t="n">
        <f aca="false">IF(ET161&gt;0,MIN(FF161-FT161,BN161),0)</f>
        <v>0</v>
      </c>
      <c r="FZ161" s="1143" t="n">
        <f aca="false">IF(EU161&gt;0,MIN(FH161-FV161,BO161),0)</f>
        <v>0</v>
      </c>
      <c r="GA161" s="1132" t="e">
        <f aca="false">(SUM(FP161:FV161)+SUM(GU161:HB161)/(1-Summary!$O$25))*CY161/1000</f>
        <v>#VALUE!</v>
      </c>
      <c r="GB161" s="1133" t="n">
        <f aca="false">IF($C161&lt;Summary!$M$81,+Summary!$O$81,VLOOKUP(C161,GasTable,19))</f>
        <v>3.69328518608478</v>
      </c>
      <c r="GC161" s="1134" t="n">
        <f aca="false">IF(H161&lt;=Summary!$N$84,MIN(GA161,Summary!$O$75*(H161-G161+1)),0)</f>
        <v>0</v>
      </c>
      <c r="GD161" s="1135" t="n">
        <f aca="false">IF(C161&lt;Summary!$N$84,IF(Summary!$O$75*(H161-G161+1)*0.8&gt;GC161,1,0),0)</f>
        <v>0</v>
      </c>
      <c r="GE161" s="1136" t="n">
        <v>0</v>
      </c>
      <c r="GF161" s="1134" t="e">
        <f aca="false">ABS(MIN(0,GC161-$GA161))</f>
        <v>#VALUE!</v>
      </c>
      <c r="GG161" s="1135" t="e">
        <f aca="false">GF161*(IF(Summary!$O$74=1,VLOOKUP($C161,GasTable,16)+Summary!$O$92+Summary!$O$93,VLOOKUP($C161,GasTable,19)+Summary!$O$92+Summary!$O$93))</f>
        <v>#VALUE!</v>
      </c>
      <c r="GH161" s="1137" t="n">
        <v>5724.59203843141</v>
      </c>
      <c r="GI161" s="1138" t="n">
        <v>0</v>
      </c>
      <c r="GJ161" s="1139" t="e">
        <f aca="false">+GB161*GC161+GE161+GG161+GH161-GI161</f>
        <v>#VALUE!</v>
      </c>
      <c r="GK161" s="1115" t="e">
        <f aca="false">SUM(FP161:FV161,GU161:GX161,GY161:HB161)</f>
        <v>#VALUE!</v>
      </c>
      <c r="GL161" s="1140" t="n">
        <v>0.51716970896</v>
      </c>
      <c r="GM161" s="1141" t="e">
        <f aca="false">IF(GK161&gt;GC161/(CY161/1000),GC161/(CY161/1000),+GK161)*GL161</f>
        <v>#VALUE!</v>
      </c>
      <c r="GN161" s="1115" t="n">
        <f aca="false">IF(SUM(GU161:HB161)=0,0,IF(Summary!$O$16="Yes",SUM(GX161:HB161),IF(Summary!$O$17="Yes",SUM(GY161:HB161),SUM(GU161:HB161))))</f>
        <v>12199.03785</v>
      </c>
      <c r="GO161" s="1142" t="n">
        <v>3.39263445479869</v>
      </c>
      <c r="GP161" s="1143" t="n">
        <f aca="false">GN161*GO161</f>
        <v>41386.8761253033</v>
      </c>
      <c r="GQ161" s="1115"/>
      <c r="GR161" s="1115"/>
      <c r="GS161" s="1115"/>
      <c r="GT161" s="1115"/>
      <c r="GU161" s="1150" t="n">
        <v>5389.47675</v>
      </c>
      <c r="GV161" s="1115" t="n">
        <v>1026.567</v>
      </c>
      <c r="GW161" s="1115" t="n">
        <v>1539.8505</v>
      </c>
      <c r="GX161" s="1115"/>
      <c r="GY161" s="1151" t="n">
        <v>2874.3876</v>
      </c>
      <c r="GZ161" s="1115" t="n">
        <v>547.5024</v>
      </c>
      <c r="HA161" s="1115" t="n">
        <v>821.2536</v>
      </c>
      <c r="HB161" s="1141"/>
      <c r="HC161" s="1115" t="n">
        <v>12199.03785</v>
      </c>
      <c r="HD161" s="1115"/>
      <c r="HE161" s="1115" t="n">
        <v>20950.521525</v>
      </c>
      <c r="HF161" s="1115" t="n">
        <v>584321.565399385</v>
      </c>
      <c r="HG161" s="1115"/>
      <c r="HH161" s="1142" t="n">
        <v>47.5321951778929</v>
      </c>
      <c r="HI161" s="1115" t="n">
        <v>995824.278204946</v>
      </c>
      <c r="HJ161" s="1150" t="e">
        <f aca="false">MAX(FB161-FP161-FW161,0)</f>
        <v>#VALUE!</v>
      </c>
      <c r="HK161" s="1115" t="e">
        <f aca="false">MAX(FD161-FR161-FX161,0)</f>
        <v>#VALUE!</v>
      </c>
      <c r="HL161" s="1115" t="e">
        <f aca="false">MAX(FF161-FT161-FY161,0)</f>
        <v>#VALUE!</v>
      </c>
      <c r="HM161" s="1141" t="e">
        <f aca="false">MAX(FH161-FV161-FZ161,0)</f>
        <v>#VALUE!</v>
      </c>
      <c r="HN161" s="1115" t="e">
        <f aca="false">SUM(HJ161:HM161)</f>
        <v>#VALUE!</v>
      </c>
      <c r="HO161" s="1142" t="n">
        <f aca="false">IF(ISERROR(+HP161/HN161),0,+HP161/HN161)</f>
        <v>0</v>
      </c>
      <c r="HP161" s="1143" t="e">
        <f aca="false">(HJ161*CE161+HK161*CF161+HL161*CG161+HM161*CH161)</f>
        <v>#VALUE!</v>
      </c>
      <c r="HQ161" s="1142"/>
      <c r="HR161" s="1150"/>
      <c r="HS161" s="1110"/>
      <c r="HT161" s="1141"/>
      <c r="HU161" s="1151"/>
      <c r="HV161" s="1142"/>
      <c r="HW161" s="1115"/>
      <c r="HX161" s="1149"/>
      <c r="HY161" s="1143"/>
      <c r="HZ161" s="1150"/>
      <c r="IA161" s="1142"/>
      <c r="IB161" s="1141"/>
      <c r="IC161" s="1151"/>
      <c r="ID161" s="1142"/>
      <c r="IE161" s="1141"/>
      <c r="IF161" s="1115"/>
      <c r="IG161" s="1142"/>
      <c r="IH161" s="1141"/>
      <c r="II161" s="1115"/>
      <c r="IJ161" s="1142"/>
      <c r="IK161" s="1115"/>
      <c r="IL161" s="1152"/>
      <c r="IM161" s="1192"/>
      <c r="IN161" s="1151"/>
      <c r="IO161" s="1151"/>
      <c r="IP161" s="1151"/>
      <c r="IQ161" s="1151"/>
      <c r="IR161" s="844"/>
    </row>
    <row r="162" customFormat="false" ht="13.5" hidden="false" customHeight="false" outlineLevel="0" collapsed="false">
      <c r="A162" s="0" t="str">
        <f aca="false">+D162&amp;"Q"&amp;ROUNDUP(E162/3,0)</f>
        <v>2012Q1</v>
      </c>
      <c r="B162" s="0" t="n">
        <f aca="false">YEAR(C162)</f>
        <v>2012</v>
      </c>
      <c r="C162" s="1153" t="n">
        <f aca="false">EOMONTH(C161,0)+1</f>
        <v>40940</v>
      </c>
      <c r="D162" s="841" t="n">
        <f aca="false">+YEAR(C162)</f>
        <v>2012</v>
      </c>
      <c r="E162" s="807" t="n">
        <f aca="false">MONTH(C162)</f>
        <v>2</v>
      </c>
      <c r="F162" s="1154" t="e">
        <f aca="false">IF(G162="","",Holiday(D162,E162))</f>
        <v>#VALUE!</v>
      </c>
      <c r="G162" s="1155" t="n">
        <v>40940</v>
      </c>
      <c r="H162" s="1156" t="n">
        <v>40968</v>
      </c>
      <c r="I162" s="1157" t="n">
        <f aca="false">I161</f>
        <v>0.0715</v>
      </c>
      <c r="J162" s="1158" t="n">
        <f aca="false">(1+I162/2)^(-2*(DATE(D163,E163,20)-$H$7)/365.25)</f>
        <v>0.422534687615603</v>
      </c>
      <c r="K162" s="1159"/>
      <c r="L162" s="1158"/>
      <c r="M162" s="1082" t="n">
        <v>0</v>
      </c>
      <c r="N162" s="1110" t="n">
        <f aca="false">M162</f>
        <v>0</v>
      </c>
      <c r="O162" s="1174" t="n">
        <f aca="false">N162</f>
        <v>0</v>
      </c>
      <c r="P162" s="1175" t="n">
        <f aca="false">M162</f>
        <v>0</v>
      </c>
      <c r="Q162" s="1110" t="n">
        <f aca="false">P162</f>
        <v>0</v>
      </c>
      <c r="R162" s="1174" t="n">
        <f aca="false">Q162</f>
        <v>0</v>
      </c>
      <c r="S162" s="1110" t="n">
        <f aca="false">R162</f>
        <v>0</v>
      </c>
      <c r="T162" s="1110" t="n">
        <f aca="false">S162</f>
        <v>0</v>
      </c>
      <c r="U162" s="1110" t="n">
        <f aca="false">T162</f>
        <v>0</v>
      </c>
      <c r="V162" s="1175" t="n">
        <f aca="false">U162</f>
        <v>0</v>
      </c>
      <c r="W162" s="1110" t="n">
        <f aca="false">V162</f>
        <v>0</v>
      </c>
      <c r="X162" s="1176" t="n">
        <f aca="false">W162</f>
        <v>0</v>
      </c>
      <c r="Y162" s="1086" t="n">
        <v>0</v>
      </c>
      <c r="Z162" s="1086" t="n">
        <v>0</v>
      </c>
      <c r="AA162" s="1087" t="n">
        <v>0</v>
      </c>
      <c r="AB162" s="1086" t="n">
        <v>0</v>
      </c>
      <c r="AC162" s="1086" t="n">
        <v>0</v>
      </c>
      <c r="AD162" s="1087" t="n">
        <v>0</v>
      </c>
      <c r="AE162" s="1086" t="n">
        <v>0</v>
      </c>
      <c r="AF162" s="1086" t="n">
        <v>0</v>
      </c>
      <c r="AG162" s="1087" t="n">
        <v>0</v>
      </c>
      <c r="AH162" s="1086" t="n">
        <v>0</v>
      </c>
      <c r="AI162" s="1086" t="n">
        <v>0</v>
      </c>
      <c r="AJ162" s="1087" t="n">
        <v>0</v>
      </c>
      <c r="AK162" s="1086" t="n">
        <v>0</v>
      </c>
      <c r="AL162" s="1086" t="n">
        <v>0</v>
      </c>
      <c r="AM162" s="1087" t="n">
        <v>0</v>
      </c>
      <c r="AN162" s="1086" t="n">
        <v>0</v>
      </c>
      <c r="AO162" s="1086" t="n">
        <v>0</v>
      </c>
      <c r="AP162" s="1087" t="n">
        <v>0</v>
      </c>
      <c r="AQ162" s="1086" t="n">
        <v>0</v>
      </c>
      <c r="AR162" s="1086" t="n">
        <v>0</v>
      </c>
      <c r="AS162" s="1087" t="n">
        <v>0</v>
      </c>
      <c r="AT162" s="1086" t="n">
        <v>0</v>
      </c>
      <c r="AU162" s="1086" t="n">
        <v>0</v>
      </c>
      <c r="AV162" s="1086" t="n">
        <v>0</v>
      </c>
      <c r="AW162" s="1172" t="n">
        <v>0</v>
      </c>
      <c r="AX162" s="807" t="n">
        <f aca="false">BB162-SUM(AY162:BA162)</f>
        <v>21</v>
      </c>
      <c r="AY162" s="807" t="n">
        <f aca="false">IF(AND($E162=MONTH(Summary!$E$24),$D162=YEAR(Summary!$E$24)),Summary!$E$25,1)*IF(G162="",0,INT((H162-MOD(H162,7)-G162)/7)+1-IF(BA162,IF(WEEKDAY(F162)=7,1,0),0))</f>
        <v>4</v>
      </c>
      <c r="AZ162" s="807" t="n">
        <f aca="false">IF(AND($E162=MONTH(Summary!$E$24),$D162=YEAR(Summary!$E$24)),Summary!$E$25,1)*IF(G162="",0,INT((H162-MOD(H162-1,7)-G162)/7)+1-IF(BA162,IF(WEEKDAY(F162)=1,1,0),0))</f>
        <v>4</v>
      </c>
      <c r="BA162" s="807" t="n">
        <v>0</v>
      </c>
      <c r="BB162" s="807" t="n">
        <f aca="false">IF(AND($E162=MONTH(Summary!$E$24),$D162=YEAR(Summary!$E$24)),Summary!$E$25,1)*IF(G162="",0,H162-G162+1)</f>
        <v>29</v>
      </c>
      <c r="BC162" s="1089" t="n">
        <f aca="false">Summary!$E$19</f>
        <v>0.015</v>
      </c>
      <c r="BD162" s="1090" t="n">
        <v>14893.2</v>
      </c>
      <c r="BE162" s="1091" t="n">
        <v>2836.8</v>
      </c>
      <c r="BF162" s="1091" t="n">
        <v>2836.8</v>
      </c>
      <c r="BG162" s="842"/>
      <c r="BH162" s="1092" t="n">
        <v>1</v>
      </c>
      <c r="BI162" s="1092" t="n">
        <v>1</v>
      </c>
      <c r="BJ162" s="1092" t="n">
        <v>1</v>
      </c>
      <c r="BK162" s="1092" t="n">
        <v>1</v>
      </c>
      <c r="BL162" s="1093" t="n">
        <v>2978.64</v>
      </c>
      <c r="BM162" s="1091" t="n">
        <v>567.36</v>
      </c>
      <c r="BN162" s="1091" t="n">
        <v>567.36</v>
      </c>
      <c r="BO162" s="842"/>
      <c r="BP162" s="1092" t="n">
        <v>1</v>
      </c>
      <c r="BQ162" s="1094" t="n">
        <v>1</v>
      </c>
      <c r="BR162" s="1094" t="n">
        <v>1</v>
      </c>
      <c r="BS162" s="1095" t="n">
        <v>1</v>
      </c>
      <c r="BT162" s="1093" t="n">
        <f aca="false">SUM(BD162:BF162)</f>
        <v>20566.8</v>
      </c>
      <c r="BU162" s="1098" t="n">
        <f aca="false">SUM(BD162:BG162)</f>
        <v>20566.8</v>
      </c>
      <c r="BV162" s="1090" t="n">
        <f aca="false">SUM(BL162:BN162)</f>
        <v>4113.36</v>
      </c>
      <c r="BW162" s="1098" t="n">
        <f aca="false">SUM(BL162:BO162)</f>
        <v>4113.36</v>
      </c>
      <c r="BX162" s="852" t="n">
        <v>12.1314168377823</v>
      </c>
      <c r="BY162" s="1099" t="n">
        <v>0</v>
      </c>
      <c r="BZ162" s="852" t="n">
        <v>0</v>
      </c>
      <c r="CA162" s="852" t="n">
        <v>0</v>
      </c>
      <c r="CB162" s="852" t="n">
        <v>0</v>
      </c>
      <c r="CC162" s="852" t="n">
        <v>0</v>
      </c>
      <c r="CD162" s="852" t="n">
        <v>0</v>
      </c>
      <c r="CE162" s="1100" t="n">
        <v>0</v>
      </c>
      <c r="CF162" s="852" t="n">
        <v>0</v>
      </c>
      <c r="CG162" s="852" t="n">
        <v>0</v>
      </c>
      <c r="CH162" s="852" t="n">
        <v>0</v>
      </c>
      <c r="CI162" s="852" t="n">
        <v>0</v>
      </c>
      <c r="CJ162" s="1101" t="n">
        <v>0</v>
      </c>
      <c r="CK162" s="852" t="n">
        <v>0</v>
      </c>
      <c r="CL162" s="852" t="n">
        <v>0</v>
      </c>
      <c r="CM162" s="852" t="n">
        <v>0</v>
      </c>
      <c r="CN162" s="852" t="n">
        <v>0</v>
      </c>
      <c r="CO162" s="852" t="n">
        <v>0</v>
      </c>
      <c r="CP162" s="852" t="n">
        <v>0</v>
      </c>
      <c r="CQ162" s="1102" t="n">
        <v>0</v>
      </c>
      <c r="CR162" s="1103" t="n">
        <v>0</v>
      </c>
      <c r="CS162" s="1103" t="n">
        <v>0</v>
      </c>
      <c r="CT162" s="1103" t="n">
        <v>0</v>
      </c>
      <c r="CU162" s="1103" t="n">
        <v>0</v>
      </c>
      <c r="CV162" s="1103" t="n">
        <v>0</v>
      </c>
      <c r="CW162" s="1103" t="n">
        <v>0</v>
      </c>
      <c r="CX162" s="1104" t="n">
        <v>0</v>
      </c>
      <c r="CY162" s="1105" t="n">
        <v>7720.25376</v>
      </c>
      <c r="CZ162" s="1099" t="n">
        <v>0</v>
      </c>
      <c r="DA162" s="852" t="n">
        <v>0</v>
      </c>
      <c r="DB162" s="852" t="n">
        <v>0</v>
      </c>
      <c r="DC162" s="852" t="n">
        <v>0</v>
      </c>
      <c r="DD162" s="852" t="n">
        <v>0</v>
      </c>
      <c r="DE162" s="1113" t="n">
        <v>0</v>
      </c>
      <c r="DF162" s="1109" t="n">
        <v>0</v>
      </c>
      <c r="DG162" s="1110" t="n">
        <v>0</v>
      </c>
      <c r="DH162" s="1111" t="n">
        <v>0</v>
      </c>
      <c r="DI162" s="1112" t="n">
        <v>0</v>
      </c>
      <c r="DJ162" s="1112" t="n">
        <v>0</v>
      </c>
      <c r="DK162" s="1112" t="n">
        <v>0</v>
      </c>
      <c r="DL162" s="1113" t="n">
        <v>0</v>
      </c>
      <c r="DM162" s="1114" t="n">
        <v>0</v>
      </c>
      <c r="DN162" s="1114" t="n">
        <v>0</v>
      </c>
      <c r="DO162" s="1114" t="n">
        <v>0</v>
      </c>
      <c r="DP162" s="1114" t="n">
        <v>0</v>
      </c>
      <c r="DQ162" s="1114" t="n">
        <v>0</v>
      </c>
      <c r="DR162" s="1109" t="n">
        <v>0</v>
      </c>
      <c r="DS162" s="852" t="n">
        <v>0</v>
      </c>
      <c r="DT162" s="852" t="n">
        <v>0</v>
      </c>
      <c r="DU162" s="852" t="n">
        <v>0</v>
      </c>
      <c r="DV162" s="852" t="n">
        <v>0</v>
      </c>
      <c r="DW162" s="852" t="n">
        <v>0</v>
      </c>
      <c r="DX162" s="852" t="n">
        <v>0</v>
      </c>
      <c r="DY162" s="852" t="n">
        <v>0</v>
      </c>
      <c r="DZ162" s="852" t="n">
        <v>0</v>
      </c>
      <c r="EA162" s="852" t="n">
        <v>0</v>
      </c>
      <c r="EB162" s="1113" t="n">
        <v>0</v>
      </c>
      <c r="EC162" s="1115" t="n">
        <f aca="false">DS162*BD162</f>
        <v>0</v>
      </c>
      <c r="ED162" s="1115" t="n">
        <f aca="false">DT162*BE162</f>
        <v>0</v>
      </c>
      <c r="EE162" s="1115" t="n">
        <f aca="false">DU162*BF162</f>
        <v>0</v>
      </c>
      <c r="EF162" s="1115" t="n">
        <f aca="false">DV162*BG162</f>
        <v>0</v>
      </c>
      <c r="EG162" s="1115" t="n">
        <f aca="false">DS162*BD162+DT162*BE162+DU162*BF162+DV162*BG162</f>
        <v>0</v>
      </c>
      <c r="EH162" s="1116" t="n">
        <v>0</v>
      </c>
      <c r="EI162" s="1117" t="n">
        <v>0</v>
      </c>
      <c r="EJ162" s="1117" t="n">
        <v>0</v>
      </c>
      <c r="EK162" s="1117" t="n">
        <v>0</v>
      </c>
      <c r="EL162" s="1118" t="n">
        <f aca="false">IF(C162&gt;=Summary!$E$26,MAX(0,SUM(EH162:EK162)),0)</f>
        <v>0</v>
      </c>
      <c r="EM162" s="1115" t="n">
        <f aca="false">IF(C162&gt;=Summary!$E$26,DX162*BL162,0)</f>
        <v>0</v>
      </c>
      <c r="EN162" s="1115" t="n">
        <f aca="false">IF(C162&gt;=Summary!$E$26,DY162*BM162,0)</f>
        <v>0</v>
      </c>
      <c r="EO162" s="1115" t="n">
        <f aca="false">IF(C162&gt;=Summary!$E$26,DZ162*BN162,0)</f>
        <v>0</v>
      </c>
      <c r="EP162" s="1115" t="n">
        <f aca="false">IF(C162&gt;=Summary!$E$26,EA162*BO162,0)</f>
        <v>0</v>
      </c>
      <c r="EQ162" s="1115" t="n">
        <f aca="false">IF(C162&gt;=Summary!$E$26,DX162*BL162+DY162*BM162+DZ162*BN162+EA162*BO162,0)</f>
        <v>0</v>
      </c>
      <c r="ER162" s="1119" t="n">
        <v>0</v>
      </c>
      <c r="ES162" s="1120" t="n">
        <v>0</v>
      </c>
      <c r="ET162" s="1120" t="n">
        <v>0</v>
      </c>
      <c r="EU162" s="1120" t="n">
        <v>0</v>
      </c>
      <c r="EV162" s="1143" t="n">
        <f aca="false">IF(C162&gt;=Summary!$E$26,MAX(0,SUM(ER162:EU162)),0)</f>
        <v>0</v>
      </c>
      <c r="EW162" s="1115"/>
      <c r="EX162" s="1165" t="n">
        <f aca="false">(EQ162-EV162)+IF(EZ162="Yes",(EG162-EL162),0)</f>
        <v>0</v>
      </c>
      <c r="EY162" s="1166" t="str">
        <f aca="false">IF(EX162,EX162/EQ162,"")</f>
        <v/>
      </c>
      <c r="EZ162" s="1122" t="s">
        <v>37</v>
      </c>
      <c r="FA162" s="1096" t="n">
        <f aca="false">FA161</f>
        <v>45</v>
      </c>
      <c r="FB162" s="1167" t="n">
        <f aca="false">IF(EZ162="No",IF((OR(MONTH(C162)=5,MONTH(C162)=6,MONTH(C162)=7,MONTH(C162)=8,MONTH(C162)=9)),$FA162*12*AX162*(1-$BC162),$FA162*10*AX162*(1-$BC162)),0)</f>
        <v>9308.25</v>
      </c>
      <c r="FC162" s="1129" t="n">
        <f aca="false">IF(EZ162="No",IF((OR(MONTH(C162)=5,MONTH(C162)=6,MONTH(C162)=7,MONTH(C162)=8,MONTH(C162)=9)),0,$FA162*3*AX162*(1-$BC162)),0)</f>
        <v>2792.475</v>
      </c>
      <c r="FD162" s="1129" t="n">
        <f aca="false">IF(EZ162="No",IF((OR(MONTH(C162)=5,MONTH(C162)=6,MONTH(C162)=7,MONTH(C162)=8,MONTH(C162)=9)),$FA162*12*AY162*(1-$BC162),$FA162*10*AY162*(1-$BC162)),0)</f>
        <v>1773</v>
      </c>
      <c r="FE162" s="1129" t="n">
        <f aca="false">IF(EZ162="No",IF((OR(MONTH(C162)=5,MONTH(C162)=6,MONTH(C162)=7,MONTH(C162)=8,MONTH(C162)=9)),0,$FA162*3*AY162*(1-$BC162)),0)</f>
        <v>531.9</v>
      </c>
      <c r="FF162" s="1129" t="n">
        <f aca="false">IF(EZ162="No",IF((OR(MONTH(C162)=5,MONTH(C162)=6,MONTH(C162)=7,MONTH(C162)=8,MONTH(C162)=9)),$FA162*12*(AZ162+BA162)*(1-$BC162),$FA162*10*(AZ162+BA162)*(1-$BC162)),0)</f>
        <v>1773</v>
      </c>
      <c r="FG162" s="1129" t="n">
        <f aca="false">IF(EZ162="No",IF((OR(MONTH(C162)=5,MONTH(C162)=6,MONTH(C162)=7,MONTH(C162)=8,MONTH(C162)=9)),0,$FA162*3*(AZ162+BA162)*(1-$BC162)),0)</f>
        <v>531.9</v>
      </c>
      <c r="FH162" s="1170" t="n">
        <f aca="false">IF(EZ162="No",IF((OR(MONTH(C162)=5,MONTH(C162)=6,MONTH(C162)=7,MONTH(C162)=8,MONTH(C162)=9)),Summary!$O$15*12*(AX162+AY162+AZ162+BA162)*(1-$BC162),Summary!$O$15*13*(AX162+AY162+AZ162+BA162)*(1-$BC162)+IF(Summary!$O$16="Yes",(CALC!FA162+Summary!$O$15)*6*(AX162+AY162+AZ162+BA162)*(1-$BC162),0)),0)</f>
        <v>0</v>
      </c>
      <c r="FI162" s="1126" t="n">
        <f aca="false">IF(MONTH(C162)=5,FI161*(IF(Summary!$E$70="no",(1+(Summary!$E$71*0.8)),1+HLOOKUP(YEAR(C162)-1,CCFMODEL!$I$127:$AF$128,2)*0.8)),+FI161)</f>
        <v>35.3608870558082</v>
      </c>
      <c r="FJ162" s="1127" t="n">
        <f aca="false">IF(MONTH(C162)=5,FJ161*(IF(Summary!$E$70="no",(1+(Summary!$E$71*0.8)),1+HLOOKUP(YEAR(CALC!C162)-1,CCFMODEL!$I$127:$AF$128,2)*0.8)),FJ161)</f>
        <v>30.9059721511394</v>
      </c>
      <c r="FK162" s="1128" t="n">
        <f aca="false">SUM(FB162:FG162)*FI162+FH162*FJ162</f>
        <v>590898.987168259</v>
      </c>
      <c r="FL162" s="1126" t="n">
        <f aca="false">IF(MONTH(C162)=5,FL161*(IF(Summary!$E$70="no",(1+(Summary!$E$71*0.8)),1+HLOOKUP(YEAR(CALC!C162)-1,CCFMODEL!$I$127:$AF$128,2)*0.8)),+FL161)</f>
        <v>74.3679098222827</v>
      </c>
      <c r="FM162" s="1127" t="n">
        <f aca="false">IF(MONTH(C162)=5,FM161*(IF(Summary!$E$70="no",(1+(Summary!$E$71*0.8)),1+HLOOKUP(YEAR(CALC!C162)-1,CCFMODEL!$I$127:$AF$128,2)*0.8)),+FM161)</f>
        <v>35.4934738089233</v>
      </c>
      <c r="FN162" s="1128" t="n">
        <f aca="false">IF((OR(MONTH(C162)=5,MONTH(C162)=6,MONTH(C162)=7,MONTH(C162)=8,MONTH(C162)=9)),SUM(FB162:FG162)/(1-BC162)*FL162,SUM(FB162:FG162)/(1-BC162)*FM162)</f>
        <v>602146.783168384</v>
      </c>
      <c r="FO162" s="1129" t="n">
        <f aca="false">FK162+FN162</f>
        <v>1193045.77033664</v>
      </c>
      <c r="FP162" s="1169" t="n">
        <f aca="false">FB162</f>
        <v>9308.25</v>
      </c>
      <c r="FQ162" s="1129" t="n">
        <f aca="false">FC162</f>
        <v>2792.475</v>
      </c>
      <c r="FR162" s="1129" t="n">
        <f aca="false">FD162</f>
        <v>1773</v>
      </c>
      <c r="FS162" s="1129" t="n">
        <f aca="false">FE162</f>
        <v>531.9</v>
      </c>
      <c r="FT162" s="1129" t="n">
        <f aca="false">FF162</f>
        <v>1773</v>
      </c>
      <c r="FU162" s="1129" t="n">
        <f aca="false">FG162</f>
        <v>531.9</v>
      </c>
      <c r="FV162" s="1170" t="n">
        <f aca="false">FH162</f>
        <v>0</v>
      </c>
      <c r="FW162" s="1115" t="n">
        <f aca="false">IF(ER162&gt;0,MIN(FB162-FP162,BL162),0)</f>
        <v>0</v>
      </c>
      <c r="FX162" s="1115" t="n">
        <f aca="false">IF(ES162&gt;0,MIN(FD162-FR162,BM162),0)</f>
        <v>0</v>
      </c>
      <c r="FY162" s="1115" t="n">
        <f aca="false">IF(ET162&gt;0,MIN(FF162-FT162,BN162),0)</f>
        <v>0</v>
      </c>
      <c r="FZ162" s="1143" t="n">
        <f aca="false">IF(EU162&gt;0,MIN(FH162-FV162,BO162),0)</f>
        <v>0</v>
      </c>
      <c r="GA162" s="1132" t="n">
        <f aca="false">(SUM(FP162:FV162)+SUM(GU162:HB162)/(1-Summary!$O$25))*CY162/1000</f>
        <v>220308.519605746</v>
      </c>
      <c r="GB162" s="1133" t="n">
        <f aca="false">IF($C162&lt;Summary!$M$81,+Summary!$O$81,VLOOKUP(C162,GasTable,19))</f>
        <v>3.41118184601149</v>
      </c>
      <c r="GC162" s="1134" t="n">
        <f aca="false">IF(H162&lt;=Summary!$N$84,MIN(GA162,Summary!$O$75*(H162-G162+1)),0)</f>
        <v>0</v>
      </c>
      <c r="GD162" s="1135" t="n">
        <f aca="false">IF(C162&lt;Summary!$N$84,IF(Summary!$O$75*(H162-G162+1)*0.8&gt;GC162,1,0),0)</f>
        <v>0</v>
      </c>
      <c r="GE162" s="1136" t="n">
        <v>0</v>
      </c>
      <c r="GF162" s="1134" t="n">
        <f aca="false">ABS(MIN(0,GC162-$GA162))</f>
        <v>220308.519605746</v>
      </c>
      <c r="GG162" s="1135" t="n">
        <f aca="false">GF162*(IF(Summary!$O$74=1,VLOOKUP($C162,GasTable,16)+Summary!$O$92+Summary!$O$93,VLOOKUP($C162,GasTable,19)+Summary!$O$92+Summary!$O$93))</f>
        <v>762990.496472245</v>
      </c>
      <c r="GH162" s="1137" t="n">
        <v>4946.21367671666</v>
      </c>
      <c r="GI162" s="1138" t="n">
        <v>0</v>
      </c>
      <c r="GJ162" s="1139" t="n">
        <f aca="false">+GB162*GC162+GE162+GG162+GH162-GI162</f>
        <v>767936.710148961</v>
      </c>
      <c r="GK162" s="1115" t="n">
        <f aca="false">SUM(FP162:FV162,GU162:GX162,GY162:HB162)</f>
        <v>28122.52815</v>
      </c>
      <c r="GL162" s="1140" t="n">
        <v>0.51725700192</v>
      </c>
      <c r="GM162" s="1141" t="n">
        <f aca="false">IF(GK162&gt;GC162/(CY162/1000),GC162/(CY162/1000),+GK162)*GL162</f>
        <v>0</v>
      </c>
      <c r="GN162" s="1115" t="n">
        <f aca="false">IF(SUM(GU162:HB162)=0,0,IF(Summary!$O$16="Yes",SUM(GX162:HB162),IF(Summary!$O$17="Yes",SUM(GY162:HB162),SUM(GU162:HB162))))</f>
        <v>11412.00315</v>
      </c>
      <c r="GO162" s="1142" t="n">
        <v>3.39263445479869</v>
      </c>
      <c r="GP162" s="1143" t="n">
        <f aca="false">GN162*GO162</f>
        <v>38716.7550849612</v>
      </c>
      <c r="GQ162" s="1115"/>
      <c r="GR162" s="1115"/>
      <c r="GS162" s="1115"/>
      <c r="GT162" s="1115"/>
      <c r="GU162" s="1150" t="n">
        <v>5389.47675</v>
      </c>
      <c r="GV162" s="1115" t="n">
        <v>1026.567</v>
      </c>
      <c r="GW162" s="1115" t="n">
        <v>1026.567</v>
      </c>
      <c r="GX162" s="1115"/>
      <c r="GY162" s="1151" t="n">
        <v>2874.3876</v>
      </c>
      <c r="GZ162" s="1115" t="n">
        <v>547.5024</v>
      </c>
      <c r="HA162" s="1115" t="n">
        <v>547.5024</v>
      </c>
      <c r="HB162" s="1141"/>
      <c r="HC162" s="1115" t="n">
        <v>11412.00315</v>
      </c>
      <c r="HD162" s="1115"/>
      <c r="HE162" s="1115" t="n">
        <v>19598.874975</v>
      </c>
      <c r="HF162" s="1115" t="n">
        <v>447130.624222669</v>
      </c>
      <c r="HG162" s="1115"/>
      <c r="HH162" s="1142" t="n">
        <v>38.8882110845975</v>
      </c>
      <c r="HI162" s="1115" t="n">
        <v>762165.187048435</v>
      </c>
      <c r="HJ162" s="1150" t="n">
        <f aca="false">MAX(FB162-FP162-FW162,0)</f>
        <v>0</v>
      </c>
      <c r="HK162" s="1115" t="n">
        <f aca="false">MAX(FD162-FR162-FX162,0)</f>
        <v>0</v>
      </c>
      <c r="HL162" s="1115" t="n">
        <f aca="false">MAX(FF162-FT162-FY162,0)</f>
        <v>0</v>
      </c>
      <c r="HM162" s="1141" t="n">
        <f aca="false">MAX(FH162-FV162-FZ162,0)</f>
        <v>0</v>
      </c>
      <c r="HN162" s="1115" t="n">
        <f aca="false">SUM(HJ162:HM162)</f>
        <v>0</v>
      </c>
      <c r="HO162" s="1142" t="n">
        <f aca="false">IF(ISERROR(+HP162/HN162),0,+HP162/HN162)</f>
        <v>0</v>
      </c>
      <c r="HP162" s="1143" t="n">
        <f aca="false">(HJ162*CE162+HK162*CF162+HL162*CG162+HM162*CH162)</f>
        <v>0</v>
      </c>
      <c r="HQ162" s="1142"/>
      <c r="HR162" s="1150"/>
      <c r="HS162" s="1110"/>
      <c r="HT162" s="1141"/>
      <c r="HU162" s="1151"/>
      <c r="HV162" s="1142"/>
      <c r="HW162" s="1115"/>
      <c r="HX162" s="1149"/>
      <c r="HY162" s="1143"/>
      <c r="HZ162" s="1150"/>
      <c r="IA162" s="1142"/>
      <c r="IB162" s="1141"/>
      <c r="IC162" s="1151"/>
      <c r="ID162" s="1142"/>
      <c r="IE162" s="1141"/>
      <c r="IF162" s="1115"/>
      <c r="IG162" s="1142"/>
      <c r="IH162" s="1141"/>
      <c r="II162" s="1115"/>
      <c r="IJ162" s="1142"/>
      <c r="IK162" s="1115"/>
      <c r="IL162" s="1152"/>
      <c r="IM162" s="1192"/>
      <c r="IN162" s="1151"/>
      <c r="IO162" s="1151"/>
      <c r="IP162" s="1151"/>
      <c r="IQ162" s="1151"/>
      <c r="IR162" s="844"/>
    </row>
    <row r="163" customFormat="false" ht="13.5" hidden="false" customHeight="false" outlineLevel="0" collapsed="false">
      <c r="A163" s="0" t="str">
        <f aca="false">+D163&amp;"Q"&amp;ROUNDUP(E163/3,0)</f>
        <v>2012Q1</v>
      </c>
      <c r="B163" s="0" t="n">
        <f aca="false">YEAR(C163)</f>
        <v>2012</v>
      </c>
      <c r="C163" s="1153" t="n">
        <f aca="false">EOMONTH(C162,0)+1</f>
        <v>40969</v>
      </c>
      <c r="D163" s="841" t="n">
        <f aca="false">+YEAR(C163)</f>
        <v>2012</v>
      </c>
      <c r="E163" s="807" t="n">
        <f aca="false">MONTH(C163)</f>
        <v>3</v>
      </c>
      <c r="F163" s="1154" t="e">
        <f aca="false">IF(G163="","",Holiday(D163,E163))</f>
        <v>#VALUE!</v>
      </c>
      <c r="G163" s="1155" t="n">
        <v>40969</v>
      </c>
      <c r="H163" s="1156" t="n">
        <v>40999</v>
      </c>
      <c r="I163" s="1157" t="n">
        <f aca="false">I162</f>
        <v>0.0715</v>
      </c>
      <c r="J163" s="1158" t="n">
        <f aca="false">(1+I163/2)^(-2*(DATE(D164,E164,20)-$H$7)/365.25)</f>
        <v>0.42002282439904</v>
      </c>
      <c r="K163" s="1159"/>
      <c r="L163" s="1158"/>
      <c r="M163" s="1082" t="n">
        <v>0</v>
      </c>
      <c r="N163" s="1110" t="n">
        <f aca="false">M163</f>
        <v>0</v>
      </c>
      <c r="O163" s="1174" t="n">
        <f aca="false">N163</f>
        <v>0</v>
      </c>
      <c r="P163" s="1175" t="n">
        <f aca="false">M163</f>
        <v>0</v>
      </c>
      <c r="Q163" s="1110" t="n">
        <f aca="false">P163</f>
        <v>0</v>
      </c>
      <c r="R163" s="1174" t="n">
        <f aca="false">Q163</f>
        <v>0</v>
      </c>
      <c r="S163" s="1110" t="n">
        <f aca="false">R163</f>
        <v>0</v>
      </c>
      <c r="T163" s="1110" t="n">
        <f aca="false">S163</f>
        <v>0</v>
      </c>
      <c r="U163" s="1110" t="n">
        <f aca="false">T163</f>
        <v>0</v>
      </c>
      <c r="V163" s="1175" t="n">
        <f aca="false">U163</f>
        <v>0</v>
      </c>
      <c r="W163" s="1110" t="n">
        <f aca="false">V163</f>
        <v>0</v>
      </c>
      <c r="X163" s="1176" t="n">
        <f aca="false">W163</f>
        <v>0</v>
      </c>
      <c r="Y163" s="1086" t="n">
        <v>0</v>
      </c>
      <c r="Z163" s="1086" t="n">
        <v>0</v>
      </c>
      <c r="AA163" s="1087" t="n">
        <v>0</v>
      </c>
      <c r="AB163" s="1086" t="n">
        <v>0</v>
      </c>
      <c r="AC163" s="1086" t="n">
        <v>0</v>
      </c>
      <c r="AD163" s="1087" t="n">
        <v>0</v>
      </c>
      <c r="AE163" s="1086" t="n">
        <v>0</v>
      </c>
      <c r="AF163" s="1086" t="n">
        <v>0</v>
      </c>
      <c r="AG163" s="1087" t="n">
        <v>0</v>
      </c>
      <c r="AH163" s="1086" t="n">
        <v>0</v>
      </c>
      <c r="AI163" s="1086" t="n">
        <v>0</v>
      </c>
      <c r="AJ163" s="1087" t="n">
        <v>0</v>
      </c>
      <c r="AK163" s="1086" t="n">
        <v>0</v>
      </c>
      <c r="AL163" s="1086" t="n">
        <v>0</v>
      </c>
      <c r="AM163" s="1087" t="n">
        <v>0</v>
      </c>
      <c r="AN163" s="1086" t="n">
        <v>0</v>
      </c>
      <c r="AO163" s="1086" t="n">
        <v>0</v>
      </c>
      <c r="AP163" s="1087" t="n">
        <v>0</v>
      </c>
      <c r="AQ163" s="1086" t="n">
        <v>0</v>
      </c>
      <c r="AR163" s="1086" t="n">
        <v>0</v>
      </c>
      <c r="AS163" s="1087" t="n">
        <v>0</v>
      </c>
      <c r="AT163" s="1086" t="n">
        <v>0</v>
      </c>
      <c r="AU163" s="1086" t="n">
        <v>0</v>
      </c>
      <c r="AV163" s="1086" t="n">
        <v>0</v>
      </c>
      <c r="AW163" s="1172" t="n">
        <v>0</v>
      </c>
      <c r="AX163" s="807" t="n">
        <f aca="false">BB163-SUM(AY163:BA163)</f>
        <v>22</v>
      </c>
      <c r="AY163" s="807" t="n">
        <f aca="false">IF(AND($E163=MONTH(Summary!$E$24),$D163=YEAR(Summary!$E$24)),Summary!$E$25,1)*IF(G163="",0,INT((H163-MOD(H163,7)-G163)/7)+1-IF(BA163,IF(WEEKDAY(F163)=7,1,0),0))</f>
        <v>5</v>
      </c>
      <c r="AZ163" s="807" t="n">
        <f aca="false">IF(AND($E163=MONTH(Summary!$E$24),$D163=YEAR(Summary!$E$24)),Summary!$E$25,1)*IF(G163="",0,INT((H163-MOD(H163-1,7)-G163)/7)+1-IF(BA163,IF(WEEKDAY(F163)=1,1,0),0))</f>
        <v>4</v>
      </c>
      <c r="BA163" s="807" t="n">
        <v>0</v>
      </c>
      <c r="BB163" s="807" t="n">
        <f aca="false">IF(AND($E163=MONTH(Summary!$E$24),$D163=YEAR(Summary!$E$24)),Summary!$E$25,1)*IF(G163="",0,H163-G163+1)</f>
        <v>31</v>
      </c>
      <c r="BC163" s="1089" t="n">
        <f aca="false">Summary!$E$19</f>
        <v>0.015</v>
      </c>
      <c r="BD163" s="1090" t="n">
        <v>15602.4</v>
      </c>
      <c r="BE163" s="1091" t="n">
        <v>3546</v>
      </c>
      <c r="BF163" s="1091" t="n">
        <v>2836.8</v>
      </c>
      <c r="BG163" s="842"/>
      <c r="BH163" s="1092" t="n">
        <v>1</v>
      </c>
      <c r="BI163" s="1092" t="n">
        <v>1</v>
      </c>
      <c r="BJ163" s="1092" t="n">
        <v>1</v>
      </c>
      <c r="BK163" s="1092" t="n">
        <v>1</v>
      </c>
      <c r="BL163" s="1093" t="n">
        <v>3120.48</v>
      </c>
      <c r="BM163" s="1091" t="n">
        <v>709.2</v>
      </c>
      <c r="BN163" s="1091" t="n">
        <v>567.36</v>
      </c>
      <c r="BO163" s="842"/>
      <c r="BP163" s="1092" t="n">
        <v>1</v>
      </c>
      <c r="BQ163" s="1094" t="n">
        <v>1</v>
      </c>
      <c r="BR163" s="1094" t="n">
        <v>1</v>
      </c>
      <c r="BS163" s="1095" t="n">
        <v>1</v>
      </c>
      <c r="BT163" s="1093" t="n">
        <f aca="false">SUM(BD163:BF163)</f>
        <v>21985.2</v>
      </c>
      <c r="BU163" s="1098" t="n">
        <f aca="false">SUM(BD163:BG163)</f>
        <v>21985.2</v>
      </c>
      <c r="BV163" s="1090" t="n">
        <f aca="false">SUM(BL163:BN163)</f>
        <v>4397.04</v>
      </c>
      <c r="BW163" s="1098" t="n">
        <f aca="false">SUM(BL163:BO163)</f>
        <v>4397.04</v>
      </c>
      <c r="BX163" s="852" t="n">
        <v>12.2108145106092</v>
      </c>
      <c r="BY163" s="1099" t="n">
        <v>0</v>
      </c>
      <c r="BZ163" s="852" t="n">
        <v>0</v>
      </c>
      <c r="CA163" s="852" t="n">
        <v>0</v>
      </c>
      <c r="CB163" s="852" t="n">
        <v>0</v>
      </c>
      <c r="CC163" s="852" t="n">
        <v>0</v>
      </c>
      <c r="CD163" s="852" t="n">
        <v>0</v>
      </c>
      <c r="CE163" s="1100" t="n">
        <v>0</v>
      </c>
      <c r="CF163" s="852" t="n">
        <v>0</v>
      </c>
      <c r="CG163" s="852" t="n">
        <v>0</v>
      </c>
      <c r="CH163" s="852" t="n">
        <v>0</v>
      </c>
      <c r="CI163" s="852" t="n">
        <v>0</v>
      </c>
      <c r="CJ163" s="1101" t="n">
        <v>0</v>
      </c>
      <c r="CK163" s="852" t="n">
        <v>0</v>
      </c>
      <c r="CL163" s="852" t="n">
        <v>0</v>
      </c>
      <c r="CM163" s="852" t="n">
        <v>0</v>
      </c>
      <c r="CN163" s="852" t="n">
        <v>0</v>
      </c>
      <c r="CO163" s="852" t="n">
        <v>0</v>
      </c>
      <c r="CP163" s="852" t="n">
        <v>0</v>
      </c>
      <c r="CQ163" s="1102" t="n">
        <v>0</v>
      </c>
      <c r="CR163" s="1103" t="n">
        <v>0</v>
      </c>
      <c r="CS163" s="1103" t="n">
        <v>0</v>
      </c>
      <c r="CT163" s="1103" t="n">
        <v>0</v>
      </c>
      <c r="CU163" s="1103" t="n">
        <v>0</v>
      </c>
      <c r="CV163" s="1103" t="n">
        <v>0</v>
      </c>
      <c r="CW163" s="1103" t="n">
        <v>0</v>
      </c>
      <c r="CX163" s="1104" t="n">
        <v>0</v>
      </c>
      <c r="CY163" s="1105" t="n">
        <v>7721.55664</v>
      </c>
      <c r="CZ163" s="1099" t="n">
        <v>0</v>
      </c>
      <c r="DA163" s="852" t="n">
        <v>0</v>
      </c>
      <c r="DB163" s="852" t="n">
        <v>0</v>
      </c>
      <c r="DC163" s="852" t="n">
        <v>0</v>
      </c>
      <c r="DD163" s="852" t="n">
        <v>0</v>
      </c>
      <c r="DE163" s="1113" t="n">
        <v>0</v>
      </c>
      <c r="DF163" s="1109" t="n">
        <v>0</v>
      </c>
      <c r="DG163" s="1110" t="n">
        <v>0</v>
      </c>
      <c r="DH163" s="1111" t="n">
        <v>0</v>
      </c>
      <c r="DI163" s="1112" t="n">
        <v>0</v>
      </c>
      <c r="DJ163" s="1112" t="n">
        <v>0</v>
      </c>
      <c r="DK163" s="1112" t="n">
        <v>0</v>
      </c>
      <c r="DL163" s="1113" t="n">
        <v>0</v>
      </c>
      <c r="DM163" s="1114" t="n">
        <v>0</v>
      </c>
      <c r="DN163" s="1114" t="n">
        <v>0</v>
      </c>
      <c r="DO163" s="1114" t="n">
        <v>0</v>
      </c>
      <c r="DP163" s="1114" t="n">
        <v>0</v>
      </c>
      <c r="DQ163" s="1114" t="n">
        <v>0</v>
      </c>
      <c r="DR163" s="1109" t="n">
        <v>0</v>
      </c>
      <c r="DS163" s="852" t="n">
        <v>0</v>
      </c>
      <c r="DT163" s="852" t="n">
        <v>0</v>
      </c>
      <c r="DU163" s="852" t="n">
        <v>0</v>
      </c>
      <c r="DV163" s="852" t="n">
        <v>0</v>
      </c>
      <c r="DW163" s="852" t="n">
        <v>0</v>
      </c>
      <c r="DX163" s="852" t="n">
        <v>0</v>
      </c>
      <c r="DY163" s="852" t="n">
        <v>0</v>
      </c>
      <c r="DZ163" s="852" t="n">
        <v>0</v>
      </c>
      <c r="EA163" s="852" t="n">
        <v>0</v>
      </c>
      <c r="EB163" s="1113" t="n">
        <v>0</v>
      </c>
      <c r="EC163" s="1115" t="n">
        <f aca="false">DS163*BD163</f>
        <v>0</v>
      </c>
      <c r="ED163" s="1115" t="n">
        <f aca="false">DT163*BE163</f>
        <v>0</v>
      </c>
      <c r="EE163" s="1115" t="n">
        <f aca="false">DU163*BF163</f>
        <v>0</v>
      </c>
      <c r="EF163" s="1115" t="n">
        <f aca="false">DV163*BG163</f>
        <v>0</v>
      </c>
      <c r="EG163" s="1115" t="n">
        <f aca="false">DS163*BD163+DT163*BE163+DU163*BF163+DV163*BG163</f>
        <v>0</v>
      </c>
      <c r="EH163" s="1116" t="n">
        <v>0</v>
      </c>
      <c r="EI163" s="1117" t="n">
        <v>0</v>
      </c>
      <c r="EJ163" s="1117" t="n">
        <v>0</v>
      </c>
      <c r="EK163" s="1117" t="n">
        <v>0</v>
      </c>
      <c r="EL163" s="1118" t="n">
        <f aca="false">IF(C163&gt;=Summary!$E$26,MAX(0,SUM(EH163:EK163)),0)</f>
        <v>0</v>
      </c>
      <c r="EM163" s="1115" t="n">
        <f aca="false">IF(C163&gt;=Summary!$E$26,DX163*BL163,0)</f>
        <v>0</v>
      </c>
      <c r="EN163" s="1115" t="n">
        <f aca="false">IF(C163&gt;=Summary!$E$26,DY163*BM163,0)</f>
        <v>0</v>
      </c>
      <c r="EO163" s="1115" t="n">
        <f aca="false">IF(C163&gt;=Summary!$E$26,DZ163*BN163,0)</f>
        <v>0</v>
      </c>
      <c r="EP163" s="1115" t="n">
        <f aca="false">IF(C163&gt;=Summary!$E$26,EA163*BO163,0)</f>
        <v>0</v>
      </c>
      <c r="EQ163" s="1115" t="n">
        <f aca="false">IF(C163&gt;=Summary!$E$26,DX163*BL163+DY163*BM163+DZ163*BN163+EA163*BO163,0)</f>
        <v>0</v>
      </c>
      <c r="ER163" s="1119" t="n">
        <v>0</v>
      </c>
      <c r="ES163" s="1120" t="n">
        <v>0</v>
      </c>
      <c r="ET163" s="1120" t="n">
        <v>0</v>
      </c>
      <c r="EU163" s="1120" t="n">
        <v>0</v>
      </c>
      <c r="EV163" s="1143" t="n">
        <f aca="false">IF(C163&gt;=Summary!$E$26,MAX(0,SUM(ER163:EU163)),0)</f>
        <v>0</v>
      </c>
      <c r="EW163" s="1115"/>
      <c r="EX163" s="1165" t="n">
        <f aca="false">(EQ163-EV163)+IF(EZ163="Yes",(EG163-EL163),0)</f>
        <v>0</v>
      </c>
      <c r="EY163" s="1166" t="str">
        <f aca="false">IF(EX163,EX163/EQ163,"")</f>
        <v/>
      </c>
      <c r="EZ163" s="1122" t="s">
        <v>37</v>
      </c>
      <c r="FA163" s="1096" t="n">
        <f aca="false">FA162</f>
        <v>45</v>
      </c>
      <c r="FB163" s="1167" t="n">
        <f aca="false">IF(EZ163="No",IF((OR(MONTH(C163)=5,MONTH(C163)=6,MONTH(C163)=7,MONTH(C163)=8,MONTH(C163)=9)),$FA163*12*AX163*(1-$BC163),$FA163*10*AX163*(1-$BC163)),0)</f>
        <v>9751.5</v>
      </c>
      <c r="FC163" s="1129" t="n">
        <f aca="false">IF(EZ163="No",IF((OR(MONTH(C163)=5,MONTH(C163)=6,MONTH(C163)=7,MONTH(C163)=8,MONTH(C163)=9)),0,$FA163*3*AX163*(1-$BC163)),0)</f>
        <v>2925.45</v>
      </c>
      <c r="FD163" s="1129" t="n">
        <f aca="false">IF(EZ163="No",IF((OR(MONTH(C163)=5,MONTH(C163)=6,MONTH(C163)=7,MONTH(C163)=8,MONTH(C163)=9)),$FA163*12*AY163*(1-$BC163),$FA163*10*AY163*(1-$BC163)),0)</f>
        <v>2216.25</v>
      </c>
      <c r="FE163" s="1129" t="n">
        <f aca="false">IF(EZ163="No",IF((OR(MONTH(C163)=5,MONTH(C163)=6,MONTH(C163)=7,MONTH(C163)=8,MONTH(C163)=9)),0,$FA163*3*AY163*(1-$BC163)),0)</f>
        <v>664.875</v>
      </c>
      <c r="FF163" s="1129" t="n">
        <f aca="false">IF(EZ163="No",IF((OR(MONTH(C163)=5,MONTH(C163)=6,MONTH(C163)=7,MONTH(C163)=8,MONTH(C163)=9)),$FA163*12*(AZ163+BA163)*(1-$BC163),$FA163*10*(AZ163+BA163)*(1-$BC163)),0)</f>
        <v>1773</v>
      </c>
      <c r="FG163" s="1129" t="n">
        <f aca="false">IF(EZ163="No",IF((OR(MONTH(C163)=5,MONTH(C163)=6,MONTH(C163)=7,MONTH(C163)=8,MONTH(C163)=9)),0,$FA163*3*(AZ163+BA163)*(1-$BC163)),0)</f>
        <v>531.9</v>
      </c>
      <c r="FH163" s="1170" t="n">
        <f aca="false">IF(EZ163="No",IF((OR(MONTH(C163)=5,MONTH(C163)=6,MONTH(C163)=7,MONTH(C163)=8,MONTH(C163)=9)),Summary!$O$15*12*(AX163+AY163+AZ163+BA163)*(1-$BC163),Summary!$O$15*13*(AX163+AY163+AZ163+BA163)*(1-$BC163)+IF(Summary!$O$16="Yes",(CALC!FA163+Summary!$O$15)*6*(AX163+AY163+AZ163+BA163)*(1-$BC163),0)),0)</f>
        <v>0</v>
      </c>
      <c r="FI163" s="1126" t="n">
        <f aca="false">IF(MONTH(C163)=5,FI162*(IF(Summary!$E$70="no",(1+(Summary!$E$71*0.8)),1+HLOOKUP(YEAR(C163)-1,CCFMODEL!$I$127:$AF$128,2)*0.8)),+FI162)</f>
        <v>35.3608870558082</v>
      </c>
      <c r="FJ163" s="1127" t="n">
        <f aca="false">IF(MONTH(C163)=5,FJ162*(IF(Summary!$E$70="no",(1+(Summary!$E$71*0.8)),1+HLOOKUP(YEAR(CALC!C163)-1,CCFMODEL!$I$127:$AF$128,2)*0.8)),FJ162)</f>
        <v>30.9059721511394</v>
      </c>
      <c r="FK163" s="1128" t="n">
        <f aca="false">SUM(FB163:FG163)*FI163+FH163*FJ163</f>
        <v>631650.641455725</v>
      </c>
      <c r="FL163" s="1126" t="n">
        <f aca="false">IF(MONTH(C163)=5,FL162*(IF(Summary!$E$70="no",(1+(Summary!$E$71*0.8)),1+HLOOKUP(YEAR(CALC!C163)-1,CCFMODEL!$I$127:$AF$128,2)*0.8)),+FL162)</f>
        <v>74.3679098222827</v>
      </c>
      <c r="FM163" s="1127" t="n">
        <f aca="false">IF(MONTH(C163)=5,FM162*(IF(Summary!$E$70="no",(1+(Summary!$E$71*0.8)),1+HLOOKUP(YEAR(CALC!C163)-1,CCFMODEL!$I$127:$AF$128,2)*0.8)),+FM162)</f>
        <v>35.4934738089233</v>
      </c>
      <c r="FN163" s="1128" t="n">
        <f aca="false">IF((OR(MONTH(C163)=5,MONTH(C163)=6,MONTH(C163)=7,MONTH(C163)=8,MONTH(C163)=9)),SUM(FB163:FG163)/(1-BC163)*FL163,SUM(FB163:FG163)/(1-BC163)*FM163)</f>
        <v>643674.147524824</v>
      </c>
      <c r="FO163" s="1129" t="n">
        <f aca="false">FK163+FN163</f>
        <v>1275324.78898055</v>
      </c>
      <c r="FP163" s="1169" t="n">
        <f aca="false">FB163</f>
        <v>9751.5</v>
      </c>
      <c r="FQ163" s="1129" t="n">
        <f aca="false">FC163</f>
        <v>2925.45</v>
      </c>
      <c r="FR163" s="1129" t="n">
        <f aca="false">FD163</f>
        <v>2216.25</v>
      </c>
      <c r="FS163" s="1129" t="n">
        <f aca="false">FE163</f>
        <v>664.875</v>
      </c>
      <c r="FT163" s="1129" t="n">
        <f aca="false">FF163</f>
        <v>1773</v>
      </c>
      <c r="FU163" s="1129" t="n">
        <f aca="false">FG163</f>
        <v>531.9</v>
      </c>
      <c r="FV163" s="1170" t="n">
        <f aca="false">FH163</f>
        <v>0</v>
      </c>
      <c r="FW163" s="1115" t="n">
        <f aca="false">IF(ER163&gt;0,MIN(FB163-FP163,BL163),0)</f>
        <v>0</v>
      </c>
      <c r="FX163" s="1115" t="n">
        <f aca="false">IF(ES163&gt;0,MIN(FD163-FR163,BM163),0)</f>
        <v>0</v>
      </c>
      <c r="FY163" s="1115" t="n">
        <f aca="false">IF(ET163&gt;0,MIN(FF163-FT163,BN163),0)</f>
        <v>0</v>
      </c>
      <c r="FZ163" s="1143" t="n">
        <f aca="false">IF(EU163&gt;0,MIN(FH163-FV163,BO163),0)</f>
        <v>0</v>
      </c>
      <c r="GA163" s="1132" t="n">
        <f aca="false">(SUM(FP163:FV163)+SUM(GU163:HB163)/(1-Summary!$O$25))*CY163/1000</f>
        <v>235541.954270398</v>
      </c>
      <c r="GB163" s="1133" t="n">
        <f aca="false">IF($C163&lt;Summary!$M$81,+Summary!$O$81,VLOOKUP(C163,GasTable,19))</f>
        <v>3.22823287736708</v>
      </c>
      <c r="GC163" s="1134" t="n">
        <f aca="false">IF(H163&lt;=Summary!$N$84,MIN(GA163,Summary!$O$75*(H163-G163+1)),0)</f>
        <v>0</v>
      </c>
      <c r="GD163" s="1135" t="n">
        <f aca="false">IF(C163&lt;Summary!$N$84,IF(Summary!$O$75*(H163-G163+1)*0.8&gt;GC163,1,0),0)</f>
        <v>0</v>
      </c>
      <c r="GE163" s="1136" t="n">
        <v>0</v>
      </c>
      <c r="GF163" s="1134" t="n">
        <f aca="false">ABS(MIN(0,GC163-$GA163))</f>
        <v>235541.954270398</v>
      </c>
      <c r="GG163" s="1135" t="n">
        <f aca="false">GF163*(IF(Summary!$O$74=1,VLOOKUP($C163,GasTable,16)+Summary!$O$92+Summary!$O$93,VLOOKUP($C163,GasTable,19)+Summary!$O$92+Summary!$O$93))</f>
        <v>772656.016592478</v>
      </c>
      <c r="GH163" s="1137" t="n">
        <v>5003.76095991897</v>
      </c>
      <c r="GI163" s="1138" t="n">
        <v>0</v>
      </c>
      <c r="GJ163" s="1139" t="n">
        <f aca="false">+GB163*GC163+GE163+GG163+GH163-GI163</f>
        <v>777659.777552397</v>
      </c>
      <c r="GK163" s="1115" t="n">
        <f aca="false">SUM(FP163:FV163,GU163:GX163,GY163:HB163)</f>
        <v>30062.01285</v>
      </c>
      <c r="GL163" s="1140" t="n">
        <v>0.51734429488</v>
      </c>
      <c r="GM163" s="1141" t="n">
        <f aca="false">IF(GK163&gt;GC163/(CY163/1000),GC163/(CY163/1000),+GK163)*GL163</f>
        <v>0</v>
      </c>
      <c r="GN163" s="1115" t="n">
        <f aca="false">IF(SUM(GU163:HB163)=0,0,IF(Summary!$O$16="Yes",SUM(GX163:HB163),IF(Summary!$O$17="Yes",SUM(GY163:HB163),SUM(GU163:HB163))))</f>
        <v>12199.03785</v>
      </c>
      <c r="GO163" s="1142" t="n">
        <v>3.39263445479869</v>
      </c>
      <c r="GP163" s="1143" t="n">
        <f aca="false">GN163*GO163</f>
        <v>41386.8761253033</v>
      </c>
      <c r="GQ163" s="1115"/>
      <c r="GR163" s="1115"/>
      <c r="GS163" s="1115"/>
      <c r="GT163" s="1115"/>
      <c r="GU163" s="1150" t="n">
        <v>5646.1185</v>
      </c>
      <c r="GV163" s="1115" t="n">
        <v>1283.20875</v>
      </c>
      <c r="GW163" s="1115" t="n">
        <v>1026.567</v>
      </c>
      <c r="GX163" s="1115"/>
      <c r="GY163" s="1151" t="n">
        <v>3011.2632</v>
      </c>
      <c r="GZ163" s="1115" t="n">
        <v>684.378</v>
      </c>
      <c r="HA163" s="1115" t="n">
        <v>547.5024</v>
      </c>
      <c r="HB163" s="1141"/>
      <c r="HC163" s="1115" t="n">
        <v>12199.03785</v>
      </c>
      <c r="HD163" s="1115"/>
      <c r="HE163" s="1115" t="n">
        <v>20950.521525</v>
      </c>
      <c r="HF163" s="1115" t="n">
        <v>464211.544370808</v>
      </c>
      <c r="HG163" s="1115"/>
      <c r="HH163" s="1142" t="n">
        <v>37.4286602188861</v>
      </c>
      <c r="HI163" s="1115" t="n">
        <v>784149.951567683</v>
      </c>
      <c r="HJ163" s="1150" t="n">
        <f aca="false">MAX(FB163-FP163-FW163,0)</f>
        <v>0</v>
      </c>
      <c r="HK163" s="1115" t="n">
        <f aca="false">MAX(FD163-FR163-FX163,0)</f>
        <v>0</v>
      </c>
      <c r="HL163" s="1115" t="n">
        <f aca="false">MAX(FF163-FT163-FY163,0)</f>
        <v>0</v>
      </c>
      <c r="HM163" s="1141" t="n">
        <f aca="false">MAX(FH163-FV163-FZ163,0)</f>
        <v>0</v>
      </c>
      <c r="HN163" s="1115" t="n">
        <f aca="false">SUM(HJ163:HM163)</f>
        <v>0</v>
      </c>
      <c r="HO163" s="1142" t="n">
        <f aca="false">IF(ISERROR(+HP163/HN163),0,+HP163/HN163)</f>
        <v>0</v>
      </c>
      <c r="HP163" s="1143" t="n">
        <f aca="false">(HJ163*CE163+HK163*CF163+HL163*CG163+HM163*CH163)</f>
        <v>0</v>
      </c>
      <c r="HQ163" s="1142"/>
      <c r="HR163" s="1150"/>
      <c r="HS163" s="1110"/>
      <c r="HT163" s="1141"/>
      <c r="HU163" s="1151"/>
      <c r="HV163" s="1142"/>
      <c r="HW163" s="1115"/>
      <c r="HX163" s="1149"/>
      <c r="HY163" s="1143"/>
      <c r="HZ163" s="1150"/>
      <c r="IA163" s="1142"/>
      <c r="IB163" s="1141"/>
      <c r="IC163" s="1151"/>
      <c r="ID163" s="1142"/>
      <c r="IE163" s="1141"/>
      <c r="IF163" s="1115"/>
      <c r="IG163" s="1142"/>
      <c r="IH163" s="1141"/>
      <c r="II163" s="1115"/>
      <c r="IJ163" s="1142"/>
      <c r="IK163" s="1115"/>
      <c r="IL163" s="1152"/>
      <c r="IM163" s="1192"/>
      <c r="IN163" s="1151"/>
      <c r="IO163" s="1151"/>
      <c r="IP163" s="1151"/>
      <c r="IQ163" s="1151"/>
      <c r="IR163" s="844"/>
    </row>
    <row r="164" customFormat="false" ht="13.5" hidden="false" customHeight="false" outlineLevel="0" collapsed="false">
      <c r="A164" s="0" t="str">
        <f aca="false">+D164&amp;"Q"&amp;ROUNDUP(E164/3,0)</f>
        <v>2012Q2</v>
      </c>
      <c r="B164" s="0" t="n">
        <f aca="false">YEAR(C164)</f>
        <v>2012</v>
      </c>
      <c r="C164" s="1153" t="n">
        <f aca="false">EOMONTH(C163,0)+1</f>
        <v>41000</v>
      </c>
      <c r="D164" s="841" t="n">
        <f aca="false">+YEAR(C164)</f>
        <v>2012</v>
      </c>
      <c r="E164" s="807" t="n">
        <f aca="false">MONTH(C164)</f>
        <v>4</v>
      </c>
      <c r="F164" s="1154" t="e">
        <f aca="false">IF(G164="","",Holiday(D164,E164))</f>
        <v>#VALUE!</v>
      </c>
      <c r="G164" s="1155" t="n">
        <v>41000</v>
      </c>
      <c r="H164" s="1156" t="n">
        <v>41029</v>
      </c>
      <c r="I164" s="1157" t="n">
        <f aca="false">I163</f>
        <v>0.0715</v>
      </c>
      <c r="J164" s="1158" t="n">
        <f aca="false">(1+I164/2)^(-2*(DATE(D165,E165,20)-$H$7)/365.25)</f>
        <v>0.417606207571765</v>
      </c>
      <c r="K164" s="1159"/>
      <c r="L164" s="1158"/>
      <c r="M164" s="1082" t="n">
        <v>0</v>
      </c>
      <c r="N164" s="1110" t="n">
        <f aca="false">M164</f>
        <v>0</v>
      </c>
      <c r="O164" s="1174" t="n">
        <f aca="false">N164</f>
        <v>0</v>
      </c>
      <c r="P164" s="1175" t="n">
        <f aca="false">M164</f>
        <v>0</v>
      </c>
      <c r="Q164" s="1110" t="n">
        <f aca="false">P164</f>
        <v>0</v>
      </c>
      <c r="R164" s="1174" t="n">
        <f aca="false">Q164</f>
        <v>0</v>
      </c>
      <c r="S164" s="1110" t="n">
        <f aca="false">R164</f>
        <v>0</v>
      </c>
      <c r="T164" s="1110" t="n">
        <f aca="false">S164</f>
        <v>0</v>
      </c>
      <c r="U164" s="1110" t="n">
        <f aca="false">T164</f>
        <v>0</v>
      </c>
      <c r="V164" s="1175" t="n">
        <f aca="false">U164</f>
        <v>0</v>
      </c>
      <c r="W164" s="1110" t="n">
        <f aca="false">V164</f>
        <v>0</v>
      </c>
      <c r="X164" s="1176" t="n">
        <f aca="false">W164</f>
        <v>0</v>
      </c>
      <c r="Y164" s="1086" t="n">
        <v>0</v>
      </c>
      <c r="Z164" s="1086" t="n">
        <v>0</v>
      </c>
      <c r="AA164" s="1087" t="n">
        <v>0</v>
      </c>
      <c r="AB164" s="1086" t="n">
        <v>0</v>
      </c>
      <c r="AC164" s="1086" t="n">
        <v>0</v>
      </c>
      <c r="AD164" s="1087" t="n">
        <v>0</v>
      </c>
      <c r="AE164" s="1086" t="n">
        <v>0</v>
      </c>
      <c r="AF164" s="1086" t="n">
        <v>0</v>
      </c>
      <c r="AG164" s="1087" t="n">
        <v>0</v>
      </c>
      <c r="AH164" s="1086" t="n">
        <v>0</v>
      </c>
      <c r="AI164" s="1086" t="n">
        <v>0</v>
      </c>
      <c r="AJ164" s="1087" t="n">
        <v>0</v>
      </c>
      <c r="AK164" s="1086" t="n">
        <v>0</v>
      </c>
      <c r="AL164" s="1086" t="n">
        <v>0</v>
      </c>
      <c r="AM164" s="1087" t="n">
        <v>0</v>
      </c>
      <c r="AN164" s="1086" t="n">
        <v>0</v>
      </c>
      <c r="AO164" s="1086" t="n">
        <v>0</v>
      </c>
      <c r="AP164" s="1087" t="n">
        <v>0</v>
      </c>
      <c r="AQ164" s="1086" t="n">
        <v>0</v>
      </c>
      <c r="AR164" s="1086" t="n">
        <v>0</v>
      </c>
      <c r="AS164" s="1087" t="n">
        <v>0</v>
      </c>
      <c r="AT164" s="1086" t="n">
        <v>0</v>
      </c>
      <c r="AU164" s="1086" t="n">
        <v>0</v>
      </c>
      <c r="AV164" s="1086" t="n">
        <v>0</v>
      </c>
      <c r="AW164" s="1172" t="n">
        <v>0</v>
      </c>
      <c r="AX164" s="807" t="n">
        <f aca="false">BB164-SUM(AY164:BA164)</f>
        <v>21</v>
      </c>
      <c r="AY164" s="807" t="n">
        <f aca="false">IF(AND($E164=MONTH(Summary!$E$24),$D164=YEAR(Summary!$E$24)),Summary!$E$25,1)*IF(G164="",0,INT((H164-MOD(H164,7)-G164)/7)+1-IF(BA164,IF(WEEKDAY(F164)=7,1,0),0))</f>
        <v>4</v>
      </c>
      <c r="AZ164" s="807" t="n">
        <f aca="false">IF(AND($E164=MONTH(Summary!$E$24),$D164=YEAR(Summary!$E$24)),Summary!$E$25,1)*IF(G164="",0,INT((H164-MOD(H164-1,7)-G164)/7)+1-IF(BA164,IF(WEEKDAY(F164)=1,1,0),0))</f>
        <v>5</v>
      </c>
      <c r="BA164" s="807" t="n">
        <v>0</v>
      </c>
      <c r="BB164" s="807" t="n">
        <f aca="false">IF(AND($E164=MONTH(Summary!$E$24),$D164=YEAR(Summary!$E$24)),Summary!$E$25,1)*IF(G164="",0,H164-G164+1)</f>
        <v>30</v>
      </c>
      <c r="BC164" s="1089" t="n">
        <f aca="false">Summary!$E$19</f>
        <v>0.015</v>
      </c>
      <c r="BD164" s="1090" t="n">
        <v>14893.2</v>
      </c>
      <c r="BE164" s="1091" t="n">
        <v>2836.8</v>
      </c>
      <c r="BF164" s="1091" t="n">
        <v>3546</v>
      </c>
      <c r="BG164" s="842"/>
      <c r="BH164" s="1092" t="n">
        <v>1</v>
      </c>
      <c r="BI164" s="1092" t="n">
        <v>1</v>
      </c>
      <c r="BJ164" s="1092" t="n">
        <v>1</v>
      </c>
      <c r="BK164" s="1092" t="n">
        <v>1</v>
      </c>
      <c r="BL164" s="1093" t="n">
        <v>2978.64</v>
      </c>
      <c r="BM164" s="1091" t="n">
        <v>567.36</v>
      </c>
      <c r="BN164" s="1091" t="n">
        <v>709.2</v>
      </c>
      <c r="BO164" s="842"/>
      <c r="BP164" s="1092" t="n">
        <v>1</v>
      </c>
      <c r="BQ164" s="1094" t="n">
        <v>1</v>
      </c>
      <c r="BR164" s="1094" t="n">
        <v>1</v>
      </c>
      <c r="BS164" s="1095" t="n">
        <v>1</v>
      </c>
      <c r="BT164" s="1093" t="n">
        <f aca="false">SUM(BD164:BF164)</f>
        <v>21276</v>
      </c>
      <c r="BU164" s="1098" t="n">
        <f aca="false">SUM(BD164:BG164)</f>
        <v>21276</v>
      </c>
      <c r="BV164" s="1090" t="n">
        <f aca="false">SUM(BL164:BN164)</f>
        <v>4255.2</v>
      </c>
      <c r="BW164" s="1098" t="n">
        <f aca="false">SUM(BL164:BO164)</f>
        <v>4255.2</v>
      </c>
      <c r="BX164" s="852" t="n">
        <v>12.2956878850103</v>
      </c>
      <c r="BY164" s="1099" t="n">
        <v>0</v>
      </c>
      <c r="BZ164" s="852" t="n">
        <v>0</v>
      </c>
      <c r="CA164" s="852" t="n">
        <v>0</v>
      </c>
      <c r="CB164" s="852" t="n">
        <v>0</v>
      </c>
      <c r="CC164" s="852" t="n">
        <v>0</v>
      </c>
      <c r="CD164" s="852" t="n">
        <v>0</v>
      </c>
      <c r="CE164" s="1100" t="n">
        <v>0</v>
      </c>
      <c r="CF164" s="852" t="n">
        <v>0</v>
      </c>
      <c r="CG164" s="852" t="n">
        <v>0</v>
      </c>
      <c r="CH164" s="852" t="n">
        <v>0</v>
      </c>
      <c r="CI164" s="852" t="n">
        <v>0</v>
      </c>
      <c r="CJ164" s="1101" t="n">
        <v>0</v>
      </c>
      <c r="CK164" s="852" t="n">
        <v>0</v>
      </c>
      <c r="CL164" s="852" t="n">
        <v>0</v>
      </c>
      <c r="CM164" s="852" t="n">
        <v>0</v>
      </c>
      <c r="CN164" s="852" t="n">
        <v>0</v>
      </c>
      <c r="CO164" s="852" t="n">
        <v>0</v>
      </c>
      <c r="CP164" s="852" t="n">
        <v>0</v>
      </c>
      <c r="CQ164" s="1102" t="n">
        <v>0</v>
      </c>
      <c r="CR164" s="1103" t="n">
        <v>0</v>
      </c>
      <c r="CS164" s="1103" t="n">
        <v>0</v>
      </c>
      <c r="CT164" s="1103" t="n">
        <v>0</v>
      </c>
      <c r="CU164" s="1103" t="n">
        <v>0</v>
      </c>
      <c r="CV164" s="1103" t="n">
        <v>0</v>
      </c>
      <c r="CW164" s="1103" t="n">
        <v>0</v>
      </c>
      <c r="CX164" s="1104" t="n">
        <v>0</v>
      </c>
      <c r="CY164" s="1105" t="n">
        <v>7722.85952</v>
      </c>
      <c r="CZ164" s="1099" t="n">
        <v>0</v>
      </c>
      <c r="DA164" s="852" t="n">
        <v>0</v>
      </c>
      <c r="DB164" s="852" t="n">
        <v>0</v>
      </c>
      <c r="DC164" s="852" t="n">
        <v>0</v>
      </c>
      <c r="DD164" s="852" t="n">
        <v>0</v>
      </c>
      <c r="DE164" s="1113" t="n">
        <v>0</v>
      </c>
      <c r="DF164" s="1109" t="n">
        <v>0</v>
      </c>
      <c r="DG164" s="1110" t="n">
        <v>0</v>
      </c>
      <c r="DH164" s="1111" t="n">
        <v>0</v>
      </c>
      <c r="DI164" s="1112" t="n">
        <v>0</v>
      </c>
      <c r="DJ164" s="1112" t="n">
        <v>0</v>
      </c>
      <c r="DK164" s="1112" t="n">
        <v>0</v>
      </c>
      <c r="DL164" s="1113" t="n">
        <v>0</v>
      </c>
      <c r="DM164" s="1114" t="n">
        <v>0</v>
      </c>
      <c r="DN164" s="1114" t="n">
        <v>0</v>
      </c>
      <c r="DO164" s="1114" t="n">
        <v>0</v>
      </c>
      <c r="DP164" s="1114" t="n">
        <v>0</v>
      </c>
      <c r="DQ164" s="1114" t="n">
        <v>0</v>
      </c>
      <c r="DR164" s="1109" t="n">
        <v>0</v>
      </c>
      <c r="DS164" s="852" t="n">
        <v>0</v>
      </c>
      <c r="DT164" s="852" t="n">
        <v>0</v>
      </c>
      <c r="DU164" s="852" t="n">
        <v>0</v>
      </c>
      <c r="DV164" s="852" t="n">
        <v>0</v>
      </c>
      <c r="DW164" s="852" t="n">
        <v>0</v>
      </c>
      <c r="DX164" s="852" t="n">
        <v>0</v>
      </c>
      <c r="DY164" s="852" t="n">
        <v>0</v>
      </c>
      <c r="DZ164" s="852" t="n">
        <v>0</v>
      </c>
      <c r="EA164" s="852" t="n">
        <v>0</v>
      </c>
      <c r="EB164" s="1113" t="n">
        <v>0</v>
      </c>
      <c r="EC164" s="1115" t="n">
        <f aca="false">DS164*BD164</f>
        <v>0</v>
      </c>
      <c r="ED164" s="1115" t="n">
        <f aca="false">DT164*BE164</f>
        <v>0</v>
      </c>
      <c r="EE164" s="1115" t="n">
        <f aca="false">DU164*BF164</f>
        <v>0</v>
      </c>
      <c r="EF164" s="1115" t="n">
        <f aca="false">DV164*BG164</f>
        <v>0</v>
      </c>
      <c r="EG164" s="1115" t="n">
        <f aca="false">DS164*BD164+DT164*BE164+DU164*BF164+DV164*BG164</f>
        <v>0</v>
      </c>
      <c r="EH164" s="1116" t="n">
        <v>0</v>
      </c>
      <c r="EI164" s="1117" t="n">
        <v>0</v>
      </c>
      <c r="EJ164" s="1117" t="n">
        <v>0</v>
      </c>
      <c r="EK164" s="1117" t="n">
        <v>0</v>
      </c>
      <c r="EL164" s="1118" t="n">
        <f aca="false">IF(C164&gt;=Summary!$E$26,MAX(0,SUM(EH164:EK164)),0)</f>
        <v>0</v>
      </c>
      <c r="EM164" s="1115" t="n">
        <f aca="false">IF(C164&gt;=Summary!$E$26,DX164*BL164,0)</f>
        <v>0</v>
      </c>
      <c r="EN164" s="1115" t="n">
        <f aca="false">IF(C164&gt;=Summary!$E$26,DY164*BM164,0)</f>
        <v>0</v>
      </c>
      <c r="EO164" s="1115" t="n">
        <f aca="false">IF(C164&gt;=Summary!$E$26,DZ164*BN164,0)</f>
        <v>0</v>
      </c>
      <c r="EP164" s="1115" t="n">
        <f aca="false">IF(C164&gt;=Summary!$E$26,EA164*BO164,0)</f>
        <v>0</v>
      </c>
      <c r="EQ164" s="1115" t="n">
        <f aca="false">IF(C164&gt;=Summary!$E$26,DX164*BL164+DY164*BM164+DZ164*BN164+EA164*BO164,0)</f>
        <v>0</v>
      </c>
      <c r="ER164" s="1119" t="n">
        <v>0</v>
      </c>
      <c r="ES164" s="1120" t="n">
        <v>0</v>
      </c>
      <c r="ET164" s="1120" t="n">
        <v>0</v>
      </c>
      <c r="EU164" s="1120" t="n">
        <v>0</v>
      </c>
      <c r="EV164" s="1143" t="n">
        <f aca="false">IF(C164&gt;=Summary!$E$26,MAX(0,SUM(ER164:EU164)),0)</f>
        <v>0</v>
      </c>
      <c r="EW164" s="1115"/>
      <c r="EX164" s="1165" t="n">
        <f aca="false">(EQ164-EV164)+IF(EZ164="Yes",(EG164-EL164),0)</f>
        <v>0</v>
      </c>
      <c r="EY164" s="1166" t="str">
        <f aca="false">IF(EX164,EX164/EQ164,"")</f>
        <v/>
      </c>
      <c r="EZ164" s="1122" t="s">
        <v>37</v>
      </c>
      <c r="FA164" s="1096" t="n">
        <f aca="false">FA163</f>
        <v>45</v>
      </c>
      <c r="FB164" s="1167" t="n">
        <f aca="false">IF(EZ164="No",IF((OR(MONTH(C164)=5,MONTH(C164)=6,MONTH(C164)=7,MONTH(C164)=8,MONTH(C164)=9)),$FA164*12*AX164*(1-$BC164),$FA164*10*AX164*(1-$BC164)),0)</f>
        <v>9308.25</v>
      </c>
      <c r="FC164" s="1129" t="n">
        <f aca="false">IF(EZ164="No",IF((OR(MONTH(C164)=5,MONTH(C164)=6,MONTH(C164)=7,MONTH(C164)=8,MONTH(C164)=9)),0,$FA164*3*AX164*(1-$BC164)),0)</f>
        <v>2792.475</v>
      </c>
      <c r="FD164" s="1129" t="n">
        <f aca="false">IF(EZ164="No",IF((OR(MONTH(C164)=5,MONTH(C164)=6,MONTH(C164)=7,MONTH(C164)=8,MONTH(C164)=9)),$FA164*12*AY164*(1-$BC164),$FA164*10*AY164*(1-$BC164)),0)</f>
        <v>1773</v>
      </c>
      <c r="FE164" s="1129" t="n">
        <f aca="false">IF(EZ164="No",IF((OR(MONTH(C164)=5,MONTH(C164)=6,MONTH(C164)=7,MONTH(C164)=8,MONTH(C164)=9)),0,$FA164*3*AY164*(1-$BC164)),0)</f>
        <v>531.9</v>
      </c>
      <c r="FF164" s="1129" t="n">
        <f aca="false">IF(EZ164="No",IF((OR(MONTH(C164)=5,MONTH(C164)=6,MONTH(C164)=7,MONTH(C164)=8,MONTH(C164)=9)),$FA164*12*(AZ164+BA164)*(1-$BC164),$FA164*10*(AZ164+BA164)*(1-$BC164)),0)</f>
        <v>2216.25</v>
      </c>
      <c r="FG164" s="1129" t="n">
        <f aca="false">IF(EZ164="No",IF((OR(MONTH(C164)=5,MONTH(C164)=6,MONTH(C164)=7,MONTH(C164)=8,MONTH(C164)=9)),0,$FA164*3*(AZ164+BA164)*(1-$BC164)),0)</f>
        <v>664.875</v>
      </c>
      <c r="FH164" s="1170" t="n">
        <f aca="false">IF(EZ164="No",IF((OR(MONTH(C164)=5,MONTH(C164)=6,MONTH(C164)=7,MONTH(C164)=8,MONTH(C164)=9)),Summary!$O$15*12*(AX164+AY164+AZ164+BA164)*(1-$BC164),Summary!$O$15*13*(AX164+AY164+AZ164+BA164)*(1-$BC164)+IF(Summary!$O$16="Yes",(CALC!FA164+Summary!$O$15)*6*(AX164+AY164+AZ164+BA164)*(1-$BC164),0)),0)</f>
        <v>0</v>
      </c>
      <c r="FI164" s="1126" t="n">
        <f aca="false">IF(MONTH(C164)=5,FI163*(IF(Summary!$E$70="no",(1+(Summary!$E$71*0.8)),1+HLOOKUP(YEAR(C164)-1,CCFMODEL!$I$127:$AF$128,2)*0.8)),+FI163)</f>
        <v>35.3608870558082</v>
      </c>
      <c r="FJ164" s="1127" t="n">
        <f aca="false">IF(MONTH(C164)=5,FJ163*(IF(Summary!$E$70="no",(1+(Summary!$E$71*0.8)),1+HLOOKUP(YEAR(CALC!C164)-1,CCFMODEL!$I$127:$AF$128,2)*0.8)),FJ163)</f>
        <v>30.9059721511394</v>
      </c>
      <c r="FK164" s="1128" t="n">
        <f aca="false">SUM(FB164:FG164)*FI164+FH164*FJ164</f>
        <v>611274.814311992</v>
      </c>
      <c r="FL164" s="1126" t="n">
        <f aca="false">IF(MONTH(C164)=5,FL163*(IF(Summary!$E$70="no",(1+(Summary!$E$71*0.8)),1+HLOOKUP(YEAR(CALC!C164)-1,CCFMODEL!$I$127:$AF$128,2)*0.8)),+FL163)</f>
        <v>74.3679098222827</v>
      </c>
      <c r="FM164" s="1127" t="n">
        <f aca="false">IF(MONTH(C164)=5,FM163*(IF(Summary!$E$70="no",(1+(Summary!$E$71*0.8)),1+HLOOKUP(YEAR(CALC!C164)-1,CCFMODEL!$I$127:$AF$128,2)*0.8)),+FM163)</f>
        <v>35.4934738089233</v>
      </c>
      <c r="FN164" s="1128" t="n">
        <f aca="false">IF((OR(MONTH(C164)=5,MONTH(C164)=6,MONTH(C164)=7,MONTH(C164)=8,MONTH(C164)=9)),SUM(FB164:FG164)/(1-BC164)*FL164,SUM(FB164:FG164)/(1-BC164)*FM164)</f>
        <v>622910.465346604</v>
      </c>
      <c r="FO164" s="1129" t="n">
        <f aca="false">FK164+FN164</f>
        <v>1234185.2796586</v>
      </c>
      <c r="FP164" s="1169" t="n">
        <f aca="false">FB164</f>
        <v>9308.25</v>
      </c>
      <c r="FQ164" s="1129" t="n">
        <f aca="false">FC164</f>
        <v>2792.475</v>
      </c>
      <c r="FR164" s="1129" t="n">
        <f aca="false">FD164</f>
        <v>1773</v>
      </c>
      <c r="FS164" s="1129" t="n">
        <f aca="false">FE164</f>
        <v>531.9</v>
      </c>
      <c r="FT164" s="1129" t="n">
        <f aca="false">FF164</f>
        <v>2216.25</v>
      </c>
      <c r="FU164" s="1129" t="n">
        <f aca="false">FG164</f>
        <v>664.875</v>
      </c>
      <c r="FV164" s="1170" t="n">
        <f aca="false">FH164</f>
        <v>0</v>
      </c>
      <c r="FW164" s="1115" t="n">
        <f aca="false">IF(ER164&gt;0,MIN(FB164-FP164,BL164),0)</f>
        <v>0</v>
      </c>
      <c r="FX164" s="1115" t="n">
        <f aca="false">IF(ES164&gt;0,MIN(FD164-FR164,BM164),0)</f>
        <v>0</v>
      </c>
      <c r="FY164" s="1115" t="n">
        <f aca="false">IF(ET164&gt;0,MIN(FF164-FT164,BN164),0)</f>
        <v>0</v>
      </c>
      <c r="FZ164" s="1143" t="n">
        <f aca="false">IF(EU164&gt;0,MIN(FH164-FV164,BO164),0)</f>
        <v>0</v>
      </c>
      <c r="GA164" s="1132" t="n">
        <f aca="false">(SUM(FP164:FV164)+SUM(GU164:HB164)/(1-Summary!$O$25))*CY164/1000</f>
        <v>227982.288317184</v>
      </c>
      <c r="GB164" s="1133" t="n">
        <f aca="false">IF($C164&lt;Summary!$M$81,+Summary!$O$81,VLOOKUP(C164,GasTable,19))</f>
        <v>3.13138358649983</v>
      </c>
      <c r="GC164" s="1134" t="n">
        <f aca="false">IF(H164&lt;=Summary!$N$84,MIN(GA164,Summary!$O$75*(H164-G164+1)),0)</f>
        <v>0</v>
      </c>
      <c r="GD164" s="1135" t="n">
        <f aca="false">IF(C164&lt;Summary!$N$84,IF(Summary!$O$75*(H164-G164+1)*0.8&gt;GC164,1,0),0)</f>
        <v>0</v>
      </c>
      <c r="GE164" s="1136" t="n">
        <v>0</v>
      </c>
      <c r="GF164" s="1134" t="n">
        <f aca="false">ABS(MIN(0,GC164-$GA164))</f>
        <v>227982.288317184</v>
      </c>
      <c r="GG164" s="1135" t="n">
        <f aca="false">GF164*(IF(Summary!$O$74=1,VLOOKUP($C164,GasTable,16)+Summary!$O$92+Summary!$O$93,VLOOKUP($C164,GasTable,19)+Summary!$O$92+Summary!$O$93))</f>
        <v>725777.872870427</v>
      </c>
      <c r="GH164" s="1137" t="n">
        <v>4697.07537974974</v>
      </c>
      <c r="GI164" s="1138" t="n">
        <v>0</v>
      </c>
      <c r="GJ164" s="1139" t="n">
        <f aca="false">+GB164*GC164+GE164+GG164+GH164-GI164</f>
        <v>730474.948250177</v>
      </c>
      <c r="GK164" s="1115" t="n">
        <f aca="false">SUM(FP164:FV164,GU164:GX164,GY164:HB164)</f>
        <v>29092.2705</v>
      </c>
      <c r="GL164" s="1140" t="n">
        <v>0.51743158784</v>
      </c>
      <c r="GM164" s="1141" t="n">
        <f aca="false">IF(GK164&gt;GC164/(CY164/1000),GC164/(CY164/1000),+GK164)*GL164</f>
        <v>0</v>
      </c>
      <c r="GN164" s="1115" t="n">
        <f aca="false">IF(SUM(GU164:HB164)=0,0,IF(Summary!$O$16="Yes",SUM(GX164:HB164),IF(Summary!$O$17="Yes",SUM(GY164:HB164),SUM(GU164:HB164))))</f>
        <v>11805.5205</v>
      </c>
      <c r="GO164" s="1142" t="n">
        <v>3.39263445479869</v>
      </c>
      <c r="GP164" s="1143" t="n">
        <f aca="false">GN164*GO164</f>
        <v>40051.8156051322</v>
      </c>
      <c r="GQ164" s="1115"/>
      <c r="GR164" s="1115"/>
      <c r="GS164" s="1115"/>
      <c r="GT164" s="1115"/>
      <c r="GU164" s="1150" t="n">
        <v>5389.47675</v>
      </c>
      <c r="GV164" s="1115" t="n">
        <v>1026.567</v>
      </c>
      <c r="GW164" s="1115" t="n">
        <v>1283.20875</v>
      </c>
      <c r="GX164" s="1115"/>
      <c r="GY164" s="1151" t="n">
        <v>2874.3876</v>
      </c>
      <c r="GZ164" s="1115" t="n">
        <v>547.5024</v>
      </c>
      <c r="HA164" s="1115" t="n">
        <v>684.378</v>
      </c>
      <c r="HB164" s="1141"/>
      <c r="HC164" s="1115" t="n">
        <v>11805.5205</v>
      </c>
      <c r="HD164" s="1115"/>
      <c r="HE164" s="1115" t="n">
        <v>20274.69825</v>
      </c>
      <c r="HF164" s="1115" t="n">
        <v>444087.968104084</v>
      </c>
      <c r="HG164" s="1115"/>
      <c r="HH164" s="1142" t="n">
        <v>36.9372504296989</v>
      </c>
      <c r="HI164" s="1115" t="n">
        <v>748891.606646827</v>
      </c>
      <c r="HJ164" s="1150" t="n">
        <f aca="false">MAX(FB164-FP164-FW164,0)</f>
        <v>0</v>
      </c>
      <c r="HK164" s="1115" t="n">
        <f aca="false">MAX(FD164-FR164-FX164,0)</f>
        <v>0</v>
      </c>
      <c r="HL164" s="1115" t="n">
        <f aca="false">MAX(FF164-FT164-FY164,0)</f>
        <v>0</v>
      </c>
      <c r="HM164" s="1141" t="n">
        <f aca="false">MAX(FH164-FV164-FZ164,0)</f>
        <v>0</v>
      </c>
      <c r="HN164" s="1115" t="n">
        <f aca="false">SUM(HJ164:HM164)</f>
        <v>0</v>
      </c>
      <c r="HO164" s="1142" t="n">
        <f aca="false">IF(ISERROR(+HP164/HN164),0,+HP164/HN164)</f>
        <v>0</v>
      </c>
      <c r="HP164" s="1143" t="n">
        <f aca="false">(HJ164*CE164+HK164*CF164+HL164*CG164+HM164*CH164)</f>
        <v>0</v>
      </c>
      <c r="HQ164" s="1142"/>
      <c r="HR164" s="1150"/>
      <c r="HS164" s="1110"/>
      <c r="HT164" s="1141"/>
      <c r="HU164" s="1151"/>
      <c r="HV164" s="1142"/>
      <c r="HW164" s="1115"/>
      <c r="HX164" s="1149"/>
      <c r="HY164" s="1143"/>
      <c r="HZ164" s="1150"/>
      <c r="IA164" s="1142"/>
      <c r="IB164" s="1141"/>
      <c r="IC164" s="1151"/>
      <c r="ID164" s="1142"/>
      <c r="IE164" s="1141"/>
      <c r="IF164" s="1115"/>
      <c r="IG164" s="1142"/>
      <c r="IH164" s="1141"/>
      <c r="II164" s="1115"/>
      <c r="IJ164" s="1142"/>
      <c r="IK164" s="1115"/>
      <c r="IL164" s="1152"/>
      <c r="IM164" s="1192"/>
      <c r="IN164" s="1151"/>
      <c r="IO164" s="1151"/>
      <c r="IP164" s="1151"/>
      <c r="IQ164" s="1151"/>
      <c r="IR164" s="844"/>
    </row>
    <row r="165" customFormat="false" ht="13.5" hidden="false" customHeight="false" outlineLevel="0" collapsed="false">
      <c r="A165" s="0" t="str">
        <f aca="false">+D165&amp;"Q"&amp;ROUNDUP(E165/3,0)</f>
        <v>2012Q2</v>
      </c>
      <c r="B165" s="0" t="n">
        <f aca="false">YEAR(C165)</f>
        <v>2012</v>
      </c>
      <c r="C165" s="1153" t="n">
        <f aca="false">EOMONTH(C164,0)+1</f>
        <v>41030</v>
      </c>
      <c r="D165" s="841" t="n">
        <f aca="false">+YEAR(C165)</f>
        <v>2012</v>
      </c>
      <c r="E165" s="807" t="n">
        <f aca="false">MONTH(C165)</f>
        <v>5</v>
      </c>
      <c r="F165" s="1154" t="e">
        <f aca="false">IF(G165="","",Holiday(D165,E165))</f>
        <v>#VALUE!</v>
      </c>
      <c r="G165" s="1155" t="n">
        <v>41030</v>
      </c>
      <c r="H165" s="1156" t="n">
        <v>41060</v>
      </c>
      <c r="I165" s="1157" t="n">
        <f aca="false">I164</f>
        <v>0.0715</v>
      </c>
      <c r="J165" s="1158" t="n">
        <f aca="false">(1+I165/2)^(-2*(DATE(D166,E166,20)-$H$7)/365.25)</f>
        <v>0.415123642938486</v>
      </c>
      <c r="K165" s="1159"/>
      <c r="L165" s="1158"/>
      <c r="M165" s="1082" t="n">
        <v>0</v>
      </c>
      <c r="N165" s="1110" t="n">
        <f aca="false">M165</f>
        <v>0</v>
      </c>
      <c r="O165" s="1174" t="n">
        <f aca="false">N165</f>
        <v>0</v>
      </c>
      <c r="P165" s="1175" t="n">
        <f aca="false">M165</f>
        <v>0</v>
      </c>
      <c r="Q165" s="1110" t="n">
        <f aca="false">P165</f>
        <v>0</v>
      </c>
      <c r="R165" s="1174" t="n">
        <f aca="false">Q165</f>
        <v>0</v>
      </c>
      <c r="S165" s="1110" t="n">
        <f aca="false">R165</f>
        <v>0</v>
      </c>
      <c r="T165" s="1110" t="n">
        <f aca="false">S165</f>
        <v>0</v>
      </c>
      <c r="U165" s="1110" t="n">
        <f aca="false">T165</f>
        <v>0</v>
      </c>
      <c r="V165" s="1175" t="n">
        <f aca="false">U165</f>
        <v>0</v>
      </c>
      <c r="W165" s="1110" t="n">
        <f aca="false">V165</f>
        <v>0</v>
      </c>
      <c r="X165" s="1176" t="n">
        <f aca="false">W165</f>
        <v>0</v>
      </c>
      <c r="Y165" s="1086" t="n">
        <v>0</v>
      </c>
      <c r="Z165" s="1086" t="n">
        <v>0</v>
      </c>
      <c r="AA165" s="1087" t="n">
        <v>0</v>
      </c>
      <c r="AB165" s="1086" t="n">
        <v>0</v>
      </c>
      <c r="AC165" s="1086" t="n">
        <v>0</v>
      </c>
      <c r="AD165" s="1087" t="n">
        <v>0</v>
      </c>
      <c r="AE165" s="1086" t="n">
        <v>0</v>
      </c>
      <c r="AF165" s="1086" t="n">
        <v>0</v>
      </c>
      <c r="AG165" s="1087" t="n">
        <v>0</v>
      </c>
      <c r="AH165" s="1086" t="n">
        <v>0</v>
      </c>
      <c r="AI165" s="1086" t="n">
        <v>0</v>
      </c>
      <c r="AJ165" s="1087" t="n">
        <v>0</v>
      </c>
      <c r="AK165" s="1086" t="n">
        <v>0</v>
      </c>
      <c r="AL165" s="1086" t="n">
        <v>0</v>
      </c>
      <c r="AM165" s="1087" t="n">
        <v>0</v>
      </c>
      <c r="AN165" s="1086" t="n">
        <v>0</v>
      </c>
      <c r="AO165" s="1086" t="n">
        <v>0</v>
      </c>
      <c r="AP165" s="1087" t="n">
        <v>0</v>
      </c>
      <c r="AQ165" s="1086" t="n">
        <v>0</v>
      </c>
      <c r="AR165" s="1086" t="n">
        <v>0</v>
      </c>
      <c r="AS165" s="1087" t="n">
        <v>0</v>
      </c>
      <c r="AT165" s="1086" t="n">
        <v>0</v>
      </c>
      <c r="AU165" s="1086" t="n">
        <v>0</v>
      </c>
      <c r="AV165" s="1086" t="n">
        <v>0</v>
      </c>
      <c r="AW165" s="1172" t="n">
        <v>0</v>
      </c>
      <c r="AX165" s="807" t="e">
        <f aca="false">BB165-SUM(AY165:BA165)</f>
        <v>#VALUE!</v>
      </c>
      <c r="AY165" s="807" t="e">
        <f aca="false">IF(AND($E165=MONTH(Summary!$E$24),$D165=YEAR(Summary!$E$24)),Summary!$E$25,1)*IF(G165="",0,INT((H165-MOD(H165,7)-G165)/7)+1-IF(BA165,IF(WEEKDAY(F165)=7,1,0),0))</f>
        <v>#VALUE!</v>
      </c>
      <c r="AZ165" s="807" t="e">
        <f aca="false">IF(AND($E165=MONTH(Summary!$E$24),$D165=YEAR(Summary!$E$24)),Summary!$E$25,1)*IF(G165="",0,INT((H165-MOD(H165-1,7)-G165)/7)+1-IF(BA165,IF(WEEKDAY(F165)=1,1,0),0))</f>
        <v>#VALUE!</v>
      </c>
      <c r="BA165" s="807" t="n">
        <v>1</v>
      </c>
      <c r="BB165" s="807" t="n">
        <f aca="false">IF(AND($E165=MONTH(Summary!$E$24),$D165=YEAR(Summary!$E$24)),Summary!$E$25,1)*IF(G165="",0,H165-G165+1)</f>
        <v>31</v>
      </c>
      <c r="BC165" s="1089" t="n">
        <f aca="false">Summary!$E$19</f>
        <v>0.015</v>
      </c>
      <c r="BD165" s="1090" t="n">
        <v>15602.4</v>
      </c>
      <c r="BE165" s="1091" t="n">
        <v>2836.8</v>
      </c>
      <c r="BF165" s="1091" t="n">
        <v>3546</v>
      </c>
      <c r="BG165" s="842"/>
      <c r="BH165" s="1092" t="n">
        <v>1</v>
      </c>
      <c r="BI165" s="1092" t="n">
        <v>1</v>
      </c>
      <c r="BJ165" s="1092" t="n">
        <v>1</v>
      </c>
      <c r="BK165" s="1092" t="n">
        <v>1</v>
      </c>
      <c r="BL165" s="1093" t="n">
        <v>3120.48</v>
      </c>
      <c r="BM165" s="1091" t="n">
        <v>567.36</v>
      </c>
      <c r="BN165" s="1091" t="n">
        <v>709.2</v>
      </c>
      <c r="BO165" s="842"/>
      <c r="BP165" s="1092" t="n">
        <v>1</v>
      </c>
      <c r="BQ165" s="1094" t="n">
        <v>1</v>
      </c>
      <c r="BR165" s="1094" t="n">
        <v>1</v>
      </c>
      <c r="BS165" s="1095" t="n">
        <v>1</v>
      </c>
      <c r="BT165" s="1093" t="n">
        <f aca="false">SUM(BD165:BF165)</f>
        <v>21985.2</v>
      </c>
      <c r="BU165" s="1098" t="n">
        <f aca="false">SUM(BD165:BG165)</f>
        <v>21985.2</v>
      </c>
      <c r="BV165" s="1090" t="n">
        <f aca="false">SUM(BL165:BN165)</f>
        <v>4397.04</v>
      </c>
      <c r="BW165" s="1098" t="n">
        <f aca="false">SUM(BL165:BO165)</f>
        <v>4397.04</v>
      </c>
      <c r="BX165" s="852" t="n">
        <v>12.3778234086242</v>
      </c>
      <c r="BY165" s="1099" t="n">
        <v>0</v>
      </c>
      <c r="BZ165" s="852" t="n">
        <v>0</v>
      </c>
      <c r="CA165" s="852" t="n">
        <v>0</v>
      </c>
      <c r="CB165" s="852" t="n">
        <v>0</v>
      </c>
      <c r="CC165" s="852" t="n">
        <v>0</v>
      </c>
      <c r="CD165" s="852" t="n">
        <v>0</v>
      </c>
      <c r="CE165" s="1100" t="n">
        <v>0</v>
      </c>
      <c r="CF165" s="852" t="n">
        <v>0</v>
      </c>
      <c r="CG165" s="852" t="n">
        <v>0</v>
      </c>
      <c r="CH165" s="852" t="n">
        <v>0</v>
      </c>
      <c r="CI165" s="852" t="n">
        <v>0</v>
      </c>
      <c r="CJ165" s="1101" t="n">
        <v>0</v>
      </c>
      <c r="CK165" s="852" t="n">
        <v>0</v>
      </c>
      <c r="CL165" s="852" t="n">
        <v>0</v>
      </c>
      <c r="CM165" s="852" t="n">
        <v>0</v>
      </c>
      <c r="CN165" s="852" t="n">
        <v>0</v>
      </c>
      <c r="CO165" s="852" t="n">
        <v>0</v>
      </c>
      <c r="CP165" s="852" t="n">
        <v>0</v>
      </c>
      <c r="CQ165" s="1102" t="n">
        <v>0</v>
      </c>
      <c r="CR165" s="1103" t="n">
        <v>0</v>
      </c>
      <c r="CS165" s="1103" t="n">
        <v>0</v>
      </c>
      <c r="CT165" s="1103" t="n">
        <v>0</v>
      </c>
      <c r="CU165" s="1103" t="n">
        <v>0</v>
      </c>
      <c r="CV165" s="1103" t="n">
        <v>0</v>
      </c>
      <c r="CW165" s="1103" t="n">
        <v>0</v>
      </c>
      <c r="CX165" s="1104" t="n">
        <v>0</v>
      </c>
      <c r="CY165" s="1105" t="n">
        <v>7724.1624</v>
      </c>
      <c r="CZ165" s="1099" t="n">
        <v>0</v>
      </c>
      <c r="DA165" s="852" t="n">
        <v>0</v>
      </c>
      <c r="DB165" s="852" t="n">
        <v>0</v>
      </c>
      <c r="DC165" s="852" t="n">
        <v>0</v>
      </c>
      <c r="DD165" s="852" t="n">
        <v>0</v>
      </c>
      <c r="DE165" s="1113" t="n">
        <v>0</v>
      </c>
      <c r="DF165" s="1109" t="n">
        <v>0</v>
      </c>
      <c r="DG165" s="1110" t="n">
        <v>0</v>
      </c>
      <c r="DH165" s="1111" t="n">
        <v>0</v>
      </c>
      <c r="DI165" s="1112" t="n">
        <v>0</v>
      </c>
      <c r="DJ165" s="1112" t="n">
        <v>0</v>
      </c>
      <c r="DK165" s="1112" t="n">
        <v>0</v>
      </c>
      <c r="DL165" s="1113" t="n">
        <v>0</v>
      </c>
      <c r="DM165" s="1114" t="n">
        <v>0</v>
      </c>
      <c r="DN165" s="1114" t="n">
        <v>0</v>
      </c>
      <c r="DO165" s="1114" t="n">
        <v>0</v>
      </c>
      <c r="DP165" s="1114" t="n">
        <v>0</v>
      </c>
      <c r="DQ165" s="1114" t="n">
        <v>0</v>
      </c>
      <c r="DR165" s="1109" t="n">
        <v>0</v>
      </c>
      <c r="DS165" s="852" t="n">
        <v>0</v>
      </c>
      <c r="DT165" s="852" t="n">
        <v>0</v>
      </c>
      <c r="DU165" s="852" t="n">
        <v>0</v>
      </c>
      <c r="DV165" s="852" t="n">
        <v>0</v>
      </c>
      <c r="DW165" s="852" t="n">
        <v>0</v>
      </c>
      <c r="DX165" s="852" t="n">
        <v>0</v>
      </c>
      <c r="DY165" s="852" t="n">
        <v>0</v>
      </c>
      <c r="DZ165" s="852" t="n">
        <v>0</v>
      </c>
      <c r="EA165" s="852" t="n">
        <v>0</v>
      </c>
      <c r="EB165" s="1113" t="n">
        <v>0</v>
      </c>
      <c r="EC165" s="1115" t="n">
        <f aca="false">DS165*BD165</f>
        <v>0</v>
      </c>
      <c r="ED165" s="1115" t="n">
        <f aca="false">DT165*BE165</f>
        <v>0</v>
      </c>
      <c r="EE165" s="1115" t="n">
        <f aca="false">DU165*BF165</f>
        <v>0</v>
      </c>
      <c r="EF165" s="1115" t="n">
        <f aca="false">DV165*BG165</f>
        <v>0</v>
      </c>
      <c r="EG165" s="1115" t="n">
        <f aca="false">DS165*BD165+DT165*BE165+DU165*BF165+DV165*BG165</f>
        <v>0</v>
      </c>
      <c r="EH165" s="1116" t="n">
        <v>0</v>
      </c>
      <c r="EI165" s="1117" t="n">
        <v>0</v>
      </c>
      <c r="EJ165" s="1117" t="n">
        <v>0</v>
      </c>
      <c r="EK165" s="1117" t="n">
        <v>0</v>
      </c>
      <c r="EL165" s="1118" t="n">
        <f aca="false">IF(C165&gt;=Summary!$E$26,MAX(0,SUM(EH165:EK165)),0)</f>
        <v>0</v>
      </c>
      <c r="EM165" s="1115" t="n">
        <f aca="false">IF(C165&gt;=Summary!$E$26,DX165*BL165,0)</f>
        <v>0</v>
      </c>
      <c r="EN165" s="1115" t="n">
        <f aca="false">IF(C165&gt;=Summary!$E$26,DY165*BM165,0)</f>
        <v>0</v>
      </c>
      <c r="EO165" s="1115" t="n">
        <f aca="false">IF(C165&gt;=Summary!$E$26,DZ165*BN165,0)</f>
        <v>0</v>
      </c>
      <c r="EP165" s="1115" t="n">
        <f aca="false">IF(C165&gt;=Summary!$E$26,EA165*BO165,0)</f>
        <v>0</v>
      </c>
      <c r="EQ165" s="1115" t="n">
        <f aca="false">IF(C165&gt;=Summary!$E$26,DX165*BL165+DY165*BM165+DZ165*BN165+EA165*BO165,0)</f>
        <v>0</v>
      </c>
      <c r="ER165" s="1119" t="n">
        <v>0</v>
      </c>
      <c r="ES165" s="1120" t="n">
        <v>0</v>
      </c>
      <c r="ET165" s="1120" t="n">
        <v>0</v>
      </c>
      <c r="EU165" s="1120" t="n">
        <v>0</v>
      </c>
      <c r="EV165" s="1143" t="n">
        <f aca="false">IF(C165&gt;=Summary!$E$26,MAX(0,SUM(ER165:EU165)),0)</f>
        <v>0</v>
      </c>
      <c r="EW165" s="1115"/>
      <c r="EX165" s="1165" t="n">
        <f aca="false">(EQ165-EV165)+IF(EZ165="Yes",(EG165-EL165),0)</f>
        <v>0</v>
      </c>
      <c r="EY165" s="1166" t="str">
        <f aca="false">IF(EX165,EX165/EQ165,"")</f>
        <v/>
      </c>
      <c r="EZ165" s="1122" t="s">
        <v>37</v>
      </c>
      <c r="FA165" s="1096" t="n">
        <f aca="false">FA164</f>
        <v>45</v>
      </c>
      <c r="FB165" s="1167" t="e">
        <f aca="false">IF(EZ165="No",IF((OR(MONTH(C165)=5,MONTH(C165)=6,MONTH(C165)=7,MONTH(C165)=8,MONTH(C165)=9)),$FA165*12*AX165*(1-$BC165),$FA165*10*AX165*(1-$BC165)),0)</f>
        <v>#VALUE!</v>
      </c>
      <c r="FC165" s="1129" t="n">
        <f aca="false">IF(EZ165="No",IF((OR(MONTH(C165)=5,MONTH(C165)=6,MONTH(C165)=7,MONTH(C165)=8,MONTH(C165)=9)),0,$FA165*3*AX165*(1-$BC165)),0)</f>
        <v>0</v>
      </c>
      <c r="FD165" s="1129" t="e">
        <f aca="false">IF(EZ165="No",IF((OR(MONTH(C165)=5,MONTH(C165)=6,MONTH(C165)=7,MONTH(C165)=8,MONTH(C165)=9)),$FA165*12*AY165*(1-$BC165),$FA165*10*AY165*(1-$BC165)),0)</f>
        <v>#VALUE!</v>
      </c>
      <c r="FE165" s="1129" t="n">
        <f aca="false">IF(EZ165="No",IF((OR(MONTH(C165)=5,MONTH(C165)=6,MONTH(C165)=7,MONTH(C165)=8,MONTH(C165)=9)),0,$FA165*3*AY165*(1-$BC165)),0)</f>
        <v>0</v>
      </c>
      <c r="FF165" s="1129" t="e">
        <f aca="false">IF(EZ165="No",IF((OR(MONTH(C165)=5,MONTH(C165)=6,MONTH(C165)=7,MONTH(C165)=8,MONTH(C165)=9)),$FA165*12*(AZ165+BA165)*(1-$BC165),$FA165*10*(AZ165+BA165)*(1-$BC165)),0)</f>
        <v>#VALUE!</v>
      </c>
      <c r="FG165" s="1129" t="n">
        <f aca="false">IF(EZ165="No",IF((OR(MONTH(C165)=5,MONTH(C165)=6,MONTH(C165)=7,MONTH(C165)=8,MONTH(C165)=9)),0,$FA165*3*(AZ165+BA165)*(1-$BC165)),0)</f>
        <v>0</v>
      </c>
      <c r="FH165" s="1170" t="e">
        <f aca="false">IF(EZ165="No",IF((OR(MONTH(C165)=5,MONTH(C165)=6,MONTH(C165)=7,MONTH(C165)=8,MONTH(C165)=9)),Summary!$O$15*12*(AX165+AY165+AZ165+BA165)*(1-$BC165),Summary!$O$15*13*(AX165+AY165+AZ165+BA165)*(1-$BC165)+IF(Summary!$O$16="Yes",(CALC!FA165+Summary!$O$15)*6*(AX165+AY165+AZ165+BA165)*(1-$BC165),0)),0)</f>
        <v>#VALUE!</v>
      </c>
      <c r="FI165" s="1126" t="n">
        <f aca="false">IF(MONTH(C165)=5,FI164*(IF(Summary!$E$70="no",(1+(Summary!$E$71*0.8)),1+HLOOKUP(YEAR(C165)-1,CCFMODEL!$I$127:$AF$128,2)*0.8)),+FI164)</f>
        <v>36.2095483451476</v>
      </c>
      <c r="FJ165" s="1127" t="n">
        <f aca="false">IF(MONTH(C165)=5,FJ164*(IF(Summary!$E$70="no",(1+(Summary!$E$71*0.8)),1+HLOOKUP(YEAR(CALC!C165)-1,CCFMODEL!$I$127:$AF$128,2)*0.8)),FJ164)</f>
        <v>31.6477154827668</v>
      </c>
      <c r="FK165" s="1128" t="e">
        <f aca="false">SUM(FB165:FG165)*FI165+FH165*FJ165</f>
        <v>#VALUE!</v>
      </c>
      <c r="FL165" s="1126" t="n">
        <f aca="false">IF(MONTH(C165)=5,FL164*(IF(Summary!$E$70="no",(1+(Summary!$E$71*0.8)),1+HLOOKUP(YEAR(CALC!C165)-1,CCFMODEL!$I$127:$AF$128,2)*0.8)),+FL164)</f>
        <v>76.1527396580175</v>
      </c>
      <c r="FM165" s="1127" t="n">
        <f aca="false">IF(MONTH(C165)=5,FM164*(IF(Summary!$E$70="no",(1+(Summary!$E$71*0.8)),1+HLOOKUP(YEAR(CALC!C165)-1,CCFMODEL!$I$127:$AF$128,2)*0.8)),+FM164)</f>
        <v>36.3453171803375</v>
      </c>
      <c r="FN165" s="1128" t="e">
        <f aca="false">IF((OR(MONTH(C165)=5,MONTH(C165)=6,MONTH(C165)=7,MONTH(C165)=8,MONTH(C165)=9)),SUM(FB165:FG165)/(1-BC165)*FL165,SUM(FB165:FG165)/(1-BC165)*FM165)</f>
        <v>#VALUE!</v>
      </c>
      <c r="FO165" s="1129" t="e">
        <f aca="false">FK165+FN165</f>
        <v>#VALUE!</v>
      </c>
      <c r="FP165" s="1169" t="e">
        <f aca="false">FB165</f>
        <v>#VALUE!</v>
      </c>
      <c r="FQ165" s="1129" t="n">
        <f aca="false">FC165</f>
        <v>0</v>
      </c>
      <c r="FR165" s="1129" t="e">
        <f aca="false">FD165</f>
        <v>#VALUE!</v>
      </c>
      <c r="FS165" s="1129" t="n">
        <f aca="false">FE165</f>
        <v>0</v>
      </c>
      <c r="FT165" s="1129" t="e">
        <f aca="false">FF165</f>
        <v>#VALUE!</v>
      </c>
      <c r="FU165" s="1129" t="n">
        <f aca="false">FG165</f>
        <v>0</v>
      </c>
      <c r="FV165" s="1170" t="e">
        <f aca="false">FH165</f>
        <v>#VALUE!</v>
      </c>
      <c r="FW165" s="1115" t="n">
        <f aca="false">IF(ER165&gt;0,MIN(FB165-FP165,BL165),0)</f>
        <v>0</v>
      </c>
      <c r="FX165" s="1115" t="n">
        <f aca="false">IF(ES165&gt;0,MIN(FD165-FR165,BM165),0)</f>
        <v>0</v>
      </c>
      <c r="FY165" s="1115" t="n">
        <f aca="false">IF(ET165&gt;0,MIN(FF165-FT165,BN165),0)</f>
        <v>0</v>
      </c>
      <c r="FZ165" s="1143" t="n">
        <f aca="false">IF(EU165&gt;0,MIN(FH165-FV165,BO165),0)</f>
        <v>0</v>
      </c>
      <c r="GA165" s="1132" t="e">
        <f aca="false">(SUM(FP165:FV165)+SUM(GU165:HB165)/(1-Summary!$O$25))*CY165/1000</f>
        <v>#VALUE!</v>
      </c>
      <c r="GB165" s="1133" t="n">
        <f aca="false">IF($C165&lt;Summary!$M$81,+Summary!$O$81,VLOOKUP(C165,GasTable,19))</f>
        <v>3.10776766013462</v>
      </c>
      <c r="GC165" s="1134" t="n">
        <f aca="false">IF(H165&lt;=Summary!$N$84,MIN(GA165,Summary!$O$75*(H165-G165+1)),0)</f>
        <v>0</v>
      </c>
      <c r="GD165" s="1135" t="n">
        <f aca="false">IF(C165&lt;Summary!$N$84,IF(Summary!$O$75*(H165-G165+1)*0.8&gt;GC165,1,0),0)</f>
        <v>0</v>
      </c>
      <c r="GE165" s="1136" t="n">
        <v>0</v>
      </c>
      <c r="GF165" s="1134" t="e">
        <f aca="false">ABS(MIN(0,GC165-$GA165))</f>
        <v>#VALUE!</v>
      </c>
      <c r="GG165" s="1135" t="e">
        <f aca="false">GF165*(IF(Summary!$O$74=1,VLOOKUP($C165,GasTable,16)+Summary!$O$92+Summary!$O$93,VLOOKUP($C165,GasTable,19)+Summary!$O$92+Summary!$O$93))</f>
        <v>#VALUE!</v>
      </c>
      <c r="GH165" s="1137" t="n">
        <v>4817.03987320866</v>
      </c>
      <c r="GI165" s="1138" t="n">
        <v>0</v>
      </c>
      <c r="GJ165" s="1139" t="e">
        <f aca="false">+GB165*GC165+GE165+GG165+GH165-GI165</f>
        <v>#VALUE!</v>
      </c>
      <c r="GK165" s="1115" t="e">
        <f aca="false">SUM(FP165:FV165,GU165:GX165,GY165:HB165)</f>
        <v>#VALUE!</v>
      </c>
      <c r="GL165" s="1140" t="n">
        <v>0.5175188808</v>
      </c>
      <c r="GM165" s="1141" t="e">
        <f aca="false">IF(GK165&gt;GC165/(CY165/1000),GC165/(CY165/1000),+GK165)*GL165</f>
        <v>#VALUE!</v>
      </c>
      <c r="GN165" s="1115" t="n">
        <f aca="false">IF(SUM(GU165:HB165)=0,0,IF(Summary!$O$16="Yes",SUM(GX165:HB165),IF(Summary!$O$17="Yes",SUM(GY165:HB165),SUM(GU165:HB165))))</f>
        <v>9547.0731</v>
      </c>
      <c r="GO165" s="1142" t="n">
        <v>3.39263445479869</v>
      </c>
      <c r="GP165" s="1143" t="n">
        <f aca="false">GN165*GO165</f>
        <v>32389.7291415417</v>
      </c>
      <c r="GQ165" s="1115"/>
      <c r="GR165" s="1115"/>
      <c r="GS165" s="1115"/>
      <c r="GT165" s="1115"/>
      <c r="GU165" s="1150" t="n">
        <v>3764.079</v>
      </c>
      <c r="GV165" s="1115" t="n">
        <v>684.378</v>
      </c>
      <c r="GW165" s="1115" t="n">
        <v>855.4725</v>
      </c>
      <c r="GX165" s="1115"/>
      <c r="GY165" s="1151" t="n">
        <v>3011.2632</v>
      </c>
      <c r="GZ165" s="1115" t="n">
        <v>547.5024</v>
      </c>
      <c r="HA165" s="1115" t="n">
        <v>684.378</v>
      </c>
      <c r="HB165" s="1141"/>
      <c r="HC165" s="1115" t="n">
        <v>9547.0731</v>
      </c>
      <c r="HD165" s="1115"/>
      <c r="HE165" s="1115" t="n">
        <v>22276.5039</v>
      </c>
      <c r="HF165" s="1115" t="n">
        <v>373976.657686254</v>
      </c>
      <c r="HG165" s="1115"/>
      <c r="HH165" s="1142" t="n">
        <v>39.6887228000925</v>
      </c>
      <c r="HI165" s="1115" t="n">
        <v>884125.98824228</v>
      </c>
      <c r="HJ165" s="1150" t="e">
        <f aca="false">MAX(FB165-FP165-FW165,0)</f>
        <v>#VALUE!</v>
      </c>
      <c r="HK165" s="1115" t="e">
        <f aca="false">MAX(FD165-FR165-FX165,0)</f>
        <v>#VALUE!</v>
      </c>
      <c r="HL165" s="1115" t="e">
        <f aca="false">MAX(FF165-FT165-FY165,0)</f>
        <v>#VALUE!</v>
      </c>
      <c r="HM165" s="1141" t="e">
        <f aca="false">MAX(FH165-FV165-FZ165,0)</f>
        <v>#VALUE!</v>
      </c>
      <c r="HN165" s="1115" t="e">
        <f aca="false">SUM(HJ165:HM165)</f>
        <v>#VALUE!</v>
      </c>
      <c r="HO165" s="1142" t="n">
        <f aca="false">IF(ISERROR(+HP165/HN165),0,+HP165/HN165)</f>
        <v>0</v>
      </c>
      <c r="HP165" s="1143" t="e">
        <f aca="false">(HJ165*CE165+HK165*CF165+HL165*CG165+HM165*CH165)</f>
        <v>#VALUE!</v>
      </c>
      <c r="HQ165" s="1142"/>
      <c r="HR165" s="1150"/>
      <c r="HS165" s="1110"/>
      <c r="HT165" s="1141"/>
      <c r="HU165" s="1151"/>
      <c r="HV165" s="1142"/>
      <c r="HW165" s="1115"/>
      <c r="HX165" s="1149"/>
      <c r="HY165" s="1143"/>
      <c r="HZ165" s="1150"/>
      <c r="IA165" s="1142"/>
      <c r="IB165" s="1141"/>
      <c r="IC165" s="1151"/>
      <c r="ID165" s="1142"/>
      <c r="IE165" s="1141"/>
      <c r="IF165" s="1115"/>
      <c r="IG165" s="1142"/>
      <c r="IH165" s="1141"/>
      <c r="II165" s="1115"/>
      <c r="IJ165" s="1142"/>
      <c r="IK165" s="1115"/>
      <c r="IL165" s="1152"/>
      <c r="IM165" s="1192"/>
      <c r="IN165" s="1151"/>
      <c r="IO165" s="1151"/>
      <c r="IP165" s="1151"/>
      <c r="IQ165" s="1151"/>
      <c r="IR165" s="844"/>
    </row>
    <row r="166" customFormat="false" ht="13.5" hidden="false" customHeight="false" outlineLevel="0" collapsed="false">
      <c r="A166" s="0" t="str">
        <f aca="false">+D166&amp;"Q"&amp;ROUNDUP(E166/3,0)</f>
        <v>2012Q2</v>
      </c>
      <c r="B166" s="0" t="n">
        <f aca="false">YEAR(C166)</f>
        <v>2012</v>
      </c>
      <c r="C166" s="1153" t="n">
        <f aca="false">EOMONTH(C165,0)+1</f>
        <v>41061</v>
      </c>
      <c r="D166" s="841" t="n">
        <f aca="false">+YEAR(C166)</f>
        <v>2012</v>
      </c>
      <c r="E166" s="807" t="n">
        <f aca="false">MONTH(C166)</f>
        <v>6</v>
      </c>
      <c r="F166" s="1154" t="e">
        <f aca="false">IF(G166="","",Holiday(D166,E166))</f>
        <v>#VALUE!</v>
      </c>
      <c r="G166" s="1155" t="n">
        <v>41061</v>
      </c>
      <c r="H166" s="1156" t="n">
        <v>41090</v>
      </c>
      <c r="I166" s="1157" t="n">
        <f aca="false">I165</f>
        <v>0.0715</v>
      </c>
      <c r="J166" s="1158" t="n">
        <f aca="false">(1+I166/2)^(-2*(DATE(D167,E167,20)-$H$7)/365.25)</f>
        <v>0.412735213732621</v>
      </c>
      <c r="K166" s="1159"/>
      <c r="L166" s="1158"/>
      <c r="M166" s="1082" t="n">
        <v>0</v>
      </c>
      <c r="N166" s="1110" t="n">
        <f aca="false">M166</f>
        <v>0</v>
      </c>
      <c r="O166" s="1174" t="n">
        <f aca="false">N166</f>
        <v>0</v>
      </c>
      <c r="P166" s="1175" t="n">
        <f aca="false">M166</f>
        <v>0</v>
      </c>
      <c r="Q166" s="1110" t="n">
        <f aca="false">P166</f>
        <v>0</v>
      </c>
      <c r="R166" s="1174" t="n">
        <f aca="false">Q166</f>
        <v>0</v>
      </c>
      <c r="S166" s="1110" t="n">
        <f aca="false">R166</f>
        <v>0</v>
      </c>
      <c r="T166" s="1110" t="n">
        <f aca="false">S166</f>
        <v>0</v>
      </c>
      <c r="U166" s="1110" t="n">
        <f aca="false">T166</f>
        <v>0</v>
      </c>
      <c r="V166" s="1175" t="n">
        <f aca="false">U166</f>
        <v>0</v>
      </c>
      <c r="W166" s="1110" t="n">
        <f aca="false">V166</f>
        <v>0</v>
      </c>
      <c r="X166" s="1176" t="n">
        <f aca="false">W166</f>
        <v>0</v>
      </c>
      <c r="Y166" s="1086" t="n">
        <v>0</v>
      </c>
      <c r="Z166" s="1086" t="n">
        <v>0</v>
      </c>
      <c r="AA166" s="1087" t="n">
        <v>0</v>
      </c>
      <c r="AB166" s="1086" t="n">
        <v>0</v>
      </c>
      <c r="AC166" s="1086" t="n">
        <v>0</v>
      </c>
      <c r="AD166" s="1087" t="n">
        <v>0</v>
      </c>
      <c r="AE166" s="1086" t="n">
        <v>0</v>
      </c>
      <c r="AF166" s="1086" t="n">
        <v>0</v>
      </c>
      <c r="AG166" s="1087" t="n">
        <v>0</v>
      </c>
      <c r="AH166" s="1086" t="n">
        <v>0</v>
      </c>
      <c r="AI166" s="1086" t="n">
        <v>0</v>
      </c>
      <c r="AJ166" s="1087" t="n">
        <v>0</v>
      </c>
      <c r="AK166" s="1086" t="n">
        <v>0</v>
      </c>
      <c r="AL166" s="1086" t="n">
        <v>0</v>
      </c>
      <c r="AM166" s="1087" t="n">
        <v>0</v>
      </c>
      <c r="AN166" s="1086" t="n">
        <v>0</v>
      </c>
      <c r="AO166" s="1086" t="n">
        <v>0</v>
      </c>
      <c r="AP166" s="1087" t="n">
        <v>0</v>
      </c>
      <c r="AQ166" s="1086" t="n">
        <v>0</v>
      </c>
      <c r="AR166" s="1086" t="n">
        <v>0</v>
      </c>
      <c r="AS166" s="1087" t="n">
        <v>0</v>
      </c>
      <c r="AT166" s="1086" t="n">
        <v>0</v>
      </c>
      <c r="AU166" s="1086" t="n">
        <v>0</v>
      </c>
      <c r="AV166" s="1086" t="n">
        <v>0</v>
      </c>
      <c r="AW166" s="1172" t="n">
        <v>0</v>
      </c>
      <c r="AX166" s="807" t="n">
        <f aca="false">BB166-SUM(AY166:BA166)</f>
        <v>21</v>
      </c>
      <c r="AY166" s="807" t="n">
        <f aca="false">IF(AND($E166=MONTH(Summary!$E$24),$D166=YEAR(Summary!$E$24)),Summary!$E$25,1)*IF(G166="",0,INT((H166-MOD(H166,7)-G166)/7)+1-IF(BA166,IF(WEEKDAY(F166)=7,1,0),0))</f>
        <v>5</v>
      </c>
      <c r="AZ166" s="807" t="n">
        <f aca="false">IF(AND($E166=MONTH(Summary!$E$24),$D166=YEAR(Summary!$E$24)),Summary!$E$25,1)*IF(G166="",0,INT((H166-MOD(H166-1,7)-G166)/7)+1-IF(BA166,IF(WEEKDAY(F166)=1,1,0),0))</f>
        <v>4</v>
      </c>
      <c r="BA166" s="807" t="n">
        <v>0</v>
      </c>
      <c r="BB166" s="807" t="n">
        <f aca="false">IF(AND($E166=MONTH(Summary!$E$24),$D166=YEAR(Summary!$E$24)),Summary!$E$25,1)*IF(G166="",0,H166-G166+1)</f>
        <v>30</v>
      </c>
      <c r="BC166" s="1089" t="n">
        <f aca="false">Summary!$E$19</f>
        <v>0.015</v>
      </c>
      <c r="BD166" s="1090" t="n">
        <v>14893.2</v>
      </c>
      <c r="BE166" s="1091" t="n">
        <v>3546</v>
      </c>
      <c r="BF166" s="1091" t="n">
        <v>2836.8</v>
      </c>
      <c r="BG166" s="842"/>
      <c r="BH166" s="1092" t="n">
        <v>1</v>
      </c>
      <c r="BI166" s="1092" t="n">
        <v>1</v>
      </c>
      <c r="BJ166" s="1092" t="n">
        <v>1</v>
      </c>
      <c r="BK166" s="1092" t="n">
        <v>1</v>
      </c>
      <c r="BL166" s="1093" t="n">
        <v>2978.64</v>
      </c>
      <c r="BM166" s="1091" t="n">
        <v>709.2</v>
      </c>
      <c r="BN166" s="1091" t="n">
        <v>567.36</v>
      </c>
      <c r="BO166" s="842"/>
      <c r="BP166" s="1092" t="n">
        <v>1</v>
      </c>
      <c r="BQ166" s="1094" t="n">
        <v>1</v>
      </c>
      <c r="BR166" s="1094" t="n">
        <v>1</v>
      </c>
      <c r="BS166" s="1095" t="n">
        <v>1</v>
      </c>
      <c r="BT166" s="1093" t="n">
        <f aca="false">SUM(BD166:BF166)</f>
        <v>21276</v>
      </c>
      <c r="BU166" s="1098" t="n">
        <f aca="false">SUM(BD166:BG166)</f>
        <v>21276</v>
      </c>
      <c r="BV166" s="1090" t="n">
        <f aca="false">SUM(BL166:BN166)</f>
        <v>4255.2</v>
      </c>
      <c r="BW166" s="1098" t="n">
        <f aca="false">SUM(BL166:BO166)</f>
        <v>4255.2</v>
      </c>
      <c r="BX166" s="852" t="n">
        <v>12.4626967830253</v>
      </c>
      <c r="BY166" s="1099" t="n">
        <v>0</v>
      </c>
      <c r="BZ166" s="852" t="n">
        <v>0</v>
      </c>
      <c r="CA166" s="852" t="n">
        <v>0</v>
      </c>
      <c r="CB166" s="852" t="n">
        <v>0</v>
      </c>
      <c r="CC166" s="852" t="n">
        <v>0</v>
      </c>
      <c r="CD166" s="852" t="n">
        <v>0</v>
      </c>
      <c r="CE166" s="1100" t="n">
        <v>0</v>
      </c>
      <c r="CF166" s="852" t="n">
        <v>0</v>
      </c>
      <c r="CG166" s="852" t="n">
        <v>0</v>
      </c>
      <c r="CH166" s="852" t="n">
        <v>0</v>
      </c>
      <c r="CI166" s="852" t="n">
        <v>0</v>
      </c>
      <c r="CJ166" s="1101" t="n">
        <v>0</v>
      </c>
      <c r="CK166" s="852" t="n">
        <v>0</v>
      </c>
      <c r="CL166" s="852" t="n">
        <v>0</v>
      </c>
      <c r="CM166" s="852" t="n">
        <v>0</v>
      </c>
      <c r="CN166" s="852" t="n">
        <v>0</v>
      </c>
      <c r="CO166" s="852" t="n">
        <v>0</v>
      </c>
      <c r="CP166" s="852" t="n">
        <v>0</v>
      </c>
      <c r="CQ166" s="1102" t="n">
        <v>0</v>
      </c>
      <c r="CR166" s="1103" t="n">
        <v>0</v>
      </c>
      <c r="CS166" s="1103" t="n">
        <v>0</v>
      </c>
      <c r="CT166" s="1103" t="n">
        <v>0</v>
      </c>
      <c r="CU166" s="1103" t="n">
        <v>0</v>
      </c>
      <c r="CV166" s="1103" t="n">
        <v>0</v>
      </c>
      <c r="CW166" s="1103" t="n">
        <v>0</v>
      </c>
      <c r="CX166" s="1104" t="n">
        <v>0</v>
      </c>
      <c r="CY166" s="1105" t="n">
        <v>7725.46528</v>
      </c>
      <c r="CZ166" s="1099" t="n">
        <v>0</v>
      </c>
      <c r="DA166" s="852" t="n">
        <v>0</v>
      </c>
      <c r="DB166" s="852" t="n">
        <v>0</v>
      </c>
      <c r="DC166" s="852" t="n">
        <v>0</v>
      </c>
      <c r="DD166" s="852" t="n">
        <v>0</v>
      </c>
      <c r="DE166" s="1113" t="n">
        <v>0</v>
      </c>
      <c r="DF166" s="1109" t="n">
        <v>0</v>
      </c>
      <c r="DG166" s="1110" t="n">
        <v>0</v>
      </c>
      <c r="DH166" s="1111" t="n">
        <v>0</v>
      </c>
      <c r="DI166" s="1112" t="n">
        <v>0</v>
      </c>
      <c r="DJ166" s="1112" t="n">
        <v>0</v>
      </c>
      <c r="DK166" s="1112" t="n">
        <v>0</v>
      </c>
      <c r="DL166" s="1113" t="n">
        <v>0</v>
      </c>
      <c r="DM166" s="1114" t="n">
        <v>0</v>
      </c>
      <c r="DN166" s="1114" t="n">
        <v>0</v>
      </c>
      <c r="DO166" s="1114" t="n">
        <v>0</v>
      </c>
      <c r="DP166" s="1114" t="n">
        <v>0</v>
      </c>
      <c r="DQ166" s="1114" t="n">
        <v>0</v>
      </c>
      <c r="DR166" s="1109" t="n">
        <v>0</v>
      </c>
      <c r="DS166" s="852" t="n">
        <v>0</v>
      </c>
      <c r="DT166" s="852" t="n">
        <v>0</v>
      </c>
      <c r="DU166" s="852" t="n">
        <v>0</v>
      </c>
      <c r="DV166" s="852" t="n">
        <v>0</v>
      </c>
      <c r="DW166" s="852" t="n">
        <v>0</v>
      </c>
      <c r="DX166" s="852" t="n">
        <v>0</v>
      </c>
      <c r="DY166" s="852" t="n">
        <v>0</v>
      </c>
      <c r="DZ166" s="852" t="n">
        <v>0</v>
      </c>
      <c r="EA166" s="852" t="n">
        <v>0</v>
      </c>
      <c r="EB166" s="1113" t="n">
        <v>0</v>
      </c>
      <c r="EC166" s="1115" t="n">
        <f aca="false">DS166*BD166</f>
        <v>0</v>
      </c>
      <c r="ED166" s="1115" t="n">
        <f aca="false">DT166*BE166</f>
        <v>0</v>
      </c>
      <c r="EE166" s="1115" t="n">
        <f aca="false">DU166*BF166</f>
        <v>0</v>
      </c>
      <c r="EF166" s="1115" t="n">
        <f aca="false">DV166*BG166</f>
        <v>0</v>
      </c>
      <c r="EG166" s="1115" t="n">
        <f aca="false">DS166*BD166+DT166*BE166+DU166*BF166+DV166*BG166</f>
        <v>0</v>
      </c>
      <c r="EH166" s="1116" t="n">
        <v>0</v>
      </c>
      <c r="EI166" s="1117" t="n">
        <v>0</v>
      </c>
      <c r="EJ166" s="1117" t="n">
        <v>0</v>
      </c>
      <c r="EK166" s="1117" t="n">
        <v>0</v>
      </c>
      <c r="EL166" s="1118" t="n">
        <f aca="false">IF(C166&gt;=Summary!$E$26,MAX(0,SUM(EH166:EK166)),0)</f>
        <v>0</v>
      </c>
      <c r="EM166" s="1115" t="n">
        <f aca="false">IF(C166&gt;=Summary!$E$26,DX166*BL166,0)</f>
        <v>0</v>
      </c>
      <c r="EN166" s="1115" t="n">
        <f aca="false">IF(C166&gt;=Summary!$E$26,DY166*BM166,0)</f>
        <v>0</v>
      </c>
      <c r="EO166" s="1115" t="n">
        <f aca="false">IF(C166&gt;=Summary!$E$26,DZ166*BN166,0)</f>
        <v>0</v>
      </c>
      <c r="EP166" s="1115" t="n">
        <f aca="false">IF(C166&gt;=Summary!$E$26,EA166*BO166,0)</f>
        <v>0</v>
      </c>
      <c r="EQ166" s="1115" t="n">
        <f aca="false">IF(C166&gt;=Summary!$E$26,DX166*BL166+DY166*BM166+DZ166*BN166+EA166*BO166,0)</f>
        <v>0</v>
      </c>
      <c r="ER166" s="1119" t="n">
        <v>0</v>
      </c>
      <c r="ES166" s="1120" t="n">
        <v>0</v>
      </c>
      <c r="ET166" s="1120" t="n">
        <v>0</v>
      </c>
      <c r="EU166" s="1120" t="n">
        <v>0</v>
      </c>
      <c r="EV166" s="1143" t="n">
        <f aca="false">IF(C166&gt;=Summary!$E$26,MAX(0,SUM(ER166:EU166)),0)</f>
        <v>0</v>
      </c>
      <c r="EW166" s="1115"/>
      <c r="EX166" s="1165" t="n">
        <f aca="false">(EQ166-EV166)+IF(EZ166="Yes",(EG166-EL166),0)</f>
        <v>0</v>
      </c>
      <c r="EY166" s="1166" t="str">
        <f aca="false">IF(EX166,EX166/EQ166,"")</f>
        <v/>
      </c>
      <c r="EZ166" s="1122" t="s">
        <v>37</v>
      </c>
      <c r="FA166" s="1096" t="n">
        <f aca="false">FA165</f>
        <v>45</v>
      </c>
      <c r="FB166" s="1167" t="n">
        <f aca="false">IF(EZ166="No",IF((OR(MONTH(C166)=5,MONTH(C166)=6,MONTH(C166)=7,MONTH(C166)=8,MONTH(C166)=9)),$FA166*12*AX166*(1-$BC166),$FA166*10*AX166*(1-$BC166)),0)</f>
        <v>11169.9</v>
      </c>
      <c r="FC166" s="1129" t="n">
        <f aca="false">IF(EZ166="No",IF((OR(MONTH(C166)=5,MONTH(C166)=6,MONTH(C166)=7,MONTH(C166)=8,MONTH(C166)=9)),0,$FA166*3*AX166*(1-$BC166)),0)</f>
        <v>0</v>
      </c>
      <c r="FD166" s="1129" t="n">
        <f aca="false">IF(EZ166="No",IF((OR(MONTH(C166)=5,MONTH(C166)=6,MONTH(C166)=7,MONTH(C166)=8,MONTH(C166)=9)),$FA166*12*AY166*(1-$BC166),$FA166*10*AY166*(1-$BC166)),0)</f>
        <v>2659.5</v>
      </c>
      <c r="FE166" s="1129" t="n">
        <f aca="false">IF(EZ166="No",IF((OR(MONTH(C166)=5,MONTH(C166)=6,MONTH(C166)=7,MONTH(C166)=8,MONTH(C166)=9)),0,$FA166*3*AY166*(1-$BC166)),0)</f>
        <v>0</v>
      </c>
      <c r="FF166" s="1129" t="n">
        <f aca="false">IF(EZ166="No",IF((OR(MONTH(C166)=5,MONTH(C166)=6,MONTH(C166)=7,MONTH(C166)=8,MONTH(C166)=9)),$FA166*12*(AZ166+BA166)*(1-$BC166),$FA166*10*(AZ166+BA166)*(1-$BC166)),0)</f>
        <v>2127.6</v>
      </c>
      <c r="FG166" s="1129" t="n">
        <f aca="false">IF(EZ166="No",IF((OR(MONTH(C166)=5,MONTH(C166)=6,MONTH(C166)=7,MONTH(C166)=8,MONTH(C166)=9)),0,$FA166*3*(AZ166+BA166)*(1-$BC166)),0)</f>
        <v>0</v>
      </c>
      <c r="FH166" s="1170" t="n">
        <f aca="false">IF(EZ166="No",IF((OR(MONTH(C166)=5,MONTH(C166)=6,MONTH(C166)=7,MONTH(C166)=8,MONTH(C166)=9)),Summary!$O$15*12*(AX166+AY166+AZ166+BA166)*(1-$BC166),Summary!$O$15*13*(AX166+AY166+AZ166+BA166)*(1-$BC166)+IF(Summary!$O$16="Yes",(CALC!FA166+Summary!$O$15)*6*(AX166+AY166+AZ166+BA166)*(1-$BC166),0)),0)</f>
        <v>0</v>
      </c>
      <c r="FI166" s="1126" t="n">
        <f aca="false">IF(MONTH(C166)=5,FI165*(IF(Summary!$E$70="no",(1+(Summary!$E$71*0.8)),1+HLOOKUP(YEAR(C166)-1,CCFMODEL!$I$127:$AF$128,2)*0.8)),+FI165)</f>
        <v>36.2095483451476</v>
      </c>
      <c r="FJ166" s="1127" t="n">
        <f aca="false">IF(MONTH(C166)=5,FJ165*(IF(Summary!$E$70="no",(1+(Summary!$E$71*0.8)),1+HLOOKUP(YEAR(CALC!C166)-1,CCFMODEL!$I$127:$AF$128,2)*0.8)),FJ165)</f>
        <v>31.6477154827668</v>
      </c>
      <c r="FK166" s="1128" t="n">
        <f aca="false">SUM(FB166:FG166)*FI166+FH166*FJ166</f>
        <v>577795.76294352</v>
      </c>
      <c r="FL166" s="1126" t="n">
        <f aca="false">IF(MONTH(C166)=5,FL165*(IF(Summary!$E$70="no",(1+(Summary!$E$71*0.8)),1+HLOOKUP(YEAR(CALC!C166)-1,CCFMODEL!$I$127:$AF$128,2)*0.8)),+FL165)</f>
        <v>76.1527396580175</v>
      </c>
      <c r="FM166" s="1127" t="n">
        <f aca="false">IF(MONTH(C166)=5,FM165*(IF(Summary!$E$70="no",(1+(Summary!$E$71*0.8)),1+HLOOKUP(YEAR(CALC!C166)-1,CCFMODEL!$I$127:$AF$128,2)*0.8)),+FM165)</f>
        <v>36.3453171803375</v>
      </c>
      <c r="FN166" s="1128" t="n">
        <f aca="false">IF((OR(MONTH(C166)=5,MONTH(C166)=6,MONTH(C166)=7,MONTH(C166)=8,MONTH(C166)=9)),SUM(FB166:FG166)/(1-BC166)*FL166,SUM(FB166:FG166)/(1-BC166)*FM166)</f>
        <v>1233674.38245988</v>
      </c>
      <c r="FO166" s="1129" t="n">
        <f aca="false">FK166+FN166</f>
        <v>1811470.1454034</v>
      </c>
      <c r="FP166" s="1169" t="n">
        <f aca="false">FB166</f>
        <v>11169.9</v>
      </c>
      <c r="FQ166" s="1129" t="n">
        <f aca="false">FC166</f>
        <v>0</v>
      </c>
      <c r="FR166" s="1129" t="n">
        <f aca="false">FD166</f>
        <v>2659.5</v>
      </c>
      <c r="FS166" s="1129" t="n">
        <f aca="false">FE166</f>
        <v>0</v>
      </c>
      <c r="FT166" s="1129" t="n">
        <f aca="false">FF166</f>
        <v>2127.6</v>
      </c>
      <c r="FU166" s="1129" t="n">
        <f aca="false">FG166</f>
        <v>0</v>
      </c>
      <c r="FV166" s="1170" t="n">
        <f aca="false">FH166</f>
        <v>0</v>
      </c>
      <c r="FW166" s="1115" t="n">
        <f aca="false">IF(ER166&gt;0,MIN(FB166-FP166,BL166),0)</f>
        <v>0</v>
      </c>
      <c r="FX166" s="1115" t="n">
        <f aca="false">IF(ES166&gt;0,MIN(FD166-FR166,BM166),0)</f>
        <v>0</v>
      </c>
      <c r="FY166" s="1115" t="n">
        <f aca="false">IF(ET166&gt;0,MIN(FF166-FT166,BN166),0)</f>
        <v>0</v>
      </c>
      <c r="FZ166" s="1143" t="n">
        <f aca="false">IF(EU166&gt;0,MIN(FH166-FV166,BO166),0)</f>
        <v>0</v>
      </c>
      <c r="GA166" s="1132" t="n">
        <f aca="false">(SUM(FP166:FV166)+SUM(GU166:HB166)/(1-Summary!$O$25))*CY166/1000</f>
        <v>197240.399156736</v>
      </c>
      <c r="GB166" s="1133" t="n">
        <f aca="false">IF($C166&lt;Summary!$M$81,+Summary!$O$81,VLOOKUP(C166,GasTable,19))</f>
        <v>3.14530769929354</v>
      </c>
      <c r="GC166" s="1134" t="n">
        <f aca="false">IF(H166&lt;=Summary!$N$84,MIN(GA166,Summary!$O$75*(H166-G166+1)),0)</f>
        <v>0</v>
      </c>
      <c r="GD166" s="1135" t="n">
        <f aca="false">IF(C166&lt;Summary!$N$84,IF(Summary!$O$75*(H166-G166+1)*0.8&gt;GC166,1,0),0)</f>
        <v>0</v>
      </c>
      <c r="GE166" s="1136" t="n">
        <v>0</v>
      </c>
      <c r="GF166" s="1134" t="n">
        <f aca="false">ABS(MIN(0,GC166-$GA166))</f>
        <v>197240.399156736</v>
      </c>
      <c r="GG166" s="1135" t="n">
        <f aca="false">GF166*(IF(Summary!$O$74=1,VLOOKUP($C166,GasTable,16)+Summary!$O$92+Summary!$O$93,VLOOKUP($C166,GasTable,19)+Summary!$O$92+Summary!$O$93))</f>
        <v>630657.970875479</v>
      </c>
      <c r="GH166" s="1137" t="n">
        <v>4717.96154894031</v>
      </c>
      <c r="GI166" s="1138" t="n">
        <v>0</v>
      </c>
      <c r="GJ166" s="1139" t="n">
        <f aca="false">+GB166*GC166+GE166+GG166+GH166-GI166</f>
        <v>635375.932424419</v>
      </c>
      <c r="GK166" s="1115" t="n">
        <f aca="false">SUM(FP166:FV166,GU166:GX166,GY166:HB166)</f>
        <v>25196.103</v>
      </c>
      <c r="GL166" s="1140" t="n">
        <v>0.51760617376</v>
      </c>
      <c r="GM166" s="1141" t="n">
        <f aca="false">IF(GK166&gt;GC166/(CY166/1000),GC166/(CY166/1000),+GK166)*GL166</f>
        <v>0</v>
      </c>
      <c r="GN166" s="1115" t="n">
        <f aca="false">IF(SUM(GU166:HB166)=0,0,IF(Summary!$O$16="Yes",SUM(GX166:HB166),IF(Summary!$O$17="Yes",SUM(GY166:HB166),SUM(GU166:HB166))))</f>
        <v>9239.103</v>
      </c>
      <c r="GO166" s="1142" t="n">
        <v>3.39263445479869</v>
      </c>
      <c r="GP166" s="1143" t="n">
        <f aca="false">GN166*GO166</f>
        <v>31344.8991692339</v>
      </c>
      <c r="GQ166" s="1115"/>
      <c r="GR166" s="1115"/>
      <c r="GS166" s="1115"/>
      <c r="GT166" s="1115"/>
      <c r="GU166" s="1150" t="n">
        <v>3592.9845</v>
      </c>
      <c r="GV166" s="1115" t="n">
        <v>855.4725</v>
      </c>
      <c r="GW166" s="1115" t="n">
        <v>684.378</v>
      </c>
      <c r="GX166" s="1115"/>
      <c r="GY166" s="1151" t="n">
        <v>2874.3876</v>
      </c>
      <c r="GZ166" s="1115" t="n">
        <v>684.378</v>
      </c>
      <c r="HA166" s="1115" t="n">
        <v>547.5024</v>
      </c>
      <c r="HB166" s="1141"/>
      <c r="HC166" s="1115" t="n">
        <v>9239.103</v>
      </c>
      <c r="HD166" s="1115"/>
      <c r="HE166" s="1115" t="n">
        <v>21557.907</v>
      </c>
      <c r="HF166" s="1115" t="n">
        <v>355921.449049104</v>
      </c>
      <c r="HG166" s="1115"/>
      <c r="HH166" s="1142" t="n">
        <v>39.8529516656567</v>
      </c>
      <c r="HI166" s="1115" t="n">
        <v>859146.225683722</v>
      </c>
      <c r="HJ166" s="1150" t="n">
        <f aca="false">MAX(FB166-FP166-FW166,0)</f>
        <v>0</v>
      </c>
      <c r="HK166" s="1115" t="n">
        <f aca="false">MAX(FD166-FR166-FX166,0)</f>
        <v>0</v>
      </c>
      <c r="HL166" s="1115" t="n">
        <f aca="false">MAX(FF166-FT166-FY166,0)</f>
        <v>0</v>
      </c>
      <c r="HM166" s="1141" t="n">
        <f aca="false">MAX(FH166-FV166-FZ166,0)</f>
        <v>0</v>
      </c>
      <c r="HN166" s="1115" t="n">
        <f aca="false">SUM(HJ166:HM166)</f>
        <v>0</v>
      </c>
      <c r="HO166" s="1142" t="n">
        <f aca="false">IF(ISERROR(+HP166/HN166),0,+HP166/HN166)</f>
        <v>0</v>
      </c>
      <c r="HP166" s="1143" t="n">
        <f aca="false">(HJ166*CE166+HK166*CF166+HL166*CG166+HM166*CH166)</f>
        <v>0</v>
      </c>
      <c r="HQ166" s="1142"/>
      <c r="HR166" s="1150"/>
      <c r="HS166" s="1110"/>
      <c r="HT166" s="1141"/>
      <c r="HU166" s="1151"/>
      <c r="HV166" s="1142"/>
      <c r="HW166" s="1115"/>
      <c r="HX166" s="1149"/>
      <c r="HY166" s="1143"/>
      <c r="HZ166" s="1150"/>
      <c r="IA166" s="1142"/>
      <c r="IB166" s="1141"/>
      <c r="IC166" s="1151"/>
      <c r="ID166" s="1142"/>
      <c r="IE166" s="1141"/>
      <c r="IF166" s="1115"/>
      <c r="IG166" s="1142"/>
      <c r="IH166" s="1141"/>
      <c r="II166" s="1115"/>
      <c r="IJ166" s="1142"/>
      <c r="IK166" s="1115"/>
      <c r="IL166" s="1152"/>
      <c r="IM166" s="1192"/>
      <c r="IN166" s="1151"/>
      <c r="IO166" s="1151"/>
      <c r="IP166" s="1151"/>
      <c r="IQ166" s="1151"/>
      <c r="IR166" s="844"/>
    </row>
    <row r="167" customFormat="false" ht="13.5" hidden="false" customHeight="false" outlineLevel="0" collapsed="false">
      <c r="A167" s="0" t="str">
        <f aca="false">+D167&amp;"Q"&amp;ROUNDUP(E167/3,0)</f>
        <v>2012Q3</v>
      </c>
      <c r="B167" s="0" t="n">
        <f aca="false">YEAR(C167)</f>
        <v>2012</v>
      </c>
      <c r="C167" s="1153" t="n">
        <f aca="false">EOMONTH(C166,0)+1</f>
        <v>41091</v>
      </c>
      <c r="D167" s="841" t="n">
        <f aca="false">+YEAR(C167)</f>
        <v>2012</v>
      </c>
      <c r="E167" s="807" t="n">
        <f aca="false">MONTH(C167)</f>
        <v>7</v>
      </c>
      <c r="F167" s="1154" t="e">
        <f aca="false">IF(G167="","",Holiday(D167,E167))</f>
        <v>#VALUE!</v>
      </c>
      <c r="G167" s="1155" t="n">
        <v>41091</v>
      </c>
      <c r="H167" s="1156" t="n">
        <v>41121</v>
      </c>
      <c r="I167" s="1157" t="n">
        <f aca="false">I166</f>
        <v>0.0715</v>
      </c>
      <c r="J167" s="1158" t="n">
        <f aca="false">(1+I167/2)^(-2*(DATE(D168,E168,20)-$H$7)/365.25)</f>
        <v>0.410281605941494</v>
      </c>
      <c r="K167" s="1159"/>
      <c r="L167" s="1158"/>
      <c r="M167" s="1082" t="n">
        <v>0</v>
      </c>
      <c r="N167" s="1110" t="n">
        <f aca="false">M167</f>
        <v>0</v>
      </c>
      <c r="O167" s="1174" t="n">
        <f aca="false">N167</f>
        <v>0</v>
      </c>
      <c r="P167" s="1175" t="n">
        <f aca="false">M167</f>
        <v>0</v>
      </c>
      <c r="Q167" s="1110" t="n">
        <f aca="false">P167</f>
        <v>0</v>
      </c>
      <c r="R167" s="1174" t="n">
        <f aca="false">Q167</f>
        <v>0</v>
      </c>
      <c r="S167" s="1110" t="n">
        <f aca="false">R167</f>
        <v>0</v>
      </c>
      <c r="T167" s="1110" t="n">
        <f aca="false">S167</f>
        <v>0</v>
      </c>
      <c r="U167" s="1110" t="n">
        <f aca="false">T167</f>
        <v>0</v>
      </c>
      <c r="V167" s="1175" t="n">
        <f aca="false">U167</f>
        <v>0</v>
      </c>
      <c r="W167" s="1110" t="n">
        <f aca="false">V167</f>
        <v>0</v>
      </c>
      <c r="X167" s="1176" t="n">
        <f aca="false">W167</f>
        <v>0</v>
      </c>
      <c r="Y167" s="1086" t="n">
        <v>0</v>
      </c>
      <c r="Z167" s="1086" t="n">
        <v>0</v>
      </c>
      <c r="AA167" s="1087" t="n">
        <v>0</v>
      </c>
      <c r="AB167" s="1086" t="n">
        <v>0</v>
      </c>
      <c r="AC167" s="1086" t="n">
        <v>0</v>
      </c>
      <c r="AD167" s="1087" t="n">
        <v>0</v>
      </c>
      <c r="AE167" s="1086" t="n">
        <v>0</v>
      </c>
      <c r="AF167" s="1086" t="n">
        <v>0</v>
      </c>
      <c r="AG167" s="1087" t="n">
        <v>0</v>
      </c>
      <c r="AH167" s="1086" t="n">
        <v>0</v>
      </c>
      <c r="AI167" s="1086" t="n">
        <v>0</v>
      </c>
      <c r="AJ167" s="1087" t="n">
        <v>0</v>
      </c>
      <c r="AK167" s="1086" t="n">
        <v>0</v>
      </c>
      <c r="AL167" s="1086" t="n">
        <v>0</v>
      </c>
      <c r="AM167" s="1087" t="n">
        <v>0</v>
      </c>
      <c r="AN167" s="1086" t="n">
        <v>0</v>
      </c>
      <c r="AO167" s="1086" t="n">
        <v>0</v>
      </c>
      <c r="AP167" s="1087" t="n">
        <v>0</v>
      </c>
      <c r="AQ167" s="1086" t="n">
        <v>0</v>
      </c>
      <c r="AR167" s="1086" t="n">
        <v>0</v>
      </c>
      <c r="AS167" s="1087" t="n">
        <v>0</v>
      </c>
      <c r="AT167" s="1086" t="n">
        <v>0</v>
      </c>
      <c r="AU167" s="1086" t="n">
        <v>0</v>
      </c>
      <c r="AV167" s="1086" t="n">
        <v>0</v>
      </c>
      <c r="AW167" s="1172" t="n">
        <v>0</v>
      </c>
      <c r="AX167" s="807" t="e">
        <f aca="false">BB167-SUM(AY167:BA167)</f>
        <v>#VALUE!</v>
      </c>
      <c r="AY167" s="807" t="e">
        <f aca="false">IF(AND($E167=MONTH(Summary!$E$24),$D167=YEAR(Summary!$E$24)),Summary!$E$25,1)*IF(G167="",0,INT((H167-MOD(H167,7)-G167)/7)+1-IF(BA167,IF(WEEKDAY(F167)=7,1,0),0))</f>
        <v>#VALUE!</v>
      </c>
      <c r="AZ167" s="807" t="e">
        <f aca="false">IF(AND($E167=MONTH(Summary!$E$24),$D167=YEAR(Summary!$E$24)),Summary!$E$25,1)*IF(G167="",0,INT((H167-MOD(H167-1,7)-G167)/7)+1-IF(BA167,IF(WEEKDAY(F167)=1,1,0),0))</f>
        <v>#VALUE!</v>
      </c>
      <c r="BA167" s="807" t="n">
        <v>1</v>
      </c>
      <c r="BB167" s="807" t="n">
        <f aca="false">IF(AND($E167=MONTH(Summary!$E$24),$D167=YEAR(Summary!$E$24)),Summary!$E$25,1)*IF(G167="",0,H167-G167+1)</f>
        <v>31</v>
      </c>
      <c r="BC167" s="1089" t="n">
        <f aca="false">Summary!$E$19</f>
        <v>0.015</v>
      </c>
      <c r="BD167" s="1090" t="n">
        <v>14893.2</v>
      </c>
      <c r="BE167" s="1091" t="n">
        <v>2836.8</v>
      </c>
      <c r="BF167" s="1091" t="n">
        <v>4255.2</v>
      </c>
      <c r="BG167" s="842"/>
      <c r="BH167" s="1092" t="n">
        <v>1</v>
      </c>
      <c r="BI167" s="1092" t="n">
        <v>1</v>
      </c>
      <c r="BJ167" s="1092" t="n">
        <v>1</v>
      </c>
      <c r="BK167" s="1092" t="n">
        <v>1</v>
      </c>
      <c r="BL167" s="1093" t="n">
        <v>2978.64</v>
      </c>
      <c r="BM167" s="1091" t="n">
        <v>567.36</v>
      </c>
      <c r="BN167" s="1091" t="n">
        <v>851.04</v>
      </c>
      <c r="BO167" s="842"/>
      <c r="BP167" s="1092" t="n">
        <v>1</v>
      </c>
      <c r="BQ167" s="1094" t="n">
        <v>1</v>
      </c>
      <c r="BR167" s="1094" t="n">
        <v>1</v>
      </c>
      <c r="BS167" s="1095" t="n">
        <v>1</v>
      </c>
      <c r="BT167" s="1093" t="n">
        <f aca="false">SUM(BD167:BF167)</f>
        <v>21985.2</v>
      </c>
      <c r="BU167" s="1098" t="n">
        <f aca="false">SUM(BD167:BG167)</f>
        <v>21985.2</v>
      </c>
      <c r="BV167" s="1090" t="n">
        <f aca="false">SUM(BL167:BN167)</f>
        <v>4397.04</v>
      </c>
      <c r="BW167" s="1098" t="n">
        <f aca="false">SUM(BL167:BO167)</f>
        <v>4397.04</v>
      </c>
      <c r="BX167" s="852" t="n">
        <v>12.5448323066393</v>
      </c>
      <c r="BY167" s="1099" t="n">
        <v>0</v>
      </c>
      <c r="BZ167" s="852" t="n">
        <v>0</v>
      </c>
      <c r="CA167" s="852" t="n">
        <v>0</v>
      </c>
      <c r="CB167" s="852" t="n">
        <v>0</v>
      </c>
      <c r="CC167" s="852" t="n">
        <v>0</v>
      </c>
      <c r="CD167" s="852" t="n">
        <v>0</v>
      </c>
      <c r="CE167" s="1100" t="n">
        <v>0</v>
      </c>
      <c r="CF167" s="852" t="n">
        <v>0</v>
      </c>
      <c r="CG167" s="852" t="n">
        <v>0</v>
      </c>
      <c r="CH167" s="852" t="n">
        <v>0</v>
      </c>
      <c r="CI167" s="852" t="n">
        <v>0</v>
      </c>
      <c r="CJ167" s="1101" t="n">
        <v>0</v>
      </c>
      <c r="CK167" s="852" t="n">
        <v>0</v>
      </c>
      <c r="CL167" s="852" t="n">
        <v>0</v>
      </c>
      <c r="CM167" s="852" t="n">
        <v>0</v>
      </c>
      <c r="CN167" s="852" t="n">
        <v>0</v>
      </c>
      <c r="CO167" s="852" t="n">
        <v>0</v>
      </c>
      <c r="CP167" s="852" t="n">
        <v>0</v>
      </c>
      <c r="CQ167" s="1102" t="n">
        <v>0</v>
      </c>
      <c r="CR167" s="1103" t="n">
        <v>0</v>
      </c>
      <c r="CS167" s="1103" t="n">
        <v>0</v>
      </c>
      <c r="CT167" s="1103" t="n">
        <v>0</v>
      </c>
      <c r="CU167" s="1103" t="n">
        <v>0</v>
      </c>
      <c r="CV167" s="1103" t="n">
        <v>0</v>
      </c>
      <c r="CW167" s="1103" t="n">
        <v>0</v>
      </c>
      <c r="CX167" s="1104" t="n">
        <v>0</v>
      </c>
      <c r="CY167" s="1105" t="n">
        <v>7726.76816</v>
      </c>
      <c r="CZ167" s="1099" t="n">
        <v>0</v>
      </c>
      <c r="DA167" s="852" t="n">
        <v>0</v>
      </c>
      <c r="DB167" s="852" t="n">
        <v>0</v>
      </c>
      <c r="DC167" s="852" t="n">
        <v>0</v>
      </c>
      <c r="DD167" s="852" t="n">
        <v>0</v>
      </c>
      <c r="DE167" s="1113" t="n">
        <v>0</v>
      </c>
      <c r="DF167" s="1109" t="n">
        <v>0</v>
      </c>
      <c r="DG167" s="1110" t="n">
        <v>0</v>
      </c>
      <c r="DH167" s="1111" t="n">
        <v>0</v>
      </c>
      <c r="DI167" s="1112" t="n">
        <v>0</v>
      </c>
      <c r="DJ167" s="1112" t="n">
        <v>0</v>
      </c>
      <c r="DK167" s="1112" t="n">
        <v>0</v>
      </c>
      <c r="DL167" s="1113" t="n">
        <v>0</v>
      </c>
      <c r="DM167" s="1114" t="n">
        <v>0</v>
      </c>
      <c r="DN167" s="1114" t="n">
        <v>0</v>
      </c>
      <c r="DO167" s="1114" t="n">
        <v>0</v>
      </c>
      <c r="DP167" s="1114" t="n">
        <v>0</v>
      </c>
      <c r="DQ167" s="1114" t="n">
        <v>0</v>
      </c>
      <c r="DR167" s="1109" t="n">
        <v>0</v>
      </c>
      <c r="DS167" s="852" t="n">
        <v>0</v>
      </c>
      <c r="DT167" s="852" t="n">
        <v>0</v>
      </c>
      <c r="DU167" s="852" t="n">
        <v>0</v>
      </c>
      <c r="DV167" s="852" t="n">
        <v>0</v>
      </c>
      <c r="DW167" s="852" t="n">
        <v>0</v>
      </c>
      <c r="DX167" s="852" t="n">
        <v>0</v>
      </c>
      <c r="DY167" s="852" t="n">
        <v>0</v>
      </c>
      <c r="DZ167" s="852" t="n">
        <v>0</v>
      </c>
      <c r="EA167" s="852" t="n">
        <v>0</v>
      </c>
      <c r="EB167" s="1113" t="n">
        <v>0</v>
      </c>
      <c r="EC167" s="1115" t="n">
        <f aca="false">DS167*BD167</f>
        <v>0</v>
      </c>
      <c r="ED167" s="1115" t="n">
        <f aca="false">DT167*BE167</f>
        <v>0</v>
      </c>
      <c r="EE167" s="1115" t="n">
        <f aca="false">DU167*BF167</f>
        <v>0</v>
      </c>
      <c r="EF167" s="1115" t="n">
        <f aca="false">DV167*BG167</f>
        <v>0</v>
      </c>
      <c r="EG167" s="1115" t="n">
        <f aca="false">DS167*BD167+DT167*BE167+DU167*BF167+DV167*BG167</f>
        <v>0</v>
      </c>
      <c r="EH167" s="1116" t="n">
        <v>0</v>
      </c>
      <c r="EI167" s="1117" t="n">
        <v>0</v>
      </c>
      <c r="EJ167" s="1117" t="n">
        <v>0</v>
      </c>
      <c r="EK167" s="1117" t="n">
        <v>0</v>
      </c>
      <c r="EL167" s="1118" t="n">
        <f aca="false">IF(C167&gt;=Summary!$E$26,MAX(0,SUM(EH167:EK167)),0)</f>
        <v>0</v>
      </c>
      <c r="EM167" s="1115" t="n">
        <f aca="false">IF(C167&gt;=Summary!$E$26,DX167*BL167,0)</f>
        <v>0</v>
      </c>
      <c r="EN167" s="1115" t="n">
        <f aca="false">IF(C167&gt;=Summary!$E$26,DY167*BM167,0)</f>
        <v>0</v>
      </c>
      <c r="EO167" s="1115" t="n">
        <f aca="false">IF(C167&gt;=Summary!$E$26,DZ167*BN167,0)</f>
        <v>0</v>
      </c>
      <c r="EP167" s="1115" t="n">
        <f aca="false">IF(C167&gt;=Summary!$E$26,EA167*BO167,0)</f>
        <v>0</v>
      </c>
      <c r="EQ167" s="1115" t="n">
        <f aca="false">IF(C167&gt;=Summary!$E$26,DX167*BL167+DY167*BM167+DZ167*BN167+EA167*BO167,0)</f>
        <v>0</v>
      </c>
      <c r="ER167" s="1119" t="n">
        <v>0</v>
      </c>
      <c r="ES167" s="1120" t="n">
        <v>0</v>
      </c>
      <c r="ET167" s="1120" t="n">
        <v>0</v>
      </c>
      <c r="EU167" s="1120" t="n">
        <v>0</v>
      </c>
      <c r="EV167" s="1143" t="n">
        <f aca="false">IF(C167&gt;=Summary!$E$26,MAX(0,SUM(ER167:EU167)),0)</f>
        <v>0</v>
      </c>
      <c r="EW167" s="1115"/>
      <c r="EX167" s="1165" t="n">
        <f aca="false">(EQ167-EV167)+IF(EZ167="Yes",(EG167-EL167),0)</f>
        <v>0</v>
      </c>
      <c r="EY167" s="1166" t="str">
        <f aca="false">IF(EX167,EX167/EQ167,"")</f>
        <v/>
      </c>
      <c r="EZ167" s="1122" t="s">
        <v>37</v>
      </c>
      <c r="FA167" s="1096" t="n">
        <f aca="false">FA166</f>
        <v>45</v>
      </c>
      <c r="FB167" s="1167" t="e">
        <f aca="false">IF(EZ167="No",IF((OR(MONTH(C167)=5,MONTH(C167)=6,MONTH(C167)=7,MONTH(C167)=8,MONTH(C167)=9)),$FA167*12*AX167*(1-$BC167),$FA167*10*AX167*(1-$BC167)),0)</f>
        <v>#VALUE!</v>
      </c>
      <c r="FC167" s="1129" t="n">
        <f aca="false">IF(EZ167="No",IF((OR(MONTH(C167)=5,MONTH(C167)=6,MONTH(C167)=7,MONTH(C167)=8,MONTH(C167)=9)),0,$FA167*3*AX167*(1-$BC167)),0)</f>
        <v>0</v>
      </c>
      <c r="FD167" s="1129" t="e">
        <f aca="false">IF(EZ167="No",IF((OR(MONTH(C167)=5,MONTH(C167)=6,MONTH(C167)=7,MONTH(C167)=8,MONTH(C167)=9)),$FA167*12*AY167*(1-$BC167),$FA167*10*AY167*(1-$BC167)),0)</f>
        <v>#VALUE!</v>
      </c>
      <c r="FE167" s="1129" t="n">
        <f aca="false">IF(EZ167="No",IF((OR(MONTH(C167)=5,MONTH(C167)=6,MONTH(C167)=7,MONTH(C167)=8,MONTH(C167)=9)),0,$FA167*3*AY167*(1-$BC167)),0)</f>
        <v>0</v>
      </c>
      <c r="FF167" s="1129" t="e">
        <f aca="false">IF(EZ167="No",IF((OR(MONTH(C167)=5,MONTH(C167)=6,MONTH(C167)=7,MONTH(C167)=8,MONTH(C167)=9)),$FA167*12*(AZ167+BA167)*(1-$BC167),$FA167*10*(AZ167+BA167)*(1-$BC167)),0)</f>
        <v>#VALUE!</v>
      </c>
      <c r="FG167" s="1129" t="n">
        <f aca="false">IF(EZ167="No",IF((OR(MONTH(C167)=5,MONTH(C167)=6,MONTH(C167)=7,MONTH(C167)=8,MONTH(C167)=9)),0,$FA167*3*(AZ167+BA167)*(1-$BC167)),0)</f>
        <v>0</v>
      </c>
      <c r="FH167" s="1170" t="e">
        <f aca="false">IF(EZ167="No",IF((OR(MONTH(C167)=5,MONTH(C167)=6,MONTH(C167)=7,MONTH(C167)=8,MONTH(C167)=9)),Summary!$O$15*12*(AX167+AY167+AZ167+BA167)*(1-$BC167),Summary!$O$15*13*(AX167+AY167+AZ167+BA167)*(1-$BC167)+IF(Summary!$O$16="Yes",(CALC!FA167+Summary!$O$15)*6*(AX167+AY167+AZ167+BA167)*(1-$BC167),0)),0)</f>
        <v>#VALUE!</v>
      </c>
      <c r="FI167" s="1126" t="n">
        <f aca="false">IF(MONTH(C167)=5,FI166*(IF(Summary!$E$70="no",(1+(Summary!$E$71*0.8)),1+HLOOKUP(YEAR(C167)-1,CCFMODEL!$I$127:$AF$128,2)*0.8)),+FI166)</f>
        <v>36.2095483451476</v>
      </c>
      <c r="FJ167" s="1127" t="n">
        <f aca="false">IF(MONTH(C167)=5,FJ166*(IF(Summary!$E$70="no",(1+(Summary!$E$71*0.8)),1+HLOOKUP(YEAR(CALC!C167)-1,CCFMODEL!$I$127:$AF$128,2)*0.8)),FJ166)</f>
        <v>31.6477154827668</v>
      </c>
      <c r="FK167" s="1128" t="e">
        <f aca="false">SUM(FB167:FG167)*FI167+FH167*FJ167</f>
        <v>#VALUE!</v>
      </c>
      <c r="FL167" s="1126" t="n">
        <f aca="false">IF(MONTH(C167)=5,FL166*(IF(Summary!$E$70="no",(1+(Summary!$E$71*0.8)),1+HLOOKUP(YEAR(CALC!C167)-1,CCFMODEL!$I$127:$AF$128,2)*0.8)),+FL166)</f>
        <v>76.1527396580175</v>
      </c>
      <c r="FM167" s="1127" t="n">
        <f aca="false">IF(MONTH(C167)=5,FM166*(IF(Summary!$E$70="no",(1+(Summary!$E$71*0.8)),1+HLOOKUP(YEAR(CALC!C167)-1,CCFMODEL!$I$127:$AF$128,2)*0.8)),+FM166)</f>
        <v>36.3453171803375</v>
      </c>
      <c r="FN167" s="1128" t="e">
        <f aca="false">IF((OR(MONTH(C167)=5,MONTH(C167)=6,MONTH(C167)=7,MONTH(C167)=8,MONTH(C167)=9)),SUM(FB167:FG167)/(1-BC167)*FL167,SUM(FB167:FG167)/(1-BC167)*FM167)</f>
        <v>#VALUE!</v>
      </c>
      <c r="FO167" s="1129" t="e">
        <f aca="false">FK167+FN167</f>
        <v>#VALUE!</v>
      </c>
      <c r="FP167" s="1169" t="e">
        <f aca="false">FB167</f>
        <v>#VALUE!</v>
      </c>
      <c r="FQ167" s="1129" t="n">
        <f aca="false">FC167</f>
        <v>0</v>
      </c>
      <c r="FR167" s="1129" t="e">
        <f aca="false">FD167</f>
        <v>#VALUE!</v>
      </c>
      <c r="FS167" s="1129" t="n">
        <f aca="false">FE167</f>
        <v>0</v>
      </c>
      <c r="FT167" s="1129" t="e">
        <f aca="false">FF167</f>
        <v>#VALUE!</v>
      </c>
      <c r="FU167" s="1129" t="n">
        <f aca="false">FG167</f>
        <v>0</v>
      </c>
      <c r="FV167" s="1170" t="e">
        <f aca="false">FH167</f>
        <v>#VALUE!</v>
      </c>
      <c r="FW167" s="1115" t="n">
        <f aca="false">IF(ER167&gt;0,MIN(FB167-FP167,BL167),0)</f>
        <v>0</v>
      </c>
      <c r="FX167" s="1115" t="n">
        <f aca="false">IF(ES167&gt;0,MIN(FD167-FR167,BM167),0)</f>
        <v>0</v>
      </c>
      <c r="FY167" s="1115" t="n">
        <f aca="false">IF(ET167&gt;0,MIN(FF167-FT167,BN167),0)</f>
        <v>0</v>
      </c>
      <c r="FZ167" s="1143" t="n">
        <f aca="false">IF(EU167&gt;0,MIN(FH167-FV167,BO167),0)</f>
        <v>0</v>
      </c>
      <c r="GA167" s="1132" t="e">
        <f aca="false">(SUM(FP167:FV167)+SUM(GU167:HB167)/(1-Summary!$O$25))*CY167/1000</f>
        <v>#VALUE!</v>
      </c>
      <c r="GB167" s="1133" t="n">
        <f aca="false">IF($C167&lt;Summary!$M$81,+Summary!$O$81,VLOOKUP(C167,GasTable,19))</f>
        <v>3.23116230252616</v>
      </c>
      <c r="GC167" s="1134" t="n">
        <f aca="false">IF(H167&lt;=Summary!$N$84,MIN(GA167,Summary!$O$75*(H167-G167+1)),0)</f>
        <v>0</v>
      </c>
      <c r="GD167" s="1135" t="n">
        <f aca="false">IF(C167&lt;Summary!$N$84,IF(Summary!$O$75*(H167-G167+1)*0.8&gt;GC167,1,0),0)</f>
        <v>0</v>
      </c>
      <c r="GE167" s="1136" t="n">
        <v>0</v>
      </c>
      <c r="GF167" s="1134" t="e">
        <f aca="false">ABS(MIN(0,GC167-$GA167))</f>
        <v>#VALUE!</v>
      </c>
      <c r="GG167" s="1135" t="e">
        <f aca="false">GF167*(IF(Summary!$O$74=1,VLOOKUP($C167,GasTable,16)+Summary!$O$92+Summary!$O$93,VLOOKUP($C167,GasTable,19)+Summary!$O$92+Summary!$O$93))</f>
        <v>#VALUE!</v>
      </c>
      <c r="GH167" s="1137" t="n">
        <v>5008.30156891555</v>
      </c>
      <c r="GI167" s="1138" t="n">
        <v>0</v>
      </c>
      <c r="GJ167" s="1139" t="e">
        <f aca="false">+GB167*GC167+GE167+GG167+GH167-GI167</f>
        <v>#VALUE!</v>
      </c>
      <c r="GK167" s="1115" t="e">
        <f aca="false">SUM(FP167:FV167,GU167:GX167,GY167:HB167)</f>
        <v>#VALUE!</v>
      </c>
      <c r="GL167" s="1140" t="n">
        <v>0.51769346672</v>
      </c>
      <c r="GM167" s="1141" t="e">
        <f aca="false">IF(GK167&gt;GC167/(CY167/1000),GC167/(CY167/1000),+GK167)*GL167</f>
        <v>#VALUE!</v>
      </c>
      <c r="GN167" s="1115" t="n">
        <f aca="false">IF(SUM(GU167:HB167)=0,0,IF(Summary!$O$16="Yes",SUM(GX167:HB167),IF(Summary!$O$17="Yes",SUM(GY167:HB167),SUM(GU167:HB167))))</f>
        <v>9547.0731</v>
      </c>
      <c r="GO167" s="1142" t="n">
        <v>3.39263445479869</v>
      </c>
      <c r="GP167" s="1143" t="n">
        <f aca="false">GN167*GO167</f>
        <v>32389.7291415417</v>
      </c>
      <c r="GQ167" s="1115"/>
      <c r="GR167" s="1115"/>
      <c r="GS167" s="1115"/>
      <c r="GT167" s="1115"/>
      <c r="GU167" s="1150" t="n">
        <v>3592.9845</v>
      </c>
      <c r="GV167" s="1115" t="n">
        <v>684.378</v>
      </c>
      <c r="GW167" s="1115" t="n">
        <v>1026.567</v>
      </c>
      <c r="GX167" s="1115"/>
      <c r="GY167" s="1151" t="n">
        <v>2874.3876</v>
      </c>
      <c r="GZ167" s="1115" t="n">
        <v>547.5024</v>
      </c>
      <c r="HA167" s="1115" t="n">
        <v>821.2536</v>
      </c>
      <c r="HB167" s="1141"/>
      <c r="HC167" s="1115" t="n">
        <v>9547.0731</v>
      </c>
      <c r="HD167" s="1115"/>
      <c r="HE167" s="1115" t="n">
        <v>22276.5039</v>
      </c>
      <c r="HF167" s="1115" t="n">
        <v>488454.576635116</v>
      </c>
      <c r="HG167" s="1115"/>
      <c r="HH167" s="1142" t="n">
        <v>54.180077455685</v>
      </c>
      <c r="HI167" s="1115" t="n">
        <v>1206942.70674387</v>
      </c>
      <c r="HJ167" s="1150" t="e">
        <f aca="false">MAX(FB167-FP167-FW167,0)</f>
        <v>#VALUE!</v>
      </c>
      <c r="HK167" s="1115" t="e">
        <f aca="false">MAX(FD167-FR167-FX167,0)</f>
        <v>#VALUE!</v>
      </c>
      <c r="HL167" s="1115" t="e">
        <f aca="false">MAX(FF167-FT167-FY167,0)</f>
        <v>#VALUE!</v>
      </c>
      <c r="HM167" s="1141" t="e">
        <f aca="false">MAX(FH167-FV167-FZ167,0)</f>
        <v>#VALUE!</v>
      </c>
      <c r="HN167" s="1115" t="e">
        <f aca="false">SUM(HJ167:HM167)</f>
        <v>#VALUE!</v>
      </c>
      <c r="HO167" s="1142" t="n">
        <f aca="false">IF(ISERROR(+HP167/HN167),0,+HP167/HN167)</f>
        <v>0</v>
      </c>
      <c r="HP167" s="1143" t="e">
        <f aca="false">(HJ167*CE167+HK167*CF167+HL167*CG167+HM167*CH167)</f>
        <v>#VALUE!</v>
      </c>
      <c r="HQ167" s="1142"/>
      <c r="HR167" s="1150"/>
      <c r="HS167" s="1110"/>
      <c r="HT167" s="1141"/>
      <c r="HU167" s="1151"/>
      <c r="HV167" s="1142"/>
      <c r="HW167" s="1115"/>
      <c r="HX167" s="1149"/>
      <c r="HY167" s="1143"/>
      <c r="HZ167" s="1150"/>
      <c r="IA167" s="1142"/>
      <c r="IB167" s="1141"/>
      <c r="IC167" s="1151"/>
      <c r="ID167" s="1142"/>
      <c r="IE167" s="1141"/>
      <c r="IF167" s="1115"/>
      <c r="IG167" s="1142"/>
      <c r="IH167" s="1141"/>
      <c r="II167" s="1115"/>
      <c r="IJ167" s="1142"/>
      <c r="IK167" s="1115"/>
      <c r="IL167" s="1152"/>
      <c r="IM167" s="1192"/>
      <c r="IN167" s="1151"/>
      <c r="IO167" s="1151"/>
      <c r="IP167" s="1151"/>
      <c r="IQ167" s="1151"/>
      <c r="IR167" s="844"/>
    </row>
    <row r="168" customFormat="false" ht="13.5" hidden="false" customHeight="false" outlineLevel="0" collapsed="false">
      <c r="A168" s="0" t="str">
        <f aca="false">+D168&amp;"Q"&amp;ROUNDUP(E168/3,0)</f>
        <v>2012Q3</v>
      </c>
      <c r="B168" s="0" t="n">
        <f aca="false">YEAR(C168)</f>
        <v>2012</v>
      </c>
      <c r="C168" s="1153" t="n">
        <f aca="false">EOMONTH(C167,0)+1</f>
        <v>41122</v>
      </c>
      <c r="D168" s="841" t="n">
        <f aca="false">+YEAR(C168)</f>
        <v>2012</v>
      </c>
      <c r="E168" s="807" t="n">
        <f aca="false">MONTH(C168)</f>
        <v>8</v>
      </c>
      <c r="F168" s="1154" t="e">
        <f aca="false">IF(G168="","",Holiday(D168,E168))</f>
        <v>#VALUE!</v>
      </c>
      <c r="G168" s="1155" t="n">
        <v>41122</v>
      </c>
      <c r="H168" s="1156" t="n">
        <v>41152</v>
      </c>
      <c r="I168" s="1157" t="n">
        <f aca="false">I167</f>
        <v>0.0715</v>
      </c>
      <c r="J168" s="1158" t="n">
        <f aca="false">(1+I168/2)^(-2*(DATE(D169,E169,20)-$H$7)/365.25)</f>
        <v>0.407842584236051</v>
      </c>
      <c r="K168" s="1159"/>
      <c r="L168" s="1158"/>
      <c r="M168" s="1082" t="n">
        <v>0</v>
      </c>
      <c r="N168" s="1110" t="n">
        <f aca="false">M168</f>
        <v>0</v>
      </c>
      <c r="O168" s="1174" t="n">
        <f aca="false">N168</f>
        <v>0</v>
      </c>
      <c r="P168" s="1175" t="n">
        <f aca="false">M168</f>
        <v>0</v>
      </c>
      <c r="Q168" s="1110" t="n">
        <f aca="false">P168</f>
        <v>0</v>
      </c>
      <c r="R168" s="1174" t="n">
        <f aca="false">Q168</f>
        <v>0</v>
      </c>
      <c r="S168" s="1110" t="n">
        <f aca="false">R168</f>
        <v>0</v>
      </c>
      <c r="T168" s="1110" t="n">
        <f aca="false">S168</f>
        <v>0</v>
      </c>
      <c r="U168" s="1110" t="n">
        <f aca="false">T168</f>
        <v>0</v>
      </c>
      <c r="V168" s="1175" t="n">
        <f aca="false">U168</f>
        <v>0</v>
      </c>
      <c r="W168" s="1110" t="n">
        <f aca="false">V168</f>
        <v>0</v>
      </c>
      <c r="X168" s="1176" t="n">
        <f aca="false">W168</f>
        <v>0</v>
      </c>
      <c r="Y168" s="1086" t="n">
        <v>0</v>
      </c>
      <c r="Z168" s="1086" t="n">
        <v>0</v>
      </c>
      <c r="AA168" s="1087" t="n">
        <v>0</v>
      </c>
      <c r="AB168" s="1086" t="n">
        <v>0</v>
      </c>
      <c r="AC168" s="1086" t="n">
        <v>0</v>
      </c>
      <c r="AD168" s="1087" t="n">
        <v>0</v>
      </c>
      <c r="AE168" s="1086" t="n">
        <v>0</v>
      </c>
      <c r="AF168" s="1086" t="n">
        <v>0</v>
      </c>
      <c r="AG168" s="1087" t="n">
        <v>0</v>
      </c>
      <c r="AH168" s="1086" t="n">
        <v>0</v>
      </c>
      <c r="AI168" s="1086" t="n">
        <v>0</v>
      </c>
      <c r="AJ168" s="1087" t="n">
        <v>0</v>
      </c>
      <c r="AK168" s="1086" t="n">
        <v>0</v>
      </c>
      <c r="AL168" s="1086" t="n">
        <v>0</v>
      </c>
      <c r="AM168" s="1087" t="n">
        <v>0</v>
      </c>
      <c r="AN168" s="1086" t="n">
        <v>0</v>
      </c>
      <c r="AO168" s="1086" t="n">
        <v>0</v>
      </c>
      <c r="AP168" s="1087" t="n">
        <v>0</v>
      </c>
      <c r="AQ168" s="1086" t="n">
        <v>0</v>
      </c>
      <c r="AR168" s="1086" t="n">
        <v>0</v>
      </c>
      <c r="AS168" s="1087" t="n">
        <v>0</v>
      </c>
      <c r="AT168" s="1086" t="n">
        <v>0</v>
      </c>
      <c r="AU168" s="1086" t="n">
        <v>0</v>
      </c>
      <c r="AV168" s="1086" t="n">
        <v>0</v>
      </c>
      <c r="AW168" s="1172" t="n">
        <v>0</v>
      </c>
      <c r="AX168" s="807" t="n">
        <f aca="false">BB168-SUM(AY168:BA168)</f>
        <v>23</v>
      </c>
      <c r="AY168" s="807" t="n">
        <f aca="false">IF(AND($E168=MONTH(Summary!$E$24),$D168=YEAR(Summary!$E$24)),Summary!$E$25,1)*IF(G168="",0,INT((H168-MOD(H168,7)-G168)/7)+1-IF(BA168,IF(WEEKDAY(F168)=7,1,0),0))</f>
        <v>4</v>
      </c>
      <c r="AZ168" s="807" t="n">
        <f aca="false">IF(AND($E168=MONTH(Summary!$E$24),$D168=YEAR(Summary!$E$24)),Summary!$E$25,1)*IF(G168="",0,INT((H168-MOD(H168-1,7)-G168)/7)+1-IF(BA168,IF(WEEKDAY(F168)=1,1,0),0))</f>
        <v>4</v>
      </c>
      <c r="BA168" s="807" t="n">
        <v>0</v>
      </c>
      <c r="BB168" s="807" t="n">
        <f aca="false">IF(AND($E168=MONTH(Summary!$E$24),$D168=YEAR(Summary!$E$24)),Summary!$E$25,1)*IF(G168="",0,H168-G168+1)</f>
        <v>31</v>
      </c>
      <c r="BC168" s="1089" t="n">
        <f aca="false">Summary!$E$19</f>
        <v>0.015</v>
      </c>
      <c r="BD168" s="1090" t="n">
        <v>16311.6</v>
      </c>
      <c r="BE168" s="1091" t="n">
        <v>2836.8</v>
      </c>
      <c r="BF168" s="1091" t="n">
        <v>2836.8</v>
      </c>
      <c r="BG168" s="842"/>
      <c r="BH168" s="1092" t="n">
        <v>1</v>
      </c>
      <c r="BI168" s="1092" t="n">
        <v>1</v>
      </c>
      <c r="BJ168" s="1092" t="n">
        <v>1</v>
      </c>
      <c r="BK168" s="1092" t="n">
        <v>1</v>
      </c>
      <c r="BL168" s="1093" t="n">
        <v>3262.32</v>
      </c>
      <c r="BM168" s="1091" t="n">
        <v>567.36</v>
      </c>
      <c r="BN168" s="1091" t="n">
        <v>567.36</v>
      </c>
      <c r="BO168" s="842"/>
      <c r="BP168" s="1092" t="n">
        <v>1</v>
      </c>
      <c r="BQ168" s="1094" t="n">
        <v>1</v>
      </c>
      <c r="BR168" s="1094" t="n">
        <v>1</v>
      </c>
      <c r="BS168" s="1095" t="n">
        <v>1</v>
      </c>
      <c r="BT168" s="1093" t="n">
        <f aca="false">SUM(BD168:BF168)</f>
        <v>21985.2</v>
      </c>
      <c r="BU168" s="1098" t="n">
        <f aca="false">SUM(BD168:BG168)</f>
        <v>21985.2</v>
      </c>
      <c r="BV168" s="1090" t="n">
        <f aca="false">SUM(BL168:BN168)</f>
        <v>4397.04</v>
      </c>
      <c r="BW168" s="1098" t="n">
        <f aca="false">SUM(BL168:BO168)</f>
        <v>4397.04</v>
      </c>
      <c r="BX168" s="852" t="n">
        <v>12.6297056810404</v>
      </c>
      <c r="BY168" s="1099" t="n">
        <v>0</v>
      </c>
      <c r="BZ168" s="852" t="n">
        <v>0</v>
      </c>
      <c r="CA168" s="852" t="n">
        <v>0</v>
      </c>
      <c r="CB168" s="852" t="n">
        <v>0</v>
      </c>
      <c r="CC168" s="852" t="n">
        <v>0</v>
      </c>
      <c r="CD168" s="852" t="n">
        <v>0</v>
      </c>
      <c r="CE168" s="1100" t="n">
        <v>0</v>
      </c>
      <c r="CF168" s="852" t="n">
        <v>0</v>
      </c>
      <c r="CG168" s="852" t="n">
        <v>0</v>
      </c>
      <c r="CH168" s="852" t="n">
        <v>0</v>
      </c>
      <c r="CI168" s="852" t="n">
        <v>0</v>
      </c>
      <c r="CJ168" s="1101" t="n">
        <v>0</v>
      </c>
      <c r="CK168" s="852" t="n">
        <v>0</v>
      </c>
      <c r="CL168" s="852" t="n">
        <v>0</v>
      </c>
      <c r="CM168" s="852" t="n">
        <v>0</v>
      </c>
      <c r="CN168" s="852" t="n">
        <v>0</v>
      </c>
      <c r="CO168" s="852" t="n">
        <v>0</v>
      </c>
      <c r="CP168" s="852" t="n">
        <v>0</v>
      </c>
      <c r="CQ168" s="1102" t="n">
        <v>0</v>
      </c>
      <c r="CR168" s="1103" t="n">
        <v>0</v>
      </c>
      <c r="CS168" s="1103" t="n">
        <v>0</v>
      </c>
      <c r="CT168" s="1103" t="n">
        <v>0</v>
      </c>
      <c r="CU168" s="1103" t="n">
        <v>0</v>
      </c>
      <c r="CV168" s="1103" t="n">
        <v>0</v>
      </c>
      <c r="CW168" s="1103" t="n">
        <v>0</v>
      </c>
      <c r="CX168" s="1104" t="n">
        <v>0</v>
      </c>
      <c r="CY168" s="1105" t="n">
        <v>7728.07104</v>
      </c>
      <c r="CZ168" s="1099" t="n">
        <v>0</v>
      </c>
      <c r="DA168" s="852" t="n">
        <v>0</v>
      </c>
      <c r="DB168" s="852" t="n">
        <v>0</v>
      </c>
      <c r="DC168" s="852" t="n">
        <v>0</v>
      </c>
      <c r="DD168" s="852" t="n">
        <v>0</v>
      </c>
      <c r="DE168" s="1113" t="n">
        <v>0</v>
      </c>
      <c r="DF168" s="1109" t="n">
        <v>0</v>
      </c>
      <c r="DG168" s="1110" t="n">
        <v>0</v>
      </c>
      <c r="DH168" s="1111" t="n">
        <v>0</v>
      </c>
      <c r="DI168" s="1112" t="n">
        <v>0</v>
      </c>
      <c r="DJ168" s="1112" t="n">
        <v>0</v>
      </c>
      <c r="DK168" s="1112" t="n">
        <v>0</v>
      </c>
      <c r="DL168" s="1113" t="n">
        <v>0</v>
      </c>
      <c r="DM168" s="1114" t="n">
        <v>0</v>
      </c>
      <c r="DN168" s="1114" t="n">
        <v>0</v>
      </c>
      <c r="DO168" s="1114" t="n">
        <v>0</v>
      </c>
      <c r="DP168" s="1114" t="n">
        <v>0</v>
      </c>
      <c r="DQ168" s="1114" t="n">
        <v>0</v>
      </c>
      <c r="DR168" s="1109" t="n">
        <v>0</v>
      </c>
      <c r="DS168" s="852" t="n">
        <v>0</v>
      </c>
      <c r="DT168" s="852" t="n">
        <v>0</v>
      </c>
      <c r="DU168" s="852" t="n">
        <v>0</v>
      </c>
      <c r="DV168" s="852" t="n">
        <v>0</v>
      </c>
      <c r="DW168" s="852" t="n">
        <v>0</v>
      </c>
      <c r="DX168" s="852" t="n">
        <v>0</v>
      </c>
      <c r="DY168" s="852" t="n">
        <v>0</v>
      </c>
      <c r="DZ168" s="852" t="n">
        <v>0</v>
      </c>
      <c r="EA168" s="852" t="n">
        <v>0</v>
      </c>
      <c r="EB168" s="1113" t="n">
        <v>0</v>
      </c>
      <c r="EC168" s="1115" t="n">
        <f aca="false">DS168*BD168</f>
        <v>0</v>
      </c>
      <c r="ED168" s="1115" t="n">
        <f aca="false">DT168*BE168</f>
        <v>0</v>
      </c>
      <c r="EE168" s="1115" t="n">
        <f aca="false">DU168*BF168</f>
        <v>0</v>
      </c>
      <c r="EF168" s="1115" t="n">
        <f aca="false">DV168*BG168</f>
        <v>0</v>
      </c>
      <c r="EG168" s="1115" t="n">
        <f aca="false">DS168*BD168+DT168*BE168+DU168*BF168+DV168*BG168</f>
        <v>0</v>
      </c>
      <c r="EH168" s="1116" t="n">
        <v>0</v>
      </c>
      <c r="EI168" s="1117" t="n">
        <v>0</v>
      </c>
      <c r="EJ168" s="1117" t="n">
        <v>0</v>
      </c>
      <c r="EK168" s="1117" t="n">
        <v>0</v>
      </c>
      <c r="EL168" s="1118" t="n">
        <f aca="false">IF(C168&gt;=Summary!$E$26,MAX(0,SUM(EH168:EK168)),0)</f>
        <v>0</v>
      </c>
      <c r="EM168" s="1115" t="n">
        <f aca="false">IF(C168&gt;=Summary!$E$26,DX168*BL168,0)</f>
        <v>0</v>
      </c>
      <c r="EN168" s="1115" t="n">
        <f aca="false">IF(C168&gt;=Summary!$E$26,DY168*BM168,0)</f>
        <v>0</v>
      </c>
      <c r="EO168" s="1115" t="n">
        <f aca="false">IF(C168&gt;=Summary!$E$26,DZ168*BN168,0)</f>
        <v>0</v>
      </c>
      <c r="EP168" s="1115" t="n">
        <f aca="false">IF(C168&gt;=Summary!$E$26,EA168*BO168,0)</f>
        <v>0</v>
      </c>
      <c r="EQ168" s="1115" t="n">
        <f aca="false">IF(C168&gt;=Summary!$E$26,DX168*BL168+DY168*BM168+DZ168*BN168+EA168*BO168,0)</f>
        <v>0</v>
      </c>
      <c r="ER168" s="1119" t="n">
        <v>0</v>
      </c>
      <c r="ES168" s="1120" t="n">
        <v>0</v>
      </c>
      <c r="ET168" s="1120" t="n">
        <v>0</v>
      </c>
      <c r="EU168" s="1120" t="n">
        <v>0</v>
      </c>
      <c r="EV168" s="1143" t="n">
        <f aca="false">IF(C168&gt;=Summary!$E$26,MAX(0,SUM(ER168:EU168)),0)</f>
        <v>0</v>
      </c>
      <c r="EW168" s="1115"/>
      <c r="EX168" s="1165" t="n">
        <f aca="false">(EQ168-EV168)+IF(EZ168="Yes",(EG168-EL168),0)</f>
        <v>0</v>
      </c>
      <c r="EY168" s="1166" t="str">
        <f aca="false">IF(EX168,EX168/EQ168,"")</f>
        <v/>
      </c>
      <c r="EZ168" s="1122" t="s">
        <v>37</v>
      </c>
      <c r="FA168" s="1096" t="n">
        <f aca="false">FA167</f>
        <v>45</v>
      </c>
      <c r="FB168" s="1167" t="n">
        <f aca="false">IF(EZ168="No",IF((OR(MONTH(C168)=5,MONTH(C168)=6,MONTH(C168)=7,MONTH(C168)=8,MONTH(C168)=9)),$FA168*12*AX168*(1-$BC168),$FA168*10*AX168*(1-$BC168)),0)</f>
        <v>12233.7</v>
      </c>
      <c r="FC168" s="1129" t="n">
        <f aca="false">IF(EZ168="No",IF((OR(MONTH(C168)=5,MONTH(C168)=6,MONTH(C168)=7,MONTH(C168)=8,MONTH(C168)=9)),0,$FA168*3*AX168*(1-$BC168)),0)</f>
        <v>0</v>
      </c>
      <c r="FD168" s="1129" t="n">
        <f aca="false">IF(EZ168="No",IF((OR(MONTH(C168)=5,MONTH(C168)=6,MONTH(C168)=7,MONTH(C168)=8,MONTH(C168)=9)),$FA168*12*AY168*(1-$BC168),$FA168*10*AY168*(1-$BC168)),0)</f>
        <v>2127.6</v>
      </c>
      <c r="FE168" s="1129" t="n">
        <f aca="false">IF(EZ168="No",IF((OR(MONTH(C168)=5,MONTH(C168)=6,MONTH(C168)=7,MONTH(C168)=8,MONTH(C168)=9)),0,$FA168*3*AY168*(1-$BC168)),0)</f>
        <v>0</v>
      </c>
      <c r="FF168" s="1129" t="n">
        <f aca="false">IF(EZ168="No",IF((OR(MONTH(C168)=5,MONTH(C168)=6,MONTH(C168)=7,MONTH(C168)=8,MONTH(C168)=9)),$FA168*12*(AZ168+BA168)*(1-$BC168),$FA168*10*(AZ168+BA168)*(1-$BC168)),0)</f>
        <v>2127.6</v>
      </c>
      <c r="FG168" s="1129" t="n">
        <f aca="false">IF(EZ168="No",IF((OR(MONTH(C168)=5,MONTH(C168)=6,MONTH(C168)=7,MONTH(C168)=8,MONTH(C168)=9)),0,$FA168*3*(AZ168+BA168)*(1-$BC168)),0)</f>
        <v>0</v>
      </c>
      <c r="FH168" s="1170" t="n">
        <f aca="false">IF(EZ168="No",IF((OR(MONTH(C168)=5,MONTH(C168)=6,MONTH(C168)=7,MONTH(C168)=8,MONTH(C168)=9)),Summary!$O$15*12*(AX168+AY168+AZ168+BA168)*(1-$BC168),Summary!$O$15*13*(AX168+AY168+AZ168+BA168)*(1-$BC168)+IF(Summary!$O$16="Yes",(CALC!FA168+Summary!$O$15)*6*(AX168+AY168+AZ168+BA168)*(1-$BC168),0)),0)</f>
        <v>0</v>
      </c>
      <c r="FI168" s="1126" t="n">
        <f aca="false">IF(MONTH(C168)=5,FI167*(IF(Summary!$E$70="no",(1+(Summary!$E$71*0.8)),1+HLOOKUP(YEAR(C168)-1,CCFMODEL!$I$127:$AF$128,2)*0.8)),+FI167)</f>
        <v>36.2095483451476</v>
      </c>
      <c r="FJ168" s="1127" t="n">
        <f aca="false">IF(MONTH(C168)=5,FJ167*(IF(Summary!$E$70="no",(1+(Summary!$E$71*0.8)),1+HLOOKUP(YEAR(CALC!C168)-1,CCFMODEL!$I$127:$AF$128,2)*0.8)),FJ167)</f>
        <v>31.6477154827668</v>
      </c>
      <c r="FK168" s="1128" t="n">
        <f aca="false">SUM(FB168:FG168)*FI168+FH168*FJ168</f>
        <v>597055.621708304</v>
      </c>
      <c r="FL168" s="1126" t="n">
        <f aca="false">IF(MONTH(C168)=5,FL167*(IF(Summary!$E$70="no",(1+(Summary!$E$71*0.8)),1+HLOOKUP(YEAR(CALC!C168)-1,CCFMODEL!$I$127:$AF$128,2)*0.8)),+FL167)</f>
        <v>76.1527396580175</v>
      </c>
      <c r="FM168" s="1127" t="n">
        <f aca="false">IF(MONTH(C168)=5,FM167*(IF(Summary!$E$70="no",(1+(Summary!$E$71*0.8)),1+HLOOKUP(YEAR(CALC!C168)-1,CCFMODEL!$I$127:$AF$128,2)*0.8)),+FM167)</f>
        <v>36.3453171803375</v>
      </c>
      <c r="FN168" s="1128" t="n">
        <f aca="false">IF((OR(MONTH(C168)=5,MONTH(C168)=6,MONTH(C168)=7,MONTH(C168)=8,MONTH(C168)=9)),SUM(FB168:FG168)/(1-BC168)*FL168,SUM(FB168:FG168)/(1-BC168)*FM168)</f>
        <v>1274796.86187521</v>
      </c>
      <c r="FO168" s="1129" t="n">
        <f aca="false">FK168+FN168</f>
        <v>1871852.48358352</v>
      </c>
      <c r="FP168" s="1169" t="n">
        <f aca="false">FB168</f>
        <v>12233.7</v>
      </c>
      <c r="FQ168" s="1129" t="n">
        <f aca="false">FC168</f>
        <v>0</v>
      </c>
      <c r="FR168" s="1129" t="n">
        <f aca="false">FD168</f>
        <v>2127.6</v>
      </c>
      <c r="FS168" s="1129" t="n">
        <f aca="false">FE168</f>
        <v>0</v>
      </c>
      <c r="FT168" s="1129" t="n">
        <f aca="false">FF168</f>
        <v>2127.6</v>
      </c>
      <c r="FU168" s="1129" t="n">
        <f aca="false">FG168</f>
        <v>0</v>
      </c>
      <c r="FV168" s="1170" t="n">
        <f aca="false">FH168</f>
        <v>0</v>
      </c>
      <c r="FW168" s="1115" t="n">
        <f aca="false">IF(ER168&gt;0,MIN(FB168-FP168,BL168),0)</f>
        <v>0</v>
      </c>
      <c r="FX168" s="1115" t="n">
        <f aca="false">IF(ES168&gt;0,MIN(FD168-FR168,BM168),0)</f>
        <v>0</v>
      </c>
      <c r="FY168" s="1115" t="n">
        <f aca="false">IF(ET168&gt;0,MIN(FF168-FT168,BN168),0)</f>
        <v>0</v>
      </c>
      <c r="FZ168" s="1143" t="n">
        <f aca="false">IF(EU168&gt;0,MIN(FH168-FV168,BO168),0)</f>
        <v>0</v>
      </c>
      <c r="GA168" s="1132" t="n">
        <f aca="false">(SUM(FP168:FV168)+SUM(GU168:HB168)/(1-Summary!$O$25))*CY168/1000</f>
        <v>203883.82491433</v>
      </c>
      <c r="GB168" s="1133" t="n">
        <f aca="false">IF($C168&lt;Summary!$M$81,+Summary!$O$81,VLOOKUP(C168,GasTable,19))</f>
        <v>3.35309367012082</v>
      </c>
      <c r="GC168" s="1134" t="n">
        <f aca="false">IF(H168&lt;=Summary!$N$84,MIN(GA168,Summary!$O$75*(H168-G168+1)),0)</f>
        <v>0</v>
      </c>
      <c r="GD168" s="1135" t="n">
        <f aca="false">IF(C168&lt;Summary!$N$84,IF(Summary!$O$75*(H168-G168+1)*0.8&gt;GC168,1,0),0)</f>
        <v>0</v>
      </c>
      <c r="GE168" s="1136" t="n">
        <v>0</v>
      </c>
      <c r="GF168" s="1134" t="n">
        <f aca="false">ABS(MIN(0,GC168-$GA168))</f>
        <v>203883.82491433</v>
      </c>
      <c r="GG168" s="1135" t="n">
        <f aca="false">GF168*(IF(Summary!$O$74=1,VLOOKUP($C168,GasTable,16)+Summary!$O$92+Summary!$O$93,VLOOKUP($C168,GasTable,19)+Summary!$O$92+Summary!$O$93))</f>
        <v>694263.910038296</v>
      </c>
      <c r="GH168" s="1137" t="n">
        <v>5197.29518868727</v>
      </c>
      <c r="GI168" s="1138" t="n">
        <v>0</v>
      </c>
      <c r="GJ168" s="1139" t="n">
        <f aca="false">+GB168*GC168+GE168+GG168+GH168-GI168</f>
        <v>699461.205226984</v>
      </c>
      <c r="GK168" s="1115" t="n">
        <f aca="false">SUM(FP168:FV168,GU168:GX168,GY168:HB168)</f>
        <v>26035.9731</v>
      </c>
      <c r="GL168" s="1140" t="n">
        <v>0.51778075968</v>
      </c>
      <c r="GM168" s="1141" t="n">
        <f aca="false">IF(GK168&gt;GC168/(CY168/1000),GC168/(CY168/1000),+GK168)*GL168</f>
        <v>0</v>
      </c>
      <c r="GN168" s="1115" t="n">
        <f aca="false">IF(SUM(GU168:HB168)=0,0,IF(Summary!$O$16="Yes",SUM(GX168:HB168),IF(Summary!$O$17="Yes",SUM(GY168:HB168),SUM(GU168:HB168))))</f>
        <v>9547.0731</v>
      </c>
      <c r="GO168" s="1142" t="n">
        <v>3.39263445479869</v>
      </c>
      <c r="GP168" s="1143" t="n">
        <f aca="false">GN168*GO168</f>
        <v>32389.7291415417</v>
      </c>
      <c r="GQ168" s="1115"/>
      <c r="GR168" s="1115"/>
      <c r="GS168" s="1115"/>
      <c r="GT168" s="1115"/>
      <c r="GU168" s="1150" t="n">
        <v>3935.1735</v>
      </c>
      <c r="GV168" s="1115" t="n">
        <v>684.378</v>
      </c>
      <c r="GW168" s="1115" t="n">
        <v>684.378</v>
      </c>
      <c r="GX168" s="1115"/>
      <c r="GY168" s="1151" t="n">
        <v>3148.1388</v>
      </c>
      <c r="GZ168" s="1115" t="n">
        <v>547.5024</v>
      </c>
      <c r="HA168" s="1115" t="n">
        <v>547.5024</v>
      </c>
      <c r="HB168" s="1141"/>
      <c r="HC168" s="1115" t="n">
        <v>9547.0731</v>
      </c>
      <c r="HD168" s="1115"/>
      <c r="HE168" s="1115" t="n">
        <v>22276.5039</v>
      </c>
      <c r="HF168" s="1115" t="n">
        <v>618741.740721365</v>
      </c>
      <c r="HG168" s="1115"/>
      <c r="HH168" s="1142" t="n">
        <v>68.238225317523</v>
      </c>
      <c r="HI168" s="1115" t="n">
        <v>1520109.09241488</v>
      </c>
      <c r="HJ168" s="1150" t="n">
        <f aca="false">MAX(FB168-FP168-FW168,0)</f>
        <v>0</v>
      </c>
      <c r="HK168" s="1115" t="n">
        <f aca="false">MAX(FD168-FR168-FX168,0)</f>
        <v>0</v>
      </c>
      <c r="HL168" s="1115" t="n">
        <f aca="false">MAX(FF168-FT168-FY168,0)</f>
        <v>0</v>
      </c>
      <c r="HM168" s="1141" t="n">
        <f aca="false">MAX(FH168-FV168-FZ168,0)</f>
        <v>0</v>
      </c>
      <c r="HN168" s="1115" t="n">
        <f aca="false">SUM(HJ168:HM168)</f>
        <v>0</v>
      </c>
      <c r="HO168" s="1142" t="n">
        <f aca="false">IF(ISERROR(+HP168/HN168),0,+HP168/HN168)</f>
        <v>0</v>
      </c>
      <c r="HP168" s="1143" t="n">
        <f aca="false">(HJ168*CE168+HK168*CF168+HL168*CG168+HM168*CH168)</f>
        <v>0</v>
      </c>
      <c r="HQ168" s="1142"/>
      <c r="HR168" s="1150"/>
      <c r="HS168" s="1110"/>
      <c r="HT168" s="1141"/>
      <c r="HU168" s="1151"/>
      <c r="HV168" s="1142"/>
      <c r="HW168" s="1115"/>
      <c r="HX168" s="1149"/>
      <c r="HY168" s="1143"/>
      <c r="HZ168" s="1150"/>
      <c r="IA168" s="1142"/>
      <c r="IB168" s="1141"/>
      <c r="IC168" s="1151"/>
      <c r="ID168" s="1142"/>
      <c r="IE168" s="1141"/>
      <c r="IF168" s="1115"/>
      <c r="IG168" s="1142"/>
      <c r="IH168" s="1141"/>
      <c r="II168" s="1115"/>
      <c r="IJ168" s="1142"/>
      <c r="IK168" s="1115"/>
      <c r="IL168" s="1152"/>
      <c r="IM168" s="1192"/>
      <c r="IN168" s="1151"/>
      <c r="IO168" s="1151"/>
      <c r="IP168" s="1151"/>
      <c r="IQ168" s="1151"/>
      <c r="IR168" s="844"/>
    </row>
    <row r="169" customFormat="false" ht="13.5" hidden="false" customHeight="false" outlineLevel="0" collapsed="false">
      <c r="A169" s="0" t="str">
        <f aca="false">+D169&amp;"Q"&amp;ROUNDUP(E169/3,0)</f>
        <v>2012Q3</v>
      </c>
      <c r="B169" s="0" t="n">
        <f aca="false">YEAR(C169)</f>
        <v>2012</v>
      </c>
      <c r="C169" s="1153" t="n">
        <f aca="false">EOMONTH(C168,0)+1</f>
        <v>41153</v>
      </c>
      <c r="D169" s="841" t="n">
        <f aca="false">+YEAR(C169)</f>
        <v>2012</v>
      </c>
      <c r="E169" s="807" t="n">
        <f aca="false">MONTH(C169)</f>
        <v>9</v>
      </c>
      <c r="F169" s="1154" t="e">
        <f aca="false">IF(G169="","",Holiday(D169,E169))</f>
        <v>#VALUE!</v>
      </c>
      <c r="G169" s="1155" t="n">
        <v>41153</v>
      </c>
      <c r="H169" s="1156" t="n">
        <v>41182</v>
      </c>
      <c r="I169" s="1157" t="n">
        <f aca="false">I168</f>
        <v>0.0715</v>
      </c>
      <c r="J169" s="1158" t="n">
        <f aca="false">(1+I169/2)^(-2*(DATE(D170,E170,20)-$H$7)/365.25)</f>
        <v>0.405496046870244</v>
      </c>
      <c r="K169" s="1159"/>
      <c r="L169" s="1158"/>
      <c r="M169" s="1082" t="n">
        <v>0</v>
      </c>
      <c r="N169" s="1110" t="n">
        <f aca="false">M169</f>
        <v>0</v>
      </c>
      <c r="O169" s="1174" t="n">
        <f aca="false">N169</f>
        <v>0</v>
      </c>
      <c r="P169" s="1175" t="n">
        <f aca="false">M169</f>
        <v>0</v>
      </c>
      <c r="Q169" s="1110" t="n">
        <f aca="false">P169</f>
        <v>0</v>
      </c>
      <c r="R169" s="1174" t="n">
        <f aca="false">Q169</f>
        <v>0</v>
      </c>
      <c r="S169" s="1110" t="n">
        <f aca="false">R169</f>
        <v>0</v>
      </c>
      <c r="T169" s="1110" t="n">
        <f aca="false">S169</f>
        <v>0</v>
      </c>
      <c r="U169" s="1110" t="n">
        <f aca="false">T169</f>
        <v>0</v>
      </c>
      <c r="V169" s="1175" t="n">
        <f aca="false">U169</f>
        <v>0</v>
      </c>
      <c r="W169" s="1110" t="n">
        <f aca="false">V169</f>
        <v>0</v>
      </c>
      <c r="X169" s="1176" t="n">
        <f aca="false">W169</f>
        <v>0</v>
      </c>
      <c r="Y169" s="1086" t="n">
        <v>0</v>
      </c>
      <c r="Z169" s="1086" t="n">
        <v>0</v>
      </c>
      <c r="AA169" s="1087" t="n">
        <v>0</v>
      </c>
      <c r="AB169" s="1086" t="n">
        <v>0</v>
      </c>
      <c r="AC169" s="1086" t="n">
        <v>0</v>
      </c>
      <c r="AD169" s="1087" t="n">
        <v>0</v>
      </c>
      <c r="AE169" s="1086" t="n">
        <v>0</v>
      </c>
      <c r="AF169" s="1086" t="n">
        <v>0</v>
      </c>
      <c r="AG169" s="1087" t="n">
        <v>0</v>
      </c>
      <c r="AH169" s="1086" t="n">
        <v>0</v>
      </c>
      <c r="AI169" s="1086" t="n">
        <v>0</v>
      </c>
      <c r="AJ169" s="1087" t="n">
        <v>0</v>
      </c>
      <c r="AK169" s="1086" t="n">
        <v>0</v>
      </c>
      <c r="AL169" s="1086" t="n">
        <v>0</v>
      </c>
      <c r="AM169" s="1087" t="n">
        <v>0</v>
      </c>
      <c r="AN169" s="1086" t="n">
        <v>0</v>
      </c>
      <c r="AO169" s="1086" t="n">
        <v>0</v>
      </c>
      <c r="AP169" s="1087" t="n">
        <v>0</v>
      </c>
      <c r="AQ169" s="1086" t="n">
        <v>0</v>
      </c>
      <c r="AR169" s="1086" t="n">
        <v>0</v>
      </c>
      <c r="AS169" s="1087" t="n">
        <v>0</v>
      </c>
      <c r="AT169" s="1086" t="n">
        <v>0</v>
      </c>
      <c r="AU169" s="1086" t="n">
        <v>0</v>
      </c>
      <c r="AV169" s="1086" t="n">
        <v>0</v>
      </c>
      <c r="AW169" s="1172" t="n">
        <v>0</v>
      </c>
      <c r="AX169" s="807" t="e">
        <f aca="false">BB169-SUM(AY169:BA169)</f>
        <v>#VALUE!</v>
      </c>
      <c r="AY169" s="807" t="e">
        <f aca="false">IF(AND($E169=MONTH(Summary!$E$24),$D169=YEAR(Summary!$E$24)),Summary!$E$25,1)*IF(G169="",0,INT((H169-MOD(H169,7)-G169)/7)+1-IF(BA169,IF(WEEKDAY(F169)=7,1,0),0))</f>
        <v>#VALUE!</v>
      </c>
      <c r="AZ169" s="807" t="e">
        <f aca="false">IF(AND($E169=MONTH(Summary!$E$24),$D169=YEAR(Summary!$E$24)),Summary!$E$25,1)*IF(G169="",0,INT((H169-MOD(H169-1,7)-G169)/7)+1-IF(BA169,IF(WEEKDAY(F169)=1,1,0),0))</f>
        <v>#VALUE!</v>
      </c>
      <c r="BA169" s="807" t="n">
        <v>1</v>
      </c>
      <c r="BB169" s="807" t="n">
        <f aca="false">IF(AND($E169=MONTH(Summary!$E$24),$D169=YEAR(Summary!$E$24)),Summary!$E$25,1)*IF(G169="",0,H169-G169+1)</f>
        <v>30</v>
      </c>
      <c r="BC169" s="1089" t="n">
        <f aca="false">Summary!$E$19</f>
        <v>0.015</v>
      </c>
      <c r="BD169" s="1090" t="n">
        <v>13474.8</v>
      </c>
      <c r="BE169" s="1091" t="n">
        <v>3546</v>
      </c>
      <c r="BF169" s="1091" t="n">
        <v>4255.2</v>
      </c>
      <c r="BG169" s="842"/>
      <c r="BH169" s="1092" t="n">
        <v>1</v>
      </c>
      <c r="BI169" s="1092" t="n">
        <v>1</v>
      </c>
      <c r="BJ169" s="1092" t="n">
        <v>1</v>
      </c>
      <c r="BK169" s="1092" t="n">
        <v>1</v>
      </c>
      <c r="BL169" s="1093" t="n">
        <v>2694.96</v>
      </c>
      <c r="BM169" s="1091" t="n">
        <v>709.2</v>
      </c>
      <c r="BN169" s="1091" t="n">
        <v>851.04</v>
      </c>
      <c r="BO169" s="842"/>
      <c r="BP169" s="1092" t="n">
        <v>1</v>
      </c>
      <c r="BQ169" s="1094" t="n">
        <v>1</v>
      </c>
      <c r="BR169" s="1094" t="n">
        <v>1</v>
      </c>
      <c r="BS169" s="1095" t="n">
        <v>1</v>
      </c>
      <c r="BT169" s="1093" t="n">
        <f aca="false">SUM(BD169:BF169)</f>
        <v>21276</v>
      </c>
      <c r="BU169" s="1098" t="n">
        <f aca="false">SUM(BD169:BG169)</f>
        <v>21276</v>
      </c>
      <c r="BV169" s="1090" t="n">
        <f aca="false">SUM(BL169:BN169)</f>
        <v>4255.2</v>
      </c>
      <c r="BW169" s="1098" t="n">
        <f aca="false">SUM(BL169:BO169)</f>
        <v>4255.2</v>
      </c>
      <c r="BX169" s="852" t="n">
        <v>12.7145790554415</v>
      </c>
      <c r="BY169" s="1099" t="n">
        <v>0</v>
      </c>
      <c r="BZ169" s="852" t="n">
        <v>0</v>
      </c>
      <c r="CA169" s="852" t="n">
        <v>0</v>
      </c>
      <c r="CB169" s="852" t="n">
        <v>0</v>
      </c>
      <c r="CC169" s="852" t="n">
        <v>0</v>
      </c>
      <c r="CD169" s="852" t="n">
        <v>0</v>
      </c>
      <c r="CE169" s="1100" t="n">
        <v>0</v>
      </c>
      <c r="CF169" s="852" t="n">
        <v>0</v>
      </c>
      <c r="CG169" s="852" t="n">
        <v>0</v>
      </c>
      <c r="CH169" s="852" t="n">
        <v>0</v>
      </c>
      <c r="CI169" s="852" t="n">
        <v>0</v>
      </c>
      <c r="CJ169" s="1101" t="n">
        <v>0</v>
      </c>
      <c r="CK169" s="852" t="n">
        <v>0</v>
      </c>
      <c r="CL169" s="852" t="n">
        <v>0</v>
      </c>
      <c r="CM169" s="852" t="n">
        <v>0</v>
      </c>
      <c r="CN169" s="852" t="n">
        <v>0</v>
      </c>
      <c r="CO169" s="852" t="n">
        <v>0</v>
      </c>
      <c r="CP169" s="852" t="n">
        <v>0</v>
      </c>
      <c r="CQ169" s="1102" t="n">
        <v>0</v>
      </c>
      <c r="CR169" s="1103" t="n">
        <v>0</v>
      </c>
      <c r="CS169" s="1103" t="n">
        <v>0</v>
      </c>
      <c r="CT169" s="1103" t="n">
        <v>0</v>
      </c>
      <c r="CU169" s="1103" t="n">
        <v>0</v>
      </c>
      <c r="CV169" s="1103" t="n">
        <v>0</v>
      </c>
      <c r="CW169" s="1103" t="n">
        <v>0</v>
      </c>
      <c r="CX169" s="1104" t="n">
        <v>0</v>
      </c>
      <c r="CY169" s="1105" t="n">
        <v>7729.37392</v>
      </c>
      <c r="CZ169" s="1099" t="n">
        <v>0</v>
      </c>
      <c r="DA169" s="852" t="n">
        <v>0</v>
      </c>
      <c r="DB169" s="852" t="n">
        <v>0</v>
      </c>
      <c r="DC169" s="852" t="n">
        <v>0</v>
      </c>
      <c r="DD169" s="852" t="n">
        <v>0</v>
      </c>
      <c r="DE169" s="1113" t="n">
        <v>0</v>
      </c>
      <c r="DF169" s="1109" t="n">
        <v>0</v>
      </c>
      <c r="DG169" s="1110" t="n">
        <v>0</v>
      </c>
      <c r="DH169" s="1111" t="n">
        <v>0</v>
      </c>
      <c r="DI169" s="1112" t="n">
        <v>0</v>
      </c>
      <c r="DJ169" s="1112" t="n">
        <v>0</v>
      </c>
      <c r="DK169" s="1112" t="n">
        <v>0</v>
      </c>
      <c r="DL169" s="1113" t="n">
        <v>0</v>
      </c>
      <c r="DM169" s="1114" t="n">
        <v>0</v>
      </c>
      <c r="DN169" s="1114" t="n">
        <v>0</v>
      </c>
      <c r="DO169" s="1114" t="n">
        <v>0</v>
      </c>
      <c r="DP169" s="1114" t="n">
        <v>0</v>
      </c>
      <c r="DQ169" s="1114" t="n">
        <v>0</v>
      </c>
      <c r="DR169" s="1109" t="n">
        <v>0</v>
      </c>
      <c r="DS169" s="852" t="n">
        <v>0</v>
      </c>
      <c r="DT169" s="852" t="n">
        <v>0</v>
      </c>
      <c r="DU169" s="852" t="n">
        <v>0</v>
      </c>
      <c r="DV169" s="852" t="n">
        <v>0</v>
      </c>
      <c r="DW169" s="852" t="n">
        <v>0</v>
      </c>
      <c r="DX169" s="852" t="n">
        <v>0</v>
      </c>
      <c r="DY169" s="852" t="n">
        <v>0</v>
      </c>
      <c r="DZ169" s="852" t="n">
        <v>0</v>
      </c>
      <c r="EA169" s="852" t="n">
        <v>0</v>
      </c>
      <c r="EB169" s="1113" t="n">
        <v>0</v>
      </c>
      <c r="EC169" s="1115" t="n">
        <f aca="false">DS169*BD169</f>
        <v>0</v>
      </c>
      <c r="ED169" s="1115" t="n">
        <f aca="false">DT169*BE169</f>
        <v>0</v>
      </c>
      <c r="EE169" s="1115" t="n">
        <f aca="false">DU169*BF169</f>
        <v>0</v>
      </c>
      <c r="EF169" s="1115" t="n">
        <f aca="false">DV169*BG169</f>
        <v>0</v>
      </c>
      <c r="EG169" s="1115" t="n">
        <f aca="false">DS169*BD169+DT169*BE169+DU169*BF169+DV169*BG169</f>
        <v>0</v>
      </c>
      <c r="EH169" s="1116" t="n">
        <v>0</v>
      </c>
      <c r="EI169" s="1117" t="n">
        <v>0</v>
      </c>
      <c r="EJ169" s="1117" t="n">
        <v>0</v>
      </c>
      <c r="EK169" s="1117" t="n">
        <v>0</v>
      </c>
      <c r="EL169" s="1118" t="n">
        <f aca="false">IF(C169&gt;=Summary!$E$26,MAX(0,SUM(EH169:EK169)),0)</f>
        <v>0</v>
      </c>
      <c r="EM169" s="1115" t="n">
        <f aca="false">IF(C169&gt;=Summary!$E$26,DX169*BL169,0)</f>
        <v>0</v>
      </c>
      <c r="EN169" s="1115" t="n">
        <f aca="false">IF(C169&gt;=Summary!$E$26,DY169*BM169,0)</f>
        <v>0</v>
      </c>
      <c r="EO169" s="1115" t="n">
        <f aca="false">IF(C169&gt;=Summary!$E$26,DZ169*BN169,0)</f>
        <v>0</v>
      </c>
      <c r="EP169" s="1115" t="n">
        <f aca="false">IF(C169&gt;=Summary!$E$26,EA169*BO169,0)</f>
        <v>0</v>
      </c>
      <c r="EQ169" s="1115" t="n">
        <f aca="false">IF(C169&gt;=Summary!$E$26,DX169*BL169+DY169*BM169+DZ169*BN169+EA169*BO169,0)</f>
        <v>0</v>
      </c>
      <c r="ER169" s="1119" t="n">
        <v>0</v>
      </c>
      <c r="ES169" s="1120" t="n">
        <v>0</v>
      </c>
      <c r="ET169" s="1120" t="n">
        <v>0</v>
      </c>
      <c r="EU169" s="1120" t="n">
        <v>0</v>
      </c>
      <c r="EV169" s="1143" t="n">
        <f aca="false">IF(C169&gt;=Summary!$E$26,MAX(0,SUM(ER169:EU169)),0)</f>
        <v>0</v>
      </c>
      <c r="EW169" s="1115"/>
      <c r="EX169" s="1165" t="n">
        <f aca="false">(EQ169-EV169)+IF(EZ169="Yes",(EG169-EL169),0)</f>
        <v>0</v>
      </c>
      <c r="EY169" s="1166" t="str">
        <f aca="false">IF(EX169,EX169/EQ169,"")</f>
        <v/>
      </c>
      <c r="EZ169" s="1122" t="s">
        <v>37</v>
      </c>
      <c r="FA169" s="1096" t="n">
        <f aca="false">FA168</f>
        <v>45</v>
      </c>
      <c r="FB169" s="1167" t="e">
        <f aca="false">IF(EZ169="No",IF((OR(MONTH(C169)=5,MONTH(C169)=6,MONTH(C169)=7,MONTH(C169)=8,MONTH(C169)=9)),$FA169*12*AX169*(1-$BC169),$FA169*10*AX169*(1-$BC169)),0)</f>
        <v>#VALUE!</v>
      </c>
      <c r="FC169" s="1129" t="n">
        <f aca="false">IF(EZ169="No",IF((OR(MONTH(C169)=5,MONTH(C169)=6,MONTH(C169)=7,MONTH(C169)=8,MONTH(C169)=9)),0,$FA169*3*AX169*(1-$BC169)),0)</f>
        <v>0</v>
      </c>
      <c r="FD169" s="1129" t="e">
        <f aca="false">IF(EZ169="No",IF((OR(MONTH(C169)=5,MONTH(C169)=6,MONTH(C169)=7,MONTH(C169)=8,MONTH(C169)=9)),$FA169*12*AY169*(1-$BC169),$FA169*10*AY169*(1-$BC169)),0)</f>
        <v>#VALUE!</v>
      </c>
      <c r="FE169" s="1129" t="n">
        <f aca="false">IF(EZ169="No",IF((OR(MONTH(C169)=5,MONTH(C169)=6,MONTH(C169)=7,MONTH(C169)=8,MONTH(C169)=9)),0,$FA169*3*AY169*(1-$BC169)),0)</f>
        <v>0</v>
      </c>
      <c r="FF169" s="1129" t="e">
        <f aca="false">IF(EZ169="No",IF((OR(MONTH(C169)=5,MONTH(C169)=6,MONTH(C169)=7,MONTH(C169)=8,MONTH(C169)=9)),$FA169*12*(AZ169+BA169)*(1-$BC169),$FA169*10*(AZ169+BA169)*(1-$BC169)),0)</f>
        <v>#VALUE!</v>
      </c>
      <c r="FG169" s="1129" t="n">
        <f aca="false">IF(EZ169="No",IF((OR(MONTH(C169)=5,MONTH(C169)=6,MONTH(C169)=7,MONTH(C169)=8,MONTH(C169)=9)),0,$FA169*3*(AZ169+BA169)*(1-$BC169)),0)</f>
        <v>0</v>
      </c>
      <c r="FH169" s="1170" t="e">
        <f aca="false">IF(EZ169="No",IF((OR(MONTH(C169)=5,MONTH(C169)=6,MONTH(C169)=7,MONTH(C169)=8,MONTH(C169)=9)),Summary!$O$15*12*(AX169+AY169+AZ169+BA169)*(1-$BC169),Summary!$O$15*13*(AX169+AY169+AZ169+BA169)*(1-$BC169)+IF(Summary!$O$16="Yes",(CALC!FA169+Summary!$O$15)*6*(AX169+AY169+AZ169+BA169)*(1-$BC169),0)),0)</f>
        <v>#VALUE!</v>
      </c>
      <c r="FI169" s="1126" t="n">
        <f aca="false">IF(MONTH(C169)=5,FI168*(IF(Summary!$E$70="no",(1+(Summary!$E$71*0.8)),1+HLOOKUP(YEAR(C169)-1,CCFMODEL!$I$127:$AF$128,2)*0.8)),+FI168)</f>
        <v>36.2095483451476</v>
      </c>
      <c r="FJ169" s="1127" t="n">
        <f aca="false">IF(MONTH(C169)=5,FJ168*(IF(Summary!$E$70="no",(1+(Summary!$E$71*0.8)),1+HLOOKUP(YEAR(CALC!C169)-1,CCFMODEL!$I$127:$AF$128,2)*0.8)),FJ168)</f>
        <v>31.6477154827668</v>
      </c>
      <c r="FK169" s="1128" t="e">
        <f aca="false">SUM(FB169:FG169)*FI169+FH169*FJ169</f>
        <v>#VALUE!</v>
      </c>
      <c r="FL169" s="1126" t="n">
        <f aca="false">IF(MONTH(C169)=5,FL168*(IF(Summary!$E$70="no",(1+(Summary!$E$71*0.8)),1+HLOOKUP(YEAR(CALC!C169)-1,CCFMODEL!$I$127:$AF$128,2)*0.8)),+FL168)</f>
        <v>76.1527396580175</v>
      </c>
      <c r="FM169" s="1127" t="n">
        <f aca="false">IF(MONTH(C169)=5,FM168*(IF(Summary!$E$70="no",(1+(Summary!$E$71*0.8)),1+HLOOKUP(YEAR(CALC!C169)-1,CCFMODEL!$I$127:$AF$128,2)*0.8)),+FM168)</f>
        <v>36.3453171803375</v>
      </c>
      <c r="FN169" s="1128" t="e">
        <f aca="false">IF((OR(MONTH(C169)=5,MONTH(C169)=6,MONTH(C169)=7,MONTH(C169)=8,MONTH(C169)=9)),SUM(FB169:FG169)/(1-BC169)*FL169,SUM(FB169:FG169)/(1-BC169)*FM169)</f>
        <v>#VALUE!</v>
      </c>
      <c r="FO169" s="1129" t="e">
        <f aca="false">FK169+FN169</f>
        <v>#VALUE!</v>
      </c>
      <c r="FP169" s="1169" t="e">
        <f aca="false">FB169</f>
        <v>#VALUE!</v>
      </c>
      <c r="FQ169" s="1129" t="n">
        <f aca="false">FC169</f>
        <v>0</v>
      </c>
      <c r="FR169" s="1129" t="e">
        <f aca="false">FD169</f>
        <v>#VALUE!</v>
      </c>
      <c r="FS169" s="1129" t="n">
        <f aca="false">FE169</f>
        <v>0</v>
      </c>
      <c r="FT169" s="1129" t="e">
        <f aca="false">FF169</f>
        <v>#VALUE!</v>
      </c>
      <c r="FU169" s="1129" t="n">
        <f aca="false">FG169</f>
        <v>0</v>
      </c>
      <c r="FV169" s="1170" t="e">
        <f aca="false">FH169</f>
        <v>#VALUE!</v>
      </c>
      <c r="FW169" s="1115" t="n">
        <f aca="false">IF(ER169&gt;0,MIN(FB169-FP169,BL169),0)</f>
        <v>0</v>
      </c>
      <c r="FX169" s="1115" t="n">
        <f aca="false">IF(ES169&gt;0,MIN(FD169-FR169,BM169),0)</f>
        <v>0</v>
      </c>
      <c r="FY169" s="1115" t="n">
        <f aca="false">IF(ET169&gt;0,MIN(FF169-FT169,BN169),0)</f>
        <v>0</v>
      </c>
      <c r="FZ169" s="1143" t="n">
        <f aca="false">IF(EU169&gt;0,MIN(FH169-FV169,BO169),0)</f>
        <v>0</v>
      </c>
      <c r="GA169" s="1132" t="e">
        <f aca="false">(SUM(FP169:FV169)+SUM(GU169:HB169)/(1-Summary!$O$25))*CY169/1000</f>
        <v>#VALUE!</v>
      </c>
      <c r="GB169" s="1133" t="n">
        <f aca="false">IF($C169&lt;Summary!$M$81,+Summary!$O$81,VLOOKUP(C169,GasTable,19))</f>
        <v>3.49826492380385</v>
      </c>
      <c r="GC169" s="1134" t="n">
        <f aca="false">IF(H169&lt;=Summary!$N$84,MIN(GA169,Summary!$O$75*(H169-G169+1)),0)</f>
        <v>0</v>
      </c>
      <c r="GD169" s="1135" t="n">
        <f aca="false">IF(C169&lt;Summary!$N$84,IF(Summary!$O$75*(H169-G169+1)*0.8&gt;GC169,1,0),0)</f>
        <v>0</v>
      </c>
      <c r="GE169" s="1136" t="n">
        <v>0</v>
      </c>
      <c r="GF169" s="1134" t="e">
        <f aca="false">ABS(MIN(0,GC169-$GA169))</f>
        <v>#VALUE!</v>
      </c>
      <c r="GG169" s="1135" t="e">
        <f aca="false">GF169*(IF(Summary!$O$74=1,VLOOKUP($C169,GasTable,16)+Summary!$O$92+Summary!$O$93,VLOOKUP($C169,GasTable,19)+Summary!$O$92+Summary!$O$93))</f>
        <v>#VALUE!</v>
      </c>
      <c r="GH169" s="1137" t="n">
        <v>5247.39738570577</v>
      </c>
      <c r="GI169" s="1138" t="n">
        <v>0</v>
      </c>
      <c r="GJ169" s="1139" t="e">
        <f aca="false">+GB169*GC169+GE169+GG169+GH169-GI169</f>
        <v>#VALUE!</v>
      </c>
      <c r="GK169" s="1115" t="e">
        <f aca="false">SUM(FP169:FV169,GU169:GX169,GY169:HB169)</f>
        <v>#VALUE!</v>
      </c>
      <c r="GL169" s="1140" t="n">
        <v>0.51786805264</v>
      </c>
      <c r="GM169" s="1141" t="e">
        <f aca="false">IF(GK169&gt;GC169/(CY169/1000),GC169/(CY169/1000),+GK169)*GL169</f>
        <v>#VALUE!</v>
      </c>
      <c r="GN169" s="1115" t="n">
        <f aca="false">IF(SUM(GU169:HB169)=0,0,IF(Summary!$O$16="Yes",SUM(GX169:HB169),IF(Summary!$O$17="Yes",SUM(GY169:HB169),SUM(GU169:HB169))))</f>
        <v>9239.103</v>
      </c>
      <c r="GO169" s="1142" t="n">
        <v>3.39263445479869</v>
      </c>
      <c r="GP169" s="1143" t="n">
        <f aca="false">GN169*GO169</f>
        <v>31344.8991692339</v>
      </c>
      <c r="GQ169" s="1115"/>
      <c r="GR169" s="1115"/>
      <c r="GS169" s="1115"/>
      <c r="GT169" s="1115"/>
      <c r="GU169" s="1150" t="n">
        <v>3250.7955</v>
      </c>
      <c r="GV169" s="1115" t="n">
        <v>855.4725</v>
      </c>
      <c r="GW169" s="1115" t="n">
        <v>1026.567</v>
      </c>
      <c r="GX169" s="1115"/>
      <c r="GY169" s="1151" t="n">
        <v>2600.6364</v>
      </c>
      <c r="GZ169" s="1115" t="n">
        <v>684.378</v>
      </c>
      <c r="HA169" s="1115" t="n">
        <v>821.2536</v>
      </c>
      <c r="HB169" s="1141"/>
      <c r="HC169" s="1115" t="n">
        <v>9239.103</v>
      </c>
      <c r="HD169" s="1115"/>
      <c r="HE169" s="1115" t="n">
        <v>21557.907</v>
      </c>
      <c r="HF169" s="1115" t="n">
        <v>539940.770995533</v>
      </c>
      <c r="HG169" s="1115"/>
      <c r="HH169" s="1142" t="n">
        <v>60.6581697322607</v>
      </c>
      <c r="HI169" s="1115" t="n">
        <v>1307663.18187829</v>
      </c>
      <c r="HJ169" s="1150" t="e">
        <f aca="false">MAX(FB169-FP169-FW169,0)</f>
        <v>#VALUE!</v>
      </c>
      <c r="HK169" s="1115" t="e">
        <f aca="false">MAX(FD169-FR169-FX169,0)</f>
        <v>#VALUE!</v>
      </c>
      <c r="HL169" s="1115" t="e">
        <f aca="false">MAX(FF169-FT169-FY169,0)</f>
        <v>#VALUE!</v>
      </c>
      <c r="HM169" s="1141" t="e">
        <f aca="false">MAX(FH169-FV169-FZ169,0)</f>
        <v>#VALUE!</v>
      </c>
      <c r="HN169" s="1115" t="e">
        <f aca="false">SUM(HJ169:HM169)</f>
        <v>#VALUE!</v>
      </c>
      <c r="HO169" s="1142" t="n">
        <f aca="false">IF(ISERROR(+HP169/HN169),0,+HP169/HN169)</f>
        <v>0</v>
      </c>
      <c r="HP169" s="1143" t="e">
        <f aca="false">(HJ169*CE169+HK169*CF169+HL169*CG169+HM169*CH169)</f>
        <v>#VALUE!</v>
      </c>
      <c r="HQ169" s="1142"/>
      <c r="HR169" s="1150"/>
      <c r="HS169" s="1110"/>
      <c r="HT169" s="1141"/>
      <c r="HU169" s="1151"/>
      <c r="HV169" s="1142"/>
      <c r="HW169" s="1115"/>
      <c r="HX169" s="1149"/>
      <c r="HY169" s="1143"/>
      <c r="HZ169" s="1150"/>
      <c r="IA169" s="1142"/>
      <c r="IB169" s="1141"/>
      <c r="IC169" s="1151"/>
      <c r="ID169" s="1142"/>
      <c r="IE169" s="1141"/>
      <c r="IF169" s="1115"/>
      <c r="IG169" s="1142"/>
      <c r="IH169" s="1141"/>
      <c r="II169" s="1115"/>
      <c r="IJ169" s="1142"/>
      <c r="IK169" s="1115"/>
      <c r="IL169" s="1152"/>
      <c r="IM169" s="1192"/>
      <c r="IN169" s="1151"/>
      <c r="IO169" s="1151"/>
      <c r="IP169" s="1151"/>
      <c r="IQ169" s="1151"/>
      <c r="IR169" s="844"/>
    </row>
    <row r="170" customFormat="false" ht="13.5" hidden="false" customHeight="false" outlineLevel="0" collapsed="false">
      <c r="A170" s="0" t="str">
        <f aca="false">+D170&amp;"Q"&amp;ROUNDUP(E170/3,0)</f>
        <v>2012Q4</v>
      </c>
      <c r="B170" s="0" t="n">
        <f aca="false">YEAR(C170)</f>
        <v>2012</v>
      </c>
      <c r="C170" s="1153" t="n">
        <f aca="false">EOMONTH(C169,0)+1</f>
        <v>41183</v>
      </c>
      <c r="D170" s="841" t="n">
        <f aca="false">+YEAR(C170)</f>
        <v>2012</v>
      </c>
      <c r="E170" s="807" t="n">
        <f aca="false">MONTH(C170)</f>
        <v>10</v>
      </c>
      <c r="F170" s="1154" t="e">
        <f aca="false">IF(G170="","",Holiday(D170,E170))</f>
        <v>#VALUE!</v>
      </c>
      <c r="G170" s="1155" t="n">
        <v>41183</v>
      </c>
      <c r="H170" s="1156" t="n">
        <v>41213</v>
      </c>
      <c r="I170" s="1157" t="n">
        <f aca="false">I169</f>
        <v>0.0715</v>
      </c>
      <c r="J170" s="1158" t="n">
        <f aca="false">(1+I170/2)^(-2*(DATE(D171,E171,20)-$H$7)/365.25)</f>
        <v>0.403085474118589</v>
      </c>
      <c r="K170" s="1159"/>
      <c r="L170" s="1158"/>
      <c r="M170" s="1082" t="n">
        <v>0</v>
      </c>
      <c r="N170" s="1110" t="n">
        <f aca="false">M170</f>
        <v>0</v>
      </c>
      <c r="O170" s="1174" t="n">
        <f aca="false">N170</f>
        <v>0</v>
      </c>
      <c r="P170" s="1175" t="n">
        <f aca="false">M170</f>
        <v>0</v>
      </c>
      <c r="Q170" s="1110" t="n">
        <f aca="false">P170</f>
        <v>0</v>
      </c>
      <c r="R170" s="1174" t="n">
        <f aca="false">Q170</f>
        <v>0</v>
      </c>
      <c r="S170" s="1110" t="n">
        <f aca="false">R170</f>
        <v>0</v>
      </c>
      <c r="T170" s="1110" t="n">
        <f aca="false">S170</f>
        <v>0</v>
      </c>
      <c r="U170" s="1110" t="n">
        <f aca="false">T170</f>
        <v>0</v>
      </c>
      <c r="V170" s="1175" t="n">
        <f aca="false">U170</f>
        <v>0</v>
      </c>
      <c r="W170" s="1110" t="n">
        <f aca="false">V170</f>
        <v>0</v>
      </c>
      <c r="X170" s="1176" t="n">
        <f aca="false">W170</f>
        <v>0</v>
      </c>
      <c r="Y170" s="1086" t="n">
        <v>0</v>
      </c>
      <c r="Z170" s="1086" t="n">
        <v>0</v>
      </c>
      <c r="AA170" s="1087" t="n">
        <v>0</v>
      </c>
      <c r="AB170" s="1086" t="n">
        <v>0</v>
      </c>
      <c r="AC170" s="1086" t="n">
        <v>0</v>
      </c>
      <c r="AD170" s="1087" t="n">
        <v>0</v>
      </c>
      <c r="AE170" s="1086" t="n">
        <v>0</v>
      </c>
      <c r="AF170" s="1086" t="n">
        <v>0</v>
      </c>
      <c r="AG170" s="1087" t="n">
        <v>0</v>
      </c>
      <c r="AH170" s="1086" t="n">
        <v>0</v>
      </c>
      <c r="AI170" s="1086" t="n">
        <v>0</v>
      </c>
      <c r="AJ170" s="1087" t="n">
        <v>0</v>
      </c>
      <c r="AK170" s="1086" t="n">
        <v>0</v>
      </c>
      <c r="AL170" s="1086" t="n">
        <v>0</v>
      </c>
      <c r="AM170" s="1087" t="n">
        <v>0</v>
      </c>
      <c r="AN170" s="1086" t="n">
        <v>0</v>
      </c>
      <c r="AO170" s="1086" t="n">
        <v>0</v>
      </c>
      <c r="AP170" s="1087" t="n">
        <v>0</v>
      </c>
      <c r="AQ170" s="1086" t="n">
        <v>0</v>
      </c>
      <c r="AR170" s="1086" t="n">
        <v>0</v>
      </c>
      <c r="AS170" s="1087" t="n">
        <v>0</v>
      </c>
      <c r="AT170" s="1086" t="n">
        <v>0</v>
      </c>
      <c r="AU170" s="1086" t="n">
        <v>0</v>
      </c>
      <c r="AV170" s="1086" t="n">
        <v>0</v>
      </c>
      <c r="AW170" s="1172" t="n">
        <v>0</v>
      </c>
      <c r="AX170" s="807" t="n">
        <f aca="false">BB170-SUM(AY170:BA170)</f>
        <v>23</v>
      </c>
      <c r="AY170" s="807" t="n">
        <f aca="false">IF(AND($E170=MONTH(Summary!$E$24),$D170=YEAR(Summary!$E$24)),Summary!$E$25,1)*IF(G170="",0,INT((H170-MOD(H170,7)-G170)/7)+1-IF(BA170,IF(WEEKDAY(F170)=7,1,0),0))</f>
        <v>4</v>
      </c>
      <c r="AZ170" s="807" t="n">
        <f aca="false">IF(AND($E170=MONTH(Summary!$E$24),$D170=YEAR(Summary!$E$24)),Summary!$E$25,1)*IF(G170="",0,INT((H170-MOD(H170-1,7)-G170)/7)+1-IF(BA170,IF(WEEKDAY(F170)=1,1,0),0))</f>
        <v>4</v>
      </c>
      <c r="BA170" s="807" t="n">
        <v>0</v>
      </c>
      <c r="BB170" s="807" t="n">
        <f aca="false">IF(AND($E170=MONTH(Summary!$E$24),$D170=YEAR(Summary!$E$24)),Summary!$E$25,1)*IF(G170="",0,H170-G170+1)</f>
        <v>31</v>
      </c>
      <c r="BC170" s="1089" t="n">
        <f aca="false">Summary!$E$19</f>
        <v>0.015</v>
      </c>
      <c r="BD170" s="1090" t="n">
        <v>16311.6</v>
      </c>
      <c r="BE170" s="1091" t="n">
        <v>2836.8</v>
      </c>
      <c r="BF170" s="1091" t="n">
        <v>2836.8</v>
      </c>
      <c r="BG170" s="842"/>
      <c r="BH170" s="1092" t="n">
        <v>1</v>
      </c>
      <c r="BI170" s="1092" t="n">
        <v>1</v>
      </c>
      <c r="BJ170" s="1092" t="n">
        <v>1</v>
      </c>
      <c r="BK170" s="1092" t="n">
        <v>1</v>
      </c>
      <c r="BL170" s="1093" t="n">
        <v>3262.32</v>
      </c>
      <c r="BM170" s="1091" t="n">
        <v>567.36</v>
      </c>
      <c r="BN170" s="1091" t="n">
        <v>567.36</v>
      </c>
      <c r="BO170" s="842"/>
      <c r="BP170" s="1092" t="n">
        <v>1</v>
      </c>
      <c r="BQ170" s="1094" t="n">
        <v>1</v>
      </c>
      <c r="BR170" s="1094" t="n">
        <v>1</v>
      </c>
      <c r="BS170" s="1095" t="n">
        <v>1</v>
      </c>
      <c r="BT170" s="1093" t="n">
        <f aca="false">SUM(BD170:BF170)</f>
        <v>21985.2</v>
      </c>
      <c r="BU170" s="1098" t="n">
        <f aca="false">SUM(BD170:BG170)</f>
        <v>21985.2</v>
      </c>
      <c r="BV170" s="1090" t="n">
        <f aca="false">SUM(BL170:BN170)</f>
        <v>4397.04</v>
      </c>
      <c r="BW170" s="1098" t="n">
        <f aca="false">SUM(BL170:BO170)</f>
        <v>4397.04</v>
      </c>
      <c r="BX170" s="852" t="n">
        <v>12.7967145790554</v>
      </c>
      <c r="BY170" s="1099" t="n">
        <v>0</v>
      </c>
      <c r="BZ170" s="852" t="n">
        <v>0</v>
      </c>
      <c r="CA170" s="852" t="n">
        <v>0</v>
      </c>
      <c r="CB170" s="852" t="n">
        <v>0</v>
      </c>
      <c r="CC170" s="852" t="n">
        <v>0</v>
      </c>
      <c r="CD170" s="852" t="n">
        <v>0</v>
      </c>
      <c r="CE170" s="1100" t="n">
        <v>0</v>
      </c>
      <c r="CF170" s="852" t="n">
        <v>0</v>
      </c>
      <c r="CG170" s="852" t="n">
        <v>0</v>
      </c>
      <c r="CH170" s="852" t="n">
        <v>0</v>
      </c>
      <c r="CI170" s="852" t="n">
        <v>0</v>
      </c>
      <c r="CJ170" s="1101" t="n">
        <v>0</v>
      </c>
      <c r="CK170" s="852" t="n">
        <v>0</v>
      </c>
      <c r="CL170" s="852" t="n">
        <v>0</v>
      </c>
      <c r="CM170" s="852" t="n">
        <v>0</v>
      </c>
      <c r="CN170" s="852" t="n">
        <v>0</v>
      </c>
      <c r="CO170" s="852" t="n">
        <v>0</v>
      </c>
      <c r="CP170" s="852" t="n">
        <v>0</v>
      </c>
      <c r="CQ170" s="1102" t="n">
        <v>0</v>
      </c>
      <c r="CR170" s="1103" t="n">
        <v>0</v>
      </c>
      <c r="CS170" s="1103" t="n">
        <v>0</v>
      </c>
      <c r="CT170" s="1103" t="n">
        <v>0</v>
      </c>
      <c r="CU170" s="1103" t="n">
        <v>0</v>
      </c>
      <c r="CV170" s="1103" t="n">
        <v>0</v>
      </c>
      <c r="CW170" s="1103" t="n">
        <v>0</v>
      </c>
      <c r="CX170" s="1104" t="n">
        <v>0</v>
      </c>
      <c r="CY170" s="1105" t="n">
        <v>7730.6768</v>
      </c>
      <c r="CZ170" s="1099" t="n">
        <v>0</v>
      </c>
      <c r="DA170" s="852" t="n">
        <v>0</v>
      </c>
      <c r="DB170" s="852" t="n">
        <v>0</v>
      </c>
      <c r="DC170" s="852" t="n">
        <v>0</v>
      </c>
      <c r="DD170" s="852" t="n">
        <v>0</v>
      </c>
      <c r="DE170" s="1113" t="n">
        <v>0</v>
      </c>
      <c r="DF170" s="1109" t="n">
        <v>0</v>
      </c>
      <c r="DG170" s="1110" t="n">
        <v>0</v>
      </c>
      <c r="DH170" s="1111" t="n">
        <v>0</v>
      </c>
      <c r="DI170" s="1112" t="n">
        <v>0</v>
      </c>
      <c r="DJ170" s="1112" t="n">
        <v>0</v>
      </c>
      <c r="DK170" s="1112" t="n">
        <v>0</v>
      </c>
      <c r="DL170" s="1113" t="n">
        <v>0</v>
      </c>
      <c r="DM170" s="1114" t="n">
        <v>0</v>
      </c>
      <c r="DN170" s="1114" t="n">
        <v>0</v>
      </c>
      <c r="DO170" s="1114" t="n">
        <v>0</v>
      </c>
      <c r="DP170" s="1114" t="n">
        <v>0</v>
      </c>
      <c r="DQ170" s="1114" t="n">
        <v>0</v>
      </c>
      <c r="DR170" s="1109" t="n">
        <v>0</v>
      </c>
      <c r="DS170" s="852" t="n">
        <v>0</v>
      </c>
      <c r="DT170" s="852" t="n">
        <v>0</v>
      </c>
      <c r="DU170" s="852" t="n">
        <v>0</v>
      </c>
      <c r="DV170" s="852" t="n">
        <v>0</v>
      </c>
      <c r="DW170" s="852" t="n">
        <v>0</v>
      </c>
      <c r="DX170" s="852" t="n">
        <v>0</v>
      </c>
      <c r="DY170" s="852" t="n">
        <v>0</v>
      </c>
      <c r="DZ170" s="852" t="n">
        <v>0</v>
      </c>
      <c r="EA170" s="852" t="n">
        <v>0</v>
      </c>
      <c r="EB170" s="1113" t="n">
        <v>0</v>
      </c>
      <c r="EC170" s="1115" t="n">
        <f aca="false">DS170*BD170</f>
        <v>0</v>
      </c>
      <c r="ED170" s="1115" t="n">
        <f aca="false">DT170*BE170</f>
        <v>0</v>
      </c>
      <c r="EE170" s="1115" t="n">
        <f aca="false">DU170*BF170</f>
        <v>0</v>
      </c>
      <c r="EF170" s="1115" t="n">
        <f aca="false">DV170*BG170</f>
        <v>0</v>
      </c>
      <c r="EG170" s="1115" t="n">
        <f aca="false">DS170*BD170+DT170*BE170+DU170*BF170+DV170*BG170</f>
        <v>0</v>
      </c>
      <c r="EH170" s="1116" t="n">
        <v>0</v>
      </c>
      <c r="EI170" s="1117" t="n">
        <v>0</v>
      </c>
      <c r="EJ170" s="1117" t="n">
        <v>0</v>
      </c>
      <c r="EK170" s="1117" t="n">
        <v>0</v>
      </c>
      <c r="EL170" s="1118" t="n">
        <f aca="false">IF(C170&gt;=Summary!$E$26,MAX(0,SUM(EH170:EK170)),0)</f>
        <v>0</v>
      </c>
      <c r="EM170" s="1115" t="n">
        <f aca="false">IF(C170&gt;=Summary!$E$26,DX170*BL170,0)</f>
        <v>0</v>
      </c>
      <c r="EN170" s="1115" t="n">
        <f aca="false">IF(C170&gt;=Summary!$E$26,DY170*BM170,0)</f>
        <v>0</v>
      </c>
      <c r="EO170" s="1115" t="n">
        <f aca="false">IF(C170&gt;=Summary!$E$26,DZ170*BN170,0)</f>
        <v>0</v>
      </c>
      <c r="EP170" s="1115" t="n">
        <f aca="false">IF(C170&gt;=Summary!$E$26,EA170*BO170,0)</f>
        <v>0</v>
      </c>
      <c r="EQ170" s="1115" t="n">
        <f aca="false">IF(C170&gt;=Summary!$E$26,DX170*BL170+DY170*BM170+DZ170*BN170+EA170*BO170,0)</f>
        <v>0</v>
      </c>
      <c r="ER170" s="1119" t="n">
        <v>0</v>
      </c>
      <c r="ES170" s="1120" t="n">
        <v>0</v>
      </c>
      <c r="ET170" s="1120" t="n">
        <v>0</v>
      </c>
      <c r="EU170" s="1120" t="n">
        <v>0</v>
      </c>
      <c r="EV170" s="1143" t="n">
        <f aca="false">IF(C170&gt;=Summary!$E$26,MAX(0,SUM(ER170:EU170)),0)</f>
        <v>0</v>
      </c>
      <c r="EW170" s="1115"/>
      <c r="EX170" s="1165" t="n">
        <f aca="false">(EQ170-EV170)+IF(EZ170="Yes",(EG170-EL170),0)</f>
        <v>0</v>
      </c>
      <c r="EY170" s="1166" t="str">
        <f aca="false">IF(EX170,EX170/EQ170,"")</f>
        <v/>
      </c>
      <c r="EZ170" s="1122" t="s">
        <v>37</v>
      </c>
      <c r="FA170" s="1096" t="n">
        <f aca="false">FA169</f>
        <v>45</v>
      </c>
      <c r="FB170" s="1167" t="n">
        <f aca="false">IF(EZ170="No",IF((OR(MONTH(C170)=5,MONTH(C170)=6,MONTH(C170)=7,MONTH(C170)=8,MONTH(C170)=9)),$FA170*12*AX170*(1-$BC170),$FA170*10*AX170*(1-$BC170)),0)</f>
        <v>10194.75</v>
      </c>
      <c r="FC170" s="1129" t="n">
        <f aca="false">IF(EZ170="No",IF((OR(MONTH(C170)=5,MONTH(C170)=6,MONTH(C170)=7,MONTH(C170)=8,MONTH(C170)=9)),0,$FA170*3*AX170*(1-$BC170)),0)</f>
        <v>3058.425</v>
      </c>
      <c r="FD170" s="1129" t="n">
        <f aca="false">IF(EZ170="No",IF((OR(MONTH(C170)=5,MONTH(C170)=6,MONTH(C170)=7,MONTH(C170)=8,MONTH(C170)=9)),$FA170*12*AY170*(1-$BC170),$FA170*10*AY170*(1-$BC170)),0)</f>
        <v>1773</v>
      </c>
      <c r="FE170" s="1129" t="n">
        <f aca="false">IF(EZ170="No",IF((OR(MONTH(C170)=5,MONTH(C170)=6,MONTH(C170)=7,MONTH(C170)=8,MONTH(C170)=9)),0,$FA170*3*AY170*(1-$BC170)),0)</f>
        <v>531.9</v>
      </c>
      <c r="FF170" s="1129" t="n">
        <f aca="false">IF(EZ170="No",IF((OR(MONTH(C170)=5,MONTH(C170)=6,MONTH(C170)=7,MONTH(C170)=8,MONTH(C170)=9)),$FA170*12*(AZ170+BA170)*(1-$BC170),$FA170*10*(AZ170+BA170)*(1-$BC170)),0)</f>
        <v>1773</v>
      </c>
      <c r="FG170" s="1129" t="n">
        <f aca="false">IF(EZ170="No",IF((OR(MONTH(C170)=5,MONTH(C170)=6,MONTH(C170)=7,MONTH(C170)=8,MONTH(C170)=9)),0,$FA170*3*(AZ170+BA170)*(1-$BC170)),0)</f>
        <v>531.9</v>
      </c>
      <c r="FH170" s="1170" t="n">
        <f aca="false">IF(EZ170="No",IF((OR(MONTH(C170)=5,MONTH(C170)=6,MONTH(C170)=7,MONTH(C170)=8,MONTH(C170)=9)),Summary!$O$15*12*(AX170+AY170+AZ170+BA170)*(1-$BC170),Summary!$O$15*13*(AX170+AY170+AZ170+BA170)*(1-$BC170)+IF(Summary!$O$16="Yes",(CALC!FA170+Summary!$O$15)*6*(AX170+AY170+AZ170+BA170)*(1-$BC170),0)),0)</f>
        <v>0</v>
      </c>
      <c r="FI170" s="1126" t="n">
        <f aca="false">IF(MONTH(C170)=5,FI169*(IF(Summary!$E$70="no",(1+(Summary!$E$71*0.8)),1+HLOOKUP(YEAR(C170)-1,CCFMODEL!$I$127:$AF$128,2)*0.8)),+FI169)</f>
        <v>36.2095483451476</v>
      </c>
      <c r="FJ170" s="1127" t="n">
        <f aca="false">IF(MONTH(C170)=5,FJ169*(IF(Summary!$E$70="no",(1+(Summary!$E$71*0.8)),1+HLOOKUP(YEAR(CALC!C170)-1,CCFMODEL!$I$127:$AF$128,2)*0.8)),FJ169)</f>
        <v>31.6477154827668</v>
      </c>
      <c r="FK170" s="1128" t="n">
        <f aca="false">SUM(FB170:FG170)*FI170+FH170*FJ170</f>
        <v>646810.256850662</v>
      </c>
      <c r="FL170" s="1126" t="n">
        <f aca="false">IF(MONTH(C170)=5,FL169*(IF(Summary!$E$70="no",(1+(Summary!$E$71*0.8)),1+HLOOKUP(YEAR(CALC!C170)-1,CCFMODEL!$I$127:$AF$128,2)*0.8)),+FL169)</f>
        <v>76.1527396580175</v>
      </c>
      <c r="FM170" s="1127" t="n">
        <f aca="false">IF(MONTH(C170)=5,FM169*(IF(Summary!$E$70="no",(1+(Summary!$E$71*0.8)),1+HLOOKUP(YEAR(CALC!C170)-1,CCFMODEL!$I$127:$AF$128,2)*0.8)),+FM169)</f>
        <v>36.3453171803375</v>
      </c>
      <c r="FN170" s="1128" t="n">
        <f aca="false">IF((OR(MONTH(C170)=5,MONTH(C170)=6,MONTH(C170)=7,MONTH(C170)=8,MONTH(C170)=9)),SUM(FB170:FG170)/(1-BC170)*FL170,SUM(FB170:FG170)/(1-BC170)*FM170)</f>
        <v>659122.32706542</v>
      </c>
      <c r="FO170" s="1129" t="n">
        <f aca="false">FK170+FN170</f>
        <v>1305932.58391608</v>
      </c>
      <c r="FP170" s="1169" t="n">
        <f aca="false">FB170</f>
        <v>10194.75</v>
      </c>
      <c r="FQ170" s="1129" t="n">
        <f aca="false">FC170</f>
        <v>3058.425</v>
      </c>
      <c r="FR170" s="1129" t="n">
        <f aca="false">FD170</f>
        <v>1773</v>
      </c>
      <c r="FS170" s="1129" t="n">
        <f aca="false">FE170</f>
        <v>531.9</v>
      </c>
      <c r="FT170" s="1129" t="n">
        <f aca="false">FF170</f>
        <v>1773</v>
      </c>
      <c r="FU170" s="1129" t="n">
        <f aca="false">FG170</f>
        <v>531.9</v>
      </c>
      <c r="FV170" s="1170" t="n">
        <f aca="false">FH170</f>
        <v>0</v>
      </c>
      <c r="FW170" s="1115" t="n">
        <f aca="false">IF(ER170&gt;0,MIN(FB170-FP170,BL170),0)</f>
        <v>0</v>
      </c>
      <c r="FX170" s="1115" t="n">
        <f aca="false">IF(ES170&gt;0,MIN(FD170-FR170,BM170),0)</f>
        <v>0</v>
      </c>
      <c r="FY170" s="1115" t="n">
        <f aca="false">IF(ET170&gt;0,MIN(FF170-FT170,BN170),0)</f>
        <v>0</v>
      </c>
      <c r="FZ170" s="1143" t="n">
        <f aca="false">IF(EU170&gt;0,MIN(FH170-FV170,BO170),0)</f>
        <v>0</v>
      </c>
      <c r="GA170" s="1132" t="n">
        <f aca="false">(SUM(FP170:FV170)+SUM(GU170:HB170)/(1-Summary!$O$25))*CY170/1000</f>
        <v>235820.159871912</v>
      </c>
      <c r="GB170" s="1133" t="n">
        <f aca="false">IF($C170&lt;Summary!$M$81,+Summary!$O$81,VLOOKUP(C170,GasTable,19))</f>
        <v>3.65372577683827</v>
      </c>
      <c r="GC170" s="1134" t="n">
        <f aca="false">IF(H170&lt;=Summary!$N$84,MIN(GA170,Summary!$O$75*(H170-G170+1)),0)</f>
        <v>0</v>
      </c>
      <c r="GD170" s="1135" t="n">
        <f aca="false">IF(C170&lt;Summary!$N$84,IF(Summary!$O$75*(H170-G170+1)*0.8&gt;GC170,1,0),0)</f>
        <v>0</v>
      </c>
      <c r="GE170" s="1136" t="n">
        <v>0</v>
      </c>
      <c r="GF170" s="1134" t="n">
        <f aca="false">ABS(MIN(0,GC170-$GA170))</f>
        <v>235820.159871912</v>
      </c>
      <c r="GG170" s="1135" t="n">
        <f aca="false">GF170*(IF(Summary!$O$74=1,VLOOKUP($C170,GasTable,16)+Summary!$O$92+Summary!$O$93,VLOOKUP($C170,GasTable,19)+Summary!$O$92+Summary!$O$93))</f>
        <v>873908.427151454</v>
      </c>
      <c r="GH170" s="1137" t="n">
        <v>5663.27495409932</v>
      </c>
      <c r="GI170" s="1138" t="n">
        <v>0</v>
      </c>
      <c r="GJ170" s="1139" t="n">
        <f aca="false">+GB170*GC170+GE170+GG170+GH170-GI170</f>
        <v>879571.702105553</v>
      </c>
      <c r="GK170" s="1115" t="n">
        <f aca="false">SUM(FP170:FV170,GU170:GX170,GY170:HB170)</f>
        <v>30062.01285</v>
      </c>
      <c r="GL170" s="1140" t="n">
        <v>0.5179553456</v>
      </c>
      <c r="GM170" s="1141" t="n">
        <f aca="false">IF(GK170&gt;GC170/(CY170/1000),GC170/(CY170/1000),+GK170)*GL170</f>
        <v>0</v>
      </c>
      <c r="GN170" s="1115" t="n">
        <f aca="false">IF(SUM(GU170:HB170)=0,0,IF(Summary!$O$16="Yes",SUM(GX170:HB170),IF(Summary!$O$17="Yes",SUM(GY170:HB170),SUM(GU170:HB170))))</f>
        <v>12199.03785</v>
      </c>
      <c r="GO170" s="1142" t="n">
        <v>3.39263445479869</v>
      </c>
      <c r="GP170" s="1143" t="n">
        <f aca="false">GN170*GO170</f>
        <v>41386.8761253033</v>
      </c>
      <c r="GQ170" s="1115"/>
      <c r="GR170" s="1115"/>
      <c r="GS170" s="1115"/>
      <c r="GT170" s="1115"/>
      <c r="GU170" s="1150" t="n">
        <v>5902.76025</v>
      </c>
      <c r="GV170" s="1115" t="n">
        <v>1026.567</v>
      </c>
      <c r="GW170" s="1115" t="n">
        <v>1026.567</v>
      </c>
      <c r="GX170" s="1115"/>
      <c r="GY170" s="1151" t="n">
        <v>3148.1388</v>
      </c>
      <c r="GZ170" s="1115" t="n">
        <v>547.5024</v>
      </c>
      <c r="HA170" s="1115" t="n">
        <v>547.5024</v>
      </c>
      <c r="HB170" s="1141"/>
      <c r="HC170" s="1115" t="n">
        <v>12199.03785</v>
      </c>
      <c r="HD170" s="1115"/>
      <c r="HE170" s="1115" t="n">
        <v>20950.521525</v>
      </c>
      <c r="HF170" s="1115" t="n">
        <v>621194.007012486</v>
      </c>
      <c r="HG170" s="1115"/>
      <c r="HH170" s="1142" t="n">
        <v>50.1161589167319</v>
      </c>
      <c r="HI170" s="1115" t="n">
        <v>1049959.66613531</v>
      </c>
      <c r="HJ170" s="1150" t="n">
        <f aca="false">MAX(FB170-FP170-FW170,0)</f>
        <v>0</v>
      </c>
      <c r="HK170" s="1115" t="n">
        <f aca="false">MAX(FD170-FR170-FX170,0)</f>
        <v>0</v>
      </c>
      <c r="HL170" s="1115" t="n">
        <f aca="false">MAX(FF170-FT170-FY170,0)</f>
        <v>0</v>
      </c>
      <c r="HM170" s="1141" t="n">
        <f aca="false">MAX(FH170-FV170-FZ170,0)</f>
        <v>0</v>
      </c>
      <c r="HN170" s="1115" t="n">
        <f aca="false">SUM(HJ170:HM170)</f>
        <v>0</v>
      </c>
      <c r="HO170" s="1142" t="n">
        <f aca="false">IF(ISERROR(+HP170/HN170),0,+HP170/HN170)</f>
        <v>0</v>
      </c>
      <c r="HP170" s="1143" t="n">
        <f aca="false">(HJ170*CE170+HK170*CF170+HL170*CG170+HM170*CH170)</f>
        <v>0</v>
      </c>
      <c r="HQ170" s="1142"/>
      <c r="HR170" s="1150"/>
      <c r="HS170" s="1110"/>
      <c r="HT170" s="1141"/>
      <c r="HU170" s="1151"/>
      <c r="HV170" s="1142"/>
      <c r="HW170" s="1115"/>
      <c r="HX170" s="1149"/>
      <c r="HY170" s="1143"/>
      <c r="HZ170" s="1150"/>
      <c r="IA170" s="1142"/>
      <c r="IB170" s="1141"/>
      <c r="IC170" s="1151"/>
      <c r="ID170" s="1142"/>
      <c r="IE170" s="1141"/>
      <c r="IF170" s="1115"/>
      <c r="IG170" s="1142"/>
      <c r="IH170" s="1141"/>
      <c r="II170" s="1115"/>
      <c r="IJ170" s="1142"/>
      <c r="IK170" s="1115"/>
      <c r="IL170" s="1152"/>
      <c r="IM170" s="1192"/>
      <c r="IN170" s="1151"/>
      <c r="IO170" s="1151"/>
      <c r="IP170" s="1151"/>
      <c r="IQ170" s="1151"/>
      <c r="IR170" s="844"/>
    </row>
    <row r="171" customFormat="false" ht="13.5" hidden="false" customHeight="false" outlineLevel="0" collapsed="false">
      <c r="A171" s="0" t="str">
        <f aca="false">+D171&amp;"Q"&amp;ROUNDUP(E171/3,0)</f>
        <v>2012Q4</v>
      </c>
      <c r="B171" s="0" t="n">
        <f aca="false">YEAR(C171)</f>
        <v>2012</v>
      </c>
      <c r="C171" s="1153" t="n">
        <f aca="false">EOMONTH(C170,0)+1</f>
        <v>41214</v>
      </c>
      <c r="D171" s="841" t="n">
        <f aca="false">+YEAR(C171)</f>
        <v>2012</v>
      </c>
      <c r="E171" s="807" t="n">
        <f aca="false">MONTH(C171)</f>
        <v>11</v>
      </c>
      <c r="F171" s="1154" t="e">
        <f aca="false">IF(G171="","",Holiday(D171,E171))</f>
        <v>#VALUE!</v>
      </c>
      <c r="G171" s="1155" t="n">
        <v>41214</v>
      </c>
      <c r="H171" s="1156" t="n">
        <v>41243</v>
      </c>
      <c r="I171" s="1157" t="n">
        <f aca="false">I170</f>
        <v>0.0715</v>
      </c>
      <c r="J171" s="1158" t="n">
        <f aca="false">(1+I171/2)^(-2*(DATE(D172,E172,20)-$H$7)/365.25)</f>
        <v>0.400766306961475</v>
      </c>
      <c r="K171" s="1159"/>
      <c r="L171" s="1158"/>
      <c r="M171" s="1082" t="n">
        <v>0</v>
      </c>
      <c r="N171" s="1110" t="n">
        <f aca="false">M171</f>
        <v>0</v>
      </c>
      <c r="O171" s="1174" t="n">
        <f aca="false">N171</f>
        <v>0</v>
      </c>
      <c r="P171" s="1175" t="n">
        <f aca="false">M171</f>
        <v>0</v>
      </c>
      <c r="Q171" s="1110" t="n">
        <f aca="false">P171</f>
        <v>0</v>
      </c>
      <c r="R171" s="1174" t="n">
        <f aca="false">Q171</f>
        <v>0</v>
      </c>
      <c r="S171" s="1110" t="n">
        <f aca="false">R171</f>
        <v>0</v>
      </c>
      <c r="T171" s="1110" t="n">
        <f aca="false">S171</f>
        <v>0</v>
      </c>
      <c r="U171" s="1110" t="n">
        <f aca="false">T171</f>
        <v>0</v>
      </c>
      <c r="V171" s="1175" t="n">
        <f aca="false">U171</f>
        <v>0</v>
      </c>
      <c r="W171" s="1110" t="n">
        <f aca="false">V171</f>
        <v>0</v>
      </c>
      <c r="X171" s="1176" t="n">
        <f aca="false">W171</f>
        <v>0</v>
      </c>
      <c r="Y171" s="1086" t="n">
        <v>0</v>
      </c>
      <c r="Z171" s="1086" t="n">
        <v>0</v>
      </c>
      <c r="AA171" s="1087" t="n">
        <v>0</v>
      </c>
      <c r="AB171" s="1086" t="n">
        <v>0</v>
      </c>
      <c r="AC171" s="1086" t="n">
        <v>0</v>
      </c>
      <c r="AD171" s="1087" t="n">
        <v>0</v>
      </c>
      <c r="AE171" s="1086" t="n">
        <v>0</v>
      </c>
      <c r="AF171" s="1086" t="n">
        <v>0</v>
      </c>
      <c r="AG171" s="1087" t="n">
        <v>0</v>
      </c>
      <c r="AH171" s="1086" t="n">
        <v>0</v>
      </c>
      <c r="AI171" s="1086" t="n">
        <v>0</v>
      </c>
      <c r="AJ171" s="1087" t="n">
        <v>0</v>
      </c>
      <c r="AK171" s="1086" t="n">
        <v>0</v>
      </c>
      <c r="AL171" s="1086" t="n">
        <v>0</v>
      </c>
      <c r="AM171" s="1087" t="n">
        <v>0</v>
      </c>
      <c r="AN171" s="1086" t="n">
        <v>0</v>
      </c>
      <c r="AO171" s="1086" t="n">
        <v>0</v>
      </c>
      <c r="AP171" s="1087" t="n">
        <v>0</v>
      </c>
      <c r="AQ171" s="1086" t="n">
        <v>0</v>
      </c>
      <c r="AR171" s="1086" t="n">
        <v>0</v>
      </c>
      <c r="AS171" s="1087" t="n">
        <v>0</v>
      </c>
      <c r="AT171" s="1086" t="n">
        <v>0</v>
      </c>
      <c r="AU171" s="1086" t="n">
        <v>0</v>
      </c>
      <c r="AV171" s="1086" t="n">
        <v>0</v>
      </c>
      <c r="AW171" s="1172" t="n">
        <v>0</v>
      </c>
      <c r="AX171" s="807" t="e">
        <f aca="false">BB171-SUM(AY171:BA171)</f>
        <v>#VALUE!</v>
      </c>
      <c r="AY171" s="807" t="e">
        <f aca="false">IF(AND($E171=MONTH(Summary!$E$24),$D171=YEAR(Summary!$E$24)),Summary!$E$25,1)*IF(G171="",0,INT((H171-MOD(H171,7)-G171)/7)+1-IF(BA171,IF(WEEKDAY(F171)=7,1,0),0))</f>
        <v>#VALUE!</v>
      </c>
      <c r="AZ171" s="807" t="e">
        <f aca="false">IF(AND($E171=MONTH(Summary!$E$24),$D171=YEAR(Summary!$E$24)),Summary!$E$25,1)*IF(G171="",0,INT((H171-MOD(H171-1,7)-G171)/7)+1-IF(BA171,IF(WEEKDAY(F171)=1,1,0),0))</f>
        <v>#VALUE!</v>
      </c>
      <c r="BA171" s="807" t="n">
        <v>1</v>
      </c>
      <c r="BB171" s="807" t="n">
        <f aca="false">IF(AND($E171=MONTH(Summary!$E$24),$D171=YEAR(Summary!$E$24)),Summary!$E$25,1)*IF(G171="",0,H171-G171+1)</f>
        <v>30</v>
      </c>
      <c r="BC171" s="1089" t="n">
        <f aca="false">Summary!$E$19</f>
        <v>0.015</v>
      </c>
      <c r="BD171" s="1090" t="n">
        <v>14893.2</v>
      </c>
      <c r="BE171" s="1091" t="n">
        <v>2836.8</v>
      </c>
      <c r="BF171" s="1091" t="n">
        <v>3546</v>
      </c>
      <c r="BG171" s="842"/>
      <c r="BH171" s="1092" t="n">
        <v>1</v>
      </c>
      <c r="BI171" s="1092" t="n">
        <v>1</v>
      </c>
      <c r="BJ171" s="1092" t="n">
        <v>1</v>
      </c>
      <c r="BK171" s="1092" t="n">
        <v>1</v>
      </c>
      <c r="BL171" s="1093" t="n">
        <v>2978.64</v>
      </c>
      <c r="BM171" s="1091" t="n">
        <v>567.36</v>
      </c>
      <c r="BN171" s="1091" t="n">
        <v>709.2</v>
      </c>
      <c r="BO171" s="842"/>
      <c r="BP171" s="1092" t="n">
        <v>1</v>
      </c>
      <c r="BQ171" s="1094" t="n">
        <v>1</v>
      </c>
      <c r="BR171" s="1094" t="n">
        <v>1</v>
      </c>
      <c r="BS171" s="1095" t="n">
        <v>1</v>
      </c>
      <c r="BT171" s="1093" t="n">
        <f aca="false">SUM(BD171:BF171)</f>
        <v>21276</v>
      </c>
      <c r="BU171" s="1098" t="n">
        <f aca="false">SUM(BD171:BG171)</f>
        <v>21276</v>
      </c>
      <c r="BV171" s="1090" t="n">
        <f aca="false">SUM(BL171:BN171)</f>
        <v>4255.2</v>
      </c>
      <c r="BW171" s="1098" t="n">
        <f aca="false">SUM(BL171:BO171)</f>
        <v>4255.2</v>
      </c>
      <c r="BX171" s="852" t="n">
        <v>12.8815879534565</v>
      </c>
      <c r="BY171" s="1099" t="n">
        <v>0</v>
      </c>
      <c r="BZ171" s="852" t="n">
        <v>0</v>
      </c>
      <c r="CA171" s="852" t="n">
        <v>0</v>
      </c>
      <c r="CB171" s="852" t="n">
        <v>0</v>
      </c>
      <c r="CC171" s="852" t="n">
        <v>0</v>
      </c>
      <c r="CD171" s="852" t="n">
        <v>0</v>
      </c>
      <c r="CE171" s="1100" t="n">
        <v>0</v>
      </c>
      <c r="CF171" s="852" t="n">
        <v>0</v>
      </c>
      <c r="CG171" s="852" t="n">
        <v>0</v>
      </c>
      <c r="CH171" s="852" t="n">
        <v>0</v>
      </c>
      <c r="CI171" s="852" t="n">
        <v>0</v>
      </c>
      <c r="CJ171" s="1101" t="n">
        <v>0</v>
      </c>
      <c r="CK171" s="852" t="n">
        <v>0</v>
      </c>
      <c r="CL171" s="852" t="n">
        <v>0</v>
      </c>
      <c r="CM171" s="852" t="n">
        <v>0</v>
      </c>
      <c r="CN171" s="852" t="n">
        <v>0</v>
      </c>
      <c r="CO171" s="852" t="n">
        <v>0</v>
      </c>
      <c r="CP171" s="852" t="n">
        <v>0</v>
      </c>
      <c r="CQ171" s="1102" t="n">
        <v>0</v>
      </c>
      <c r="CR171" s="1103" t="n">
        <v>0</v>
      </c>
      <c r="CS171" s="1103" t="n">
        <v>0</v>
      </c>
      <c r="CT171" s="1103" t="n">
        <v>0</v>
      </c>
      <c r="CU171" s="1103" t="n">
        <v>0</v>
      </c>
      <c r="CV171" s="1103" t="n">
        <v>0</v>
      </c>
      <c r="CW171" s="1103" t="n">
        <v>0</v>
      </c>
      <c r="CX171" s="1104" t="n">
        <v>0</v>
      </c>
      <c r="CY171" s="1105" t="n">
        <v>7731.97968</v>
      </c>
      <c r="CZ171" s="1099" t="n">
        <v>0</v>
      </c>
      <c r="DA171" s="852" t="n">
        <v>0</v>
      </c>
      <c r="DB171" s="852" t="n">
        <v>0</v>
      </c>
      <c r="DC171" s="852" t="n">
        <v>0</v>
      </c>
      <c r="DD171" s="852" t="n">
        <v>0</v>
      </c>
      <c r="DE171" s="1113" t="n">
        <v>0</v>
      </c>
      <c r="DF171" s="1109" t="n">
        <v>0</v>
      </c>
      <c r="DG171" s="1110" t="n">
        <v>0</v>
      </c>
      <c r="DH171" s="1111" t="n">
        <v>0</v>
      </c>
      <c r="DI171" s="1112" t="n">
        <v>0</v>
      </c>
      <c r="DJ171" s="1112" t="n">
        <v>0</v>
      </c>
      <c r="DK171" s="1112" t="n">
        <v>0</v>
      </c>
      <c r="DL171" s="1113" t="n">
        <v>0</v>
      </c>
      <c r="DM171" s="1114" t="n">
        <v>0</v>
      </c>
      <c r="DN171" s="1114" t="n">
        <v>0</v>
      </c>
      <c r="DO171" s="1114" t="n">
        <v>0</v>
      </c>
      <c r="DP171" s="1114" t="n">
        <v>0</v>
      </c>
      <c r="DQ171" s="1114" t="n">
        <v>0</v>
      </c>
      <c r="DR171" s="1109" t="n">
        <v>0</v>
      </c>
      <c r="DS171" s="852" t="n">
        <v>0</v>
      </c>
      <c r="DT171" s="852" t="n">
        <v>0</v>
      </c>
      <c r="DU171" s="852" t="n">
        <v>0</v>
      </c>
      <c r="DV171" s="852" t="n">
        <v>0</v>
      </c>
      <c r="DW171" s="852" t="n">
        <v>0</v>
      </c>
      <c r="DX171" s="852" t="n">
        <v>0</v>
      </c>
      <c r="DY171" s="852" t="n">
        <v>0</v>
      </c>
      <c r="DZ171" s="852" t="n">
        <v>0</v>
      </c>
      <c r="EA171" s="852" t="n">
        <v>0</v>
      </c>
      <c r="EB171" s="1113" t="n">
        <v>0</v>
      </c>
      <c r="EC171" s="1115" t="n">
        <f aca="false">DS171*BD171</f>
        <v>0</v>
      </c>
      <c r="ED171" s="1115" t="n">
        <f aca="false">DT171*BE171</f>
        <v>0</v>
      </c>
      <c r="EE171" s="1115" t="n">
        <f aca="false">DU171*BF171</f>
        <v>0</v>
      </c>
      <c r="EF171" s="1115" t="n">
        <f aca="false">DV171*BG171</f>
        <v>0</v>
      </c>
      <c r="EG171" s="1115" t="n">
        <f aca="false">DS171*BD171+DT171*BE171+DU171*BF171+DV171*BG171</f>
        <v>0</v>
      </c>
      <c r="EH171" s="1116" t="n">
        <v>0</v>
      </c>
      <c r="EI171" s="1117" t="n">
        <v>0</v>
      </c>
      <c r="EJ171" s="1117" t="n">
        <v>0</v>
      </c>
      <c r="EK171" s="1117" t="n">
        <v>0</v>
      </c>
      <c r="EL171" s="1118" t="n">
        <f aca="false">IF(C171&gt;=Summary!$E$26,MAX(0,SUM(EH171:EK171)),0)</f>
        <v>0</v>
      </c>
      <c r="EM171" s="1115" t="n">
        <f aca="false">IF(C171&gt;=Summary!$E$26,DX171*BL171,0)</f>
        <v>0</v>
      </c>
      <c r="EN171" s="1115" t="n">
        <f aca="false">IF(C171&gt;=Summary!$E$26,DY171*BM171,0)</f>
        <v>0</v>
      </c>
      <c r="EO171" s="1115" t="n">
        <f aca="false">IF(C171&gt;=Summary!$E$26,DZ171*BN171,0)</f>
        <v>0</v>
      </c>
      <c r="EP171" s="1115" t="n">
        <f aca="false">IF(C171&gt;=Summary!$E$26,EA171*BO171,0)</f>
        <v>0</v>
      </c>
      <c r="EQ171" s="1115" t="n">
        <f aca="false">IF(C171&gt;=Summary!$E$26,DX171*BL171+DY171*BM171+DZ171*BN171+EA171*BO171,0)</f>
        <v>0</v>
      </c>
      <c r="ER171" s="1119" t="n">
        <v>0</v>
      </c>
      <c r="ES171" s="1120" t="n">
        <v>0</v>
      </c>
      <c r="ET171" s="1120" t="n">
        <v>0</v>
      </c>
      <c r="EU171" s="1120" t="n">
        <v>0</v>
      </c>
      <c r="EV171" s="1143" t="n">
        <f aca="false">IF(C171&gt;=Summary!$E$26,MAX(0,SUM(ER171:EU171)),0)</f>
        <v>0</v>
      </c>
      <c r="EW171" s="1115"/>
      <c r="EX171" s="1165" t="n">
        <f aca="false">(EQ171-EV171)+IF(EZ171="Yes",(EG171-EL171),0)</f>
        <v>0</v>
      </c>
      <c r="EY171" s="1166" t="str">
        <f aca="false">IF(EX171,EX171/EQ171,"")</f>
        <v/>
      </c>
      <c r="EZ171" s="1122" t="s">
        <v>37</v>
      </c>
      <c r="FA171" s="1096" t="n">
        <f aca="false">FA170</f>
        <v>45</v>
      </c>
      <c r="FB171" s="1167" t="e">
        <f aca="false">IF(EZ171="No",IF((OR(MONTH(C171)=5,MONTH(C171)=6,MONTH(C171)=7,MONTH(C171)=8,MONTH(C171)=9)),$FA171*12*AX171*(1-$BC171),$FA171*10*AX171*(1-$BC171)),0)</f>
        <v>#VALUE!</v>
      </c>
      <c r="FC171" s="1129" t="e">
        <f aca="false">IF(EZ171="No",IF((OR(MONTH(C171)=5,MONTH(C171)=6,MONTH(C171)=7,MONTH(C171)=8,MONTH(C171)=9)),0,$FA171*3*AX171*(1-$BC171)),0)</f>
        <v>#VALUE!</v>
      </c>
      <c r="FD171" s="1129" t="e">
        <f aca="false">IF(EZ171="No",IF((OR(MONTH(C171)=5,MONTH(C171)=6,MONTH(C171)=7,MONTH(C171)=8,MONTH(C171)=9)),$FA171*12*AY171*(1-$BC171),$FA171*10*AY171*(1-$BC171)),0)</f>
        <v>#VALUE!</v>
      </c>
      <c r="FE171" s="1129" t="e">
        <f aca="false">IF(EZ171="No",IF((OR(MONTH(C171)=5,MONTH(C171)=6,MONTH(C171)=7,MONTH(C171)=8,MONTH(C171)=9)),0,$FA171*3*AY171*(1-$BC171)),0)</f>
        <v>#VALUE!</v>
      </c>
      <c r="FF171" s="1129" t="e">
        <f aca="false">IF(EZ171="No",IF((OR(MONTH(C171)=5,MONTH(C171)=6,MONTH(C171)=7,MONTH(C171)=8,MONTH(C171)=9)),$FA171*12*(AZ171+BA171)*(1-$BC171),$FA171*10*(AZ171+BA171)*(1-$BC171)),0)</f>
        <v>#VALUE!</v>
      </c>
      <c r="FG171" s="1129" t="e">
        <f aca="false">IF(EZ171="No",IF((OR(MONTH(C171)=5,MONTH(C171)=6,MONTH(C171)=7,MONTH(C171)=8,MONTH(C171)=9)),0,$FA171*3*(AZ171+BA171)*(1-$BC171)),0)</f>
        <v>#VALUE!</v>
      </c>
      <c r="FH171" s="1170" t="e">
        <f aca="false">IF(EZ171="No",IF((OR(MONTH(C171)=5,MONTH(C171)=6,MONTH(C171)=7,MONTH(C171)=8,MONTH(C171)=9)),Summary!$O$15*12*(AX171+AY171+AZ171+BA171)*(1-$BC171),Summary!$O$15*13*(AX171+AY171+AZ171+BA171)*(1-$BC171)+IF(Summary!$O$16="Yes",(CALC!FA171+Summary!$O$15)*6*(AX171+AY171+AZ171+BA171)*(1-$BC171),0)),0)</f>
        <v>#VALUE!</v>
      </c>
      <c r="FI171" s="1126" t="n">
        <f aca="false">IF(MONTH(C171)=5,FI170*(IF(Summary!$E$70="no",(1+(Summary!$E$71*0.8)),1+HLOOKUP(YEAR(C171)-1,CCFMODEL!$I$127:$AF$128,2)*0.8)),+FI170)</f>
        <v>36.2095483451476</v>
      </c>
      <c r="FJ171" s="1127" t="n">
        <f aca="false">IF(MONTH(C171)=5,FJ170*(IF(Summary!$E$70="no",(1+(Summary!$E$71*0.8)),1+HLOOKUP(YEAR(CALC!C171)-1,CCFMODEL!$I$127:$AF$128,2)*0.8)),FJ170)</f>
        <v>31.6477154827668</v>
      </c>
      <c r="FK171" s="1128" t="e">
        <f aca="false">SUM(FB171:FG171)*FI171+FH171*FJ171</f>
        <v>#VALUE!</v>
      </c>
      <c r="FL171" s="1126" t="n">
        <f aca="false">IF(MONTH(C171)=5,FL170*(IF(Summary!$E$70="no",(1+(Summary!$E$71*0.8)),1+HLOOKUP(YEAR(CALC!C171)-1,CCFMODEL!$I$127:$AF$128,2)*0.8)),+FL170)</f>
        <v>76.1527396580175</v>
      </c>
      <c r="FM171" s="1127" t="n">
        <f aca="false">IF(MONTH(C171)=5,FM170*(IF(Summary!$E$70="no",(1+(Summary!$E$71*0.8)),1+HLOOKUP(YEAR(CALC!C171)-1,CCFMODEL!$I$127:$AF$128,2)*0.8)),+FM170)</f>
        <v>36.3453171803375</v>
      </c>
      <c r="FN171" s="1128" t="e">
        <f aca="false">IF((OR(MONTH(C171)=5,MONTH(C171)=6,MONTH(C171)=7,MONTH(C171)=8,MONTH(C171)=9)),SUM(FB171:FG171)/(1-BC171)*FL171,SUM(FB171:FG171)/(1-BC171)*FM171)</f>
        <v>#VALUE!</v>
      </c>
      <c r="FO171" s="1129" t="e">
        <f aca="false">FK171+FN171</f>
        <v>#VALUE!</v>
      </c>
      <c r="FP171" s="1169" t="e">
        <f aca="false">FB171</f>
        <v>#VALUE!</v>
      </c>
      <c r="FQ171" s="1129" t="e">
        <f aca="false">FC171</f>
        <v>#VALUE!</v>
      </c>
      <c r="FR171" s="1129" t="e">
        <f aca="false">FD171</f>
        <v>#VALUE!</v>
      </c>
      <c r="FS171" s="1129" t="e">
        <f aca="false">FE171</f>
        <v>#VALUE!</v>
      </c>
      <c r="FT171" s="1129" t="e">
        <f aca="false">FF171</f>
        <v>#VALUE!</v>
      </c>
      <c r="FU171" s="1129" t="e">
        <f aca="false">FG171</f>
        <v>#VALUE!</v>
      </c>
      <c r="FV171" s="1170" t="e">
        <f aca="false">FH171</f>
        <v>#VALUE!</v>
      </c>
      <c r="FW171" s="1115" t="n">
        <f aca="false">IF(ER171&gt;0,MIN(FB171-FP171,BL171),0)</f>
        <v>0</v>
      </c>
      <c r="FX171" s="1115" t="n">
        <f aca="false">IF(ES171&gt;0,MIN(FD171-FR171,BM171),0)</f>
        <v>0</v>
      </c>
      <c r="FY171" s="1115" t="n">
        <f aca="false">IF(ET171&gt;0,MIN(FF171-FT171,BN171),0)</f>
        <v>0</v>
      </c>
      <c r="FZ171" s="1143" t="n">
        <f aca="false">IF(EU171&gt;0,MIN(FH171-FV171,BO171),0)</f>
        <v>0</v>
      </c>
      <c r="GA171" s="1132" t="e">
        <f aca="false">(SUM(FP171:FV171)+SUM(GU171:HB171)/(1-Summary!$O$25))*CY171/1000</f>
        <v>#VALUE!</v>
      </c>
      <c r="GB171" s="1133" t="n">
        <f aca="false">IF($C171&lt;Summary!$M$81,+Summary!$O$81,VLOOKUP(C171,GasTable,19))</f>
        <v>3.80702572959411</v>
      </c>
      <c r="GC171" s="1134" t="n">
        <f aca="false">IF(H171&lt;=Summary!$N$84,MIN(GA171,Summary!$O$75*(H171-G171+1)),0)</f>
        <v>0</v>
      </c>
      <c r="GD171" s="1135" t="n">
        <f aca="false">IF(C171&lt;Summary!$N$84,IF(Summary!$O$75*(H171-G171+1)*0.8&gt;GC171,1,0),0)</f>
        <v>0</v>
      </c>
      <c r="GE171" s="1136" t="n">
        <v>0</v>
      </c>
      <c r="GF171" s="1134" t="e">
        <f aca="false">ABS(MIN(0,GC171-$GA171))</f>
        <v>#VALUE!</v>
      </c>
      <c r="GG171" s="1135" t="e">
        <f aca="false">GF171*(IF(Summary!$O$74=1,VLOOKUP($C171,GasTable,16)+Summary!$O$92+Summary!$O$93,VLOOKUP($C171,GasTable,19)+Summary!$O$92+Summary!$O$93))</f>
        <v>#VALUE!</v>
      </c>
      <c r="GH171" s="1137" t="n">
        <v>5710.53859439116</v>
      </c>
      <c r="GI171" s="1138" t="n">
        <v>0</v>
      </c>
      <c r="GJ171" s="1139" t="e">
        <f aca="false">+GB171*GC171+GE171+GG171+GH171-GI171</f>
        <v>#VALUE!</v>
      </c>
      <c r="GK171" s="1115" t="e">
        <f aca="false">SUM(FP171:FV171,GU171:GX171,GY171:HB171)</f>
        <v>#VALUE!</v>
      </c>
      <c r="GL171" s="1140" t="n">
        <v>0.51804263856</v>
      </c>
      <c r="GM171" s="1141" t="e">
        <f aca="false">IF(GK171&gt;GC171/(CY171/1000),GC171/(CY171/1000),+GK171)*GL171</f>
        <v>#VALUE!</v>
      </c>
      <c r="GN171" s="1115" t="n">
        <f aca="false">IF(SUM(GU171:HB171)=0,0,IF(Summary!$O$16="Yes",SUM(GX171:HB171),IF(Summary!$O$17="Yes",SUM(GY171:HB171),SUM(GU171:HB171))))</f>
        <v>11805.5205</v>
      </c>
      <c r="GO171" s="1142" t="n">
        <v>3.39263445479869</v>
      </c>
      <c r="GP171" s="1143" t="n">
        <f aca="false">GN171*GO171</f>
        <v>40051.8156051322</v>
      </c>
      <c r="GQ171" s="1115"/>
      <c r="GR171" s="1115"/>
      <c r="GS171" s="1115"/>
      <c r="GT171" s="1115"/>
      <c r="GU171" s="1150" t="n">
        <v>5389.47675</v>
      </c>
      <c r="GV171" s="1115" t="n">
        <v>1026.567</v>
      </c>
      <c r="GW171" s="1115" t="n">
        <v>1283.20875</v>
      </c>
      <c r="GX171" s="1115"/>
      <c r="GY171" s="1151" t="n">
        <v>2874.3876</v>
      </c>
      <c r="GZ171" s="1115" t="n">
        <v>547.5024</v>
      </c>
      <c r="HA171" s="1115" t="n">
        <v>684.378</v>
      </c>
      <c r="HB171" s="1141"/>
      <c r="HC171" s="1115" t="n">
        <v>11805.5205</v>
      </c>
      <c r="HD171" s="1115"/>
      <c r="HE171" s="1115" t="n">
        <v>20274.69825</v>
      </c>
      <c r="HF171" s="1115" t="n">
        <v>626895.942738028</v>
      </c>
      <c r="HG171" s="1115"/>
      <c r="HH171" s="1142" t="n">
        <v>52.7893341779133</v>
      </c>
      <c r="HI171" s="1115" t="n">
        <v>1070287.8212756</v>
      </c>
      <c r="HJ171" s="1150" t="e">
        <f aca="false">MAX(FB171-FP171-FW171,0)</f>
        <v>#VALUE!</v>
      </c>
      <c r="HK171" s="1115" t="e">
        <f aca="false">MAX(FD171-FR171-FX171,0)</f>
        <v>#VALUE!</v>
      </c>
      <c r="HL171" s="1115" t="e">
        <f aca="false">MAX(FF171-FT171-FY171,0)</f>
        <v>#VALUE!</v>
      </c>
      <c r="HM171" s="1141" t="e">
        <f aca="false">MAX(FH171-FV171-FZ171,0)</f>
        <v>#VALUE!</v>
      </c>
      <c r="HN171" s="1115" t="e">
        <f aca="false">SUM(HJ171:HM171)</f>
        <v>#VALUE!</v>
      </c>
      <c r="HO171" s="1142" t="n">
        <f aca="false">IF(ISERROR(+HP171/HN171),0,+HP171/HN171)</f>
        <v>0</v>
      </c>
      <c r="HP171" s="1143" t="e">
        <f aca="false">(HJ171*CE171+HK171*CF171+HL171*CG171+HM171*CH171)</f>
        <v>#VALUE!</v>
      </c>
      <c r="HQ171" s="1142"/>
      <c r="HR171" s="1150"/>
      <c r="HS171" s="1110"/>
      <c r="HT171" s="1141"/>
      <c r="HU171" s="1151"/>
      <c r="HV171" s="1142"/>
      <c r="HW171" s="1115"/>
      <c r="HX171" s="1149"/>
      <c r="HY171" s="1143"/>
      <c r="HZ171" s="1150"/>
      <c r="IA171" s="1142"/>
      <c r="IB171" s="1141"/>
      <c r="IC171" s="1151"/>
      <c r="ID171" s="1142"/>
      <c r="IE171" s="1141"/>
      <c r="IF171" s="1115"/>
      <c r="IG171" s="1142"/>
      <c r="IH171" s="1141"/>
      <c r="II171" s="1115"/>
      <c r="IJ171" s="1142"/>
      <c r="IK171" s="1115"/>
      <c r="IL171" s="1152"/>
      <c r="IM171" s="1192"/>
      <c r="IN171" s="1151"/>
      <c r="IO171" s="1151"/>
      <c r="IP171" s="1151"/>
      <c r="IQ171" s="1151"/>
      <c r="IR171" s="844"/>
    </row>
    <row r="172" customFormat="false" ht="13.5" hidden="false" customHeight="false" outlineLevel="0" collapsed="false">
      <c r="A172" s="0" t="str">
        <f aca="false">+D172&amp;"Q"&amp;ROUNDUP(E172/3,0)</f>
        <v>2012Q4</v>
      </c>
      <c r="B172" s="0" t="n">
        <f aca="false">YEAR(C172)</f>
        <v>2012</v>
      </c>
      <c r="C172" s="1153" t="n">
        <f aca="false">EOMONTH(C171,0)+1</f>
        <v>41244</v>
      </c>
      <c r="D172" s="841" t="n">
        <f aca="false">+YEAR(C172)</f>
        <v>2012</v>
      </c>
      <c r="E172" s="807" t="n">
        <f aca="false">MONTH(C172)</f>
        <v>12</v>
      </c>
      <c r="F172" s="1154" t="e">
        <f aca="false">IF(G172="","",Holiday(D172,E172))</f>
        <v>#VALUE!</v>
      </c>
      <c r="G172" s="1155" t="n">
        <v>41244</v>
      </c>
      <c r="H172" s="1156" t="n">
        <v>41274</v>
      </c>
      <c r="I172" s="1157" t="n">
        <f aca="false">I171</f>
        <v>0.0715</v>
      </c>
      <c r="J172" s="1158" t="n">
        <f aca="false">(1+I172/2)^(-2*(DATE(D173,E173,20)-$H$7)/365.25)</f>
        <v>0.398383851332624</v>
      </c>
      <c r="K172" s="1159"/>
      <c r="L172" s="1158"/>
      <c r="M172" s="1082" t="n">
        <v>0</v>
      </c>
      <c r="N172" s="1110" t="n">
        <f aca="false">M172</f>
        <v>0</v>
      </c>
      <c r="O172" s="1174" t="n">
        <f aca="false">N172</f>
        <v>0</v>
      </c>
      <c r="P172" s="1175" t="n">
        <f aca="false">M172</f>
        <v>0</v>
      </c>
      <c r="Q172" s="1110" t="n">
        <f aca="false">P172</f>
        <v>0</v>
      </c>
      <c r="R172" s="1174" t="n">
        <f aca="false">Q172</f>
        <v>0</v>
      </c>
      <c r="S172" s="1110" t="n">
        <f aca="false">R172</f>
        <v>0</v>
      </c>
      <c r="T172" s="1110" t="n">
        <f aca="false">S172</f>
        <v>0</v>
      </c>
      <c r="U172" s="1110" t="n">
        <f aca="false">T172</f>
        <v>0</v>
      </c>
      <c r="V172" s="1175" t="n">
        <f aca="false">U172</f>
        <v>0</v>
      </c>
      <c r="W172" s="1110" t="n">
        <f aca="false">V172</f>
        <v>0</v>
      </c>
      <c r="X172" s="1176" t="n">
        <f aca="false">W172</f>
        <v>0</v>
      </c>
      <c r="Y172" s="1086" t="n">
        <v>0</v>
      </c>
      <c r="Z172" s="1086" t="n">
        <v>0</v>
      </c>
      <c r="AA172" s="1087" t="n">
        <v>0</v>
      </c>
      <c r="AB172" s="1086" t="n">
        <v>0</v>
      </c>
      <c r="AC172" s="1086" t="n">
        <v>0</v>
      </c>
      <c r="AD172" s="1087" t="n">
        <v>0</v>
      </c>
      <c r="AE172" s="1086" t="n">
        <v>0</v>
      </c>
      <c r="AF172" s="1086" t="n">
        <v>0</v>
      </c>
      <c r="AG172" s="1087" t="n">
        <v>0</v>
      </c>
      <c r="AH172" s="1086" t="n">
        <v>0</v>
      </c>
      <c r="AI172" s="1086" t="n">
        <v>0</v>
      </c>
      <c r="AJ172" s="1087" t="n">
        <v>0</v>
      </c>
      <c r="AK172" s="1086" t="n">
        <v>0</v>
      </c>
      <c r="AL172" s="1086" t="n">
        <v>0</v>
      </c>
      <c r="AM172" s="1087" t="n">
        <v>0</v>
      </c>
      <c r="AN172" s="1086" t="n">
        <v>0</v>
      </c>
      <c r="AO172" s="1086" t="n">
        <v>0</v>
      </c>
      <c r="AP172" s="1087" t="n">
        <v>0</v>
      </c>
      <c r="AQ172" s="1086" t="n">
        <v>0</v>
      </c>
      <c r="AR172" s="1086" t="n">
        <v>0</v>
      </c>
      <c r="AS172" s="1087" t="n">
        <v>0</v>
      </c>
      <c r="AT172" s="1086" t="n">
        <v>0</v>
      </c>
      <c r="AU172" s="1086" t="n">
        <v>0</v>
      </c>
      <c r="AV172" s="1086" t="n">
        <v>0</v>
      </c>
      <c r="AW172" s="1172" t="n">
        <v>0</v>
      </c>
      <c r="AX172" s="807" t="e">
        <f aca="false">BB172-SUM(AY172:BA172)</f>
        <v>#VALUE!</v>
      </c>
      <c r="AY172" s="807" t="e">
        <f aca="false">IF(AND($E172=MONTH(Summary!$E$24),$D172=YEAR(Summary!$E$24)),Summary!$E$25,1)*IF(G172="",0,INT((H172-MOD(H172,7)-G172)/7)+1-IF(BA172,IF(WEEKDAY(F172)=7,1,0),0))</f>
        <v>#VALUE!</v>
      </c>
      <c r="AZ172" s="807" t="e">
        <f aca="false">IF(AND($E172=MONTH(Summary!$E$24),$D172=YEAR(Summary!$E$24)),Summary!$E$25,1)*IF(G172="",0,INT((H172-MOD(H172-1,7)-G172)/7)+1-IF(BA172,IF(WEEKDAY(F172)=1,1,0),0))</f>
        <v>#VALUE!</v>
      </c>
      <c r="BA172" s="807" t="n">
        <v>1</v>
      </c>
      <c r="BB172" s="807" t="n">
        <f aca="false">IF(AND($E172=MONTH(Summary!$E$24),$D172=YEAR(Summary!$E$24)),Summary!$E$25,1)*IF(G172="",0,H172-G172+1)</f>
        <v>31</v>
      </c>
      <c r="BC172" s="1089" t="n">
        <f aca="false">Summary!$E$19</f>
        <v>0.015</v>
      </c>
      <c r="BD172" s="1090" t="n">
        <v>14184</v>
      </c>
      <c r="BE172" s="1091" t="n">
        <v>3546</v>
      </c>
      <c r="BF172" s="1091" t="n">
        <v>4255.2</v>
      </c>
      <c r="BG172" s="842"/>
      <c r="BH172" s="1092" t="n">
        <v>1</v>
      </c>
      <c r="BI172" s="1092" t="n">
        <v>1</v>
      </c>
      <c r="BJ172" s="1092" t="n">
        <v>1</v>
      </c>
      <c r="BK172" s="1092" t="n">
        <v>1</v>
      </c>
      <c r="BL172" s="1093" t="n">
        <v>2836.8</v>
      </c>
      <c r="BM172" s="1091" t="n">
        <v>709.2</v>
      </c>
      <c r="BN172" s="1091" t="n">
        <v>851.04</v>
      </c>
      <c r="BO172" s="842"/>
      <c r="BP172" s="1092" t="n">
        <v>1</v>
      </c>
      <c r="BQ172" s="1094" t="n">
        <v>1</v>
      </c>
      <c r="BR172" s="1094" t="n">
        <v>1</v>
      </c>
      <c r="BS172" s="1095" t="n">
        <v>1</v>
      </c>
      <c r="BT172" s="1093" t="n">
        <f aca="false">SUM(BD172:BF172)</f>
        <v>21985.2</v>
      </c>
      <c r="BU172" s="1098" t="n">
        <f aca="false">SUM(BD172:BG172)</f>
        <v>21985.2</v>
      </c>
      <c r="BV172" s="1090" t="n">
        <f aca="false">SUM(BL172:BN172)</f>
        <v>4397.04</v>
      </c>
      <c r="BW172" s="1098" t="n">
        <f aca="false">SUM(BL172:BO172)</f>
        <v>4397.04</v>
      </c>
      <c r="BX172" s="852" t="n">
        <v>12.9637234770705</v>
      </c>
      <c r="BY172" s="1099" t="n">
        <v>0</v>
      </c>
      <c r="BZ172" s="852" t="n">
        <v>0</v>
      </c>
      <c r="CA172" s="852" t="n">
        <v>0</v>
      </c>
      <c r="CB172" s="852" t="n">
        <v>0</v>
      </c>
      <c r="CC172" s="852" t="n">
        <v>0</v>
      </c>
      <c r="CD172" s="852" t="n">
        <v>0</v>
      </c>
      <c r="CE172" s="1100" t="n">
        <v>0</v>
      </c>
      <c r="CF172" s="852" t="n">
        <v>0</v>
      </c>
      <c r="CG172" s="852" t="n">
        <v>0</v>
      </c>
      <c r="CH172" s="852" t="n">
        <v>0</v>
      </c>
      <c r="CI172" s="852" t="n">
        <v>0</v>
      </c>
      <c r="CJ172" s="1101" t="n">
        <v>0</v>
      </c>
      <c r="CK172" s="852" t="n">
        <v>0</v>
      </c>
      <c r="CL172" s="852" t="n">
        <v>0</v>
      </c>
      <c r="CM172" s="852" t="n">
        <v>0</v>
      </c>
      <c r="CN172" s="852" t="n">
        <v>0</v>
      </c>
      <c r="CO172" s="852" t="n">
        <v>0</v>
      </c>
      <c r="CP172" s="852" t="n">
        <v>0</v>
      </c>
      <c r="CQ172" s="1102" t="n">
        <v>0</v>
      </c>
      <c r="CR172" s="1103" t="n">
        <v>0</v>
      </c>
      <c r="CS172" s="1103" t="n">
        <v>0</v>
      </c>
      <c r="CT172" s="1103" t="n">
        <v>0</v>
      </c>
      <c r="CU172" s="1103" t="n">
        <v>0</v>
      </c>
      <c r="CV172" s="1103" t="n">
        <v>0</v>
      </c>
      <c r="CW172" s="1103" t="n">
        <v>0</v>
      </c>
      <c r="CX172" s="1104" t="n">
        <v>0</v>
      </c>
      <c r="CY172" s="1105" t="n">
        <v>7733.28256</v>
      </c>
      <c r="CZ172" s="1099" t="n">
        <v>0</v>
      </c>
      <c r="DA172" s="852" t="n">
        <v>0</v>
      </c>
      <c r="DB172" s="852" t="n">
        <v>0</v>
      </c>
      <c r="DC172" s="852" t="n">
        <v>0</v>
      </c>
      <c r="DD172" s="852" t="n">
        <v>0</v>
      </c>
      <c r="DE172" s="1113" t="n">
        <v>0</v>
      </c>
      <c r="DF172" s="1109" t="n">
        <v>0</v>
      </c>
      <c r="DG172" s="1110" t="n">
        <v>0</v>
      </c>
      <c r="DH172" s="1111" t="n">
        <v>0</v>
      </c>
      <c r="DI172" s="1112" t="n">
        <v>0</v>
      </c>
      <c r="DJ172" s="1112" t="n">
        <v>0</v>
      </c>
      <c r="DK172" s="1112" t="n">
        <v>0</v>
      </c>
      <c r="DL172" s="1113" t="n">
        <v>0</v>
      </c>
      <c r="DM172" s="1114" t="n">
        <v>0</v>
      </c>
      <c r="DN172" s="1114" t="n">
        <v>0</v>
      </c>
      <c r="DO172" s="1114" t="n">
        <v>0</v>
      </c>
      <c r="DP172" s="1114" t="n">
        <v>0</v>
      </c>
      <c r="DQ172" s="1114" t="n">
        <v>0</v>
      </c>
      <c r="DR172" s="1109" t="n">
        <v>0</v>
      </c>
      <c r="DS172" s="852" t="n">
        <v>0</v>
      </c>
      <c r="DT172" s="852" t="n">
        <v>0</v>
      </c>
      <c r="DU172" s="852" t="n">
        <v>0</v>
      </c>
      <c r="DV172" s="852" t="n">
        <v>0</v>
      </c>
      <c r="DW172" s="852" t="n">
        <v>0</v>
      </c>
      <c r="DX172" s="852" t="n">
        <v>0</v>
      </c>
      <c r="DY172" s="852" t="n">
        <v>0</v>
      </c>
      <c r="DZ172" s="852" t="n">
        <v>0</v>
      </c>
      <c r="EA172" s="852" t="n">
        <v>0</v>
      </c>
      <c r="EB172" s="1113" t="n">
        <v>0</v>
      </c>
      <c r="EC172" s="1115" t="n">
        <f aca="false">DS172*BD172</f>
        <v>0</v>
      </c>
      <c r="ED172" s="1115" t="n">
        <f aca="false">DT172*BE172</f>
        <v>0</v>
      </c>
      <c r="EE172" s="1115" t="n">
        <f aca="false">DU172*BF172</f>
        <v>0</v>
      </c>
      <c r="EF172" s="1115" t="n">
        <f aca="false">DV172*BG172</f>
        <v>0</v>
      </c>
      <c r="EG172" s="1115" t="n">
        <f aca="false">DS172*BD172+DT172*BE172+DU172*BF172+DV172*BG172</f>
        <v>0</v>
      </c>
      <c r="EH172" s="1116" t="n">
        <v>0</v>
      </c>
      <c r="EI172" s="1117" t="n">
        <v>0</v>
      </c>
      <c r="EJ172" s="1117" t="n">
        <v>0</v>
      </c>
      <c r="EK172" s="1117" t="n">
        <v>0</v>
      </c>
      <c r="EL172" s="1118" t="n">
        <f aca="false">IF(C172&gt;=Summary!$E$26,MAX(0,SUM(EH172:EK172)),0)</f>
        <v>0</v>
      </c>
      <c r="EM172" s="1115" t="n">
        <f aca="false">IF(C172&gt;=Summary!$E$26,DX172*BL172,0)</f>
        <v>0</v>
      </c>
      <c r="EN172" s="1115" t="n">
        <f aca="false">IF(C172&gt;=Summary!$E$26,DY172*BM172,0)</f>
        <v>0</v>
      </c>
      <c r="EO172" s="1115" t="n">
        <f aca="false">IF(C172&gt;=Summary!$E$26,DZ172*BN172,0)</f>
        <v>0</v>
      </c>
      <c r="EP172" s="1115" t="n">
        <f aca="false">IF(C172&gt;=Summary!$E$26,EA172*BO172,0)</f>
        <v>0</v>
      </c>
      <c r="EQ172" s="1115" t="n">
        <f aca="false">IF(C172&gt;=Summary!$E$26,DX172*BL172+DY172*BM172+DZ172*BN172+EA172*BO172,0)</f>
        <v>0</v>
      </c>
      <c r="ER172" s="1119" t="n">
        <v>0</v>
      </c>
      <c r="ES172" s="1120" t="n">
        <v>0</v>
      </c>
      <c r="ET172" s="1120" t="n">
        <v>0</v>
      </c>
      <c r="EU172" s="1120" t="n">
        <v>0</v>
      </c>
      <c r="EV172" s="1143" t="n">
        <f aca="false">IF(C172&gt;=Summary!$E$26,MAX(0,SUM(ER172:EU172)),0)</f>
        <v>0</v>
      </c>
      <c r="EW172" s="1115"/>
      <c r="EX172" s="1165" t="n">
        <f aca="false">(EQ172-EV172)+IF(EZ172="Yes",(EG172-EL172),0)</f>
        <v>0</v>
      </c>
      <c r="EY172" s="1166" t="str">
        <f aca="false">IF(EX172,EX172/EQ172,"")</f>
        <v/>
      </c>
      <c r="EZ172" s="1122" t="s">
        <v>37</v>
      </c>
      <c r="FA172" s="1096" t="n">
        <f aca="false">FA171</f>
        <v>45</v>
      </c>
      <c r="FB172" s="1167" t="e">
        <f aca="false">IF(EZ172="No",IF((OR(MONTH(C172)=5,MONTH(C172)=6,MONTH(C172)=7,MONTH(C172)=8,MONTH(C172)=9)),$FA172*12*AX172*(1-$BC172),$FA172*10*AX172*(1-$BC172)),0)</f>
        <v>#VALUE!</v>
      </c>
      <c r="FC172" s="1129" t="e">
        <f aca="false">IF(EZ172="No",IF((OR(MONTH(C172)=5,MONTH(C172)=6,MONTH(C172)=7,MONTH(C172)=8,MONTH(C172)=9)),0,$FA172*3*AX172*(1-$BC172)),0)</f>
        <v>#VALUE!</v>
      </c>
      <c r="FD172" s="1129" t="e">
        <f aca="false">IF(EZ172="No",IF((OR(MONTH(C172)=5,MONTH(C172)=6,MONTH(C172)=7,MONTH(C172)=8,MONTH(C172)=9)),$FA172*12*AY172*(1-$BC172),$FA172*10*AY172*(1-$BC172)),0)</f>
        <v>#VALUE!</v>
      </c>
      <c r="FE172" s="1129" t="e">
        <f aca="false">IF(EZ172="No",IF((OR(MONTH(C172)=5,MONTH(C172)=6,MONTH(C172)=7,MONTH(C172)=8,MONTH(C172)=9)),0,$FA172*3*AY172*(1-$BC172)),0)</f>
        <v>#VALUE!</v>
      </c>
      <c r="FF172" s="1129" t="e">
        <f aca="false">IF(EZ172="No",IF((OR(MONTH(C172)=5,MONTH(C172)=6,MONTH(C172)=7,MONTH(C172)=8,MONTH(C172)=9)),$FA172*12*(AZ172+BA172)*(1-$BC172),$FA172*10*(AZ172+BA172)*(1-$BC172)),0)</f>
        <v>#VALUE!</v>
      </c>
      <c r="FG172" s="1129" t="e">
        <f aca="false">IF(EZ172="No",IF((OR(MONTH(C172)=5,MONTH(C172)=6,MONTH(C172)=7,MONTH(C172)=8,MONTH(C172)=9)),0,$FA172*3*(AZ172+BA172)*(1-$BC172)),0)</f>
        <v>#VALUE!</v>
      </c>
      <c r="FH172" s="1170" t="e">
        <f aca="false">IF(EZ172="No",IF((OR(MONTH(C172)=5,MONTH(C172)=6,MONTH(C172)=7,MONTH(C172)=8,MONTH(C172)=9)),Summary!$O$15*12*(AX172+AY172+AZ172+BA172)*(1-$BC172),Summary!$O$15*13*(AX172+AY172+AZ172+BA172)*(1-$BC172)+IF(Summary!$O$16="Yes",(CALC!FA172+Summary!$O$15)*6*(AX172+AY172+AZ172+BA172)*(1-$BC172),0)),0)</f>
        <v>#VALUE!</v>
      </c>
      <c r="FI172" s="1126" t="n">
        <f aca="false">IF(MONTH(C172)=5,FI171*(IF(Summary!$E$70="no",(1+(Summary!$E$71*0.8)),1+HLOOKUP(YEAR(C172)-1,CCFMODEL!$I$127:$AF$128,2)*0.8)),+FI171)</f>
        <v>36.2095483451476</v>
      </c>
      <c r="FJ172" s="1127" t="n">
        <f aca="false">IF(MONTH(C172)=5,FJ171*(IF(Summary!$E$70="no",(1+(Summary!$E$71*0.8)),1+HLOOKUP(YEAR(CALC!C172)-1,CCFMODEL!$I$127:$AF$128,2)*0.8)),FJ171)</f>
        <v>31.6477154827668</v>
      </c>
      <c r="FK172" s="1128" t="e">
        <f aca="false">SUM(FB172:FG172)*FI172+FH172*FJ172</f>
        <v>#VALUE!</v>
      </c>
      <c r="FL172" s="1126" t="n">
        <f aca="false">IF(MONTH(C172)=5,FL171*(IF(Summary!$E$70="no",(1+(Summary!$E$71*0.8)),1+HLOOKUP(YEAR(CALC!C172)-1,CCFMODEL!$I$127:$AF$128,2)*0.8)),+FL171)</f>
        <v>76.1527396580175</v>
      </c>
      <c r="FM172" s="1127" t="n">
        <f aca="false">IF(MONTH(C172)=5,FM171*(IF(Summary!$E$70="no",(1+(Summary!$E$71*0.8)),1+HLOOKUP(YEAR(CALC!C172)-1,CCFMODEL!$I$127:$AF$128,2)*0.8)),+FM171)</f>
        <v>36.3453171803375</v>
      </c>
      <c r="FN172" s="1128" t="e">
        <f aca="false">IF((OR(MONTH(C172)=5,MONTH(C172)=6,MONTH(C172)=7,MONTH(C172)=8,MONTH(C172)=9)),SUM(FB172:FG172)/(1-BC172)*FL172,SUM(FB172:FG172)/(1-BC172)*FM172)</f>
        <v>#VALUE!</v>
      </c>
      <c r="FO172" s="1129" t="e">
        <f aca="false">FK172+FN172</f>
        <v>#VALUE!</v>
      </c>
      <c r="FP172" s="1169" t="e">
        <f aca="false">FB172</f>
        <v>#VALUE!</v>
      </c>
      <c r="FQ172" s="1129" t="e">
        <f aca="false">FC172</f>
        <v>#VALUE!</v>
      </c>
      <c r="FR172" s="1129" t="e">
        <f aca="false">FD172</f>
        <v>#VALUE!</v>
      </c>
      <c r="FS172" s="1129" t="e">
        <f aca="false">FE172</f>
        <v>#VALUE!</v>
      </c>
      <c r="FT172" s="1129" t="e">
        <f aca="false">FF172</f>
        <v>#VALUE!</v>
      </c>
      <c r="FU172" s="1129" t="e">
        <f aca="false">FG172</f>
        <v>#VALUE!</v>
      </c>
      <c r="FV172" s="1170" t="e">
        <f aca="false">FH172</f>
        <v>#VALUE!</v>
      </c>
      <c r="FW172" s="1115" t="n">
        <f aca="false">IF(ER172&gt;0,MIN(FB172-FP172,BL172),0)</f>
        <v>0</v>
      </c>
      <c r="FX172" s="1115" t="n">
        <f aca="false">IF(ES172&gt;0,MIN(FD172-FR172,BM172),0)</f>
        <v>0</v>
      </c>
      <c r="FY172" s="1115" t="n">
        <f aca="false">IF(ET172&gt;0,MIN(FF172-FT172,BN172),0)</f>
        <v>0</v>
      </c>
      <c r="FZ172" s="1143" t="n">
        <f aca="false">IF(EU172&gt;0,MIN(FH172-FV172,BO172),0)</f>
        <v>0</v>
      </c>
      <c r="GA172" s="1132" t="e">
        <f aca="false">(SUM(FP172:FV172)+SUM(GU172:HB172)/(1-Summary!$O$25))*CY172/1000</f>
        <v>#VALUE!</v>
      </c>
      <c r="GB172" s="1133" t="n">
        <f aca="false">IF($C172&lt;Summary!$M$81,+Summary!$O$81,VLOOKUP(C172,GasTable,19))</f>
        <v>3.96895795460083</v>
      </c>
      <c r="GC172" s="1134" t="n">
        <f aca="false">IF(H172&lt;=Summary!$N$84,MIN(GA172,Summary!$O$75*(H172-G172+1)),0)</f>
        <v>0</v>
      </c>
      <c r="GD172" s="1135" t="n">
        <f aca="false">IF(C172&lt;Summary!$N$84,IF(Summary!$O$75*(H172-G172+1)*0.8&gt;GC172,1,0),0)</f>
        <v>0</v>
      </c>
      <c r="GE172" s="1136" t="n">
        <v>0</v>
      </c>
      <c r="GF172" s="1134" t="e">
        <f aca="false">ABS(MIN(0,GC172-$GA172))</f>
        <v>#VALUE!</v>
      </c>
      <c r="GG172" s="1135" t="e">
        <f aca="false">GF172*(IF(Summary!$O$74=1,VLOOKUP($C172,GasTable,16)+Summary!$O$92+Summary!$O$93,VLOOKUP($C172,GasTable,19)+Summary!$O$92+Summary!$O$93))</f>
        <v>#VALUE!</v>
      </c>
      <c r="GH172" s="1137" t="n">
        <v>6151.88482963129</v>
      </c>
      <c r="GI172" s="1138" t="n">
        <v>0</v>
      </c>
      <c r="GJ172" s="1139" t="e">
        <f aca="false">+GB172*GC172+GE172+GG172+GH172-GI172</f>
        <v>#VALUE!</v>
      </c>
      <c r="GK172" s="1115" t="e">
        <f aca="false">SUM(FP172:FV172,GU172:GX172,GY172:HB172)</f>
        <v>#VALUE!</v>
      </c>
      <c r="GL172" s="1140" t="n">
        <v>0.51812993152</v>
      </c>
      <c r="GM172" s="1141" t="e">
        <f aca="false">IF(GK172&gt;GC172/(CY172/1000),GC172/(CY172/1000),+GK172)*GL172</f>
        <v>#VALUE!</v>
      </c>
      <c r="GN172" s="1115" t="n">
        <f aca="false">IF(SUM(GU172:HB172)=0,0,IF(Summary!$O$16="Yes",SUM(GX172:HB172),IF(Summary!$O$17="Yes",SUM(GY172:HB172),SUM(GU172:HB172))))</f>
        <v>12199.03785</v>
      </c>
      <c r="GO172" s="1142" t="n">
        <v>3.39263445479869</v>
      </c>
      <c r="GP172" s="1143" t="n">
        <f aca="false">GN172*GO172</f>
        <v>41386.8761253033</v>
      </c>
      <c r="GQ172" s="1115"/>
      <c r="GR172" s="1115"/>
      <c r="GS172" s="1115"/>
      <c r="GT172" s="1115"/>
      <c r="GU172" s="1150" t="n">
        <v>5132.835</v>
      </c>
      <c r="GV172" s="1115" t="n">
        <v>1283.20875</v>
      </c>
      <c r="GW172" s="1115" t="n">
        <v>1539.8505</v>
      </c>
      <c r="GX172" s="1115"/>
      <c r="GY172" s="1151" t="n">
        <v>2737.512</v>
      </c>
      <c r="GZ172" s="1115" t="n">
        <v>684.378</v>
      </c>
      <c r="HA172" s="1115" t="n">
        <v>821.2536</v>
      </c>
      <c r="HB172" s="1141"/>
      <c r="HC172" s="1115" t="n">
        <v>12199.03785</v>
      </c>
      <c r="HD172" s="1115"/>
      <c r="HE172" s="1115" t="n">
        <v>20950.521525</v>
      </c>
      <c r="HF172" s="1115" t="n">
        <v>598833.932130013</v>
      </c>
      <c r="HG172" s="1115"/>
      <c r="HH172" s="1142" t="n">
        <v>48.7718629057396</v>
      </c>
      <c r="HI172" s="1115" t="n">
        <v>1021795.96362105</v>
      </c>
      <c r="HJ172" s="1150" t="e">
        <f aca="false">MAX(FB172-FP172-FW172,0)</f>
        <v>#VALUE!</v>
      </c>
      <c r="HK172" s="1115" t="e">
        <f aca="false">MAX(FD172-FR172-FX172,0)</f>
        <v>#VALUE!</v>
      </c>
      <c r="HL172" s="1115" t="e">
        <f aca="false">MAX(FF172-FT172-FY172,0)</f>
        <v>#VALUE!</v>
      </c>
      <c r="HM172" s="1141" t="e">
        <f aca="false">MAX(FH172-FV172-FZ172,0)</f>
        <v>#VALUE!</v>
      </c>
      <c r="HN172" s="1115" t="e">
        <f aca="false">SUM(HJ172:HM172)</f>
        <v>#VALUE!</v>
      </c>
      <c r="HO172" s="1142" t="n">
        <f aca="false">IF(ISERROR(+HP172/HN172),0,+HP172/HN172)</f>
        <v>0</v>
      </c>
      <c r="HP172" s="1143" t="e">
        <f aca="false">(HJ172*CE172+HK172*CF172+HL172*CG172+HM172*CH172)</f>
        <v>#VALUE!</v>
      </c>
      <c r="HQ172" s="1142"/>
      <c r="HR172" s="1150"/>
      <c r="HS172" s="1110"/>
      <c r="HT172" s="1141"/>
      <c r="HU172" s="1151"/>
      <c r="HV172" s="1142"/>
      <c r="HW172" s="1115"/>
      <c r="HX172" s="1149"/>
      <c r="HY172" s="1143"/>
      <c r="HZ172" s="1150"/>
      <c r="IA172" s="1142"/>
      <c r="IB172" s="1141"/>
      <c r="IC172" s="1151"/>
      <c r="ID172" s="1142"/>
      <c r="IE172" s="1141"/>
      <c r="IF172" s="1115"/>
      <c r="IG172" s="1142"/>
      <c r="IH172" s="1141"/>
      <c r="II172" s="1115"/>
      <c r="IJ172" s="1142"/>
      <c r="IK172" s="1115"/>
      <c r="IL172" s="1152"/>
      <c r="IM172" s="1192"/>
      <c r="IN172" s="1151"/>
      <c r="IO172" s="1151"/>
      <c r="IP172" s="1151"/>
      <c r="IQ172" s="1151"/>
      <c r="IR172" s="844"/>
    </row>
    <row r="173" customFormat="false" ht="13.5" hidden="false" customHeight="false" outlineLevel="0" collapsed="false">
      <c r="A173" s="0" t="str">
        <f aca="false">+D173&amp;"Q"&amp;ROUNDUP(E173/3,0)</f>
        <v>2013Q1</v>
      </c>
      <c r="B173" s="0" t="n">
        <f aca="false">YEAR(C173)</f>
        <v>2013</v>
      </c>
      <c r="C173" s="1153" t="n">
        <f aca="false">EOMONTH(C172,0)+1</f>
        <v>41275</v>
      </c>
      <c r="D173" s="841" t="n">
        <f aca="false">+YEAR(C173)</f>
        <v>2013</v>
      </c>
      <c r="E173" s="807" t="n">
        <f aca="false">MONTH(C173)</f>
        <v>1</v>
      </c>
      <c r="F173" s="1154" t="e">
        <f aca="false">IF(G173="","",Holiday(D173,E173))</f>
        <v>#VALUE!</v>
      </c>
      <c r="G173" s="1155" t="n">
        <v>41275</v>
      </c>
      <c r="H173" s="1156" t="n">
        <v>41305</v>
      </c>
      <c r="I173" s="1157" t="n">
        <f aca="false">I172</f>
        <v>0.0715</v>
      </c>
      <c r="J173" s="1158" t="n">
        <f aca="false">(1+I173/2)^(-2*(DATE(D174,E174,20)-$H$7)/365.25)</f>
        <v>0.396015558807619</v>
      </c>
      <c r="K173" s="1159"/>
      <c r="L173" s="1158"/>
      <c r="M173" s="1082" t="n">
        <v>0</v>
      </c>
      <c r="N173" s="1110" t="n">
        <f aca="false">M173</f>
        <v>0</v>
      </c>
      <c r="O173" s="1174" t="n">
        <f aca="false">N173</f>
        <v>0</v>
      </c>
      <c r="P173" s="1175" t="n">
        <f aca="false">M173</f>
        <v>0</v>
      </c>
      <c r="Q173" s="1110" t="n">
        <f aca="false">P173</f>
        <v>0</v>
      </c>
      <c r="R173" s="1174" t="n">
        <f aca="false">Q173</f>
        <v>0</v>
      </c>
      <c r="S173" s="1110" t="n">
        <f aca="false">R173</f>
        <v>0</v>
      </c>
      <c r="T173" s="1110" t="n">
        <f aca="false">S173</f>
        <v>0</v>
      </c>
      <c r="U173" s="1110" t="n">
        <f aca="false">T173</f>
        <v>0</v>
      </c>
      <c r="V173" s="1175" t="n">
        <f aca="false">U173</f>
        <v>0</v>
      </c>
      <c r="W173" s="1110" t="n">
        <f aca="false">V173</f>
        <v>0</v>
      </c>
      <c r="X173" s="1176" t="n">
        <f aca="false">W173</f>
        <v>0</v>
      </c>
      <c r="Y173" s="1086" t="n">
        <v>0</v>
      </c>
      <c r="Z173" s="1086" t="n">
        <v>0</v>
      </c>
      <c r="AA173" s="1087" t="n">
        <v>0</v>
      </c>
      <c r="AB173" s="1086" t="n">
        <v>0</v>
      </c>
      <c r="AC173" s="1086" t="n">
        <v>0</v>
      </c>
      <c r="AD173" s="1087" t="n">
        <v>0</v>
      </c>
      <c r="AE173" s="1086" t="n">
        <v>0</v>
      </c>
      <c r="AF173" s="1086" t="n">
        <v>0</v>
      </c>
      <c r="AG173" s="1087" t="n">
        <v>0</v>
      </c>
      <c r="AH173" s="1086" t="n">
        <v>0</v>
      </c>
      <c r="AI173" s="1086" t="n">
        <v>0</v>
      </c>
      <c r="AJ173" s="1087" t="n">
        <v>0</v>
      </c>
      <c r="AK173" s="1086" t="n">
        <v>0</v>
      </c>
      <c r="AL173" s="1086" t="n">
        <v>0</v>
      </c>
      <c r="AM173" s="1087" t="n">
        <v>0</v>
      </c>
      <c r="AN173" s="1086" t="n">
        <v>0</v>
      </c>
      <c r="AO173" s="1086" t="n">
        <v>0</v>
      </c>
      <c r="AP173" s="1087" t="n">
        <v>0</v>
      </c>
      <c r="AQ173" s="1086" t="n">
        <v>0</v>
      </c>
      <c r="AR173" s="1086" t="n">
        <v>0</v>
      </c>
      <c r="AS173" s="1087" t="n">
        <v>0</v>
      </c>
      <c r="AT173" s="1086" t="n">
        <v>0</v>
      </c>
      <c r="AU173" s="1086" t="n">
        <v>0</v>
      </c>
      <c r="AV173" s="1086" t="n">
        <v>0</v>
      </c>
      <c r="AW173" s="1172" t="n">
        <v>0</v>
      </c>
      <c r="AX173" s="807" t="e">
        <f aca="false">BB173-SUM(AY173:BA173)</f>
        <v>#VALUE!</v>
      </c>
      <c r="AY173" s="807" t="e">
        <f aca="false">IF(AND($E173=MONTH(Summary!$E$24),$D173=YEAR(Summary!$E$24)),Summary!$E$25,1)*IF(G173="",0,INT((H173-MOD(H173,7)-G173)/7)+1-IF(BA173,IF(WEEKDAY(F173)=7,1,0),0))</f>
        <v>#VALUE!</v>
      </c>
      <c r="AZ173" s="807" t="e">
        <f aca="false">IF(AND($E173=MONTH(Summary!$E$24),$D173=YEAR(Summary!$E$24)),Summary!$E$25,1)*IF(G173="",0,INT((H173-MOD(H173-1,7)-G173)/7)+1-IF(BA173,IF(WEEKDAY(F173)=1,1,0),0))</f>
        <v>#VALUE!</v>
      </c>
      <c r="BA173" s="807" t="n">
        <v>1</v>
      </c>
      <c r="BB173" s="807" t="n">
        <f aca="false">IF(AND($E173=MONTH(Summary!$E$24),$D173=YEAR(Summary!$E$24)),Summary!$E$25,1)*IF(G173="",0,H173-G173+1)</f>
        <v>31</v>
      </c>
      <c r="BC173" s="1089" t="n">
        <f aca="false">Summary!$E$19</f>
        <v>0.015</v>
      </c>
      <c r="BD173" s="1090" t="n">
        <v>15602.4</v>
      </c>
      <c r="BE173" s="1091" t="n">
        <v>2836.8</v>
      </c>
      <c r="BF173" s="1091" t="n">
        <v>3546</v>
      </c>
      <c r="BG173" s="842"/>
      <c r="BH173" s="1092" t="n">
        <v>1</v>
      </c>
      <c r="BI173" s="1092" t="n">
        <v>1</v>
      </c>
      <c r="BJ173" s="1092" t="n">
        <v>1</v>
      </c>
      <c r="BK173" s="1092" t="n">
        <v>1</v>
      </c>
      <c r="BL173" s="1093" t="n">
        <v>3120.48</v>
      </c>
      <c r="BM173" s="1091" t="n">
        <v>567.36</v>
      </c>
      <c r="BN173" s="1091" t="n">
        <v>709.2</v>
      </c>
      <c r="BO173" s="842"/>
      <c r="BP173" s="1092" t="n">
        <v>1</v>
      </c>
      <c r="BQ173" s="1094" t="n">
        <v>1</v>
      </c>
      <c r="BR173" s="1094" t="n">
        <v>1</v>
      </c>
      <c r="BS173" s="1095" t="n">
        <v>1</v>
      </c>
      <c r="BT173" s="1093" t="n">
        <f aca="false">SUM(BD173:BF173)</f>
        <v>21985.2</v>
      </c>
      <c r="BU173" s="1098" t="n">
        <f aca="false">SUM(BD173:BG173)</f>
        <v>21985.2</v>
      </c>
      <c r="BV173" s="1090" t="n">
        <f aca="false">SUM(BL173:BN173)</f>
        <v>4397.04</v>
      </c>
      <c r="BW173" s="1098" t="n">
        <f aca="false">SUM(BL173:BO173)</f>
        <v>4397.04</v>
      </c>
      <c r="BX173" s="852" t="n">
        <v>13.0485968514716</v>
      </c>
      <c r="BY173" s="1099" t="n">
        <v>0</v>
      </c>
      <c r="BZ173" s="852" t="n">
        <v>0</v>
      </c>
      <c r="CA173" s="852" t="n">
        <v>0</v>
      </c>
      <c r="CB173" s="852" t="n">
        <v>0</v>
      </c>
      <c r="CC173" s="852" t="n">
        <v>0</v>
      </c>
      <c r="CD173" s="852" t="n">
        <v>0</v>
      </c>
      <c r="CE173" s="1100" t="n">
        <v>0</v>
      </c>
      <c r="CF173" s="852" t="n">
        <v>0</v>
      </c>
      <c r="CG173" s="852" t="n">
        <v>0</v>
      </c>
      <c r="CH173" s="852" t="n">
        <v>0</v>
      </c>
      <c r="CI173" s="852" t="n">
        <v>0</v>
      </c>
      <c r="CJ173" s="1101" t="n">
        <v>0</v>
      </c>
      <c r="CK173" s="852" t="n">
        <v>0</v>
      </c>
      <c r="CL173" s="852" t="n">
        <v>0</v>
      </c>
      <c r="CM173" s="852" t="n">
        <v>0</v>
      </c>
      <c r="CN173" s="852" t="n">
        <v>0</v>
      </c>
      <c r="CO173" s="852" t="n">
        <v>0</v>
      </c>
      <c r="CP173" s="852" t="n">
        <v>0</v>
      </c>
      <c r="CQ173" s="1102" t="n">
        <v>0</v>
      </c>
      <c r="CR173" s="1103" t="n">
        <v>0</v>
      </c>
      <c r="CS173" s="1103" t="n">
        <v>0</v>
      </c>
      <c r="CT173" s="1103" t="n">
        <v>0</v>
      </c>
      <c r="CU173" s="1103" t="n">
        <v>0</v>
      </c>
      <c r="CV173" s="1103" t="n">
        <v>0</v>
      </c>
      <c r="CW173" s="1103" t="n">
        <v>0</v>
      </c>
      <c r="CX173" s="1104" t="n">
        <v>0</v>
      </c>
      <c r="CY173" s="1105" t="n">
        <v>7734.58544</v>
      </c>
      <c r="CZ173" s="1099" t="n">
        <v>0</v>
      </c>
      <c r="DA173" s="852" t="n">
        <v>0</v>
      </c>
      <c r="DB173" s="852" t="n">
        <v>0</v>
      </c>
      <c r="DC173" s="852" t="n">
        <v>0</v>
      </c>
      <c r="DD173" s="852" t="n">
        <v>0</v>
      </c>
      <c r="DE173" s="1113" t="n">
        <v>0</v>
      </c>
      <c r="DF173" s="1109" t="n">
        <v>0</v>
      </c>
      <c r="DG173" s="1110" t="n">
        <v>0</v>
      </c>
      <c r="DH173" s="1111" t="n">
        <v>0</v>
      </c>
      <c r="DI173" s="1112" t="n">
        <v>0</v>
      </c>
      <c r="DJ173" s="1112" t="n">
        <v>0</v>
      </c>
      <c r="DK173" s="1112" t="n">
        <v>0</v>
      </c>
      <c r="DL173" s="1113" t="n">
        <v>0</v>
      </c>
      <c r="DM173" s="1114" t="n">
        <v>0</v>
      </c>
      <c r="DN173" s="1114" t="n">
        <v>0</v>
      </c>
      <c r="DO173" s="1114" t="n">
        <v>0</v>
      </c>
      <c r="DP173" s="1114" t="n">
        <v>0</v>
      </c>
      <c r="DQ173" s="1114" t="n">
        <v>0</v>
      </c>
      <c r="DR173" s="1109" t="n">
        <v>0</v>
      </c>
      <c r="DS173" s="852" t="n">
        <v>0</v>
      </c>
      <c r="DT173" s="852" t="n">
        <v>0</v>
      </c>
      <c r="DU173" s="852" t="n">
        <v>0</v>
      </c>
      <c r="DV173" s="852" t="n">
        <v>0</v>
      </c>
      <c r="DW173" s="852" t="n">
        <v>0</v>
      </c>
      <c r="DX173" s="852" t="n">
        <v>0</v>
      </c>
      <c r="DY173" s="852" t="n">
        <v>0</v>
      </c>
      <c r="DZ173" s="852" t="n">
        <v>0</v>
      </c>
      <c r="EA173" s="852" t="n">
        <v>0</v>
      </c>
      <c r="EB173" s="1113" t="n">
        <v>0</v>
      </c>
      <c r="EC173" s="1115" t="n">
        <f aca="false">DS173*BD173</f>
        <v>0</v>
      </c>
      <c r="ED173" s="1115" t="n">
        <f aca="false">DT173*BE173</f>
        <v>0</v>
      </c>
      <c r="EE173" s="1115" t="n">
        <f aca="false">DU173*BF173</f>
        <v>0</v>
      </c>
      <c r="EF173" s="1115" t="n">
        <f aca="false">DV173*BG173</f>
        <v>0</v>
      </c>
      <c r="EG173" s="1115" t="n">
        <f aca="false">DS173*BD173+DT173*BE173+DU173*BF173+DV173*BG173</f>
        <v>0</v>
      </c>
      <c r="EH173" s="1116" t="n">
        <v>0</v>
      </c>
      <c r="EI173" s="1117" t="n">
        <v>0</v>
      </c>
      <c r="EJ173" s="1117" t="n">
        <v>0</v>
      </c>
      <c r="EK173" s="1117" t="n">
        <v>0</v>
      </c>
      <c r="EL173" s="1118" t="n">
        <f aca="false">IF(C173&gt;=Summary!$E$26,MAX(0,SUM(EH173:EK173)),0)</f>
        <v>0</v>
      </c>
      <c r="EM173" s="1115" t="n">
        <f aca="false">IF(C173&gt;=Summary!$E$26,DX173*BL173,0)</f>
        <v>0</v>
      </c>
      <c r="EN173" s="1115" t="n">
        <f aca="false">IF(C173&gt;=Summary!$E$26,DY173*BM173,0)</f>
        <v>0</v>
      </c>
      <c r="EO173" s="1115" t="n">
        <f aca="false">IF(C173&gt;=Summary!$E$26,DZ173*BN173,0)</f>
        <v>0</v>
      </c>
      <c r="EP173" s="1115" t="n">
        <f aca="false">IF(C173&gt;=Summary!$E$26,EA173*BO173,0)</f>
        <v>0</v>
      </c>
      <c r="EQ173" s="1115" t="n">
        <f aca="false">IF(C173&gt;=Summary!$E$26,DX173*BL173+DY173*BM173+DZ173*BN173+EA173*BO173,0)</f>
        <v>0</v>
      </c>
      <c r="ER173" s="1119" t="n">
        <v>0</v>
      </c>
      <c r="ES173" s="1120" t="n">
        <v>0</v>
      </c>
      <c r="ET173" s="1120" t="n">
        <v>0</v>
      </c>
      <c r="EU173" s="1120" t="n">
        <v>0</v>
      </c>
      <c r="EV173" s="1143" t="n">
        <f aca="false">IF(C173&gt;=Summary!$E$26,MAX(0,SUM(ER173:EU173)),0)</f>
        <v>0</v>
      </c>
      <c r="EW173" s="1115"/>
      <c r="EX173" s="1165" t="n">
        <f aca="false">(EQ173-EV173)+IF(EZ173="Yes",(EG173-EL173),0)</f>
        <v>0</v>
      </c>
      <c r="EY173" s="1166" t="str">
        <f aca="false">IF(EX173,EX173/EQ173,"")</f>
        <v/>
      </c>
      <c r="EZ173" s="1122" t="s">
        <v>37</v>
      </c>
      <c r="FA173" s="1096" t="n">
        <f aca="false">FA172</f>
        <v>45</v>
      </c>
      <c r="FB173" s="1167" t="e">
        <f aca="false">IF(EZ173="No",IF((OR(MONTH(C173)=5,MONTH(C173)=6,MONTH(C173)=7,MONTH(C173)=8,MONTH(C173)=9)),$FA173*12*AX173*(1-$BC173),$FA173*10*AX173*(1-$BC173)),0)</f>
        <v>#VALUE!</v>
      </c>
      <c r="FC173" s="1129" t="e">
        <f aca="false">IF(EZ173="No",IF((OR(MONTH(C173)=5,MONTH(C173)=6,MONTH(C173)=7,MONTH(C173)=8,MONTH(C173)=9)),0,$FA173*3*AX173*(1-$BC173)),0)</f>
        <v>#VALUE!</v>
      </c>
      <c r="FD173" s="1129" t="e">
        <f aca="false">IF(EZ173="No",IF((OR(MONTH(C173)=5,MONTH(C173)=6,MONTH(C173)=7,MONTH(C173)=8,MONTH(C173)=9)),$FA173*12*AY173*(1-$BC173),$FA173*10*AY173*(1-$BC173)),0)</f>
        <v>#VALUE!</v>
      </c>
      <c r="FE173" s="1129" t="e">
        <f aca="false">IF(EZ173="No",IF((OR(MONTH(C173)=5,MONTH(C173)=6,MONTH(C173)=7,MONTH(C173)=8,MONTH(C173)=9)),0,$FA173*3*AY173*(1-$BC173)),0)</f>
        <v>#VALUE!</v>
      </c>
      <c r="FF173" s="1129" t="e">
        <f aca="false">IF(EZ173="No",IF((OR(MONTH(C173)=5,MONTH(C173)=6,MONTH(C173)=7,MONTH(C173)=8,MONTH(C173)=9)),$FA173*12*(AZ173+BA173)*(1-$BC173),$FA173*10*(AZ173+BA173)*(1-$BC173)),0)</f>
        <v>#VALUE!</v>
      </c>
      <c r="FG173" s="1129" t="e">
        <f aca="false">IF(EZ173="No",IF((OR(MONTH(C173)=5,MONTH(C173)=6,MONTH(C173)=7,MONTH(C173)=8,MONTH(C173)=9)),0,$FA173*3*(AZ173+BA173)*(1-$BC173)),0)</f>
        <v>#VALUE!</v>
      </c>
      <c r="FH173" s="1170" t="e">
        <f aca="false">IF(EZ173="No",IF((OR(MONTH(C173)=5,MONTH(C173)=6,MONTH(C173)=7,MONTH(C173)=8,MONTH(C173)=9)),Summary!$O$15*12*(AX173+AY173+AZ173+BA173)*(1-$BC173),Summary!$O$15*13*(AX173+AY173+AZ173+BA173)*(1-$BC173)+IF(Summary!$O$16="Yes",(CALC!FA173+Summary!$O$15)*6*(AX173+AY173+AZ173+BA173)*(1-$BC173),0)),0)</f>
        <v>#VALUE!</v>
      </c>
      <c r="FI173" s="1126" t="n">
        <f aca="false">IF(MONTH(C173)=5,FI172*(IF(Summary!$E$70="no",(1+(Summary!$E$71*0.8)),1+HLOOKUP(YEAR(C173)-1,CCFMODEL!$I$127:$AF$128,2)*0.8)),+FI172)</f>
        <v>36.2095483451476</v>
      </c>
      <c r="FJ173" s="1127" t="n">
        <f aca="false">IF(MONTH(C173)=5,FJ172*(IF(Summary!$E$70="no",(1+(Summary!$E$71*0.8)),1+HLOOKUP(YEAR(CALC!C173)-1,CCFMODEL!$I$127:$AF$128,2)*0.8)),FJ172)</f>
        <v>31.6477154827668</v>
      </c>
      <c r="FK173" s="1128" t="e">
        <f aca="false">SUM(FB173:FG173)*FI173+FH173*FJ173</f>
        <v>#VALUE!</v>
      </c>
      <c r="FL173" s="1126" t="n">
        <f aca="false">IF(MONTH(C173)=5,FL172*(IF(Summary!$E$70="no",(1+(Summary!$E$71*0.8)),1+HLOOKUP(YEAR(CALC!C173)-1,CCFMODEL!$I$127:$AF$128,2)*0.8)),+FL172)</f>
        <v>76.1527396580175</v>
      </c>
      <c r="FM173" s="1127" t="n">
        <f aca="false">IF(MONTH(C173)=5,FM172*(IF(Summary!$E$70="no",(1+(Summary!$E$71*0.8)),1+HLOOKUP(YEAR(CALC!C173)-1,CCFMODEL!$I$127:$AF$128,2)*0.8)),+FM172)</f>
        <v>36.3453171803375</v>
      </c>
      <c r="FN173" s="1128" t="e">
        <f aca="false">IF((OR(MONTH(C173)=5,MONTH(C173)=6,MONTH(C173)=7,MONTH(C173)=8,MONTH(C173)=9)),SUM(FB173:FG173)/(1-BC173)*FL173,SUM(FB173:FG173)/(1-BC173)*FM173)</f>
        <v>#VALUE!</v>
      </c>
      <c r="FO173" s="1129" t="e">
        <f aca="false">FK173+FN173</f>
        <v>#VALUE!</v>
      </c>
      <c r="FP173" s="1169" t="e">
        <f aca="false">FB173</f>
        <v>#VALUE!</v>
      </c>
      <c r="FQ173" s="1129" t="e">
        <f aca="false">FC173</f>
        <v>#VALUE!</v>
      </c>
      <c r="FR173" s="1129" t="e">
        <f aca="false">FD173</f>
        <v>#VALUE!</v>
      </c>
      <c r="FS173" s="1129" t="e">
        <f aca="false">FE173</f>
        <v>#VALUE!</v>
      </c>
      <c r="FT173" s="1129" t="e">
        <f aca="false">FF173</f>
        <v>#VALUE!</v>
      </c>
      <c r="FU173" s="1129" t="e">
        <f aca="false">FG173</f>
        <v>#VALUE!</v>
      </c>
      <c r="FV173" s="1170" t="e">
        <f aca="false">FH173</f>
        <v>#VALUE!</v>
      </c>
      <c r="FW173" s="1115" t="n">
        <f aca="false">IF(ER173&gt;0,MIN(FB173-FP173,BL173),0)</f>
        <v>0</v>
      </c>
      <c r="FX173" s="1115" t="n">
        <f aca="false">IF(ES173&gt;0,MIN(FD173-FR173,BM173),0)</f>
        <v>0</v>
      </c>
      <c r="FY173" s="1115" t="n">
        <f aca="false">IF(ET173&gt;0,MIN(FF173-FT173,BN173),0)</f>
        <v>0</v>
      </c>
      <c r="FZ173" s="1143" t="n">
        <f aca="false">IF(EU173&gt;0,MIN(FH173-FV173,BO173),0)</f>
        <v>0</v>
      </c>
      <c r="GA173" s="1132" t="e">
        <f aca="false">(SUM(FP173:FV173)+SUM(GU173:HB173)/(1-Summary!$O$25))*CY173/1000</f>
        <v>#VALUE!</v>
      </c>
      <c r="GB173" s="1133" t="n">
        <f aca="false">IF($C173&lt;Summary!$M$81,+Summary!$O$81,VLOOKUP(C173,GasTable,19))</f>
        <v>3.77390085998912</v>
      </c>
      <c r="GC173" s="1134" t="n">
        <f aca="false">IF(H173&lt;=Summary!$N$84,MIN(GA173,Summary!$O$75*(H173-G173+1)),0)</f>
        <v>0</v>
      </c>
      <c r="GD173" s="1135" t="n">
        <f aca="false">IF(C173&lt;Summary!$N$84,IF(Summary!$O$75*(H173-G173+1)*0.8&gt;GC173,1,0),0)</f>
        <v>0</v>
      </c>
      <c r="GE173" s="1136" t="n">
        <v>0</v>
      </c>
      <c r="GF173" s="1134" t="e">
        <f aca="false">ABS(MIN(0,GC173-$GA173))</f>
        <v>#VALUE!</v>
      </c>
      <c r="GG173" s="1135" t="e">
        <f aca="false">GF173*(IF(Summary!$O$74=1,VLOOKUP($C173,GasTable,16)+Summary!$O$92+Summary!$O$93,VLOOKUP($C173,GasTable,19)+Summary!$O$92+Summary!$O$93))</f>
        <v>#VALUE!</v>
      </c>
      <c r="GH173" s="1137" t="n">
        <v>5849.54633298313</v>
      </c>
      <c r="GI173" s="1138" t="n">
        <v>0</v>
      </c>
      <c r="GJ173" s="1139" t="e">
        <f aca="false">+GB173*GC173+GE173+GG173+GH173-GI173</f>
        <v>#VALUE!</v>
      </c>
      <c r="GK173" s="1115" t="e">
        <f aca="false">SUM(FP173:FV173,GU173:GX173,GY173:HB173)</f>
        <v>#VALUE!</v>
      </c>
      <c r="GL173" s="1140" t="n">
        <v>0.51821722448</v>
      </c>
      <c r="GM173" s="1141" t="e">
        <f aca="false">IF(GK173&gt;GC173/(CY173/1000),GC173/(CY173/1000),+GK173)*GL173</f>
        <v>#VALUE!</v>
      </c>
      <c r="GN173" s="1115" t="n">
        <f aca="false">IF(SUM(GU173:HB173)=0,0,IF(Summary!$O$16="Yes",SUM(GX173:HB173),IF(Summary!$O$17="Yes",SUM(GY173:HB173),SUM(GU173:HB173))))</f>
        <v>12199.03785</v>
      </c>
      <c r="GO173" s="1142" t="n">
        <v>3.49441348844265</v>
      </c>
      <c r="GP173" s="1143" t="n">
        <f aca="false">GN173*GO173</f>
        <v>42628.4824090624</v>
      </c>
      <c r="GQ173" s="1115"/>
      <c r="GR173" s="1115"/>
      <c r="GS173" s="1115"/>
      <c r="GT173" s="1115"/>
      <c r="GU173" s="1150" t="n">
        <v>5646.1185</v>
      </c>
      <c r="GV173" s="1115" t="n">
        <v>1026.567</v>
      </c>
      <c r="GW173" s="1115" t="n">
        <v>1283.20875</v>
      </c>
      <c r="GX173" s="1115"/>
      <c r="GY173" s="1151" t="n">
        <v>3011.2632</v>
      </c>
      <c r="GZ173" s="1115" t="n">
        <v>547.5024</v>
      </c>
      <c r="HA173" s="1115" t="n">
        <v>684.378</v>
      </c>
      <c r="HB173" s="1141"/>
      <c r="HC173" s="1115" t="n">
        <v>12199.03785</v>
      </c>
      <c r="HD173" s="1115"/>
      <c r="HE173" s="1115" t="n">
        <v>20950.521525</v>
      </c>
      <c r="HF173" s="1115" t="n">
        <v>612777.938081706</v>
      </c>
      <c r="HG173" s="1115"/>
      <c r="HH173" s="1142" t="n">
        <v>49.8470059610042</v>
      </c>
      <c r="HI173" s="1115" t="n">
        <v>1044320.77134282</v>
      </c>
      <c r="HJ173" s="1150" t="e">
        <f aca="false">MAX(FB173-FP173-FW173,0)</f>
        <v>#VALUE!</v>
      </c>
      <c r="HK173" s="1115" t="e">
        <f aca="false">MAX(FD173-FR173-FX173,0)</f>
        <v>#VALUE!</v>
      </c>
      <c r="HL173" s="1115" t="e">
        <f aca="false">MAX(FF173-FT173-FY173,0)</f>
        <v>#VALUE!</v>
      </c>
      <c r="HM173" s="1141" t="e">
        <f aca="false">MAX(FH173-FV173-FZ173,0)</f>
        <v>#VALUE!</v>
      </c>
      <c r="HN173" s="1115" t="e">
        <f aca="false">SUM(HJ173:HM173)</f>
        <v>#VALUE!</v>
      </c>
      <c r="HO173" s="1142" t="n">
        <f aca="false">IF(ISERROR(+HP173/HN173),0,+HP173/HN173)</f>
        <v>0</v>
      </c>
      <c r="HP173" s="1143" t="e">
        <f aca="false">(HJ173*CE173+HK173*CF173+HL173*CG173+HM173*CH173)</f>
        <v>#VALUE!</v>
      </c>
      <c r="HQ173" s="1142"/>
      <c r="HR173" s="1150"/>
      <c r="HS173" s="1110"/>
      <c r="HT173" s="1141"/>
      <c r="HU173" s="1151"/>
      <c r="HV173" s="1142"/>
      <c r="HW173" s="1115"/>
      <c r="HX173" s="1149"/>
      <c r="HY173" s="1143"/>
      <c r="HZ173" s="1150"/>
      <c r="IA173" s="1142"/>
      <c r="IB173" s="1141"/>
      <c r="IC173" s="1151"/>
      <c r="ID173" s="1142"/>
      <c r="IE173" s="1141"/>
      <c r="IF173" s="1115"/>
      <c r="IG173" s="1142"/>
      <c r="IH173" s="1141"/>
      <c r="II173" s="1115"/>
      <c r="IJ173" s="1142"/>
      <c r="IK173" s="1115"/>
      <c r="IL173" s="1152"/>
      <c r="IM173" s="1192"/>
      <c r="IN173" s="1151"/>
      <c r="IO173" s="1151"/>
      <c r="IP173" s="1151"/>
      <c r="IQ173" s="1151"/>
      <c r="IR173" s="844"/>
    </row>
    <row r="174" customFormat="false" ht="13.5" hidden="false" customHeight="false" outlineLevel="0" collapsed="false">
      <c r="A174" s="0" t="str">
        <f aca="false">+D174&amp;"Q"&amp;ROUNDUP(E174/3,0)</f>
        <v>2013Q1</v>
      </c>
      <c r="B174" s="0" t="n">
        <f aca="false">YEAR(C174)</f>
        <v>2013</v>
      </c>
      <c r="C174" s="1153" t="n">
        <f aca="false">EOMONTH(C173,0)+1</f>
        <v>41306</v>
      </c>
      <c r="D174" s="841" t="n">
        <f aca="false">+YEAR(C174)</f>
        <v>2013</v>
      </c>
      <c r="E174" s="807" t="n">
        <f aca="false">MONTH(C174)</f>
        <v>2</v>
      </c>
      <c r="F174" s="1154" t="e">
        <f aca="false">IF(G174="","",Holiday(D174,E174))</f>
        <v>#VALUE!</v>
      </c>
      <c r="G174" s="1155" t="n">
        <v>41306</v>
      </c>
      <c r="H174" s="1156" t="n">
        <v>41333</v>
      </c>
      <c r="I174" s="1157" t="n">
        <f aca="false">I173</f>
        <v>0.0715</v>
      </c>
      <c r="J174" s="1158" t="n">
        <f aca="false">(1+I174/2)^(-2*(DATE(D175,E175,20)-$H$7)/365.25)</f>
        <v>0.39388855932771</v>
      </c>
      <c r="K174" s="1159"/>
      <c r="L174" s="1158"/>
      <c r="M174" s="1082" t="n">
        <v>0</v>
      </c>
      <c r="N174" s="1110" t="n">
        <f aca="false">M174</f>
        <v>0</v>
      </c>
      <c r="O174" s="1174" t="n">
        <f aca="false">N174</f>
        <v>0</v>
      </c>
      <c r="P174" s="1175" t="n">
        <f aca="false">M174</f>
        <v>0</v>
      </c>
      <c r="Q174" s="1110" t="n">
        <f aca="false">P174</f>
        <v>0</v>
      </c>
      <c r="R174" s="1174" t="n">
        <f aca="false">Q174</f>
        <v>0</v>
      </c>
      <c r="S174" s="1110" t="n">
        <f aca="false">R174</f>
        <v>0</v>
      </c>
      <c r="T174" s="1110" t="n">
        <f aca="false">S174</f>
        <v>0</v>
      </c>
      <c r="U174" s="1110" t="n">
        <f aca="false">T174</f>
        <v>0</v>
      </c>
      <c r="V174" s="1175" t="n">
        <f aca="false">U174</f>
        <v>0</v>
      </c>
      <c r="W174" s="1110" t="n">
        <f aca="false">V174</f>
        <v>0</v>
      </c>
      <c r="X174" s="1176" t="n">
        <f aca="false">W174</f>
        <v>0</v>
      </c>
      <c r="Y174" s="1086" t="n">
        <v>0</v>
      </c>
      <c r="Z174" s="1086" t="n">
        <v>0</v>
      </c>
      <c r="AA174" s="1087" t="n">
        <v>0</v>
      </c>
      <c r="AB174" s="1086" t="n">
        <v>0</v>
      </c>
      <c r="AC174" s="1086" t="n">
        <v>0</v>
      </c>
      <c r="AD174" s="1087" t="n">
        <v>0</v>
      </c>
      <c r="AE174" s="1086" t="n">
        <v>0</v>
      </c>
      <c r="AF174" s="1086" t="n">
        <v>0</v>
      </c>
      <c r="AG174" s="1087" t="n">
        <v>0</v>
      </c>
      <c r="AH174" s="1086" t="n">
        <v>0</v>
      </c>
      <c r="AI174" s="1086" t="n">
        <v>0</v>
      </c>
      <c r="AJ174" s="1087" t="n">
        <v>0</v>
      </c>
      <c r="AK174" s="1086" t="n">
        <v>0</v>
      </c>
      <c r="AL174" s="1086" t="n">
        <v>0</v>
      </c>
      <c r="AM174" s="1087" t="n">
        <v>0</v>
      </c>
      <c r="AN174" s="1086" t="n">
        <v>0</v>
      </c>
      <c r="AO174" s="1086" t="n">
        <v>0</v>
      </c>
      <c r="AP174" s="1087" t="n">
        <v>0</v>
      </c>
      <c r="AQ174" s="1086" t="n">
        <v>0</v>
      </c>
      <c r="AR174" s="1086" t="n">
        <v>0</v>
      </c>
      <c r="AS174" s="1087" t="n">
        <v>0</v>
      </c>
      <c r="AT174" s="1086" t="n">
        <v>0</v>
      </c>
      <c r="AU174" s="1086" t="n">
        <v>0</v>
      </c>
      <c r="AV174" s="1086" t="n">
        <v>0</v>
      </c>
      <c r="AW174" s="1172" t="n">
        <v>0</v>
      </c>
      <c r="AX174" s="807" t="n">
        <f aca="false">BB174-SUM(AY174:BA174)</f>
        <v>20</v>
      </c>
      <c r="AY174" s="807" t="n">
        <f aca="false">IF(AND($E174=MONTH(Summary!$E$24),$D174=YEAR(Summary!$E$24)),Summary!$E$25,1)*IF(G174="",0,INT((H174-MOD(H174,7)-G174)/7)+1-IF(BA174,IF(WEEKDAY(F174)=7,1,0),0))</f>
        <v>4</v>
      </c>
      <c r="AZ174" s="807" t="n">
        <f aca="false">IF(AND($E174=MONTH(Summary!$E$24),$D174=YEAR(Summary!$E$24)),Summary!$E$25,1)*IF(G174="",0,INT((H174-MOD(H174-1,7)-G174)/7)+1-IF(BA174,IF(WEEKDAY(F174)=1,1,0),0))</f>
        <v>4</v>
      </c>
      <c r="BA174" s="807" t="n">
        <v>0</v>
      </c>
      <c r="BB174" s="807" t="n">
        <f aca="false">IF(AND($E174=MONTH(Summary!$E$24),$D174=YEAR(Summary!$E$24)),Summary!$E$25,1)*IF(G174="",0,H174-G174+1)</f>
        <v>28</v>
      </c>
      <c r="BC174" s="1089" t="n">
        <f aca="false">Summary!$E$19</f>
        <v>0.015</v>
      </c>
      <c r="BD174" s="1090" t="n">
        <v>14184</v>
      </c>
      <c r="BE174" s="1091" t="n">
        <v>2836.8</v>
      </c>
      <c r="BF174" s="1091" t="n">
        <v>2836.8</v>
      </c>
      <c r="BG174" s="842"/>
      <c r="BH174" s="1092" t="n">
        <v>1</v>
      </c>
      <c r="BI174" s="1092" t="n">
        <v>1</v>
      </c>
      <c r="BJ174" s="1092" t="n">
        <v>1</v>
      </c>
      <c r="BK174" s="1092" t="n">
        <v>1</v>
      </c>
      <c r="BL174" s="1093" t="n">
        <v>2836.8</v>
      </c>
      <c r="BM174" s="1091" t="n">
        <v>567.36</v>
      </c>
      <c r="BN174" s="1091" t="n">
        <v>567.36</v>
      </c>
      <c r="BO174" s="842"/>
      <c r="BP174" s="1092" t="n">
        <v>1</v>
      </c>
      <c r="BQ174" s="1094" t="n">
        <v>1</v>
      </c>
      <c r="BR174" s="1094" t="n">
        <v>1</v>
      </c>
      <c r="BS174" s="1095" t="n">
        <v>1</v>
      </c>
      <c r="BT174" s="1093" t="n">
        <f aca="false">SUM(BD174:BF174)</f>
        <v>19857.6</v>
      </c>
      <c r="BU174" s="1098" t="n">
        <f aca="false">SUM(BD174:BG174)</f>
        <v>19857.6</v>
      </c>
      <c r="BV174" s="1090" t="n">
        <f aca="false">SUM(BL174:BN174)</f>
        <v>3971.52</v>
      </c>
      <c r="BW174" s="1098" t="n">
        <f aca="false">SUM(BL174:BO174)</f>
        <v>3971.52</v>
      </c>
      <c r="BX174" s="852" t="n">
        <v>13.1334702258727</v>
      </c>
      <c r="BY174" s="1099" t="n">
        <v>0</v>
      </c>
      <c r="BZ174" s="852" t="n">
        <v>0</v>
      </c>
      <c r="CA174" s="852" t="n">
        <v>0</v>
      </c>
      <c r="CB174" s="852" t="n">
        <v>0</v>
      </c>
      <c r="CC174" s="852" t="n">
        <v>0</v>
      </c>
      <c r="CD174" s="852" t="n">
        <v>0</v>
      </c>
      <c r="CE174" s="1100" t="n">
        <v>0</v>
      </c>
      <c r="CF174" s="852" t="n">
        <v>0</v>
      </c>
      <c r="CG174" s="852" t="n">
        <v>0</v>
      </c>
      <c r="CH174" s="852" t="n">
        <v>0</v>
      </c>
      <c r="CI174" s="852" t="n">
        <v>0</v>
      </c>
      <c r="CJ174" s="1101" t="n">
        <v>0</v>
      </c>
      <c r="CK174" s="852" t="n">
        <v>0</v>
      </c>
      <c r="CL174" s="852" t="n">
        <v>0</v>
      </c>
      <c r="CM174" s="852" t="n">
        <v>0</v>
      </c>
      <c r="CN174" s="852" t="n">
        <v>0</v>
      </c>
      <c r="CO174" s="852" t="n">
        <v>0</v>
      </c>
      <c r="CP174" s="852" t="n">
        <v>0</v>
      </c>
      <c r="CQ174" s="1102" t="n">
        <v>0</v>
      </c>
      <c r="CR174" s="1103" t="n">
        <v>0</v>
      </c>
      <c r="CS174" s="1103" t="n">
        <v>0</v>
      </c>
      <c r="CT174" s="1103" t="n">
        <v>0</v>
      </c>
      <c r="CU174" s="1103" t="n">
        <v>0</v>
      </c>
      <c r="CV174" s="1103" t="n">
        <v>0</v>
      </c>
      <c r="CW174" s="1103" t="n">
        <v>0</v>
      </c>
      <c r="CX174" s="1104" t="n">
        <v>0</v>
      </c>
      <c r="CY174" s="1105" t="n">
        <v>7735.88832</v>
      </c>
      <c r="CZ174" s="1099" t="n">
        <v>0</v>
      </c>
      <c r="DA174" s="852" t="n">
        <v>0</v>
      </c>
      <c r="DB174" s="852" t="n">
        <v>0</v>
      </c>
      <c r="DC174" s="852" t="n">
        <v>0</v>
      </c>
      <c r="DD174" s="852" t="n">
        <v>0</v>
      </c>
      <c r="DE174" s="1113" t="n">
        <v>0</v>
      </c>
      <c r="DF174" s="1109" t="n">
        <v>0</v>
      </c>
      <c r="DG174" s="1110" t="n">
        <v>0</v>
      </c>
      <c r="DH174" s="1111" t="n">
        <v>0</v>
      </c>
      <c r="DI174" s="1112" t="n">
        <v>0</v>
      </c>
      <c r="DJ174" s="1112" t="n">
        <v>0</v>
      </c>
      <c r="DK174" s="1112" t="n">
        <v>0</v>
      </c>
      <c r="DL174" s="1113" t="n">
        <v>0</v>
      </c>
      <c r="DM174" s="1114" t="n">
        <v>0</v>
      </c>
      <c r="DN174" s="1114" t="n">
        <v>0</v>
      </c>
      <c r="DO174" s="1114" t="n">
        <v>0</v>
      </c>
      <c r="DP174" s="1114" t="n">
        <v>0</v>
      </c>
      <c r="DQ174" s="1114" t="n">
        <v>0</v>
      </c>
      <c r="DR174" s="1109" t="n">
        <v>0</v>
      </c>
      <c r="DS174" s="852" t="n">
        <v>0</v>
      </c>
      <c r="DT174" s="852" t="n">
        <v>0</v>
      </c>
      <c r="DU174" s="852" t="n">
        <v>0</v>
      </c>
      <c r="DV174" s="852" t="n">
        <v>0</v>
      </c>
      <c r="DW174" s="852" t="n">
        <v>0</v>
      </c>
      <c r="DX174" s="852" t="n">
        <v>0</v>
      </c>
      <c r="DY174" s="852" t="n">
        <v>0</v>
      </c>
      <c r="DZ174" s="852" t="n">
        <v>0</v>
      </c>
      <c r="EA174" s="852" t="n">
        <v>0</v>
      </c>
      <c r="EB174" s="1113" t="n">
        <v>0</v>
      </c>
      <c r="EC174" s="1115" t="n">
        <f aca="false">DS174*BD174</f>
        <v>0</v>
      </c>
      <c r="ED174" s="1115" t="n">
        <f aca="false">DT174*BE174</f>
        <v>0</v>
      </c>
      <c r="EE174" s="1115" t="n">
        <f aca="false">DU174*BF174</f>
        <v>0</v>
      </c>
      <c r="EF174" s="1115" t="n">
        <f aca="false">DV174*BG174</f>
        <v>0</v>
      </c>
      <c r="EG174" s="1115" t="n">
        <f aca="false">DS174*BD174+DT174*BE174+DU174*BF174+DV174*BG174</f>
        <v>0</v>
      </c>
      <c r="EH174" s="1116" t="n">
        <v>0</v>
      </c>
      <c r="EI174" s="1117" t="n">
        <v>0</v>
      </c>
      <c r="EJ174" s="1117" t="n">
        <v>0</v>
      </c>
      <c r="EK174" s="1117" t="n">
        <v>0</v>
      </c>
      <c r="EL174" s="1118" t="n">
        <f aca="false">IF(C174&gt;=Summary!$E$26,MAX(0,SUM(EH174:EK174)),0)</f>
        <v>0</v>
      </c>
      <c r="EM174" s="1115" t="n">
        <f aca="false">IF(C174&gt;=Summary!$E$26,DX174*BL174,0)</f>
        <v>0</v>
      </c>
      <c r="EN174" s="1115" t="n">
        <f aca="false">IF(C174&gt;=Summary!$E$26,DY174*BM174,0)</f>
        <v>0</v>
      </c>
      <c r="EO174" s="1115" t="n">
        <f aca="false">IF(C174&gt;=Summary!$E$26,DZ174*BN174,0)</f>
        <v>0</v>
      </c>
      <c r="EP174" s="1115" t="n">
        <f aca="false">IF(C174&gt;=Summary!$E$26,EA174*BO174,0)</f>
        <v>0</v>
      </c>
      <c r="EQ174" s="1115" t="n">
        <f aca="false">IF(C174&gt;=Summary!$E$26,DX174*BL174+DY174*BM174+DZ174*BN174+EA174*BO174,0)</f>
        <v>0</v>
      </c>
      <c r="ER174" s="1119" t="n">
        <v>0</v>
      </c>
      <c r="ES174" s="1120" t="n">
        <v>0</v>
      </c>
      <c r="ET174" s="1120" t="n">
        <v>0</v>
      </c>
      <c r="EU174" s="1120" t="n">
        <v>0</v>
      </c>
      <c r="EV174" s="1143" t="n">
        <f aca="false">IF(C174&gt;=Summary!$E$26,MAX(0,SUM(ER174:EU174)),0)</f>
        <v>0</v>
      </c>
      <c r="EW174" s="1115"/>
      <c r="EX174" s="1165" t="n">
        <f aca="false">(EQ174-EV174)+IF(EZ174="Yes",(EG174-EL174),0)</f>
        <v>0</v>
      </c>
      <c r="EY174" s="1166" t="str">
        <f aca="false">IF(EX174,EX174/EQ174,"")</f>
        <v/>
      </c>
      <c r="EZ174" s="1122" t="s">
        <v>37</v>
      </c>
      <c r="FA174" s="1096" t="n">
        <f aca="false">FA173</f>
        <v>45</v>
      </c>
      <c r="FB174" s="1167" t="n">
        <f aca="false">IF(EZ174="No",IF((OR(MONTH(C174)=5,MONTH(C174)=6,MONTH(C174)=7,MONTH(C174)=8,MONTH(C174)=9)),$FA174*12*AX174*(1-$BC174),$FA174*10*AX174*(1-$BC174)),0)</f>
        <v>8865</v>
      </c>
      <c r="FC174" s="1129" t="n">
        <f aca="false">IF(EZ174="No",IF((OR(MONTH(C174)=5,MONTH(C174)=6,MONTH(C174)=7,MONTH(C174)=8,MONTH(C174)=9)),0,$FA174*3*AX174*(1-$BC174)),0)</f>
        <v>2659.5</v>
      </c>
      <c r="FD174" s="1129" t="n">
        <f aca="false">IF(EZ174="No",IF((OR(MONTH(C174)=5,MONTH(C174)=6,MONTH(C174)=7,MONTH(C174)=8,MONTH(C174)=9)),$FA174*12*AY174*(1-$BC174),$FA174*10*AY174*(1-$BC174)),0)</f>
        <v>1773</v>
      </c>
      <c r="FE174" s="1129" t="n">
        <f aca="false">IF(EZ174="No",IF((OR(MONTH(C174)=5,MONTH(C174)=6,MONTH(C174)=7,MONTH(C174)=8,MONTH(C174)=9)),0,$FA174*3*AY174*(1-$BC174)),0)</f>
        <v>531.9</v>
      </c>
      <c r="FF174" s="1129" t="n">
        <f aca="false">IF(EZ174="No",IF((OR(MONTH(C174)=5,MONTH(C174)=6,MONTH(C174)=7,MONTH(C174)=8,MONTH(C174)=9)),$FA174*12*(AZ174+BA174)*(1-$BC174),$FA174*10*(AZ174+BA174)*(1-$BC174)),0)</f>
        <v>1773</v>
      </c>
      <c r="FG174" s="1129" t="n">
        <f aca="false">IF(EZ174="No",IF((OR(MONTH(C174)=5,MONTH(C174)=6,MONTH(C174)=7,MONTH(C174)=8,MONTH(C174)=9)),0,$FA174*3*(AZ174+BA174)*(1-$BC174)),0)</f>
        <v>531.9</v>
      </c>
      <c r="FH174" s="1170" t="n">
        <f aca="false">IF(EZ174="No",IF((OR(MONTH(C174)=5,MONTH(C174)=6,MONTH(C174)=7,MONTH(C174)=8,MONTH(C174)=9)),Summary!$O$15*12*(AX174+AY174+AZ174+BA174)*(1-$BC174),Summary!$O$15*13*(AX174+AY174+AZ174+BA174)*(1-$BC174)+IF(Summary!$O$16="Yes",(CALC!FA174+Summary!$O$15)*6*(AX174+AY174+AZ174+BA174)*(1-$BC174),0)),0)</f>
        <v>0</v>
      </c>
      <c r="FI174" s="1126" t="n">
        <f aca="false">IF(MONTH(C174)=5,FI173*(IF(Summary!$E$70="no",(1+(Summary!$E$71*0.8)),1+HLOOKUP(YEAR(C174)-1,CCFMODEL!$I$127:$AF$128,2)*0.8)),+FI173)</f>
        <v>36.2095483451476</v>
      </c>
      <c r="FJ174" s="1127" t="n">
        <f aca="false">IF(MONTH(C174)=5,FJ173*(IF(Summary!$E$70="no",(1+(Summary!$E$71*0.8)),1+HLOOKUP(YEAR(CALC!C174)-1,CCFMODEL!$I$127:$AF$128,2)*0.8)),FJ173)</f>
        <v>31.6477154827668</v>
      </c>
      <c r="FK174" s="1128" t="n">
        <f aca="false">SUM(FB174:FG174)*FI174+FH174*FJ174</f>
        <v>584215.715865114</v>
      </c>
      <c r="FL174" s="1126" t="n">
        <f aca="false">IF(MONTH(C174)=5,FL173*(IF(Summary!$E$70="no",(1+(Summary!$E$71*0.8)),1+HLOOKUP(YEAR(CALC!C174)-1,CCFMODEL!$I$127:$AF$128,2)*0.8)),+FL173)</f>
        <v>76.1527396580175</v>
      </c>
      <c r="FM174" s="1127" t="n">
        <f aca="false">IF(MONTH(C174)=5,FM173*(IF(Summary!$E$70="no",(1+(Summary!$E$71*0.8)),1+HLOOKUP(YEAR(CALC!C174)-1,CCFMODEL!$I$127:$AF$128,2)*0.8)),+FM173)</f>
        <v>36.3453171803375</v>
      </c>
      <c r="FN174" s="1128" t="n">
        <f aca="false">IF((OR(MONTH(C174)=5,MONTH(C174)=6,MONTH(C174)=7,MONTH(C174)=8,MONTH(C174)=9)),SUM(FB174:FG174)/(1-BC174)*FL174,SUM(FB174:FG174)/(1-BC174)*FM174)</f>
        <v>595336.295413928</v>
      </c>
      <c r="FO174" s="1129" t="n">
        <f aca="false">FK174+FN174</f>
        <v>1179552.01127904</v>
      </c>
      <c r="FP174" s="1169" t="n">
        <f aca="false">FB174</f>
        <v>8865</v>
      </c>
      <c r="FQ174" s="1129" t="n">
        <f aca="false">FC174</f>
        <v>2659.5</v>
      </c>
      <c r="FR174" s="1129" t="n">
        <f aca="false">FD174</f>
        <v>1773</v>
      </c>
      <c r="FS174" s="1129" t="n">
        <f aca="false">FE174</f>
        <v>531.9</v>
      </c>
      <c r="FT174" s="1129" t="n">
        <f aca="false">FF174</f>
        <v>1773</v>
      </c>
      <c r="FU174" s="1129" t="n">
        <f aca="false">FG174</f>
        <v>531.9</v>
      </c>
      <c r="FV174" s="1170" t="n">
        <f aca="false">FH174</f>
        <v>0</v>
      </c>
      <c r="FW174" s="1115" t="n">
        <f aca="false">IF(ER174&gt;0,MIN(FB174-FP174,BL174),0)</f>
        <v>0</v>
      </c>
      <c r="FX174" s="1115" t="n">
        <f aca="false">IF(ES174&gt;0,MIN(FD174-FR174,BM174),0)</f>
        <v>0</v>
      </c>
      <c r="FY174" s="1115" t="n">
        <f aca="false">IF(ET174&gt;0,MIN(FF174-FT174,BN174),0)</f>
        <v>0</v>
      </c>
      <c r="FZ174" s="1143" t="n">
        <f aca="false">IF(EU174&gt;0,MIN(FH174-FV174,BO174),0)</f>
        <v>0</v>
      </c>
      <c r="GA174" s="1132" t="n">
        <f aca="false">(SUM(FP174:FV174)+SUM(GU174:HB174)/(1-Summary!$O$25))*CY174/1000</f>
        <v>213142.444065734</v>
      </c>
      <c r="GB174" s="1133" t="n">
        <f aca="false">IF($C174&lt;Summary!$M$81,+Summary!$O$81,VLOOKUP(C174,GasTable,19))</f>
        <v>3.48563987171786</v>
      </c>
      <c r="GC174" s="1134" t="n">
        <f aca="false">IF(H174&lt;=Summary!$N$84,MIN(GA174,Summary!$O$75*(H174-G174+1)),0)</f>
        <v>0</v>
      </c>
      <c r="GD174" s="1135" t="n">
        <f aca="false">IF(C174&lt;Summary!$N$84,IF(Summary!$O$75*(H174-G174+1)*0.8&gt;GC174,1,0),0)</f>
        <v>0</v>
      </c>
      <c r="GE174" s="1136" t="n">
        <v>0</v>
      </c>
      <c r="GF174" s="1134" t="n">
        <f aca="false">ABS(MIN(0,GC174-$GA174))</f>
        <v>213142.444065734</v>
      </c>
      <c r="GG174" s="1135" t="n">
        <f aca="false">GF174*(IF(Summary!$O$74=1,VLOOKUP($C174,GasTable,16)+Summary!$O$92+Summary!$O$93,VLOOKUP($C174,GasTable,19)+Summary!$O$92+Summary!$O$93))</f>
        <v>754042.522726741</v>
      </c>
      <c r="GH174" s="1137" t="n">
        <v>4879.895820405</v>
      </c>
      <c r="GI174" s="1138" t="n">
        <v>0</v>
      </c>
      <c r="GJ174" s="1139" t="n">
        <f aca="false">+GB174*GC174+GE174+GG174+GH174-GI174</f>
        <v>758922.418547146</v>
      </c>
      <c r="GK174" s="1115" t="n">
        <f aca="false">SUM(FP174:FV174,GU174:GX174,GY174:HB174)</f>
        <v>27152.7858</v>
      </c>
      <c r="GL174" s="1140" t="n">
        <v>0.51830451744</v>
      </c>
      <c r="GM174" s="1141" t="n">
        <f aca="false">IF(GK174&gt;GC174/(CY174/1000),GC174/(CY174/1000),+GK174)*GL174</f>
        <v>0</v>
      </c>
      <c r="GN174" s="1115" t="n">
        <f aca="false">IF(SUM(GU174:HB174)=0,0,IF(Summary!$O$16="Yes",SUM(GX174:HB174),IF(Summary!$O$17="Yes",SUM(GY174:HB174),SUM(GU174:HB174))))</f>
        <v>11018.4858</v>
      </c>
      <c r="GO174" s="1142" t="n">
        <v>3.49441348844265</v>
      </c>
      <c r="GP174" s="1143" t="n">
        <f aca="false">GN174*GO174</f>
        <v>38503.1454017338</v>
      </c>
      <c r="GQ174" s="1115"/>
      <c r="GR174" s="1115"/>
      <c r="GS174" s="1115"/>
      <c r="GT174" s="1115"/>
      <c r="GU174" s="1150" t="n">
        <v>5132.835</v>
      </c>
      <c r="GV174" s="1115" t="n">
        <v>1026.567</v>
      </c>
      <c r="GW174" s="1115" t="n">
        <v>1026.567</v>
      </c>
      <c r="GX174" s="1115"/>
      <c r="GY174" s="1151" t="n">
        <v>2737.512</v>
      </c>
      <c r="GZ174" s="1115" t="n">
        <v>547.5024</v>
      </c>
      <c r="HA174" s="1115" t="n">
        <v>547.5024</v>
      </c>
      <c r="HB174" s="1141"/>
      <c r="HC174" s="1115" t="n">
        <v>11018.4858</v>
      </c>
      <c r="HD174" s="1115"/>
      <c r="HE174" s="1115" t="n">
        <v>18923.0517</v>
      </c>
      <c r="HF174" s="1115" t="n">
        <v>453812.126848449</v>
      </c>
      <c r="HG174" s="1115"/>
      <c r="HH174" s="1142" t="n">
        <v>40.878938785433</v>
      </c>
      <c r="HI174" s="1115" t="n">
        <v>773554.272077883</v>
      </c>
      <c r="HJ174" s="1150" t="n">
        <f aca="false">MAX(FB174-FP174-FW174,0)</f>
        <v>0</v>
      </c>
      <c r="HK174" s="1115" t="n">
        <f aca="false">MAX(FD174-FR174-FX174,0)</f>
        <v>0</v>
      </c>
      <c r="HL174" s="1115" t="n">
        <f aca="false">MAX(FF174-FT174-FY174,0)</f>
        <v>0</v>
      </c>
      <c r="HM174" s="1141" t="n">
        <f aca="false">MAX(FH174-FV174-FZ174,0)</f>
        <v>0</v>
      </c>
      <c r="HN174" s="1115" t="n">
        <f aca="false">SUM(HJ174:HM174)</f>
        <v>0</v>
      </c>
      <c r="HO174" s="1142" t="n">
        <f aca="false">IF(ISERROR(+HP174/HN174),0,+HP174/HN174)</f>
        <v>0</v>
      </c>
      <c r="HP174" s="1143" t="n">
        <f aca="false">(HJ174*CE174+HK174*CF174+HL174*CG174+HM174*CH174)</f>
        <v>0</v>
      </c>
      <c r="HQ174" s="1142"/>
      <c r="HR174" s="1150"/>
      <c r="HS174" s="1110"/>
      <c r="HT174" s="1141"/>
      <c r="HU174" s="1151"/>
      <c r="HV174" s="1142"/>
      <c r="HW174" s="1115"/>
      <c r="HX174" s="1149"/>
      <c r="HY174" s="1143"/>
      <c r="HZ174" s="1150"/>
      <c r="IA174" s="1142"/>
      <c r="IB174" s="1141"/>
      <c r="IC174" s="1151"/>
      <c r="ID174" s="1142"/>
      <c r="IE174" s="1141"/>
      <c r="IF174" s="1115"/>
      <c r="IG174" s="1142"/>
      <c r="IH174" s="1141"/>
      <c r="II174" s="1115"/>
      <c r="IJ174" s="1142"/>
      <c r="IK174" s="1115"/>
      <c r="IL174" s="1152"/>
      <c r="IM174" s="1192"/>
      <c r="IN174" s="1151"/>
      <c r="IO174" s="1151"/>
      <c r="IP174" s="1151"/>
      <c r="IQ174" s="1151"/>
      <c r="IR174" s="844"/>
    </row>
    <row r="175" customFormat="false" ht="13.5" hidden="false" customHeight="false" outlineLevel="0" collapsed="false">
      <c r="A175" s="0" t="str">
        <f aca="false">+D175&amp;"Q"&amp;ROUNDUP(E175/3,0)</f>
        <v>2013Q1</v>
      </c>
      <c r="B175" s="0" t="n">
        <f aca="false">YEAR(C175)</f>
        <v>2013</v>
      </c>
      <c r="C175" s="1153" t="n">
        <f aca="false">EOMONTH(C174,0)+1</f>
        <v>41334</v>
      </c>
      <c r="D175" s="841" t="n">
        <f aca="false">+YEAR(C175)</f>
        <v>2013</v>
      </c>
      <c r="E175" s="807" t="n">
        <f aca="false">MONTH(C175)</f>
        <v>3</v>
      </c>
      <c r="F175" s="1154" t="e">
        <f aca="false">IF(G175="","",Holiday(D175,E175))</f>
        <v>#VALUE!</v>
      </c>
      <c r="G175" s="1155" t="n">
        <v>41334</v>
      </c>
      <c r="H175" s="1156" t="n">
        <v>41364</v>
      </c>
      <c r="I175" s="1157" t="n">
        <f aca="false">I174</f>
        <v>0.0715</v>
      </c>
      <c r="J175" s="1158" t="n">
        <f aca="false">(1+I175/2)^(-2*(DATE(D176,E176,20)-$H$7)/365.25)</f>
        <v>0.39154699019126</v>
      </c>
      <c r="K175" s="1159"/>
      <c r="L175" s="1158"/>
      <c r="M175" s="1082" t="n">
        <v>0</v>
      </c>
      <c r="N175" s="1110" t="n">
        <f aca="false">M175</f>
        <v>0</v>
      </c>
      <c r="O175" s="1174" t="n">
        <f aca="false">N175</f>
        <v>0</v>
      </c>
      <c r="P175" s="1175" t="n">
        <f aca="false">M175</f>
        <v>0</v>
      </c>
      <c r="Q175" s="1110" t="n">
        <f aca="false">P175</f>
        <v>0</v>
      </c>
      <c r="R175" s="1174" t="n">
        <f aca="false">Q175</f>
        <v>0</v>
      </c>
      <c r="S175" s="1110" t="n">
        <f aca="false">R175</f>
        <v>0</v>
      </c>
      <c r="T175" s="1110" t="n">
        <f aca="false">S175</f>
        <v>0</v>
      </c>
      <c r="U175" s="1110" t="n">
        <f aca="false">T175</f>
        <v>0</v>
      </c>
      <c r="V175" s="1175" t="n">
        <f aca="false">U175</f>
        <v>0</v>
      </c>
      <c r="W175" s="1110" t="n">
        <f aca="false">V175</f>
        <v>0</v>
      </c>
      <c r="X175" s="1176" t="n">
        <f aca="false">W175</f>
        <v>0</v>
      </c>
      <c r="Y175" s="1086" t="n">
        <v>0</v>
      </c>
      <c r="Z175" s="1086" t="n">
        <v>0</v>
      </c>
      <c r="AA175" s="1087" t="n">
        <v>0</v>
      </c>
      <c r="AB175" s="1086" t="n">
        <v>0</v>
      </c>
      <c r="AC175" s="1086" t="n">
        <v>0</v>
      </c>
      <c r="AD175" s="1087" t="n">
        <v>0</v>
      </c>
      <c r="AE175" s="1086" t="n">
        <v>0</v>
      </c>
      <c r="AF175" s="1086" t="n">
        <v>0</v>
      </c>
      <c r="AG175" s="1087" t="n">
        <v>0</v>
      </c>
      <c r="AH175" s="1086" t="n">
        <v>0</v>
      </c>
      <c r="AI175" s="1086" t="n">
        <v>0</v>
      </c>
      <c r="AJ175" s="1087" t="n">
        <v>0</v>
      </c>
      <c r="AK175" s="1086" t="n">
        <v>0</v>
      </c>
      <c r="AL175" s="1086" t="n">
        <v>0</v>
      </c>
      <c r="AM175" s="1087" t="n">
        <v>0</v>
      </c>
      <c r="AN175" s="1086" t="n">
        <v>0</v>
      </c>
      <c r="AO175" s="1086" t="n">
        <v>0</v>
      </c>
      <c r="AP175" s="1087" t="n">
        <v>0</v>
      </c>
      <c r="AQ175" s="1086" t="n">
        <v>0</v>
      </c>
      <c r="AR175" s="1086" t="n">
        <v>0</v>
      </c>
      <c r="AS175" s="1087" t="n">
        <v>0</v>
      </c>
      <c r="AT175" s="1086" t="n">
        <v>0</v>
      </c>
      <c r="AU175" s="1086" t="n">
        <v>0</v>
      </c>
      <c r="AV175" s="1086" t="n">
        <v>0</v>
      </c>
      <c r="AW175" s="1172" t="n">
        <v>0</v>
      </c>
      <c r="AX175" s="807" t="n">
        <f aca="false">BB175-SUM(AY175:BA175)</f>
        <v>21</v>
      </c>
      <c r="AY175" s="807" t="n">
        <f aca="false">IF(AND($E175=MONTH(Summary!$E$24),$D175=YEAR(Summary!$E$24)),Summary!$E$25,1)*IF(G175="",0,INT((H175-MOD(H175,7)-G175)/7)+1-IF(BA175,IF(WEEKDAY(F175)=7,1,0),0))</f>
        <v>5</v>
      </c>
      <c r="AZ175" s="807" t="n">
        <f aca="false">IF(AND($E175=MONTH(Summary!$E$24),$D175=YEAR(Summary!$E$24)),Summary!$E$25,1)*IF(G175="",0,INT((H175-MOD(H175-1,7)-G175)/7)+1-IF(BA175,IF(WEEKDAY(F175)=1,1,0),0))</f>
        <v>5</v>
      </c>
      <c r="BA175" s="807" t="n">
        <v>0</v>
      </c>
      <c r="BB175" s="807" t="n">
        <f aca="false">IF(AND($E175=MONTH(Summary!$E$24),$D175=YEAR(Summary!$E$24)),Summary!$E$25,1)*IF(G175="",0,H175-G175+1)</f>
        <v>31</v>
      </c>
      <c r="BC175" s="1089" t="n">
        <f aca="false">Summary!$E$19</f>
        <v>0.015</v>
      </c>
      <c r="BD175" s="1090" t="n">
        <v>14893.2</v>
      </c>
      <c r="BE175" s="1091" t="n">
        <v>3546</v>
      </c>
      <c r="BF175" s="1091" t="n">
        <v>3546</v>
      </c>
      <c r="BG175" s="842"/>
      <c r="BH175" s="1092" t="n">
        <v>1</v>
      </c>
      <c r="BI175" s="1092" t="n">
        <v>1</v>
      </c>
      <c r="BJ175" s="1092" t="n">
        <v>1</v>
      </c>
      <c r="BK175" s="1092" t="n">
        <v>1</v>
      </c>
      <c r="BL175" s="1093" t="n">
        <v>2978.64</v>
      </c>
      <c r="BM175" s="1091" t="n">
        <v>709.2</v>
      </c>
      <c r="BN175" s="1091" t="n">
        <v>709.2</v>
      </c>
      <c r="BO175" s="842"/>
      <c r="BP175" s="1092" t="n">
        <v>1</v>
      </c>
      <c r="BQ175" s="1094" t="n">
        <v>1</v>
      </c>
      <c r="BR175" s="1094" t="n">
        <v>1</v>
      </c>
      <c r="BS175" s="1095" t="n">
        <v>1</v>
      </c>
      <c r="BT175" s="1093" t="n">
        <f aca="false">SUM(BD175:BF175)</f>
        <v>21985.2</v>
      </c>
      <c r="BU175" s="1098" t="n">
        <f aca="false">SUM(BD175:BG175)</f>
        <v>21985.2</v>
      </c>
      <c r="BV175" s="1090" t="n">
        <f aca="false">SUM(BL175:BN175)</f>
        <v>4397.04</v>
      </c>
      <c r="BW175" s="1098" t="n">
        <f aca="false">SUM(BL175:BO175)</f>
        <v>4397.04</v>
      </c>
      <c r="BX175" s="852" t="n">
        <v>13.2101300479124</v>
      </c>
      <c r="BY175" s="1099" t="n">
        <v>0</v>
      </c>
      <c r="BZ175" s="852" t="n">
        <v>0</v>
      </c>
      <c r="CA175" s="852" t="n">
        <v>0</v>
      </c>
      <c r="CB175" s="852" t="n">
        <v>0</v>
      </c>
      <c r="CC175" s="852" t="n">
        <v>0</v>
      </c>
      <c r="CD175" s="852" t="n">
        <v>0</v>
      </c>
      <c r="CE175" s="1100" t="n">
        <v>0</v>
      </c>
      <c r="CF175" s="852" t="n">
        <v>0</v>
      </c>
      <c r="CG175" s="852" t="n">
        <v>0</v>
      </c>
      <c r="CH175" s="852" t="n">
        <v>0</v>
      </c>
      <c r="CI175" s="852" t="n">
        <v>0</v>
      </c>
      <c r="CJ175" s="1101" t="n">
        <v>0</v>
      </c>
      <c r="CK175" s="852" t="n">
        <v>0</v>
      </c>
      <c r="CL175" s="852" t="n">
        <v>0</v>
      </c>
      <c r="CM175" s="852" t="n">
        <v>0</v>
      </c>
      <c r="CN175" s="852" t="n">
        <v>0</v>
      </c>
      <c r="CO175" s="852" t="n">
        <v>0</v>
      </c>
      <c r="CP175" s="852" t="n">
        <v>0</v>
      </c>
      <c r="CQ175" s="1102" t="n">
        <v>0</v>
      </c>
      <c r="CR175" s="1103" t="n">
        <v>0</v>
      </c>
      <c r="CS175" s="1103" t="n">
        <v>0</v>
      </c>
      <c r="CT175" s="1103" t="n">
        <v>0</v>
      </c>
      <c r="CU175" s="1103" t="n">
        <v>0</v>
      </c>
      <c r="CV175" s="1103" t="n">
        <v>0</v>
      </c>
      <c r="CW175" s="1103" t="n">
        <v>0</v>
      </c>
      <c r="CX175" s="1104" t="n">
        <v>0</v>
      </c>
      <c r="CY175" s="1105" t="n">
        <v>7737.1912</v>
      </c>
      <c r="CZ175" s="1099" t="n">
        <v>0</v>
      </c>
      <c r="DA175" s="852" t="n">
        <v>0</v>
      </c>
      <c r="DB175" s="852" t="n">
        <v>0</v>
      </c>
      <c r="DC175" s="852" t="n">
        <v>0</v>
      </c>
      <c r="DD175" s="852" t="n">
        <v>0</v>
      </c>
      <c r="DE175" s="1113" t="n">
        <v>0</v>
      </c>
      <c r="DF175" s="1109" t="n">
        <v>0</v>
      </c>
      <c r="DG175" s="1110" t="n">
        <v>0</v>
      </c>
      <c r="DH175" s="1111" t="n">
        <v>0</v>
      </c>
      <c r="DI175" s="1112" t="n">
        <v>0</v>
      </c>
      <c r="DJ175" s="1112" t="n">
        <v>0</v>
      </c>
      <c r="DK175" s="1112" t="n">
        <v>0</v>
      </c>
      <c r="DL175" s="1113" t="n">
        <v>0</v>
      </c>
      <c r="DM175" s="1114" t="n">
        <v>0</v>
      </c>
      <c r="DN175" s="1114" t="n">
        <v>0</v>
      </c>
      <c r="DO175" s="1114" t="n">
        <v>0</v>
      </c>
      <c r="DP175" s="1114" t="n">
        <v>0</v>
      </c>
      <c r="DQ175" s="1114" t="n">
        <v>0</v>
      </c>
      <c r="DR175" s="1109" t="n">
        <v>0</v>
      </c>
      <c r="DS175" s="852" t="n">
        <v>0</v>
      </c>
      <c r="DT175" s="852" t="n">
        <v>0</v>
      </c>
      <c r="DU175" s="852" t="n">
        <v>0</v>
      </c>
      <c r="DV175" s="852" t="n">
        <v>0</v>
      </c>
      <c r="DW175" s="852" t="n">
        <v>0</v>
      </c>
      <c r="DX175" s="852" t="n">
        <v>0</v>
      </c>
      <c r="DY175" s="852" t="n">
        <v>0</v>
      </c>
      <c r="DZ175" s="852" t="n">
        <v>0</v>
      </c>
      <c r="EA175" s="852" t="n">
        <v>0</v>
      </c>
      <c r="EB175" s="1113" t="n">
        <v>0</v>
      </c>
      <c r="EC175" s="1115" t="n">
        <f aca="false">DS175*BD175</f>
        <v>0</v>
      </c>
      <c r="ED175" s="1115" t="n">
        <f aca="false">DT175*BE175</f>
        <v>0</v>
      </c>
      <c r="EE175" s="1115" t="n">
        <f aca="false">DU175*BF175</f>
        <v>0</v>
      </c>
      <c r="EF175" s="1115" t="n">
        <f aca="false">DV175*BG175</f>
        <v>0</v>
      </c>
      <c r="EG175" s="1115" t="n">
        <f aca="false">DS175*BD175+DT175*BE175+DU175*BF175+DV175*BG175</f>
        <v>0</v>
      </c>
      <c r="EH175" s="1116" t="n">
        <v>0</v>
      </c>
      <c r="EI175" s="1117" t="n">
        <v>0</v>
      </c>
      <c r="EJ175" s="1117" t="n">
        <v>0</v>
      </c>
      <c r="EK175" s="1117" t="n">
        <v>0</v>
      </c>
      <c r="EL175" s="1118" t="n">
        <f aca="false">IF(C175&gt;=Summary!$E$26,MAX(0,SUM(EH175:EK175)),0)</f>
        <v>0</v>
      </c>
      <c r="EM175" s="1115" t="n">
        <f aca="false">IF(C175&gt;=Summary!$E$26,DX175*BL175,0)</f>
        <v>0</v>
      </c>
      <c r="EN175" s="1115" t="n">
        <f aca="false">IF(C175&gt;=Summary!$E$26,DY175*BM175,0)</f>
        <v>0</v>
      </c>
      <c r="EO175" s="1115" t="n">
        <f aca="false">IF(C175&gt;=Summary!$E$26,DZ175*BN175,0)</f>
        <v>0</v>
      </c>
      <c r="EP175" s="1115" t="n">
        <f aca="false">IF(C175&gt;=Summary!$E$26,EA175*BO175,0)</f>
        <v>0</v>
      </c>
      <c r="EQ175" s="1115" t="n">
        <f aca="false">IF(C175&gt;=Summary!$E$26,DX175*BL175+DY175*BM175+DZ175*BN175+EA175*BO175,0)</f>
        <v>0</v>
      </c>
      <c r="ER175" s="1119" t="n">
        <v>0</v>
      </c>
      <c r="ES175" s="1120" t="n">
        <v>0</v>
      </c>
      <c r="ET175" s="1120" t="n">
        <v>0</v>
      </c>
      <c r="EU175" s="1120" t="n">
        <v>0</v>
      </c>
      <c r="EV175" s="1143" t="n">
        <f aca="false">IF(C175&gt;=Summary!$E$26,MAX(0,SUM(ER175:EU175)),0)</f>
        <v>0</v>
      </c>
      <c r="EW175" s="1115"/>
      <c r="EX175" s="1165" t="n">
        <f aca="false">(EQ175-EV175)+IF(EZ175="Yes",(EG175-EL175),0)</f>
        <v>0</v>
      </c>
      <c r="EY175" s="1166" t="str">
        <f aca="false">IF(EX175,EX175/EQ175,"")</f>
        <v/>
      </c>
      <c r="EZ175" s="1122" t="s">
        <v>37</v>
      </c>
      <c r="FA175" s="1096" t="n">
        <f aca="false">FA174</f>
        <v>45</v>
      </c>
      <c r="FB175" s="1167" t="n">
        <f aca="false">IF(EZ175="No",IF((OR(MONTH(C175)=5,MONTH(C175)=6,MONTH(C175)=7,MONTH(C175)=8,MONTH(C175)=9)),$FA175*12*AX175*(1-$BC175),$FA175*10*AX175*(1-$BC175)),0)</f>
        <v>9308.25</v>
      </c>
      <c r="FC175" s="1129" t="n">
        <f aca="false">IF(EZ175="No",IF((OR(MONTH(C175)=5,MONTH(C175)=6,MONTH(C175)=7,MONTH(C175)=8,MONTH(C175)=9)),0,$FA175*3*AX175*(1-$BC175)),0)</f>
        <v>2792.475</v>
      </c>
      <c r="FD175" s="1129" t="n">
        <f aca="false">IF(EZ175="No",IF((OR(MONTH(C175)=5,MONTH(C175)=6,MONTH(C175)=7,MONTH(C175)=8,MONTH(C175)=9)),$FA175*12*AY175*(1-$BC175),$FA175*10*AY175*(1-$BC175)),0)</f>
        <v>2216.25</v>
      </c>
      <c r="FE175" s="1129" t="n">
        <f aca="false">IF(EZ175="No",IF((OR(MONTH(C175)=5,MONTH(C175)=6,MONTH(C175)=7,MONTH(C175)=8,MONTH(C175)=9)),0,$FA175*3*AY175*(1-$BC175)),0)</f>
        <v>664.875</v>
      </c>
      <c r="FF175" s="1129" t="n">
        <f aca="false">IF(EZ175="No",IF((OR(MONTH(C175)=5,MONTH(C175)=6,MONTH(C175)=7,MONTH(C175)=8,MONTH(C175)=9)),$FA175*12*(AZ175+BA175)*(1-$BC175),$FA175*10*(AZ175+BA175)*(1-$BC175)),0)</f>
        <v>2216.25</v>
      </c>
      <c r="FG175" s="1129" t="n">
        <f aca="false">IF(EZ175="No",IF((OR(MONTH(C175)=5,MONTH(C175)=6,MONTH(C175)=7,MONTH(C175)=8,MONTH(C175)=9)),0,$FA175*3*(AZ175+BA175)*(1-$BC175)),0)</f>
        <v>664.875</v>
      </c>
      <c r="FH175" s="1170" t="n">
        <f aca="false">IF(EZ175="No",IF((OR(MONTH(C175)=5,MONTH(C175)=6,MONTH(C175)=7,MONTH(C175)=8,MONTH(C175)=9)),Summary!$O$15*12*(AX175+AY175+AZ175+BA175)*(1-$BC175),Summary!$O$15*13*(AX175+AY175+AZ175+BA175)*(1-$BC175)+IF(Summary!$O$16="Yes",(CALC!FA175+Summary!$O$15)*6*(AX175+AY175+AZ175+BA175)*(1-$BC175),0)),0)</f>
        <v>0</v>
      </c>
      <c r="FI175" s="1126" t="n">
        <f aca="false">IF(MONTH(C175)=5,FI174*(IF(Summary!$E$70="no",(1+(Summary!$E$71*0.8)),1+HLOOKUP(YEAR(C175)-1,CCFMODEL!$I$127:$AF$128,2)*0.8)),+FI174)</f>
        <v>36.2095483451476</v>
      </c>
      <c r="FJ175" s="1127" t="n">
        <f aca="false">IF(MONTH(C175)=5,FJ174*(IF(Summary!$E$70="no",(1+(Summary!$E$71*0.8)),1+HLOOKUP(YEAR(CALC!C175)-1,CCFMODEL!$I$127:$AF$128,2)*0.8)),FJ174)</f>
        <v>31.6477154827668</v>
      </c>
      <c r="FK175" s="1128" t="n">
        <f aca="false">SUM(FB175:FG175)*FI175+FH175*FJ175</f>
        <v>646810.256850662</v>
      </c>
      <c r="FL175" s="1126" t="n">
        <f aca="false">IF(MONTH(C175)=5,FL174*(IF(Summary!$E$70="no",(1+(Summary!$E$71*0.8)),1+HLOOKUP(YEAR(CALC!C175)-1,CCFMODEL!$I$127:$AF$128,2)*0.8)),+FL174)</f>
        <v>76.1527396580175</v>
      </c>
      <c r="FM175" s="1127" t="n">
        <f aca="false">IF(MONTH(C175)=5,FM174*(IF(Summary!$E$70="no",(1+(Summary!$E$71*0.8)),1+HLOOKUP(YEAR(CALC!C175)-1,CCFMODEL!$I$127:$AF$128,2)*0.8)),+FM174)</f>
        <v>36.3453171803375</v>
      </c>
      <c r="FN175" s="1128" t="n">
        <f aca="false">IF((OR(MONTH(C175)=5,MONTH(C175)=6,MONTH(C175)=7,MONTH(C175)=8,MONTH(C175)=9)),SUM(FB175:FG175)/(1-BC175)*FL175,SUM(FB175:FG175)/(1-BC175)*FM175)</f>
        <v>659122.32706542</v>
      </c>
      <c r="FO175" s="1129" t="n">
        <f aca="false">FK175+FN175</f>
        <v>1305932.58391608</v>
      </c>
      <c r="FP175" s="1169" t="n">
        <f aca="false">FB175</f>
        <v>9308.25</v>
      </c>
      <c r="FQ175" s="1129" t="n">
        <f aca="false">FC175</f>
        <v>2792.475</v>
      </c>
      <c r="FR175" s="1129" t="n">
        <f aca="false">FD175</f>
        <v>2216.25</v>
      </c>
      <c r="FS175" s="1129" t="n">
        <f aca="false">FE175</f>
        <v>664.875</v>
      </c>
      <c r="FT175" s="1129" t="n">
        <f aca="false">FF175</f>
        <v>2216.25</v>
      </c>
      <c r="FU175" s="1129" t="n">
        <f aca="false">FG175</f>
        <v>664.875</v>
      </c>
      <c r="FV175" s="1170" t="n">
        <f aca="false">FH175</f>
        <v>0</v>
      </c>
      <c r="FW175" s="1115" t="n">
        <f aca="false">IF(ER175&gt;0,MIN(FB175-FP175,BL175),0)</f>
        <v>0</v>
      </c>
      <c r="FX175" s="1115" t="n">
        <f aca="false">IF(ES175&gt;0,MIN(FD175-FR175,BM175),0)</f>
        <v>0</v>
      </c>
      <c r="FY175" s="1115" t="n">
        <f aca="false">IF(ET175&gt;0,MIN(FF175-FT175,BN175),0)</f>
        <v>0</v>
      </c>
      <c r="FZ175" s="1143" t="n">
        <f aca="false">IF(EU175&gt;0,MIN(FH175-FV175,BO175),0)</f>
        <v>0</v>
      </c>
      <c r="GA175" s="1132" t="n">
        <f aca="false">(SUM(FP175:FV175)+SUM(GU175:HB175)/(1-Summary!$O$25))*CY175/1000</f>
        <v>236018.878158708</v>
      </c>
      <c r="GB175" s="1133" t="n">
        <f aca="false">IF($C175&lt;Summary!$M$81,+Summary!$O$81,VLOOKUP(C175,GasTable,19))</f>
        <v>3.29851872066756</v>
      </c>
      <c r="GC175" s="1134" t="n">
        <f aca="false">IF(H175&lt;=Summary!$N$84,MIN(GA175,Summary!$O$75*(H175-G175+1)),0)</f>
        <v>0</v>
      </c>
      <c r="GD175" s="1135" t="n">
        <f aca="false">IF(C175&lt;Summary!$N$84,IF(Summary!$O$75*(H175-G175+1)*0.8&gt;GC175,1,0),0)</f>
        <v>0</v>
      </c>
      <c r="GE175" s="1136" t="n">
        <v>0</v>
      </c>
      <c r="GF175" s="1134" t="n">
        <f aca="false">ABS(MIN(0,GC175-$GA175))</f>
        <v>236018.878158708</v>
      </c>
      <c r="GG175" s="1135" t="n">
        <f aca="false">GF175*(IF(Summary!$O$74=1,VLOOKUP($C175,GasTable,16)+Summary!$O$92+Summary!$O$93,VLOOKUP($C175,GasTable,19)+Summary!$O$92+Summary!$O$93))</f>
        <v>790809.271589524</v>
      </c>
      <c r="GH175" s="1137" t="n">
        <v>5112.70401703472</v>
      </c>
      <c r="GI175" s="1138" t="n">
        <v>0</v>
      </c>
      <c r="GJ175" s="1139" t="n">
        <f aca="false">+GB175*GC175+GE175+GG175+GH175-GI175</f>
        <v>795921.975606559</v>
      </c>
      <c r="GK175" s="1115" t="n">
        <f aca="false">SUM(FP175:FV175,GU175:GX175,GY175:HB175)</f>
        <v>30062.01285</v>
      </c>
      <c r="GL175" s="1140" t="n">
        <v>0.5183918104</v>
      </c>
      <c r="GM175" s="1141" t="n">
        <f aca="false">IF(GK175&gt;GC175/(CY175/1000),GC175/(CY175/1000),+GK175)*GL175</f>
        <v>0</v>
      </c>
      <c r="GN175" s="1115" t="n">
        <f aca="false">IF(SUM(GU175:HB175)=0,0,IF(Summary!$O$16="Yes",SUM(GX175:HB175),IF(Summary!$O$17="Yes",SUM(GY175:HB175),SUM(GU175:HB175))))</f>
        <v>12199.03785</v>
      </c>
      <c r="GO175" s="1142" t="n">
        <v>3.49441348844265</v>
      </c>
      <c r="GP175" s="1143" t="n">
        <f aca="false">GN175*GO175</f>
        <v>42628.4824090624</v>
      </c>
      <c r="GQ175" s="1115"/>
      <c r="GR175" s="1115"/>
      <c r="GS175" s="1115"/>
      <c r="GT175" s="1115"/>
      <c r="GU175" s="1150" t="n">
        <v>5389.47675</v>
      </c>
      <c r="GV175" s="1115" t="n">
        <v>1283.20875</v>
      </c>
      <c r="GW175" s="1115" t="n">
        <v>1283.20875</v>
      </c>
      <c r="GX175" s="1115"/>
      <c r="GY175" s="1151" t="n">
        <v>2874.3876</v>
      </c>
      <c r="GZ175" s="1115" t="n">
        <v>684.378</v>
      </c>
      <c r="HA175" s="1115" t="n">
        <v>684.378</v>
      </c>
      <c r="HB175" s="1141"/>
      <c r="HC175" s="1115" t="n">
        <v>12199.03785</v>
      </c>
      <c r="HD175" s="1115"/>
      <c r="HE175" s="1115" t="n">
        <v>20950.521525</v>
      </c>
      <c r="HF175" s="1115" t="n">
        <v>467616.557231255</v>
      </c>
      <c r="HG175" s="1115"/>
      <c r="HH175" s="1142" t="n">
        <v>37.7032011495028</v>
      </c>
      <c r="HI175" s="1115" t="n">
        <v>789901.727244063</v>
      </c>
      <c r="HJ175" s="1150" t="n">
        <f aca="false">MAX(FB175-FP175-FW175,0)</f>
        <v>0</v>
      </c>
      <c r="HK175" s="1115" t="n">
        <f aca="false">MAX(FD175-FR175-FX175,0)</f>
        <v>0</v>
      </c>
      <c r="HL175" s="1115" t="n">
        <f aca="false">MAX(FF175-FT175-FY175,0)</f>
        <v>0</v>
      </c>
      <c r="HM175" s="1141" t="n">
        <f aca="false">MAX(FH175-FV175-FZ175,0)</f>
        <v>0</v>
      </c>
      <c r="HN175" s="1115" t="n">
        <f aca="false">SUM(HJ175:HM175)</f>
        <v>0</v>
      </c>
      <c r="HO175" s="1142" t="n">
        <f aca="false">IF(ISERROR(+HP175/HN175),0,+HP175/HN175)</f>
        <v>0</v>
      </c>
      <c r="HP175" s="1143" t="n">
        <f aca="false">(HJ175*CE175+HK175*CF175+HL175*CG175+HM175*CH175)</f>
        <v>0</v>
      </c>
      <c r="HQ175" s="1142"/>
      <c r="HR175" s="1150"/>
      <c r="HS175" s="1110"/>
      <c r="HT175" s="1141"/>
      <c r="HU175" s="1151"/>
      <c r="HV175" s="1142"/>
      <c r="HW175" s="1115"/>
      <c r="HX175" s="1149"/>
      <c r="HY175" s="1143"/>
      <c r="HZ175" s="1150"/>
      <c r="IA175" s="1142"/>
      <c r="IB175" s="1141"/>
      <c r="IC175" s="1151"/>
      <c r="ID175" s="1142"/>
      <c r="IE175" s="1141"/>
      <c r="IF175" s="1115"/>
      <c r="IG175" s="1142"/>
      <c r="IH175" s="1141"/>
      <c r="II175" s="1115"/>
      <c r="IJ175" s="1142"/>
      <c r="IK175" s="1115"/>
      <c r="IL175" s="1152"/>
      <c r="IM175" s="1192"/>
      <c r="IN175" s="1151"/>
      <c r="IO175" s="1151"/>
      <c r="IP175" s="1151"/>
      <c r="IQ175" s="1151"/>
      <c r="IR175" s="844"/>
    </row>
    <row r="176" customFormat="false" ht="13.5" hidden="false" customHeight="false" outlineLevel="0" collapsed="false">
      <c r="A176" s="0" t="str">
        <f aca="false">+D176&amp;"Q"&amp;ROUNDUP(E176/3,0)</f>
        <v>2013Q2</v>
      </c>
      <c r="B176" s="0" t="n">
        <f aca="false">YEAR(C176)</f>
        <v>2013</v>
      </c>
      <c r="C176" s="1153" t="n">
        <f aca="false">EOMONTH(C175,0)+1</f>
        <v>41365</v>
      </c>
      <c r="D176" s="841" t="n">
        <f aca="false">+YEAR(C176)</f>
        <v>2013</v>
      </c>
      <c r="E176" s="807" t="n">
        <f aca="false">MONTH(C176)</f>
        <v>4</v>
      </c>
      <c r="F176" s="1154" t="e">
        <f aca="false">IF(G176="","",Holiday(D176,E176))</f>
        <v>#VALUE!</v>
      </c>
      <c r="G176" s="1155" t="n">
        <v>41365</v>
      </c>
      <c r="H176" s="1156" t="n">
        <v>41394</v>
      </c>
      <c r="I176" s="1157" t="n">
        <f aca="false">I175</f>
        <v>0.0715</v>
      </c>
      <c r="J176" s="1158" t="n">
        <f aca="false">(1+I176/2)^(-2*(DATE(D177,E177,20)-$H$7)/365.25)</f>
        <v>0.389294210127418</v>
      </c>
      <c r="K176" s="1159"/>
      <c r="L176" s="1158"/>
      <c r="M176" s="1082" t="n">
        <v>0</v>
      </c>
      <c r="N176" s="1110" t="n">
        <f aca="false">M176</f>
        <v>0</v>
      </c>
      <c r="O176" s="1174" t="n">
        <f aca="false">N176</f>
        <v>0</v>
      </c>
      <c r="P176" s="1175" t="n">
        <f aca="false">M176</f>
        <v>0</v>
      </c>
      <c r="Q176" s="1110" t="n">
        <f aca="false">P176</f>
        <v>0</v>
      </c>
      <c r="R176" s="1174" t="n">
        <f aca="false">Q176</f>
        <v>0</v>
      </c>
      <c r="S176" s="1110" t="n">
        <f aca="false">R176</f>
        <v>0</v>
      </c>
      <c r="T176" s="1110" t="n">
        <f aca="false">S176</f>
        <v>0</v>
      </c>
      <c r="U176" s="1110" t="n">
        <f aca="false">T176</f>
        <v>0</v>
      </c>
      <c r="V176" s="1175" t="n">
        <f aca="false">U176</f>
        <v>0</v>
      </c>
      <c r="W176" s="1110" t="n">
        <f aca="false">V176</f>
        <v>0</v>
      </c>
      <c r="X176" s="1176" t="n">
        <f aca="false">W176</f>
        <v>0</v>
      </c>
      <c r="Y176" s="1086" t="n">
        <v>0</v>
      </c>
      <c r="Z176" s="1086" t="n">
        <v>0</v>
      </c>
      <c r="AA176" s="1087" t="n">
        <v>0</v>
      </c>
      <c r="AB176" s="1086" t="n">
        <v>0</v>
      </c>
      <c r="AC176" s="1086" t="n">
        <v>0</v>
      </c>
      <c r="AD176" s="1087" t="n">
        <v>0</v>
      </c>
      <c r="AE176" s="1086" t="n">
        <v>0</v>
      </c>
      <c r="AF176" s="1086" t="n">
        <v>0</v>
      </c>
      <c r="AG176" s="1087" t="n">
        <v>0</v>
      </c>
      <c r="AH176" s="1086" t="n">
        <v>0</v>
      </c>
      <c r="AI176" s="1086" t="n">
        <v>0</v>
      </c>
      <c r="AJ176" s="1087" t="n">
        <v>0</v>
      </c>
      <c r="AK176" s="1086" t="n">
        <v>0</v>
      </c>
      <c r="AL176" s="1086" t="n">
        <v>0</v>
      </c>
      <c r="AM176" s="1087" t="n">
        <v>0</v>
      </c>
      <c r="AN176" s="1086" t="n">
        <v>0</v>
      </c>
      <c r="AO176" s="1086" t="n">
        <v>0</v>
      </c>
      <c r="AP176" s="1087" t="n">
        <v>0</v>
      </c>
      <c r="AQ176" s="1086" t="n">
        <v>0</v>
      </c>
      <c r="AR176" s="1086" t="n">
        <v>0</v>
      </c>
      <c r="AS176" s="1087" t="n">
        <v>0</v>
      </c>
      <c r="AT176" s="1086" t="n">
        <v>0</v>
      </c>
      <c r="AU176" s="1086" t="n">
        <v>0</v>
      </c>
      <c r="AV176" s="1086" t="n">
        <v>0</v>
      </c>
      <c r="AW176" s="1172" t="n">
        <v>0</v>
      </c>
      <c r="AX176" s="807" t="n">
        <f aca="false">BB176-SUM(AY176:BA176)</f>
        <v>22</v>
      </c>
      <c r="AY176" s="807" t="n">
        <f aca="false">IF(AND($E176=MONTH(Summary!$E$24),$D176=YEAR(Summary!$E$24)),Summary!$E$25,1)*IF(G176="",0,INT((H176-MOD(H176,7)-G176)/7)+1-IF(BA176,IF(WEEKDAY(F176)=7,1,0),0))</f>
        <v>4</v>
      </c>
      <c r="AZ176" s="807" t="n">
        <f aca="false">IF(AND($E176=MONTH(Summary!$E$24),$D176=YEAR(Summary!$E$24)),Summary!$E$25,1)*IF(G176="",0,INT((H176-MOD(H176-1,7)-G176)/7)+1-IF(BA176,IF(WEEKDAY(F176)=1,1,0),0))</f>
        <v>4</v>
      </c>
      <c r="BA176" s="807" t="n">
        <v>0</v>
      </c>
      <c r="BB176" s="807" t="n">
        <f aca="false">IF(AND($E176=MONTH(Summary!$E$24),$D176=YEAR(Summary!$E$24)),Summary!$E$25,1)*IF(G176="",0,H176-G176+1)</f>
        <v>30</v>
      </c>
      <c r="BC176" s="1089" t="n">
        <f aca="false">Summary!$E$19</f>
        <v>0.015</v>
      </c>
      <c r="BD176" s="1090" t="n">
        <v>15602.4</v>
      </c>
      <c r="BE176" s="1091" t="n">
        <v>2836.8</v>
      </c>
      <c r="BF176" s="1091" t="n">
        <v>2836.8</v>
      </c>
      <c r="BG176" s="842"/>
      <c r="BH176" s="1092" t="n">
        <v>1</v>
      </c>
      <c r="BI176" s="1092" t="n">
        <v>1</v>
      </c>
      <c r="BJ176" s="1092" t="n">
        <v>1</v>
      </c>
      <c r="BK176" s="1092" t="n">
        <v>1</v>
      </c>
      <c r="BL176" s="1093" t="n">
        <v>3120.48</v>
      </c>
      <c r="BM176" s="1091" t="n">
        <v>567.36</v>
      </c>
      <c r="BN176" s="1091" t="n">
        <v>567.36</v>
      </c>
      <c r="BO176" s="842"/>
      <c r="BP176" s="1092" t="n">
        <v>1</v>
      </c>
      <c r="BQ176" s="1094" t="n">
        <v>1</v>
      </c>
      <c r="BR176" s="1094" t="n">
        <v>1</v>
      </c>
      <c r="BS176" s="1095" t="n">
        <v>1</v>
      </c>
      <c r="BT176" s="1093" t="n">
        <f aca="false">SUM(BD176:BF176)</f>
        <v>21276</v>
      </c>
      <c r="BU176" s="1098" t="n">
        <f aca="false">SUM(BD176:BG176)</f>
        <v>21276</v>
      </c>
      <c r="BV176" s="1090" t="n">
        <f aca="false">SUM(BL176:BN176)</f>
        <v>4255.2</v>
      </c>
      <c r="BW176" s="1098" t="n">
        <f aca="false">SUM(BL176:BO176)</f>
        <v>4255.2</v>
      </c>
      <c r="BX176" s="852" t="n">
        <v>13.2950034223135</v>
      </c>
      <c r="BY176" s="1099" t="n">
        <v>0</v>
      </c>
      <c r="BZ176" s="852" t="n">
        <v>0</v>
      </c>
      <c r="CA176" s="852" t="n">
        <v>0</v>
      </c>
      <c r="CB176" s="852" t="n">
        <v>0</v>
      </c>
      <c r="CC176" s="852" t="n">
        <v>0</v>
      </c>
      <c r="CD176" s="852" t="n">
        <v>0</v>
      </c>
      <c r="CE176" s="1100" t="n">
        <v>0</v>
      </c>
      <c r="CF176" s="852" t="n">
        <v>0</v>
      </c>
      <c r="CG176" s="852" t="n">
        <v>0</v>
      </c>
      <c r="CH176" s="852" t="n">
        <v>0</v>
      </c>
      <c r="CI176" s="852" t="n">
        <v>0</v>
      </c>
      <c r="CJ176" s="1101" t="n">
        <v>0</v>
      </c>
      <c r="CK176" s="852" t="n">
        <v>0</v>
      </c>
      <c r="CL176" s="852" t="n">
        <v>0</v>
      </c>
      <c r="CM176" s="852" t="n">
        <v>0</v>
      </c>
      <c r="CN176" s="852" t="n">
        <v>0</v>
      </c>
      <c r="CO176" s="852" t="n">
        <v>0</v>
      </c>
      <c r="CP176" s="852" t="n">
        <v>0</v>
      </c>
      <c r="CQ176" s="1102" t="n">
        <v>0</v>
      </c>
      <c r="CR176" s="1103" t="n">
        <v>0</v>
      </c>
      <c r="CS176" s="1103" t="n">
        <v>0</v>
      </c>
      <c r="CT176" s="1103" t="n">
        <v>0</v>
      </c>
      <c r="CU176" s="1103" t="n">
        <v>0</v>
      </c>
      <c r="CV176" s="1103" t="n">
        <v>0</v>
      </c>
      <c r="CW176" s="1103" t="n">
        <v>0</v>
      </c>
      <c r="CX176" s="1104" t="n">
        <v>0</v>
      </c>
      <c r="CY176" s="1105" t="n">
        <v>7738.49408</v>
      </c>
      <c r="CZ176" s="1099" t="n">
        <v>0</v>
      </c>
      <c r="DA176" s="852" t="n">
        <v>0</v>
      </c>
      <c r="DB176" s="852" t="n">
        <v>0</v>
      </c>
      <c r="DC176" s="852" t="n">
        <v>0</v>
      </c>
      <c r="DD176" s="852" t="n">
        <v>0</v>
      </c>
      <c r="DE176" s="1113" t="n">
        <v>0</v>
      </c>
      <c r="DF176" s="1109" t="n">
        <v>0</v>
      </c>
      <c r="DG176" s="1110" t="n">
        <v>0</v>
      </c>
      <c r="DH176" s="1111" t="n">
        <v>0</v>
      </c>
      <c r="DI176" s="1112" t="n">
        <v>0</v>
      </c>
      <c r="DJ176" s="1112" t="n">
        <v>0</v>
      </c>
      <c r="DK176" s="1112" t="n">
        <v>0</v>
      </c>
      <c r="DL176" s="1113" t="n">
        <v>0</v>
      </c>
      <c r="DM176" s="1114" t="n">
        <v>0</v>
      </c>
      <c r="DN176" s="1114" t="n">
        <v>0</v>
      </c>
      <c r="DO176" s="1114" t="n">
        <v>0</v>
      </c>
      <c r="DP176" s="1114" t="n">
        <v>0</v>
      </c>
      <c r="DQ176" s="1114" t="n">
        <v>0</v>
      </c>
      <c r="DR176" s="1109" t="n">
        <v>0</v>
      </c>
      <c r="DS176" s="852" t="n">
        <v>0</v>
      </c>
      <c r="DT176" s="852" t="n">
        <v>0</v>
      </c>
      <c r="DU176" s="852" t="n">
        <v>0</v>
      </c>
      <c r="DV176" s="852" t="n">
        <v>0</v>
      </c>
      <c r="DW176" s="852" t="n">
        <v>0</v>
      </c>
      <c r="DX176" s="852" t="n">
        <v>0</v>
      </c>
      <c r="DY176" s="852" t="n">
        <v>0</v>
      </c>
      <c r="DZ176" s="852" t="n">
        <v>0</v>
      </c>
      <c r="EA176" s="852" t="n">
        <v>0</v>
      </c>
      <c r="EB176" s="1113" t="n">
        <v>0</v>
      </c>
      <c r="EC176" s="1115" t="n">
        <f aca="false">DS176*BD176</f>
        <v>0</v>
      </c>
      <c r="ED176" s="1115" t="n">
        <f aca="false">DT176*BE176</f>
        <v>0</v>
      </c>
      <c r="EE176" s="1115" t="n">
        <f aca="false">DU176*BF176</f>
        <v>0</v>
      </c>
      <c r="EF176" s="1115" t="n">
        <f aca="false">DV176*BG176</f>
        <v>0</v>
      </c>
      <c r="EG176" s="1115" t="n">
        <f aca="false">DS176*BD176+DT176*BE176+DU176*BF176+DV176*BG176</f>
        <v>0</v>
      </c>
      <c r="EH176" s="1116" t="n">
        <v>0</v>
      </c>
      <c r="EI176" s="1117" t="n">
        <v>0</v>
      </c>
      <c r="EJ176" s="1117" t="n">
        <v>0</v>
      </c>
      <c r="EK176" s="1117" t="n">
        <v>0</v>
      </c>
      <c r="EL176" s="1118" t="n">
        <f aca="false">IF(C176&gt;=Summary!$E$26,MAX(0,SUM(EH176:EK176)),0)</f>
        <v>0</v>
      </c>
      <c r="EM176" s="1115" t="n">
        <f aca="false">IF(C176&gt;=Summary!$E$26,DX176*BL176,0)</f>
        <v>0</v>
      </c>
      <c r="EN176" s="1115" t="n">
        <f aca="false">IF(C176&gt;=Summary!$E$26,DY176*BM176,0)</f>
        <v>0</v>
      </c>
      <c r="EO176" s="1115" t="n">
        <f aca="false">IF(C176&gt;=Summary!$E$26,DZ176*BN176,0)</f>
        <v>0</v>
      </c>
      <c r="EP176" s="1115" t="n">
        <f aca="false">IF(C176&gt;=Summary!$E$26,EA176*BO176,0)</f>
        <v>0</v>
      </c>
      <c r="EQ176" s="1115" t="n">
        <f aca="false">IF(C176&gt;=Summary!$E$26,DX176*BL176+DY176*BM176+DZ176*BN176+EA176*BO176,0)</f>
        <v>0</v>
      </c>
      <c r="ER176" s="1119" t="n">
        <v>0</v>
      </c>
      <c r="ES176" s="1120" t="n">
        <v>0</v>
      </c>
      <c r="ET176" s="1120" t="n">
        <v>0</v>
      </c>
      <c r="EU176" s="1120" t="n">
        <v>0</v>
      </c>
      <c r="EV176" s="1143" t="n">
        <f aca="false">IF(C176&gt;=Summary!$E$26,MAX(0,SUM(ER176:EU176)),0)</f>
        <v>0</v>
      </c>
      <c r="EW176" s="1115"/>
      <c r="EX176" s="1165" t="n">
        <f aca="false">(EQ176-EV176)+IF(EZ176="Yes",(EG176-EL176),0)</f>
        <v>0</v>
      </c>
      <c r="EY176" s="1166" t="str">
        <f aca="false">IF(EX176,EX176/EQ176,"")</f>
        <v/>
      </c>
      <c r="EZ176" s="1122" t="s">
        <v>37</v>
      </c>
      <c r="FA176" s="1096" t="n">
        <f aca="false">FA175</f>
        <v>45</v>
      </c>
      <c r="FB176" s="1167" t="n">
        <f aca="false">IF(EZ176="No",IF((OR(MONTH(C176)=5,MONTH(C176)=6,MONTH(C176)=7,MONTH(C176)=8,MONTH(C176)=9)),$FA176*12*AX176*(1-$BC176),$FA176*10*AX176*(1-$BC176)),0)</f>
        <v>9751.5</v>
      </c>
      <c r="FC176" s="1129" t="n">
        <f aca="false">IF(EZ176="No",IF((OR(MONTH(C176)=5,MONTH(C176)=6,MONTH(C176)=7,MONTH(C176)=8,MONTH(C176)=9)),0,$FA176*3*AX176*(1-$BC176)),0)</f>
        <v>2925.45</v>
      </c>
      <c r="FD176" s="1129" t="n">
        <f aca="false">IF(EZ176="No",IF((OR(MONTH(C176)=5,MONTH(C176)=6,MONTH(C176)=7,MONTH(C176)=8,MONTH(C176)=9)),$FA176*12*AY176*(1-$BC176),$FA176*10*AY176*(1-$BC176)),0)</f>
        <v>1773</v>
      </c>
      <c r="FE176" s="1129" t="n">
        <f aca="false">IF(EZ176="No",IF((OR(MONTH(C176)=5,MONTH(C176)=6,MONTH(C176)=7,MONTH(C176)=8,MONTH(C176)=9)),0,$FA176*3*AY176*(1-$BC176)),0)</f>
        <v>531.9</v>
      </c>
      <c r="FF176" s="1129" t="n">
        <f aca="false">IF(EZ176="No",IF((OR(MONTH(C176)=5,MONTH(C176)=6,MONTH(C176)=7,MONTH(C176)=8,MONTH(C176)=9)),$FA176*12*(AZ176+BA176)*(1-$BC176),$FA176*10*(AZ176+BA176)*(1-$BC176)),0)</f>
        <v>1773</v>
      </c>
      <c r="FG176" s="1129" t="n">
        <f aca="false">IF(EZ176="No",IF((OR(MONTH(C176)=5,MONTH(C176)=6,MONTH(C176)=7,MONTH(C176)=8,MONTH(C176)=9)),0,$FA176*3*(AZ176+BA176)*(1-$BC176)),0)</f>
        <v>531.9</v>
      </c>
      <c r="FH176" s="1170" t="n">
        <f aca="false">IF(EZ176="No",IF((OR(MONTH(C176)=5,MONTH(C176)=6,MONTH(C176)=7,MONTH(C176)=8,MONTH(C176)=9)),Summary!$O$15*12*(AX176+AY176+AZ176+BA176)*(1-$BC176),Summary!$O$15*13*(AX176+AY176+AZ176+BA176)*(1-$BC176)+IF(Summary!$O$16="Yes",(CALC!FA176+Summary!$O$15)*6*(AX176+AY176+AZ176+BA176)*(1-$BC176),0)),0)</f>
        <v>0</v>
      </c>
      <c r="FI176" s="1126" t="n">
        <f aca="false">IF(MONTH(C176)=5,FI175*(IF(Summary!$E$70="no",(1+(Summary!$E$71*0.8)),1+HLOOKUP(YEAR(C176)-1,CCFMODEL!$I$127:$AF$128,2)*0.8)),+FI175)</f>
        <v>36.2095483451476</v>
      </c>
      <c r="FJ176" s="1127" t="n">
        <f aca="false">IF(MONTH(C176)=5,FJ175*(IF(Summary!$E$70="no",(1+(Summary!$E$71*0.8)),1+HLOOKUP(YEAR(CALC!C176)-1,CCFMODEL!$I$127:$AF$128,2)*0.8)),FJ175)</f>
        <v>31.6477154827668</v>
      </c>
      <c r="FK176" s="1128" t="n">
        <f aca="false">SUM(FB176:FG176)*FI176+FH176*FJ176</f>
        <v>625945.40985548</v>
      </c>
      <c r="FL176" s="1126" t="n">
        <f aca="false">IF(MONTH(C176)=5,FL175*(IF(Summary!$E$70="no",(1+(Summary!$E$71*0.8)),1+HLOOKUP(YEAR(CALC!C176)-1,CCFMODEL!$I$127:$AF$128,2)*0.8)),+FL175)</f>
        <v>76.1527396580175</v>
      </c>
      <c r="FM176" s="1127" t="n">
        <f aca="false">IF(MONTH(C176)=5,FM175*(IF(Summary!$E$70="no",(1+(Summary!$E$71*0.8)),1+HLOOKUP(YEAR(CALC!C176)-1,CCFMODEL!$I$127:$AF$128,2)*0.8)),+FM175)</f>
        <v>36.3453171803375</v>
      </c>
      <c r="FN176" s="1128" t="n">
        <f aca="false">IF((OR(MONTH(C176)=5,MONTH(C176)=6,MONTH(C176)=7,MONTH(C176)=8,MONTH(C176)=9)),SUM(FB176:FG176)/(1-BC176)*FL176,SUM(FB176:FG176)/(1-BC176)*FM176)</f>
        <v>637860.316514922</v>
      </c>
      <c r="FO176" s="1129" t="n">
        <f aca="false">FK176+FN176</f>
        <v>1263805.7263704</v>
      </c>
      <c r="FP176" s="1169" t="n">
        <f aca="false">FB176</f>
        <v>9751.5</v>
      </c>
      <c r="FQ176" s="1129" t="n">
        <f aca="false">FC176</f>
        <v>2925.45</v>
      </c>
      <c r="FR176" s="1129" t="n">
        <f aca="false">FD176</f>
        <v>1773</v>
      </c>
      <c r="FS176" s="1129" t="n">
        <f aca="false">FE176</f>
        <v>531.9</v>
      </c>
      <c r="FT176" s="1129" t="n">
        <f aca="false">FF176</f>
        <v>1773</v>
      </c>
      <c r="FU176" s="1129" t="n">
        <f aca="false">FG176</f>
        <v>531.9</v>
      </c>
      <c r="FV176" s="1170" t="n">
        <f aca="false">FH176</f>
        <v>0</v>
      </c>
      <c r="FW176" s="1115" t="n">
        <f aca="false">IF(ER176&gt;0,MIN(FB176-FP176,BL176),0)</f>
        <v>0</v>
      </c>
      <c r="FX176" s="1115" t="n">
        <f aca="false">IF(ES176&gt;0,MIN(FD176-FR176,BM176),0)</f>
        <v>0</v>
      </c>
      <c r="FY176" s="1115" t="n">
        <f aca="false">IF(ET176&gt;0,MIN(FF176-FT176,BN176),0)</f>
        <v>0</v>
      </c>
      <c r="FZ176" s="1143" t="n">
        <f aca="false">IF(EU176&gt;0,MIN(FH176-FV176,BO176),0)</f>
        <v>0</v>
      </c>
      <c r="GA176" s="1132" t="n">
        <f aca="false">(SUM(FP176:FV176)+SUM(GU176:HB176)/(1-Summary!$O$25))*CY176/1000</f>
        <v>228443.827563936</v>
      </c>
      <c r="GB176" s="1133" t="n">
        <f aca="false">IF($C176&lt;Summary!$M$81,+Summary!$O$81,VLOOKUP(C176,GasTable,19))</f>
        <v>3.19956080432618</v>
      </c>
      <c r="GC176" s="1134" t="n">
        <f aca="false">IF(H176&lt;=Summary!$N$84,MIN(GA176,Summary!$O$75*(H176-G176+1)),0)</f>
        <v>0</v>
      </c>
      <c r="GD176" s="1135" t="n">
        <f aca="false">IF(C176&lt;Summary!$N$84,IF(Summary!$O$75*(H176-G176+1)*0.8&gt;GC176,1,0),0)</f>
        <v>0</v>
      </c>
      <c r="GE176" s="1136" t="n">
        <v>0</v>
      </c>
      <c r="GF176" s="1134" t="n">
        <f aca="false">ABS(MIN(0,GC176-$GA176))</f>
        <v>228443.827563936</v>
      </c>
      <c r="GG176" s="1135" t="n">
        <f aca="false">GF176*(IF(Summary!$O$74=1,VLOOKUP($C176,GasTable,16)+Summary!$O$92+Summary!$O$93,VLOOKUP($C176,GasTable,19)+Summary!$O$92+Summary!$O$93))</f>
        <v>742821.840079899</v>
      </c>
      <c r="GH176" s="1137" t="n">
        <v>4799.34120648927</v>
      </c>
      <c r="GI176" s="1138" t="n">
        <v>0</v>
      </c>
      <c r="GJ176" s="1139" t="n">
        <f aca="false">+GB176*GC176+GE176+GG176+GH176-GI176</f>
        <v>747621.181286388</v>
      </c>
      <c r="GK176" s="1115" t="n">
        <f aca="false">SUM(FP176:FV176,GU176:GX176,GY176:HB176)</f>
        <v>29092.2705</v>
      </c>
      <c r="GL176" s="1140" t="n">
        <v>0.51847910336</v>
      </c>
      <c r="GM176" s="1141" t="n">
        <f aca="false">IF(GK176&gt;GC176/(CY176/1000),GC176/(CY176/1000),+GK176)*GL176</f>
        <v>0</v>
      </c>
      <c r="GN176" s="1115" t="n">
        <f aca="false">IF(SUM(GU176:HB176)=0,0,IF(Summary!$O$16="Yes",SUM(GX176:HB176),IF(Summary!$O$17="Yes",SUM(GY176:HB176),SUM(GU176:HB176))))</f>
        <v>11805.5205</v>
      </c>
      <c r="GO176" s="1142" t="n">
        <v>3.49441348844265</v>
      </c>
      <c r="GP176" s="1143" t="n">
        <f aca="false">GN176*GO176</f>
        <v>41253.3700732862</v>
      </c>
      <c r="GQ176" s="1115"/>
      <c r="GR176" s="1115"/>
      <c r="GS176" s="1115"/>
      <c r="GT176" s="1115"/>
      <c r="GU176" s="1150" t="n">
        <v>5646.1185</v>
      </c>
      <c r="GV176" s="1115" t="n">
        <v>1026.567</v>
      </c>
      <c r="GW176" s="1115" t="n">
        <v>1026.567</v>
      </c>
      <c r="GX176" s="1115"/>
      <c r="GY176" s="1151" t="n">
        <v>3011.2632</v>
      </c>
      <c r="GZ176" s="1115" t="n">
        <v>547.5024</v>
      </c>
      <c r="HA176" s="1115" t="n">
        <v>547.5024</v>
      </c>
      <c r="HB176" s="1141"/>
      <c r="HC176" s="1115" t="n">
        <v>11805.5205</v>
      </c>
      <c r="HD176" s="1115"/>
      <c r="HE176" s="1115" t="n">
        <v>20274.69825</v>
      </c>
      <c r="HF176" s="1115" t="n">
        <v>451725.813568633</v>
      </c>
      <c r="HG176" s="1115"/>
      <c r="HH176" s="1142" t="n">
        <v>37.5725322453081</v>
      </c>
      <c r="HI176" s="1115" t="n">
        <v>761771.753762018</v>
      </c>
      <c r="HJ176" s="1150" t="n">
        <f aca="false">MAX(FB176-FP176-FW176,0)</f>
        <v>0</v>
      </c>
      <c r="HK176" s="1115" t="n">
        <f aca="false">MAX(FD176-FR176-FX176,0)</f>
        <v>0</v>
      </c>
      <c r="HL176" s="1115" t="n">
        <f aca="false">MAX(FF176-FT176-FY176,0)</f>
        <v>0</v>
      </c>
      <c r="HM176" s="1141" t="n">
        <f aca="false">MAX(FH176-FV176-FZ176,0)</f>
        <v>0</v>
      </c>
      <c r="HN176" s="1115" t="n">
        <f aca="false">SUM(HJ176:HM176)</f>
        <v>0</v>
      </c>
      <c r="HO176" s="1142" t="n">
        <f aca="false">IF(ISERROR(+HP176/HN176),0,+HP176/HN176)</f>
        <v>0</v>
      </c>
      <c r="HP176" s="1143" t="n">
        <f aca="false">(HJ176*CE176+HK176*CF176+HL176*CG176+HM176*CH176)</f>
        <v>0</v>
      </c>
      <c r="HQ176" s="1142"/>
      <c r="HR176" s="1150"/>
      <c r="HS176" s="1110"/>
      <c r="HT176" s="1141"/>
      <c r="HU176" s="1151"/>
      <c r="HV176" s="1142"/>
      <c r="HW176" s="1115"/>
      <c r="HX176" s="1149"/>
      <c r="HY176" s="1143"/>
      <c r="HZ176" s="1150"/>
      <c r="IA176" s="1142"/>
      <c r="IB176" s="1141"/>
      <c r="IC176" s="1151"/>
      <c r="ID176" s="1142"/>
      <c r="IE176" s="1141"/>
      <c r="IF176" s="1115"/>
      <c r="IG176" s="1142"/>
      <c r="IH176" s="1141"/>
      <c r="II176" s="1115"/>
      <c r="IJ176" s="1142"/>
      <c r="IK176" s="1115"/>
      <c r="IL176" s="1152"/>
      <c r="IM176" s="1192"/>
      <c r="IN176" s="1151"/>
      <c r="IO176" s="1151"/>
      <c r="IP176" s="1151"/>
      <c r="IQ176" s="1151"/>
      <c r="IR176" s="844"/>
    </row>
    <row r="177" customFormat="false" ht="13.5" hidden="false" customHeight="false" outlineLevel="0" collapsed="false">
      <c r="A177" s="0" t="str">
        <f aca="false">+D177&amp;"Q"&amp;ROUNDUP(E177/3,0)</f>
        <v>2013Q2</v>
      </c>
      <c r="B177" s="0" t="n">
        <f aca="false">YEAR(C177)</f>
        <v>2013</v>
      </c>
      <c r="C177" s="1153" t="n">
        <f aca="false">EOMONTH(C176,0)+1</f>
        <v>41395</v>
      </c>
      <c r="D177" s="841" t="n">
        <f aca="false">+YEAR(C177)</f>
        <v>2013</v>
      </c>
      <c r="E177" s="807" t="n">
        <f aca="false">MONTH(C177)</f>
        <v>5</v>
      </c>
      <c r="F177" s="1154" t="e">
        <f aca="false">IF(G177="","",Holiday(D177,E177))</f>
        <v>#VALUE!</v>
      </c>
      <c r="G177" s="1155" t="n">
        <v>41395</v>
      </c>
      <c r="H177" s="1156" t="n">
        <v>41425</v>
      </c>
      <c r="I177" s="1157" t="n">
        <f aca="false">I176</f>
        <v>0.0715</v>
      </c>
      <c r="J177" s="1158" t="n">
        <f aca="false">(1+I177/2)^(-2*(DATE(D178,E178,20)-$H$7)/365.25)</f>
        <v>0.386979953249815</v>
      </c>
      <c r="K177" s="1159"/>
      <c r="L177" s="1158"/>
      <c r="M177" s="1082" t="n">
        <v>0</v>
      </c>
      <c r="N177" s="1110" t="n">
        <f aca="false">M177</f>
        <v>0</v>
      </c>
      <c r="O177" s="1174" t="n">
        <f aca="false">N177</f>
        <v>0</v>
      </c>
      <c r="P177" s="1175" t="n">
        <f aca="false">M177</f>
        <v>0</v>
      </c>
      <c r="Q177" s="1110" t="n">
        <f aca="false">P177</f>
        <v>0</v>
      </c>
      <c r="R177" s="1174" t="n">
        <f aca="false">Q177</f>
        <v>0</v>
      </c>
      <c r="S177" s="1110" t="n">
        <f aca="false">R177</f>
        <v>0</v>
      </c>
      <c r="T177" s="1110" t="n">
        <f aca="false">S177</f>
        <v>0</v>
      </c>
      <c r="U177" s="1110" t="n">
        <f aca="false">T177</f>
        <v>0</v>
      </c>
      <c r="V177" s="1175" t="n">
        <f aca="false">U177</f>
        <v>0</v>
      </c>
      <c r="W177" s="1110" t="n">
        <f aca="false">V177</f>
        <v>0</v>
      </c>
      <c r="X177" s="1176" t="n">
        <f aca="false">W177</f>
        <v>0</v>
      </c>
      <c r="Y177" s="1086" t="n">
        <v>0</v>
      </c>
      <c r="Z177" s="1086" t="n">
        <v>0</v>
      </c>
      <c r="AA177" s="1087" t="n">
        <v>0</v>
      </c>
      <c r="AB177" s="1086" t="n">
        <v>0</v>
      </c>
      <c r="AC177" s="1086" t="n">
        <v>0</v>
      </c>
      <c r="AD177" s="1087" t="n">
        <v>0</v>
      </c>
      <c r="AE177" s="1086" t="n">
        <v>0</v>
      </c>
      <c r="AF177" s="1086" t="n">
        <v>0</v>
      </c>
      <c r="AG177" s="1087" t="n">
        <v>0</v>
      </c>
      <c r="AH177" s="1086" t="n">
        <v>0</v>
      </c>
      <c r="AI177" s="1086" t="n">
        <v>0</v>
      </c>
      <c r="AJ177" s="1087" t="n">
        <v>0</v>
      </c>
      <c r="AK177" s="1086" t="n">
        <v>0</v>
      </c>
      <c r="AL177" s="1086" t="n">
        <v>0</v>
      </c>
      <c r="AM177" s="1087" t="n">
        <v>0</v>
      </c>
      <c r="AN177" s="1086" t="n">
        <v>0</v>
      </c>
      <c r="AO177" s="1086" t="n">
        <v>0</v>
      </c>
      <c r="AP177" s="1087" t="n">
        <v>0</v>
      </c>
      <c r="AQ177" s="1086" t="n">
        <v>0</v>
      </c>
      <c r="AR177" s="1086" t="n">
        <v>0</v>
      </c>
      <c r="AS177" s="1087" t="n">
        <v>0</v>
      </c>
      <c r="AT177" s="1086" t="n">
        <v>0</v>
      </c>
      <c r="AU177" s="1086" t="n">
        <v>0</v>
      </c>
      <c r="AV177" s="1086" t="n">
        <v>0</v>
      </c>
      <c r="AW177" s="1172" t="n">
        <v>0</v>
      </c>
      <c r="AX177" s="807" t="e">
        <f aca="false">BB177-SUM(AY177:BA177)</f>
        <v>#VALUE!</v>
      </c>
      <c r="AY177" s="807" t="e">
        <f aca="false">IF(AND($E177=MONTH(Summary!$E$24),$D177=YEAR(Summary!$E$24)),Summary!$E$25,1)*IF(G177="",0,INT((H177-MOD(H177,7)-G177)/7)+1-IF(BA177,IF(WEEKDAY(F177)=7,1,0),0))</f>
        <v>#VALUE!</v>
      </c>
      <c r="AZ177" s="807" t="e">
        <f aca="false">IF(AND($E177=MONTH(Summary!$E$24),$D177=YEAR(Summary!$E$24)),Summary!$E$25,1)*IF(G177="",0,INT((H177-MOD(H177-1,7)-G177)/7)+1-IF(BA177,IF(WEEKDAY(F177)=1,1,0),0))</f>
        <v>#VALUE!</v>
      </c>
      <c r="BA177" s="807" t="n">
        <v>1</v>
      </c>
      <c r="BB177" s="807" t="n">
        <f aca="false">IF(AND($E177=MONTH(Summary!$E$24),$D177=YEAR(Summary!$E$24)),Summary!$E$25,1)*IF(G177="",0,H177-G177+1)</f>
        <v>31</v>
      </c>
      <c r="BC177" s="1089" t="n">
        <f aca="false">Summary!$E$19</f>
        <v>0.015</v>
      </c>
      <c r="BD177" s="1090" t="n">
        <v>15602.4</v>
      </c>
      <c r="BE177" s="1091" t="n">
        <v>2836.8</v>
      </c>
      <c r="BF177" s="1091" t="n">
        <v>3546</v>
      </c>
      <c r="BG177" s="842"/>
      <c r="BH177" s="1092" t="n">
        <v>1</v>
      </c>
      <c r="BI177" s="1092" t="n">
        <v>1</v>
      </c>
      <c r="BJ177" s="1092" t="n">
        <v>1</v>
      </c>
      <c r="BK177" s="1092" t="n">
        <v>1</v>
      </c>
      <c r="BL177" s="1093" t="n">
        <v>3120.48</v>
      </c>
      <c r="BM177" s="1091" t="n">
        <v>567.36</v>
      </c>
      <c r="BN177" s="1091" t="n">
        <v>709.2</v>
      </c>
      <c r="BO177" s="842"/>
      <c r="BP177" s="1092" t="n">
        <v>1</v>
      </c>
      <c r="BQ177" s="1094" t="n">
        <v>1</v>
      </c>
      <c r="BR177" s="1094" t="n">
        <v>1</v>
      </c>
      <c r="BS177" s="1095" t="n">
        <v>1</v>
      </c>
      <c r="BT177" s="1093" t="n">
        <f aca="false">SUM(BD177:BF177)</f>
        <v>21985.2</v>
      </c>
      <c r="BU177" s="1098" t="n">
        <f aca="false">SUM(BD177:BG177)</f>
        <v>21985.2</v>
      </c>
      <c r="BV177" s="1090" t="n">
        <f aca="false">SUM(BL177:BN177)</f>
        <v>4397.04</v>
      </c>
      <c r="BW177" s="1098" t="n">
        <f aca="false">SUM(BL177:BO177)</f>
        <v>4397.04</v>
      </c>
      <c r="BX177" s="852" t="n">
        <v>13.3771389459274</v>
      </c>
      <c r="BY177" s="1099" t="n">
        <v>0</v>
      </c>
      <c r="BZ177" s="852" t="n">
        <v>0</v>
      </c>
      <c r="CA177" s="852" t="n">
        <v>0</v>
      </c>
      <c r="CB177" s="852" t="n">
        <v>0</v>
      </c>
      <c r="CC177" s="852" t="n">
        <v>0</v>
      </c>
      <c r="CD177" s="852" t="n">
        <v>0</v>
      </c>
      <c r="CE177" s="1100" t="n">
        <v>0</v>
      </c>
      <c r="CF177" s="852" t="n">
        <v>0</v>
      </c>
      <c r="CG177" s="852" t="n">
        <v>0</v>
      </c>
      <c r="CH177" s="852" t="n">
        <v>0</v>
      </c>
      <c r="CI177" s="852" t="n">
        <v>0</v>
      </c>
      <c r="CJ177" s="1101" t="n">
        <v>0</v>
      </c>
      <c r="CK177" s="852" t="n">
        <v>0</v>
      </c>
      <c r="CL177" s="852" t="n">
        <v>0</v>
      </c>
      <c r="CM177" s="852" t="n">
        <v>0</v>
      </c>
      <c r="CN177" s="852" t="n">
        <v>0</v>
      </c>
      <c r="CO177" s="852" t="n">
        <v>0</v>
      </c>
      <c r="CP177" s="852" t="n">
        <v>0</v>
      </c>
      <c r="CQ177" s="1102" t="n">
        <v>0</v>
      </c>
      <c r="CR177" s="1103" t="n">
        <v>0</v>
      </c>
      <c r="CS177" s="1103" t="n">
        <v>0</v>
      </c>
      <c r="CT177" s="1103" t="n">
        <v>0</v>
      </c>
      <c r="CU177" s="1103" t="n">
        <v>0</v>
      </c>
      <c r="CV177" s="1103" t="n">
        <v>0</v>
      </c>
      <c r="CW177" s="1103" t="n">
        <v>0</v>
      </c>
      <c r="CX177" s="1104" t="n">
        <v>0</v>
      </c>
      <c r="CY177" s="1105" t="n">
        <v>7739.79696</v>
      </c>
      <c r="CZ177" s="1099" t="n">
        <v>0</v>
      </c>
      <c r="DA177" s="852" t="n">
        <v>0</v>
      </c>
      <c r="DB177" s="852" t="n">
        <v>0</v>
      </c>
      <c r="DC177" s="852" t="n">
        <v>0</v>
      </c>
      <c r="DD177" s="852" t="n">
        <v>0</v>
      </c>
      <c r="DE177" s="1113" t="n">
        <v>0</v>
      </c>
      <c r="DF177" s="1109" t="n">
        <v>0</v>
      </c>
      <c r="DG177" s="1110" t="n">
        <v>0</v>
      </c>
      <c r="DH177" s="1111" t="n">
        <v>0</v>
      </c>
      <c r="DI177" s="1112" t="n">
        <v>0</v>
      </c>
      <c r="DJ177" s="1112" t="n">
        <v>0</v>
      </c>
      <c r="DK177" s="1112" t="n">
        <v>0</v>
      </c>
      <c r="DL177" s="1113" t="n">
        <v>0</v>
      </c>
      <c r="DM177" s="1114" t="n">
        <v>0</v>
      </c>
      <c r="DN177" s="1114" t="n">
        <v>0</v>
      </c>
      <c r="DO177" s="1114" t="n">
        <v>0</v>
      </c>
      <c r="DP177" s="1114" t="n">
        <v>0</v>
      </c>
      <c r="DQ177" s="1114" t="n">
        <v>0</v>
      </c>
      <c r="DR177" s="1109" t="n">
        <v>0</v>
      </c>
      <c r="DS177" s="852" t="n">
        <v>0</v>
      </c>
      <c r="DT177" s="852" t="n">
        <v>0</v>
      </c>
      <c r="DU177" s="852" t="n">
        <v>0</v>
      </c>
      <c r="DV177" s="852" t="n">
        <v>0</v>
      </c>
      <c r="DW177" s="852" t="n">
        <v>0</v>
      </c>
      <c r="DX177" s="852" t="n">
        <v>0</v>
      </c>
      <c r="DY177" s="852" t="n">
        <v>0</v>
      </c>
      <c r="DZ177" s="852" t="n">
        <v>0</v>
      </c>
      <c r="EA177" s="852" t="n">
        <v>0</v>
      </c>
      <c r="EB177" s="1113" t="n">
        <v>0</v>
      </c>
      <c r="EC177" s="1115" t="n">
        <f aca="false">DS177*BD177</f>
        <v>0</v>
      </c>
      <c r="ED177" s="1115" t="n">
        <f aca="false">DT177*BE177</f>
        <v>0</v>
      </c>
      <c r="EE177" s="1115" t="n">
        <f aca="false">DU177*BF177</f>
        <v>0</v>
      </c>
      <c r="EF177" s="1115" t="n">
        <f aca="false">DV177*BG177</f>
        <v>0</v>
      </c>
      <c r="EG177" s="1115" t="n">
        <f aca="false">DS177*BD177+DT177*BE177+DU177*BF177+DV177*BG177</f>
        <v>0</v>
      </c>
      <c r="EH177" s="1116" t="n">
        <v>0</v>
      </c>
      <c r="EI177" s="1117" t="n">
        <v>0</v>
      </c>
      <c r="EJ177" s="1117" t="n">
        <v>0</v>
      </c>
      <c r="EK177" s="1117" t="n">
        <v>0</v>
      </c>
      <c r="EL177" s="1118" t="n">
        <f aca="false">IF(C177&gt;=Summary!$E$26,MAX(0,SUM(EH177:EK177)),0)</f>
        <v>0</v>
      </c>
      <c r="EM177" s="1115" t="n">
        <f aca="false">IF(C177&gt;=Summary!$E$26,DX177*BL177,0)</f>
        <v>0</v>
      </c>
      <c r="EN177" s="1115" t="n">
        <f aca="false">IF(C177&gt;=Summary!$E$26,DY177*BM177,0)</f>
        <v>0</v>
      </c>
      <c r="EO177" s="1115" t="n">
        <f aca="false">IF(C177&gt;=Summary!$E$26,DZ177*BN177,0)</f>
        <v>0</v>
      </c>
      <c r="EP177" s="1115" t="n">
        <f aca="false">IF(C177&gt;=Summary!$E$26,EA177*BO177,0)</f>
        <v>0</v>
      </c>
      <c r="EQ177" s="1115" t="n">
        <f aca="false">IF(C177&gt;=Summary!$E$26,DX177*BL177+DY177*BM177+DZ177*BN177+EA177*BO177,0)</f>
        <v>0</v>
      </c>
      <c r="ER177" s="1119" t="n">
        <v>0</v>
      </c>
      <c r="ES177" s="1120" t="n">
        <v>0</v>
      </c>
      <c r="ET177" s="1120" t="n">
        <v>0</v>
      </c>
      <c r="EU177" s="1120" t="n">
        <v>0</v>
      </c>
      <c r="EV177" s="1143" t="n">
        <f aca="false">IF(C177&gt;=Summary!$E$26,MAX(0,SUM(ER177:EU177)),0)</f>
        <v>0</v>
      </c>
      <c r="EW177" s="1115"/>
      <c r="EX177" s="1165" t="n">
        <f aca="false">(EQ177-EV177)+IF(EZ177="Yes",(EG177-EL177),0)</f>
        <v>0</v>
      </c>
      <c r="EY177" s="1166" t="str">
        <f aca="false">IF(EX177,EX177/EQ177,"")</f>
        <v/>
      </c>
      <c r="EZ177" s="1122" t="s">
        <v>37</v>
      </c>
      <c r="FA177" s="1096" t="n">
        <f aca="false">FA176</f>
        <v>45</v>
      </c>
      <c r="FB177" s="1167" t="e">
        <f aca="false">IF(EZ177="No",IF((OR(MONTH(C177)=5,MONTH(C177)=6,MONTH(C177)=7,MONTH(C177)=8,MONTH(C177)=9)),$FA177*12*AX177*(1-$BC177),$FA177*10*AX177*(1-$BC177)),0)</f>
        <v>#VALUE!</v>
      </c>
      <c r="FC177" s="1129" t="n">
        <f aca="false">IF(EZ177="No",IF((OR(MONTH(C177)=5,MONTH(C177)=6,MONTH(C177)=7,MONTH(C177)=8,MONTH(C177)=9)),0,$FA177*3*AX177*(1-$BC177)),0)</f>
        <v>0</v>
      </c>
      <c r="FD177" s="1129" t="e">
        <f aca="false">IF(EZ177="No",IF((OR(MONTH(C177)=5,MONTH(C177)=6,MONTH(C177)=7,MONTH(C177)=8,MONTH(C177)=9)),$FA177*12*AY177*(1-$BC177),$FA177*10*AY177*(1-$BC177)),0)</f>
        <v>#VALUE!</v>
      </c>
      <c r="FE177" s="1129" t="n">
        <f aca="false">IF(EZ177="No",IF((OR(MONTH(C177)=5,MONTH(C177)=6,MONTH(C177)=7,MONTH(C177)=8,MONTH(C177)=9)),0,$FA177*3*AY177*(1-$BC177)),0)</f>
        <v>0</v>
      </c>
      <c r="FF177" s="1129" t="e">
        <f aca="false">IF(EZ177="No",IF((OR(MONTH(C177)=5,MONTH(C177)=6,MONTH(C177)=7,MONTH(C177)=8,MONTH(C177)=9)),$FA177*12*(AZ177+BA177)*(1-$BC177),$FA177*10*(AZ177+BA177)*(1-$BC177)),0)</f>
        <v>#VALUE!</v>
      </c>
      <c r="FG177" s="1129" t="n">
        <f aca="false">IF(EZ177="No",IF((OR(MONTH(C177)=5,MONTH(C177)=6,MONTH(C177)=7,MONTH(C177)=8,MONTH(C177)=9)),0,$FA177*3*(AZ177+BA177)*(1-$BC177)),0)</f>
        <v>0</v>
      </c>
      <c r="FH177" s="1170" t="e">
        <f aca="false">IF(EZ177="No",IF((OR(MONTH(C177)=5,MONTH(C177)=6,MONTH(C177)=7,MONTH(C177)=8,MONTH(C177)=9)),Summary!$O$15*12*(AX177+AY177+AZ177+BA177)*(1-$BC177),Summary!$O$15*13*(AX177+AY177+AZ177+BA177)*(1-$BC177)+IF(Summary!$O$16="Yes",(CALC!FA177+Summary!$O$15)*6*(AX177+AY177+AZ177+BA177)*(1-$BC177),0)),0)</f>
        <v>#VALUE!</v>
      </c>
      <c r="FI177" s="1126" t="n">
        <f aca="false">IF(MONTH(C177)=5,FI176*(IF(Summary!$E$70="no",(1+(Summary!$E$71*0.8)),1+HLOOKUP(YEAR(C177)-1,CCFMODEL!$I$127:$AF$128,2)*0.8)),+FI176)</f>
        <v>37.0785775054311</v>
      </c>
      <c r="FJ177" s="1127" t="n">
        <f aca="false">IF(MONTH(C177)=5,FJ176*(IF(Summary!$E$70="no",(1+(Summary!$E$71*0.8)),1+HLOOKUP(YEAR(CALC!C177)-1,CCFMODEL!$I$127:$AF$128,2)*0.8)),FJ176)</f>
        <v>32.4072606543532</v>
      </c>
      <c r="FK177" s="1128" t="e">
        <f aca="false">SUM(FB177:FG177)*FI177+FH177*FJ177</f>
        <v>#VALUE!</v>
      </c>
      <c r="FL177" s="1126" t="n">
        <f aca="false">IF(MONTH(C177)=5,FL176*(IF(Summary!$E$70="no",(1+(Summary!$E$71*0.8)),1+HLOOKUP(YEAR(CALC!C177)-1,CCFMODEL!$I$127:$AF$128,2)*0.8)),+FL176)</f>
        <v>77.9804054098099</v>
      </c>
      <c r="FM177" s="1127" t="n">
        <f aca="false">IF(MONTH(C177)=5,FM176*(IF(Summary!$E$70="no",(1+(Summary!$E$71*0.8)),1+HLOOKUP(YEAR(CALC!C177)-1,CCFMODEL!$I$127:$AF$128,2)*0.8)),+FM176)</f>
        <v>37.2176047926656</v>
      </c>
      <c r="FN177" s="1128" t="e">
        <f aca="false">IF((OR(MONTH(C177)=5,MONTH(C177)=6,MONTH(C177)=7,MONTH(C177)=8,MONTH(C177)=9)),SUM(FB177:FG177)/(1-BC177)*FL177,SUM(FB177:FG177)/(1-BC177)*FM177)</f>
        <v>#VALUE!</v>
      </c>
      <c r="FO177" s="1129" t="e">
        <f aca="false">FK177+FN177</f>
        <v>#VALUE!</v>
      </c>
      <c r="FP177" s="1169" t="e">
        <f aca="false">FB177</f>
        <v>#VALUE!</v>
      </c>
      <c r="FQ177" s="1129" t="n">
        <f aca="false">FC177</f>
        <v>0</v>
      </c>
      <c r="FR177" s="1129" t="e">
        <f aca="false">FD177</f>
        <v>#VALUE!</v>
      </c>
      <c r="FS177" s="1129" t="n">
        <f aca="false">FE177</f>
        <v>0</v>
      </c>
      <c r="FT177" s="1129" t="e">
        <f aca="false">FF177</f>
        <v>#VALUE!</v>
      </c>
      <c r="FU177" s="1129" t="n">
        <f aca="false">FG177</f>
        <v>0</v>
      </c>
      <c r="FV177" s="1170" t="e">
        <f aca="false">FH177</f>
        <v>#VALUE!</v>
      </c>
      <c r="FW177" s="1115" t="n">
        <f aca="false">IF(ER177&gt;0,MIN(FB177-FP177,BL177),0)</f>
        <v>0</v>
      </c>
      <c r="FX177" s="1115" t="n">
        <f aca="false">IF(ES177&gt;0,MIN(FD177-FR177,BM177),0)</f>
        <v>0</v>
      </c>
      <c r="FY177" s="1115" t="n">
        <f aca="false">IF(ET177&gt;0,MIN(FF177-FT177,BN177),0)</f>
        <v>0</v>
      </c>
      <c r="FZ177" s="1143" t="n">
        <f aca="false">IF(EU177&gt;0,MIN(FH177-FV177,BO177),0)</f>
        <v>0</v>
      </c>
      <c r="GA177" s="1132" t="e">
        <f aca="false">(SUM(FP177:FV177)+SUM(GU177:HB177)/(1-Summary!$O$25))*CY177/1000</f>
        <v>#VALUE!</v>
      </c>
      <c r="GB177" s="1133" t="n">
        <f aca="false">IF($C177&lt;Summary!$M$81,+Summary!$O$81,VLOOKUP(C177,GasTable,19))</f>
        <v>3.17543070647367</v>
      </c>
      <c r="GC177" s="1134" t="n">
        <f aca="false">IF(H177&lt;=Summary!$N$84,MIN(GA177,Summary!$O$75*(H177-G177+1)),0)</f>
        <v>0</v>
      </c>
      <c r="GD177" s="1135" t="n">
        <f aca="false">IF(C177&lt;Summary!$N$84,IF(Summary!$O$75*(H177-G177+1)*0.8&gt;GC177,1,0),0)</f>
        <v>0</v>
      </c>
      <c r="GE177" s="1136" t="n">
        <v>0</v>
      </c>
      <c r="GF177" s="1134" t="e">
        <f aca="false">ABS(MIN(0,GC177-$GA177))</f>
        <v>#VALUE!</v>
      </c>
      <c r="GG177" s="1135" t="e">
        <f aca="false">GF177*(IF(Summary!$O$74=1,VLOOKUP($C177,GasTable,16)+Summary!$O$92+Summary!$O$93,VLOOKUP($C177,GasTable,19)+Summary!$O$92+Summary!$O$93))</f>
        <v>#VALUE!</v>
      </c>
      <c r="GH177" s="1137" t="n">
        <v>4921.91759503419</v>
      </c>
      <c r="GI177" s="1138" t="n">
        <v>0</v>
      </c>
      <c r="GJ177" s="1139" t="e">
        <f aca="false">+GB177*GC177+GE177+GG177+GH177-GI177</f>
        <v>#VALUE!</v>
      </c>
      <c r="GK177" s="1115" t="e">
        <f aca="false">SUM(FP177:FV177,GU177:GX177,GY177:HB177)</f>
        <v>#VALUE!</v>
      </c>
      <c r="GL177" s="1140" t="n">
        <v>0.51856639632</v>
      </c>
      <c r="GM177" s="1141" t="e">
        <f aca="false">IF(GK177&gt;GC177/(CY177/1000),GC177/(CY177/1000),+GK177)*GL177</f>
        <v>#VALUE!</v>
      </c>
      <c r="GN177" s="1115" t="n">
        <f aca="false">IF(SUM(GU177:HB177)=0,0,IF(Summary!$O$16="Yes",SUM(GX177:HB177),IF(Summary!$O$17="Yes",SUM(GY177:HB177),SUM(GU177:HB177))))</f>
        <v>9547.0731</v>
      </c>
      <c r="GO177" s="1142" t="n">
        <v>3.49441348844265</v>
      </c>
      <c r="GP177" s="1143" t="n">
        <f aca="false">GN177*GO177</f>
        <v>33361.421015788</v>
      </c>
      <c r="GQ177" s="1115"/>
      <c r="GR177" s="1115"/>
      <c r="GS177" s="1115"/>
      <c r="GT177" s="1115"/>
      <c r="GU177" s="1150" t="n">
        <v>3764.079</v>
      </c>
      <c r="GV177" s="1115" t="n">
        <v>684.378</v>
      </c>
      <c r="GW177" s="1115" t="n">
        <v>855.4725</v>
      </c>
      <c r="GX177" s="1115"/>
      <c r="GY177" s="1151" t="n">
        <v>3011.2632</v>
      </c>
      <c r="GZ177" s="1115" t="n">
        <v>547.5024</v>
      </c>
      <c r="HA177" s="1115" t="n">
        <v>684.378</v>
      </c>
      <c r="HB177" s="1141"/>
      <c r="HC177" s="1115" t="n">
        <v>9547.0731</v>
      </c>
      <c r="HD177" s="1115"/>
      <c r="HE177" s="1115" t="n">
        <v>22276.5039</v>
      </c>
      <c r="HF177" s="1115" t="n">
        <v>380532.209343846</v>
      </c>
      <c r="HG177" s="1115"/>
      <c r="HH177" s="1142" t="n">
        <v>40.3844386079977</v>
      </c>
      <c r="HI177" s="1115" t="n">
        <v>899624.104150371</v>
      </c>
      <c r="HJ177" s="1150" t="e">
        <f aca="false">MAX(FB177-FP177-FW177,0)</f>
        <v>#VALUE!</v>
      </c>
      <c r="HK177" s="1115" t="e">
        <f aca="false">MAX(FD177-FR177-FX177,0)</f>
        <v>#VALUE!</v>
      </c>
      <c r="HL177" s="1115" t="e">
        <f aca="false">MAX(FF177-FT177-FY177,0)</f>
        <v>#VALUE!</v>
      </c>
      <c r="HM177" s="1141" t="e">
        <f aca="false">MAX(FH177-FV177-FZ177,0)</f>
        <v>#VALUE!</v>
      </c>
      <c r="HN177" s="1115" t="e">
        <f aca="false">SUM(HJ177:HM177)</f>
        <v>#VALUE!</v>
      </c>
      <c r="HO177" s="1142" t="n">
        <f aca="false">IF(ISERROR(+HP177/HN177),0,+HP177/HN177)</f>
        <v>0</v>
      </c>
      <c r="HP177" s="1143" t="e">
        <f aca="false">(HJ177*CE177+HK177*CF177+HL177*CG177+HM177*CH177)</f>
        <v>#VALUE!</v>
      </c>
      <c r="HQ177" s="1142"/>
      <c r="HR177" s="1150"/>
      <c r="HS177" s="1110"/>
      <c r="HT177" s="1141"/>
      <c r="HU177" s="1151"/>
      <c r="HV177" s="1142"/>
      <c r="HW177" s="1115"/>
      <c r="HX177" s="1149"/>
      <c r="HY177" s="1143"/>
      <c r="HZ177" s="1150"/>
      <c r="IA177" s="1142"/>
      <c r="IB177" s="1141"/>
      <c r="IC177" s="1151"/>
      <c r="ID177" s="1142"/>
      <c r="IE177" s="1141"/>
      <c r="IF177" s="1115"/>
      <c r="IG177" s="1142"/>
      <c r="IH177" s="1141"/>
      <c r="II177" s="1115"/>
      <c r="IJ177" s="1142"/>
      <c r="IK177" s="1115"/>
      <c r="IL177" s="1152"/>
      <c r="IM177" s="1192"/>
      <c r="IN177" s="1151"/>
      <c r="IO177" s="1151"/>
      <c r="IP177" s="1151"/>
      <c r="IQ177" s="1151"/>
      <c r="IR177" s="844"/>
    </row>
    <row r="178" customFormat="false" ht="13.5" hidden="false" customHeight="false" outlineLevel="0" collapsed="false">
      <c r="A178" s="0" t="str">
        <f aca="false">+D178&amp;"Q"&amp;ROUNDUP(E178/3,0)</f>
        <v>2013Q2</v>
      </c>
      <c r="B178" s="0" t="n">
        <f aca="false">YEAR(C178)</f>
        <v>2013</v>
      </c>
      <c r="C178" s="1153" t="n">
        <f aca="false">EOMONTH(C177,0)+1</f>
        <v>41426</v>
      </c>
      <c r="D178" s="841" t="n">
        <f aca="false">+YEAR(C178)</f>
        <v>2013</v>
      </c>
      <c r="E178" s="807" t="n">
        <f aca="false">MONTH(C178)</f>
        <v>6</v>
      </c>
      <c r="F178" s="1154" t="e">
        <f aca="false">IF(G178="","",Holiday(D178,E178))</f>
        <v>#VALUE!</v>
      </c>
      <c r="G178" s="1155" t="n">
        <v>41426</v>
      </c>
      <c r="H178" s="1156" t="n">
        <v>41455</v>
      </c>
      <c r="I178" s="1157" t="n">
        <f aca="false">I177</f>
        <v>0.0715</v>
      </c>
      <c r="J178" s="1158" t="n">
        <f aca="false">(1+I178/2)^(-2*(DATE(D179,E179,20)-$H$7)/365.25)</f>
        <v>0.384753449801629</v>
      </c>
      <c r="K178" s="1159"/>
      <c r="L178" s="1158"/>
      <c r="M178" s="1082" t="n">
        <v>0</v>
      </c>
      <c r="N178" s="1110" t="n">
        <f aca="false">M178</f>
        <v>0</v>
      </c>
      <c r="O178" s="1174" t="n">
        <f aca="false">N178</f>
        <v>0</v>
      </c>
      <c r="P178" s="1175" t="n">
        <f aca="false">M178</f>
        <v>0</v>
      </c>
      <c r="Q178" s="1110" t="n">
        <f aca="false">P178</f>
        <v>0</v>
      </c>
      <c r="R178" s="1174" t="n">
        <f aca="false">Q178</f>
        <v>0</v>
      </c>
      <c r="S178" s="1110" t="n">
        <f aca="false">R178</f>
        <v>0</v>
      </c>
      <c r="T178" s="1110" t="n">
        <f aca="false">S178</f>
        <v>0</v>
      </c>
      <c r="U178" s="1110" t="n">
        <f aca="false">T178</f>
        <v>0</v>
      </c>
      <c r="V178" s="1175" t="n">
        <f aca="false">U178</f>
        <v>0</v>
      </c>
      <c r="W178" s="1110" t="n">
        <f aca="false">V178</f>
        <v>0</v>
      </c>
      <c r="X178" s="1176" t="n">
        <f aca="false">W178</f>
        <v>0</v>
      </c>
      <c r="Y178" s="1086" t="n">
        <v>0</v>
      </c>
      <c r="Z178" s="1086" t="n">
        <v>0</v>
      </c>
      <c r="AA178" s="1087" t="n">
        <v>0</v>
      </c>
      <c r="AB178" s="1086" t="n">
        <v>0</v>
      </c>
      <c r="AC178" s="1086" t="n">
        <v>0</v>
      </c>
      <c r="AD178" s="1087" t="n">
        <v>0</v>
      </c>
      <c r="AE178" s="1086" t="n">
        <v>0</v>
      </c>
      <c r="AF178" s="1086" t="n">
        <v>0</v>
      </c>
      <c r="AG178" s="1087" t="n">
        <v>0</v>
      </c>
      <c r="AH178" s="1086" t="n">
        <v>0</v>
      </c>
      <c r="AI178" s="1086" t="n">
        <v>0</v>
      </c>
      <c r="AJ178" s="1087" t="n">
        <v>0</v>
      </c>
      <c r="AK178" s="1086" t="n">
        <v>0</v>
      </c>
      <c r="AL178" s="1086" t="n">
        <v>0</v>
      </c>
      <c r="AM178" s="1087" t="n">
        <v>0</v>
      </c>
      <c r="AN178" s="1086" t="n">
        <v>0</v>
      </c>
      <c r="AO178" s="1086" t="n">
        <v>0</v>
      </c>
      <c r="AP178" s="1087" t="n">
        <v>0</v>
      </c>
      <c r="AQ178" s="1086" t="n">
        <v>0</v>
      </c>
      <c r="AR178" s="1086" t="n">
        <v>0</v>
      </c>
      <c r="AS178" s="1087" t="n">
        <v>0</v>
      </c>
      <c r="AT178" s="1086" t="n">
        <v>0</v>
      </c>
      <c r="AU178" s="1086" t="n">
        <v>0</v>
      </c>
      <c r="AV178" s="1086" t="n">
        <v>0</v>
      </c>
      <c r="AW178" s="1172" t="n">
        <v>0</v>
      </c>
      <c r="AX178" s="807" t="n">
        <f aca="false">BB178-SUM(AY178:BA178)</f>
        <v>20</v>
      </c>
      <c r="AY178" s="807" t="n">
        <f aca="false">IF(AND($E178=MONTH(Summary!$E$24),$D178=YEAR(Summary!$E$24)),Summary!$E$25,1)*IF(G178="",0,INT((H178-MOD(H178,7)-G178)/7)+1-IF(BA178,IF(WEEKDAY(F178)=7,1,0),0))</f>
        <v>5</v>
      </c>
      <c r="AZ178" s="807" t="n">
        <f aca="false">IF(AND($E178=MONTH(Summary!$E$24),$D178=YEAR(Summary!$E$24)),Summary!$E$25,1)*IF(G178="",0,INT((H178-MOD(H178-1,7)-G178)/7)+1-IF(BA178,IF(WEEKDAY(F178)=1,1,0),0))</f>
        <v>5</v>
      </c>
      <c r="BA178" s="807" t="n">
        <v>0</v>
      </c>
      <c r="BB178" s="807" t="n">
        <f aca="false">IF(AND($E178=MONTH(Summary!$E$24),$D178=YEAR(Summary!$E$24)),Summary!$E$25,1)*IF(G178="",0,H178-G178+1)</f>
        <v>30</v>
      </c>
      <c r="BC178" s="1089" t="n">
        <f aca="false">Summary!$E$19</f>
        <v>0.015</v>
      </c>
      <c r="BD178" s="1090" t="n">
        <v>14184</v>
      </c>
      <c r="BE178" s="1091" t="n">
        <v>3546</v>
      </c>
      <c r="BF178" s="1091" t="n">
        <v>3546</v>
      </c>
      <c r="BG178" s="842"/>
      <c r="BH178" s="1092" t="n">
        <v>1</v>
      </c>
      <c r="BI178" s="1092" t="n">
        <v>1</v>
      </c>
      <c r="BJ178" s="1092" t="n">
        <v>1</v>
      </c>
      <c r="BK178" s="1092" t="n">
        <v>1</v>
      </c>
      <c r="BL178" s="1093" t="n">
        <v>2836.8</v>
      </c>
      <c r="BM178" s="1091" t="n">
        <v>709.2</v>
      </c>
      <c r="BN178" s="1091" t="n">
        <v>709.2</v>
      </c>
      <c r="BO178" s="842"/>
      <c r="BP178" s="1092" t="n">
        <v>1</v>
      </c>
      <c r="BQ178" s="1094" t="n">
        <v>1</v>
      </c>
      <c r="BR178" s="1094" t="n">
        <v>1</v>
      </c>
      <c r="BS178" s="1095" t="n">
        <v>1</v>
      </c>
      <c r="BT178" s="1093" t="n">
        <f aca="false">SUM(BD178:BF178)</f>
        <v>21276</v>
      </c>
      <c r="BU178" s="1098" t="n">
        <f aca="false">SUM(BD178:BG178)</f>
        <v>21276</v>
      </c>
      <c r="BV178" s="1090" t="n">
        <f aca="false">SUM(BL178:BN178)</f>
        <v>4255.2</v>
      </c>
      <c r="BW178" s="1098" t="n">
        <f aca="false">SUM(BL178:BO178)</f>
        <v>4255.2</v>
      </c>
      <c r="BX178" s="852" t="n">
        <v>13.4620123203285</v>
      </c>
      <c r="BY178" s="1099" t="n">
        <v>0</v>
      </c>
      <c r="BZ178" s="852" t="n">
        <v>0</v>
      </c>
      <c r="CA178" s="852" t="n">
        <v>0</v>
      </c>
      <c r="CB178" s="852" t="n">
        <v>0</v>
      </c>
      <c r="CC178" s="852" t="n">
        <v>0</v>
      </c>
      <c r="CD178" s="852" t="n">
        <v>0</v>
      </c>
      <c r="CE178" s="1100" t="n">
        <v>0</v>
      </c>
      <c r="CF178" s="852" t="n">
        <v>0</v>
      </c>
      <c r="CG178" s="852" t="n">
        <v>0</v>
      </c>
      <c r="CH178" s="852" t="n">
        <v>0</v>
      </c>
      <c r="CI178" s="852" t="n">
        <v>0</v>
      </c>
      <c r="CJ178" s="1101" t="n">
        <v>0</v>
      </c>
      <c r="CK178" s="852" t="n">
        <v>0</v>
      </c>
      <c r="CL178" s="852" t="n">
        <v>0</v>
      </c>
      <c r="CM178" s="852" t="n">
        <v>0</v>
      </c>
      <c r="CN178" s="852" t="n">
        <v>0</v>
      </c>
      <c r="CO178" s="852" t="n">
        <v>0</v>
      </c>
      <c r="CP178" s="852" t="n">
        <v>0</v>
      </c>
      <c r="CQ178" s="1102" t="n">
        <v>0</v>
      </c>
      <c r="CR178" s="1103" t="n">
        <v>0</v>
      </c>
      <c r="CS178" s="1103" t="n">
        <v>0</v>
      </c>
      <c r="CT178" s="1103" t="n">
        <v>0</v>
      </c>
      <c r="CU178" s="1103" t="n">
        <v>0</v>
      </c>
      <c r="CV178" s="1103" t="n">
        <v>0</v>
      </c>
      <c r="CW178" s="1103" t="n">
        <v>0</v>
      </c>
      <c r="CX178" s="1104" t="n">
        <v>0</v>
      </c>
      <c r="CY178" s="1105" t="n">
        <v>7741.09984</v>
      </c>
      <c r="CZ178" s="1099" t="n">
        <v>0</v>
      </c>
      <c r="DA178" s="852" t="n">
        <v>0</v>
      </c>
      <c r="DB178" s="852" t="n">
        <v>0</v>
      </c>
      <c r="DC178" s="852" t="n">
        <v>0</v>
      </c>
      <c r="DD178" s="852" t="n">
        <v>0</v>
      </c>
      <c r="DE178" s="1113" t="n">
        <v>0</v>
      </c>
      <c r="DF178" s="1109" t="n">
        <v>0</v>
      </c>
      <c r="DG178" s="1110" t="n">
        <v>0</v>
      </c>
      <c r="DH178" s="1111" t="n">
        <v>0</v>
      </c>
      <c r="DI178" s="1112" t="n">
        <v>0</v>
      </c>
      <c r="DJ178" s="1112" t="n">
        <v>0</v>
      </c>
      <c r="DK178" s="1112" t="n">
        <v>0</v>
      </c>
      <c r="DL178" s="1113" t="n">
        <v>0</v>
      </c>
      <c r="DM178" s="1114" t="n">
        <v>0</v>
      </c>
      <c r="DN178" s="1114" t="n">
        <v>0</v>
      </c>
      <c r="DO178" s="1114" t="n">
        <v>0</v>
      </c>
      <c r="DP178" s="1114" t="n">
        <v>0</v>
      </c>
      <c r="DQ178" s="1114" t="n">
        <v>0</v>
      </c>
      <c r="DR178" s="1109" t="n">
        <v>0</v>
      </c>
      <c r="DS178" s="852" t="n">
        <v>0</v>
      </c>
      <c r="DT178" s="852" t="n">
        <v>0</v>
      </c>
      <c r="DU178" s="852" t="n">
        <v>0</v>
      </c>
      <c r="DV178" s="852" t="n">
        <v>0</v>
      </c>
      <c r="DW178" s="852" t="n">
        <v>0</v>
      </c>
      <c r="DX178" s="852" t="n">
        <v>0</v>
      </c>
      <c r="DY178" s="852" t="n">
        <v>0</v>
      </c>
      <c r="DZ178" s="852" t="n">
        <v>0</v>
      </c>
      <c r="EA178" s="852" t="n">
        <v>0</v>
      </c>
      <c r="EB178" s="1113" t="n">
        <v>0</v>
      </c>
      <c r="EC178" s="1115" t="n">
        <f aca="false">DS178*BD178</f>
        <v>0</v>
      </c>
      <c r="ED178" s="1115" t="n">
        <f aca="false">DT178*BE178</f>
        <v>0</v>
      </c>
      <c r="EE178" s="1115" t="n">
        <f aca="false">DU178*BF178</f>
        <v>0</v>
      </c>
      <c r="EF178" s="1115" t="n">
        <f aca="false">DV178*BG178</f>
        <v>0</v>
      </c>
      <c r="EG178" s="1115" t="n">
        <f aca="false">DS178*BD178+DT178*BE178+DU178*BF178+DV178*BG178</f>
        <v>0</v>
      </c>
      <c r="EH178" s="1116" t="n">
        <v>0</v>
      </c>
      <c r="EI178" s="1117" t="n">
        <v>0</v>
      </c>
      <c r="EJ178" s="1117" t="n">
        <v>0</v>
      </c>
      <c r="EK178" s="1117" t="n">
        <v>0</v>
      </c>
      <c r="EL178" s="1118" t="n">
        <f aca="false">IF(C178&gt;=Summary!$E$26,MAX(0,SUM(EH178:EK178)),0)</f>
        <v>0</v>
      </c>
      <c r="EM178" s="1115" t="n">
        <f aca="false">IF(C178&gt;=Summary!$E$26,DX178*BL178,0)</f>
        <v>0</v>
      </c>
      <c r="EN178" s="1115" t="n">
        <f aca="false">IF(C178&gt;=Summary!$E$26,DY178*BM178,0)</f>
        <v>0</v>
      </c>
      <c r="EO178" s="1115" t="n">
        <f aca="false">IF(C178&gt;=Summary!$E$26,DZ178*BN178,0)</f>
        <v>0</v>
      </c>
      <c r="EP178" s="1115" t="n">
        <f aca="false">IF(C178&gt;=Summary!$E$26,EA178*BO178,0)</f>
        <v>0</v>
      </c>
      <c r="EQ178" s="1115" t="n">
        <f aca="false">IF(C178&gt;=Summary!$E$26,DX178*BL178+DY178*BM178+DZ178*BN178+EA178*BO178,0)</f>
        <v>0</v>
      </c>
      <c r="ER178" s="1119" t="n">
        <v>0</v>
      </c>
      <c r="ES178" s="1120" t="n">
        <v>0</v>
      </c>
      <c r="ET178" s="1120" t="n">
        <v>0</v>
      </c>
      <c r="EU178" s="1120" t="n">
        <v>0</v>
      </c>
      <c r="EV178" s="1143" t="n">
        <f aca="false">IF(C178&gt;=Summary!$E$26,MAX(0,SUM(ER178:EU178)),0)</f>
        <v>0</v>
      </c>
      <c r="EW178" s="1115"/>
      <c r="EX178" s="1165" t="n">
        <f aca="false">(EQ178-EV178)+IF(EZ178="Yes",(EG178-EL178),0)</f>
        <v>0</v>
      </c>
      <c r="EY178" s="1166" t="str">
        <f aca="false">IF(EX178,EX178/EQ178,"")</f>
        <v/>
      </c>
      <c r="EZ178" s="1122" t="s">
        <v>37</v>
      </c>
      <c r="FA178" s="1096" t="n">
        <f aca="false">FA177</f>
        <v>45</v>
      </c>
      <c r="FB178" s="1167" t="n">
        <f aca="false">IF(EZ178="No",IF((OR(MONTH(C178)=5,MONTH(C178)=6,MONTH(C178)=7,MONTH(C178)=8,MONTH(C178)=9)),$FA178*12*AX178*(1-$BC178),$FA178*10*AX178*(1-$BC178)),0)</f>
        <v>10638</v>
      </c>
      <c r="FC178" s="1129" t="n">
        <f aca="false">IF(EZ178="No",IF((OR(MONTH(C178)=5,MONTH(C178)=6,MONTH(C178)=7,MONTH(C178)=8,MONTH(C178)=9)),0,$FA178*3*AX178*(1-$BC178)),0)</f>
        <v>0</v>
      </c>
      <c r="FD178" s="1129" t="n">
        <f aca="false">IF(EZ178="No",IF((OR(MONTH(C178)=5,MONTH(C178)=6,MONTH(C178)=7,MONTH(C178)=8,MONTH(C178)=9)),$FA178*12*AY178*(1-$BC178),$FA178*10*AY178*(1-$BC178)),0)</f>
        <v>2659.5</v>
      </c>
      <c r="FE178" s="1129" t="n">
        <f aca="false">IF(EZ178="No",IF((OR(MONTH(C178)=5,MONTH(C178)=6,MONTH(C178)=7,MONTH(C178)=8,MONTH(C178)=9)),0,$FA178*3*AY178*(1-$BC178)),0)</f>
        <v>0</v>
      </c>
      <c r="FF178" s="1129" t="n">
        <f aca="false">IF(EZ178="No",IF((OR(MONTH(C178)=5,MONTH(C178)=6,MONTH(C178)=7,MONTH(C178)=8,MONTH(C178)=9)),$FA178*12*(AZ178+BA178)*(1-$BC178),$FA178*10*(AZ178+BA178)*(1-$BC178)),0)</f>
        <v>2659.5</v>
      </c>
      <c r="FG178" s="1129" t="n">
        <f aca="false">IF(EZ178="No",IF((OR(MONTH(C178)=5,MONTH(C178)=6,MONTH(C178)=7,MONTH(C178)=8,MONTH(C178)=9)),0,$FA178*3*(AZ178+BA178)*(1-$BC178)),0)</f>
        <v>0</v>
      </c>
      <c r="FH178" s="1170" t="n">
        <f aca="false">IF(EZ178="No",IF((OR(MONTH(C178)=5,MONTH(C178)=6,MONTH(C178)=7,MONTH(C178)=8,MONTH(C178)=9)),Summary!$O$15*12*(AX178+AY178+AZ178+BA178)*(1-$BC178),Summary!$O$15*13*(AX178+AY178+AZ178+BA178)*(1-$BC178)+IF(Summary!$O$16="Yes",(CALC!FA178+Summary!$O$15)*6*(AX178+AY178+AZ178+BA178)*(1-$BC178),0)),0)</f>
        <v>0</v>
      </c>
      <c r="FI178" s="1126" t="n">
        <f aca="false">IF(MONTH(C178)=5,FI177*(IF(Summary!$E$70="no",(1+(Summary!$E$71*0.8)),1+HLOOKUP(YEAR(C178)-1,CCFMODEL!$I$127:$AF$128,2)*0.8)),+FI177)</f>
        <v>37.0785775054311</v>
      </c>
      <c r="FJ178" s="1127" t="n">
        <f aca="false">IF(MONTH(C178)=5,FJ177*(IF(Summary!$E$70="no",(1+(Summary!$E$71*0.8)),1+HLOOKUP(YEAR(CALC!C178)-1,CCFMODEL!$I$127:$AF$128,2)*0.8)),FJ177)</f>
        <v>32.4072606543532</v>
      </c>
      <c r="FK178" s="1128" t="n">
        <f aca="false">SUM(FB178:FG178)*FI178+FH178*FJ178</f>
        <v>591662.861254164</v>
      </c>
      <c r="FL178" s="1126" t="n">
        <f aca="false">IF(MONTH(C178)=5,FL177*(IF(Summary!$E$70="no",(1+(Summary!$E$71*0.8)),1+HLOOKUP(YEAR(CALC!C178)-1,CCFMODEL!$I$127:$AF$128,2)*0.8)),+FL177)</f>
        <v>77.9804054098099</v>
      </c>
      <c r="FM178" s="1127" t="n">
        <f aca="false">IF(MONTH(C178)=5,FM177*(IF(Summary!$E$70="no",(1+(Summary!$E$71*0.8)),1+HLOOKUP(YEAR(CALC!C178)-1,CCFMODEL!$I$127:$AF$128,2)*0.8)),+FM177)</f>
        <v>37.2176047926656</v>
      </c>
      <c r="FN178" s="1128" t="n">
        <f aca="false">IF((OR(MONTH(C178)=5,MONTH(C178)=6,MONTH(C178)=7,MONTH(C178)=8,MONTH(C178)=9)),SUM(FB178:FG178)/(1-BC178)*FL178,SUM(FB178:FG178)/(1-BC178)*FM178)</f>
        <v>1263282.56763892</v>
      </c>
      <c r="FO178" s="1129" t="n">
        <f aca="false">FK178+FN178</f>
        <v>1854945.42889308</v>
      </c>
      <c r="FP178" s="1169" t="n">
        <f aca="false">FB178</f>
        <v>10638</v>
      </c>
      <c r="FQ178" s="1129" t="n">
        <f aca="false">FC178</f>
        <v>0</v>
      </c>
      <c r="FR178" s="1129" t="n">
        <f aca="false">FD178</f>
        <v>2659.5</v>
      </c>
      <c r="FS178" s="1129" t="n">
        <f aca="false">FE178</f>
        <v>0</v>
      </c>
      <c r="FT178" s="1129" t="n">
        <f aca="false">FF178</f>
        <v>2659.5</v>
      </c>
      <c r="FU178" s="1129" t="n">
        <f aca="false">FG178</f>
        <v>0</v>
      </c>
      <c r="FV178" s="1170" t="n">
        <f aca="false">FH178</f>
        <v>0</v>
      </c>
      <c r="FW178" s="1115" t="n">
        <f aca="false">IF(ER178&gt;0,MIN(FB178-FP178,BL178),0)</f>
        <v>0</v>
      </c>
      <c r="FX178" s="1115" t="n">
        <f aca="false">IF(ES178&gt;0,MIN(FD178-FR178,BM178),0)</f>
        <v>0</v>
      </c>
      <c r="FY178" s="1115" t="n">
        <f aca="false">IF(ET178&gt;0,MIN(FF178-FT178,BN178),0)</f>
        <v>0</v>
      </c>
      <c r="FZ178" s="1143" t="n">
        <f aca="false">IF(EU178&gt;0,MIN(FH178-FV178,BO178),0)</f>
        <v>0</v>
      </c>
      <c r="GA178" s="1132" t="n">
        <f aca="false">(SUM(FP178:FV178)+SUM(GU178:HB178)/(1-Summary!$O$25))*CY178/1000</f>
        <v>197639.568235008</v>
      </c>
      <c r="GB178" s="1133" t="n">
        <f aca="false">IF($C178&lt;Summary!$M$81,+Summary!$O$81,VLOOKUP(C178,GasTable,19))</f>
        <v>3.21378807616916</v>
      </c>
      <c r="GC178" s="1134" t="n">
        <f aca="false">IF(H178&lt;=Summary!$N$84,MIN(GA178,Summary!$O$75*(H178-G178+1)),0)</f>
        <v>0</v>
      </c>
      <c r="GD178" s="1135" t="n">
        <f aca="false">IF(C178&lt;Summary!$N$84,IF(Summary!$O$75*(H178-G178+1)*0.8&gt;GC178,1,0),0)</f>
        <v>0</v>
      </c>
      <c r="GE178" s="1136" t="n">
        <v>0</v>
      </c>
      <c r="GF178" s="1134" t="n">
        <f aca="false">ABS(MIN(0,GC178-$GA178))</f>
        <v>197639.568235008</v>
      </c>
      <c r="GG178" s="1135" t="n">
        <f aca="false">GF178*(IF(Summary!$O$74=1,VLOOKUP($C178,GasTable,16)+Summary!$O$92+Summary!$O$93,VLOOKUP($C178,GasTable,19)+Summary!$O$92+Summary!$O$93))</f>
        <v>645468.709277934</v>
      </c>
      <c r="GH178" s="1137" t="n">
        <v>4820.68211425374</v>
      </c>
      <c r="GI178" s="1138" t="n">
        <v>0</v>
      </c>
      <c r="GJ178" s="1139" t="n">
        <f aca="false">+GB178*GC178+GE178+GG178+GH178-GI178</f>
        <v>650289.391392188</v>
      </c>
      <c r="GK178" s="1115" t="n">
        <f aca="false">SUM(FP178:FV178,GU178:GX178,GY178:HB178)</f>
        <v>25196.103</v>
      </c>
      <c r="GL178" s="1140" t="n">
        <v>0.51865368928</v>
      </c>
      <c r="GM178" s="1141" t="n">
        <f aca="false">IF(GK178&gt;GC178/(CY178/1000),GC178/(CY178/1000),+GK178)*GL178</f>
        <v>0</v>
      </c>
      <c r="GN178" s="1115" t="n">
        <f aca="false">IF(SUM(GU178:HB178)=0,0,IF(Summary!$O$16="Yes",SUM(GX178:HB178),IF(Summary!$O$17="Yes",SUM(GY178:HB178),SUM(GU178:HB178))))</f>
        <v>9239.103</v>
      </c>
      <c r="GO178" s="1142" t="n">
        <v>3.49441348844265</v>
      </c>
      <c r="GP178" s="1143" t="n">
        <f aca="false">GN178*GO178</f>
        <v>32285.2461443109</v>
      </c>
      <c r="GQ178" s="1115"/>
      <c r="GR178" s="1115"/>
      <c r="GS178" s="1115"/>
      <c r="GT178" s="1115"/>
      <c r="GU178" s="1150" t="n">
        <v>3421.89</v>
      </c>
      <c r="GV178" s="1115" t="n">
        <v>855.4725</v>
      </c>
      <c r="GW178" s="1115" t="n">
        <v>855.4725</v>
      </c>
      <c r="GX178" s="1115"/>
      <c r="GY178" s="1151" t="n">
        <v>2737.512</v>
      </c>
      <c r="GZ178" s="1115" t="n">
        <v>684.378</v>
      </c>
      <c r="HA178" s="1115" t="n">
        <v>684.378</v>
      </c>
      <c r="HB178" s="1141"/>
      <c r="HC178" s="1115" t="n">
        <v>9239.103</v>
      </c>
      <c r="HD178" s="1115"/>
      <c r="HE178" s="1115" t="n">
        <v>21557.907</v>
      </c>
      <c r="HF178" s="1115" t="n">
        <v>369894.734301109</v>
      </c>
      <c r="HG178" s="1115"/>
      <c r="HH178" s="1142" t="n">
        <v>41.4175571797284</v>
      </c>
      <c r="HI178" s="1115" t="n">
        <v>892875.845847766</v>
      </c>
      <c r="HJ178" s="1150" t="n">
        <f aca="false">MAX(FB178-FP178-FW178,0)</f>
        <v>0</v>
      </c>
      <c r="HK178" s="1115" t="n">
        <f aca="false">MAX(FD178-FR178-FX178,0)</f>
        <v>0</v>
      </c>
      <c r="HL178" s="1115" t="n">
        <f aca="false">MAX(FF178-FT178-FY178,0)</f>
        <v>0</v>
      </c>
      <c r="HM178" s="1141" t="n">
        <f aca="false">MAX(FH178-FV178-FZ178,0)</f>
        <v>0</v>
      </c>
      <c r="HN178" s="1115" t="n">
        <f aca="false">SUM(HJ178:HM178)</f>
        <v>0</v>
      </c>
      <c r="HO178" s="1142" t="n">
        <f aca="false">IF(ISERROR(+HP178/HN178),0,+HP178/HN178)</f>
        <v>0</v>
      </c>
      <c r="HP178" s="1143" t="n">
        <f aca="false">(HJ178*CE178+HK178*CF178+HL178*CG178+HM178*CH178)</f>
        <v>0</v>
      </c>
      <c r="HQ178" s="1142"/>
      <c r="HR178" s="1150"/>
      <c r="HS178" s="1110"/>
      <c r="HT178" s="1141"/>
      <c r="HU178" s="1151"/>
      <c r="HV178" s="1142"/>
      <c r="HW178" s="1115"/>
      <c r="HX178" s="1149"/>
      <c r="HY178" s="1143"/>
      <c r="HZ178" s="1150"/>
      <c r="IA178" s="1142"/>
      <c r="IB178" s="1141"/>
      <c r="IC178" s="1151"/>
      <c r="ID178" s="1142"/>
      <c r="IE178" s="1141"/>
      <c r="IF178" s="1115"/>
      <c r="IG178" s="1142"/>
      <c r="IH178" s="1141"/>
      <c r="II178" s="1115"/>
      <c r="IJ178" s="1142"/>
      <c r="IK178" s="1115"/>
      <c r="IL178" s="1152"/>
      <c r="IM178" s="1192"/>
      <c r="IN178" s="1151"/>
      <c r="IO178" s="1151"/>
      <c r="IP178" s="1151"/>
      <c r="IQ178" s="1151"/>
      <c r="IR178" s="844"/>
    </row>
    <row r="179" customFormat="false" ht="13.5" hidden="false" customHeight="false" outlineLevel="0" collapsed="false">
      <c r="A179" s="0" t="str">
        <f aca="false">+D179&amp;"Q"&amp;ROUNDUP(E179/3,0)</f>
        <v>2013Q3</v>
      </c>
      <c r="B179" s="0" t="n">
        <f aca="false">YEAR(C179)</f>
        <v>2013</v>
      </c>
      <c r="C179" s="1153" t="n">
        <f aca="false">EOMONTH(C178,0)+1</f>
        <v>41456</v>
      </c>
      <c r="D179" s="841" t="n">
        <f aca="false">+YEAR(C179)</f>
        <v>2013</v>
      </c>
      <c r="E179" s="807" t="n">
        <f aca="false">MONTH(C179)</f>
        <v>7</v>
      </c>
      <c r="F179" s="1154" t="e">
        <f aca="false">IF(G179="","",Holiday(D179,E179))</f>
        <v>#VALUE!</v>
      </c>
      <c r="G179" s="1155" t="n">
        <v>41456</v>
      </c>
      <c r="H179" s="1156" t="n">
        <v>41486</v>
      </c>
      <c r="I179" s="1157" t="n">
        <f aca="false">I178</f>
        <v>0.0715</v>
      </c>
      <c r="J179" s="1158" t="n">
        <f aca="false">(1+I179/2)^(-2*(DATE(D180,E180,20)-$H$7)/365.25)</f>
        <v>0.382466186610395</v>
      </c>
      <c r="K179" s="1159"/>
      <c r="L179" s="1158"/>
      <c r="M179" s="1082" t="n">
        <v>0</v>
      </c>
      <c r="N179" s="1110" t="n">
        <f aca="false">M179</f>
        <v>0</v>
      </c>
      <c r="O179" s="1174" t="n">
        <f aca="false">N179</f>
        <v>0</v>
      </c>
      <c r="P179" s="1175" t="n">
        <f aca="false">M179</f>
        <v>0</v>
      </c>
      <c r="Q179" s="1110" t="n">
        <f aca="false">P179</f>
        <v>0</v>
      </c>
      <c r="R179" s="1174" t="n">
        <f aca="false">Q179</f>
        <v>0</v>
      </c>
      <c r="S179" s="1110" t="n">
        <f aca="false">R179</f>
        <v>0</v>
      </c>
      <c r="T179" s="1110" t="n">
        <f aca="false">S179</f>
        <v>0</v>
      </c>
      <c r="U179" s="1110" t="n">
        <f aca="false">T179</f>
        <v>0</v>
      </c>
      <c r="V179" s="1175" t="n">
        <f aca="false">U179</f>
        <v>0</v>
      </c>
      <c r="W179" s="1110" t="n">
        <f aca="false">V179</f>
        <v>0</v>
      </c>
      <c r="X179" s="1176" t="n">
        <f aca="false">W179</f>
        <v>0</v>
      </c>
      <c r="Y179" s="1086" t="n">
        <v>0</v>
      </c>
      <c r="Z179" s="1086" t="n">
        <v>0</v>
      </c>
      <c r="AA179" s="1087" t="n">
        <v>0</v>
      </c>
      <c r="AB179" s="1086" t="n">
        <v>0</v>
      </c>
      <c r="AC179" s="1086" t="n">
        <v>0</v>
      </c>
      <c r="AD179" s="1087" t="n">
        <v>0</v>
      </c>
      <c r="AE179" s="1086" t="n">
        <v>0</v>
      </c>
      <c r="AF179" s="1086" t="n">
        <v>0</v>
      </c>
      <c r="AG179" s="1087" t="n">
        <v>0</v>
      </c>
      <c r="AH179" s="1086" t="n">
        <v>0</v>
      </c>
      <c r="AI179" s="1086" t="n">
        <v>0</v>
      </c>
      <c r="AJ179" s="1087" t="n">
        <v>0</v>
      </c>
      <c r="AK179" s="1086" t="n">
        <v>0</v>
      </c>
      <c r="AL179" s="1086" t="n">
        <v>0</v>
      </c>
      <c r="AM179" s="1087" t="n">
        <v>0</v>
      </c>
      <c r="AN179" s="1086" t="n">
        <v>0</v>
      </c>
      <c r="AO179" s="1086" t="n">
        <v>0</v>
      </c>
      <c r="AP179" s="1087" t="n">
        <v>0</v>
      </c>
      <c r="AQ179" s="1086" t="n">
        <v>0</v>
      </c>
      <c r="AR179" s="1086" t="n">
        <v>0</v>
      </c>
      <c r="AS179" s="1087" t="n">
        <v>0</v>
      </c>
      <c r="AT179" s="1086" t="n">
        <v>0</v>
      </c>
      <c r="AU179" s="1086" t="n">
        <v>0</v>
      </c>
      <c r="AV179" s="1086" t="n">
        <v>0</v>
      </c>
      <c r="AW179" s="1172" t="n">
        <v>0</v>
      </c>
      <c r="AX179" s="807" t="e">
        <f aca="false">BB179-SUM(AY179:BA179)</f>
        <v>#VALUE!</v>
      </c>
      <c r="AY179" s="807" t="e">
        <f aca="false">IF(AND($E179=MONTH(Summary!$E$24),$D179=YEAR(Summary!$E$24)),Summary!$E$25,1)*IF(G179="",0,INT((H179-MOD(H179,7)-G179)/7)+1-IF(BA179,IF(WEEKDAY(F179)=7,1,0),0))</f>
        <v>#VALUE!</v>
      </c>
      <c r="AZ179" s="807" t="e">
        <f aca="false">IF(AND($E179=MONTH(Summary!$E$24),$D179=YEAR(Summary!$E$24)),Summary!$E$25,1)*IF(G179="",0,INT((H179-MOD(H179-1,7)-G179)/7)+1-IF(BA179,IF(WEEKDAY(F179)=1,1,0),0))</f>
        <v>#VALUE!</v>
      </c>
      <c r="BA179" s="807" t="n">
        <v>1</v>
      </c>
      <c r="BB179" s="807" t="n">
        <f aca="false">IF(AND($E179=MONTH(Summary!$E$24),$D179=YEAR(Summary!$E$24)),Summary!$E$25,1)*IF(G179="",0,H179-G179+1)</f>
        <v>31</v>
      </c>
      <c r="BC179" s="1089" t="n">
        <f aca="false">Summary!$E$19</f>
        <v>0.015</v>
      </c>
      <c r="BD179" s="1090" t="n">
        <v>15602.4</v>
      </c>
      <c r="BE179" s="1091" t="n">
        <v>2836.8</v>
      </c>
      <c r="BF179" s="1091" t="n">
        <v>3546</v>
      </c>
      <c r="BG179" s="842"/>
      <c r="BH179" s="1092" t="n">
        <v>1</v>
      </c>
      <c r="BI179" s="1092" t="n">
        <v>1</v>
      </c>
      <c r="BJ179" s="1092" t="n">
        <v>1</v>
      </c>
      <c r="BK179" s="1092" t="n">
        <v>1</v>
      </c>
      <c r="BL179" s="1093" t="n">
        <v>3120.48</v>
      </c>
      <c r="BM179" s="1091" t="n">
        <v>567.36</v>
      </c>
      <c r="BN179" s="1091" t="n">
        <v>709.2</v>
      </c>
      <c r="BO179" s="842"/>
      <c r="BP179" s="1092" t="n">
        <v>1</v>
      </c>
      <c r="BQ179" s="1094" t="n">
        <v>1</v>
      </c>
      <c r="BR179" s="1094" t="n">
        <v>1</v>
      </c>
      <c r="BS179" s="1095" t="n">
        <v>1</v>
      </c>
      <c r="BT179" s="1093" t="n">
        <f aca="false">SUM(BD179:BF179)</f>
        <v>21985.2</v>
      </c>
      <c r="BU179" s="1098" t="n">
        <f aca="false">SUM(BD179:BG179)</f>
        <v>21985.2</v>
      </c>
      <c r="BV179" s="1090" t="n">
        <f aca="false">SUM(BL179:BN179)</f>
        <v>4397.04</v>
      </c>
      <c r="BW179" s="1098" t="n">
        <f aca="false">SUM(BL179:BO179)</f>
        <v>4397.04</v>
      </c>
      <c r="BX179" s="852" t="n">
        <v>13.5441478439425</v>
      </c>
      <c r="BY179" s="1099" t="n">
        <v>0</v>
      </c>
      <c r="BZ179" s="852" t="n">
        <v>0</v>
      </c>
      <c r="CA179" s="852" t="n">
        <v>0</v>
      </c>
      <c r="CB179" s="852" t="n">
        <v>0</v>
      </c>
      <c r="CC179" s="852" t="n">
        <v>0</v>
      </c>
      <c r="CD179" s="852" t="n">
        <v>0</v>
      </c>
      <c r="CE179" s="1100" t="n">
        <v>0</v>
      </c>
      <c r="CF179" s="852" t="n">
        <v>0</v>
      </c>
      <c r="CG179" s="852" t="n">
        <v>0</v>
      </c>
      <c r="CH179" s="852" t="n">
        <v>0</v>
      </c>
      <c r="CI179" s="852" t="n">
        <v>0</v>
      </c>
      <c r="CJ179" s="1101" t="n">
        <v>0</v>
      </c>
      <c r="CK179" s="852" t="n">
        <v>0</v>
      </c>
      <c r="CL179" s="852" t="n">
        <v>0</v>
      </c>
      <c r="CM179" s="852" t="n">
        <v>0</v>
      </c>
      <c r="CN179" s="852" t="n">
        <v>0</v>
      </c>
      <c r="CO179" s="852" t="n">
        <v>0</v>
      </c>
      <c r="CP179" s="852" t="n">
        <v>0</v>
      </c>
      <c r="CQ179" s="1102" t="n">
        <v>0</v>
      </c>
      <c r="CR179" s="1103" t="n">
        <v>0</v>
      </c>
      <c r="CS179" s="1103" t="n">
        <v>0</v>
      </c>
      <c r="CT179" s="1103" t="n">
        <v>0</v>
      </c>
      <c r="CU179" s="1103" t="n">
        <v>0</v>
      </c>
      <c r="CV179" s="1103" t="n">
        <v>0</v>
      </c>
      <c r="CW179" s="1103" t="n">
        <v>0</v>
      </c>
      <c r="CX179" s="1104" t="n">
        <v>0</v>
      </c>
      <c r="CY179" s="1105" t="n">
        <v>7742.40272</v>
      </c>
      <c r="CZ179" s="1099" t="n">
        <v>0</v>
      </c>
      <c r="DA179" s="852" t="n">
        <v>0</v>
      </c>
      <c r="DB179" s="852" t="n">
        <v>0</v>
      </c>
      <c r="DC179" s="852" t="n">
        <v>0</v>
      </c>
      <c r="DD179" s="852" t="n">
        <v>0</v>
      </c>
      <c r="DE179" s="1113" t="n">
        <v>0</v>
      </c>
      <c r="DF179" s="1109" t="n">
        <v>0</v>
      </c>
      <c r="DG179" s="1110" t="n">
        <v>0</v>
      </c>
      <c r="DH179" s="1111" t="n">
        <v>0</v>
      </c>
      <c r="DI179" s="1112" t="n">
        <v>0</v>
      </c>
      <c r="DJ179" s="1112" t="n">
        <v>0</v>
      </c>
      <c r="DK179" s="1112" t="n">
        <v>0</v>
      </c>
      <c r="DL179" s="1113" t="n">
        <v>0</v>
      </c>
      <c r="DM179" s="1114" t="n">
        <v>0</v>
      </c>
      <c r="DN179" s="1114" t="n">
        <v>0</v>
      </c>
      <c r="DO179" s="1114" t="n">
        <v>0</v>
      </c>
      <c r="DP179" s="1114" t="n">
        <v>0</v>
      </c>
      <c r="DQ179" s="1114" t="n">
        <v>0</v>
      </c>
      <c r="DR179" s="1109" t="n">
        <v>0</v>
      </c>
      <c r="DS179" s="852" t="n">
        <v>0</v>
      </c>
      <c r="DT179" s="852" t="n">
        <v>0</v>
      </c>
      <c r="DU179" s="852" t="n">
        <v>0</v>
      </c>
      <c r="DV179" s="852" t="n">
        <v>0</v>
      </c>
      <c r="DW179" s="852" t="n">
        <v>0</v>
      </c>
      <c r="DX179" s="852" t="n">
        <v>0</v>
      </c>
      <c r="DY179" s="852" t="n">
        <v>0</v>
      </c>
      <c r="DZ179" s="852" t="n">
        <v>0</v>
      </c>
      <c r="EA179" s="852" t="n">
        <v>0</v>
      </c>
      <c r="EB179" s="1113" t="n">
        <v>0</v>
      </c>
      <c r="EC179" s="1115" t="n">
        <f aca="false">DS179*BD179</f>
        <v>0</v>
      </c>
      <c r="ED179" s="1115" t="n">
        <f aca="false">DT179*BE179</f>
        <v>0</v>
      </c>
      <c r="EE179" s="1115" t="n">
        <f aca="false">DU179*BF179</f>
        <v>0</v>
      </c>
      <c r="EF179" s="1115" t="n">
        <f aca="false">DV179*BG179</f>
        <v>0</v>
      </c>
      <c r="EG179" s="1115" t="n">
        <f aca="false">DS179*BD179+DT179*BE179+DU179*BF179+DV179*BG179</f>
        <v>0</v>
      </c>
      <c r="EH179" s="1116" t="n">
        <v>0</v>
      </c>
      <c r="EI179" s="1117" t="n">
        <v>0</v>
      </c>
      <c r="EJ179" s="1117" t="n">
        <v>0</v>
      </c>
      <c r="EK179" s="1117" t="n">
        <v>0</v>
      </c>
      <c r="EL179" s="1118" t="n">
        <f aca="false">IF(C179&gt;=Summary!$E$26,MAX(0,SUM(EH179:EK179)),0)</f>
        <v>0</v>
      </c>
      <c r="EM179" s="1115" t="n">
        <f aca="false">IF(C179&gt;=Summary!$E$26,DX179*BL179,0)</f>
        <v>0</v>
      </c>
      <c r="EN179" s="1115" t="n">
        <f aca="false">IF(C179&gt;=Summary!$E$26,DY179*BM179,0)</f>
        <v>0</v>
      </c>
      <c r="EO179" s="1115" t="n">
        <f aca="false">IF(C179&gt;=Summary!$E$26,DZ179*BN179,0)</f>
        <v>0</v>
      </c>
      <c r="EP179" s="1115" t="n">
        <f aca="false">IF(C179&gt;=Summary!$E$26,EA179*BO179,0)</f>
        <v>0</v>
      </c>
      <c r="EQ179" s="1115" t="n">
        <f aca="false">IF(C179&gt;=Summary!$E$26,DX179*BL179+DY179*BM179+DZ179*BN179+EA179*BO179,0)</f>
        <v>0</v>
      </c>
      <c r="ER179" s="1119" t="n">
        <v>0</v>
      </c>
      <c r="ES179" s="1120" t="n">
        <v>0</v>
      </c>
      <c r="ET179" s="1120" t="n">
        <v>0</v>
      </c>
      <c r="EU179" s="1120" t="n">
        <v>0</v>
      </c>
      <c r="EV179" s="1143" t="n">
        <f aca="false">IF(C179&gt;=Summary!$E$26,MAX(0,SUM(ER179:EU179)),0)</f>
        <v>0</v>
      </c>
      <c r="EW179" s="1115"/>
      <c r="EX179" s="1165" t="n">
        <f aca="false">(EQ179-EV179)+IF(EZ179="Yes",(EG179-EL179),0)</f>
        <v>0</v>
      </c>
      <c r="EY179" s="1166" t="str">
        <f aca="false">IF(EX179,EX179/EQ179,"")</f>
        <v/>
      </c>
      <c r="EZ179" s="1122" t="s">
        <v>37</v>
      </c>
      <c r="FA179" s="1096" t="n">
        <f aca="false">FA178</f>
        <v>45</v>
      </c>
      <c r="FB179" s="1167" t="e">
        <f aca="false">IF(EZ179="No",IF((OR(MONTH(C179)=5,MONTH(C179)=6,MONTH(C179)=7,MONTH(C179)=8,MONTH(C179)=9)),$FA179*12*AX179*(1-$BC179),$FA179*10*AX179*(1-$BC179)),0)</f>
        <v>#VALUE!</v>
      </c>
      <c r="FC179" s="1129" t="n">
        <f aca="false">IF(EZ179="No",IF((OR(MONTH(C179)=5,MONTH(C179)=6,MONTH(C179)=7,MONTH(C179)=8,MONTH(C179)=9)),0,$FA179*3*AX179*(1-$BC179)),0)</f>
        <v>0</v>
      </c>
      <c r="FD179" s="1129" t="e">
        <f aca="false">IF(EZ179="No",IF((OR(MONTH(C179)=5,MONTH(C179)=6,MONTH(C179)=7,MONTH(C179)=8,MONTH(C179)=9)),$FA179*12*AY179*(1-$BC179),$FA179*10*AY179*(1-$BC179)),0)</f>
        <v>#VALUE!</v>
      </c>
      <c r="FE179" s="1129" t="n">
        <f aca="false">IF(EZ179="No",IF((OR(MONTH(C179)=5,MONTH(C179)=6,MONTH(C179)=7,MONTH(C179)=8,MONTH(C179)=9)),0,$FA179*3*AY179*(1-$BC179)),0)</f>
        <v>0</v>
      </c>
      <c r="FF179" s="1129" t="e">
        <f aca="false">IF(EZ179="No",IF((OR(MONTH(C179)=5,MONTH(C179)=6,MONTH(C179)=7,MONTH(C179)=8,MONTH(C179)=9)),$FA179*12*(AZ179+BA179)*(1-$BC179),$FA179*10*(AZ179+BA179)*(1-$BC179)),0)</f>
        <v>#VALUE!</v>
      </c>
      <c r="FG179" s="1129" t="n">
        <f aca="false">IF(EZ179="No",IF((OR(MONTH(C179)=5,MONTH(C179)=6,MONTH(C179)=7,MONTH(C179)=8,MONTH(C179)=9)),0,$FA179*3*(AZ179+BA179)*(1-$BC179)),0)</f>
        <v>0</v>
      </c>
      <c r="FH179" s="1170" t="e">
        <f aca="false">IF(EZ179="No",IF((OR(MONTH(C179)=5,MONTH(C179)=6,MONTH(C179)=7,MONTH(C179)=8,MONTH(C179)=9)),Summary!$O$15*12*(AX179+AY179+AZ179+BA179)*(1-$BC179),Summary!$O$15*13*(AX179+AY179+AZ179+BA179)*(1-$BC179)+IF(Summary!$O$16="Yes",(CALC!FA179+Summary!$O$15)*6*(AX179+AY179+AZ179+BA179)*(1-$BC179),0)),0)</f>
        <v>#VALUE!</v>
      </c>
      <c r="FI179" s="1126" t="n">
        <f aca="false">IF(MONTH(C179)=5,FI178*(IF(Summary!$E$70="no",(1+(Summary!$E$71*0.8)),1+HLOOKUP(YEAR(C179)-1,CCFMODEL!$I$127:$AF$128,2)*0.8)),+FI178)</f>
        <v>37.0785775054311</v>
      </c>
      <c r="FJ179" s="1127" t="n">
        <f aca="false">IF(MONTH(C179)=5,FJ178*(IF(Summary!$E$70="no",(1+(Summary!$E$71*0.8)),1+HLOOKUP(YEAR(CALC!C179)-1,CCFMODEL!$I$127:$AF$128,2)*0.8)),FJ178)</f>
        <v>32.4072606543532</v>
      </c>
      <c r="FK179" s="1128" t="e">
        <f aca="false">SUM(FB179:FG179)*FI179+FH179*FJ179</f>
        <v>#VALUE!</v>
      </c>
      <c r="FL179" s="1126" t="n">
        <f aca="false">IF(MONTH(C179)=5,FL178*(IF(Summary!$E$70="no",(1+(Summary!$E$71*0.8)),1+HLOOKUP(YEAR(CALC!C179)-1,CCFMODEL!$I$127:$AF$128,2)*0.8)),+FL178)</f>
        <v>77.9804054098099</v>
      </c>
      <c r="FM179" s="1127" t="n">
        <f aca="false">IF(MONTH(C179)=5,FM178*(IF(Summary!$E$70="no",(1+(Summary!$E$71*0.8)),1+HLOOKUP(YEAR(CALC!C179)-1,CCFMODEL!$I$127:$AF$128,2)*0.8)),+FM178)</f>
        <v>37.2176047926656</v>
      </c>
      <c r="FN179" s="1128" t="e">
        <f aca="false">IF((OR(MONTH(C179)=5,MONTH(C179)=6,MONTH(C179)=7,MONTH(C179)=8,MONTH(C179)=9)),SUM(FB179:FG179)/(1-BC179)*FL179,SUM(FB179:FG179)/(1-BC179)*FM179)</f>
        <v>#VALUE!</v>
      </c>
      <c r="FO179" s="1129" t="e">
        <f aca="false">FK179+FN179</f>
        <v>#VALUE!</v>
      </c>
      <c r="FP179" s="1169" t="e">
        <f aca="false">FB179</f>
        <v>#VALUE!</v>
      </c>
      <c r="FQ179" s="1129" t="n">
        <f aca="false">FC179</f>
        <v>0</v>
      </c>
      <c r="FR179" s="1129" t="e">
        <f aca="false">FD179</f>
        <v>#VALUE!</v>
      </c>
      <c r="FS179" s="1129" t="n">
        <f aca="false">FE179</f>
        <v>0</v>
      </c>
      <c r="FT179" s="1129" t="e">
        <f aca="false">FF179</f>
        <v>#VALUE!</v>
      </c>
      <c r="FU179" s="1129" t="n">
        <f aca="false">FG179</f>
        <v>0</v>
      </c>
      <c r="FV179" s="1170" t="e">
        <f aca="false">FH179</f>
        <v>#VALUE!</v>
      </c>
      <c r="FW179" s="1115" t="n">
        <f aca="false">IF(ER179&gt;0,MIN(FB179-FP179,BL179),0)</f>
        <v>0</v>
      </c>
      <c r="FX179" s="1115" t="n">
        <f aca="false">IF(ES179&gt;0,MIN(FD179-FR179,BM179),0)</f>
        <v>0</v>
      </c>
      <c r="FY179" s="1115" t="n">
        <f aca="false">IF(ET179&gt;0,MIN(FF179-FT179,BN179),0)</f>
        <v>0</v>
      </c>
      <c r="FZ179" s="1143" t="n">
        <f aca="false">IF(EU179&gt;0,MIN(FH179-FV179,BO179),0)</f>
        <v>0</v>
      </c>
      <c r="GA179" s="1132" t="e">
        <f aca="false">(SUM(FP179:FV179)+SUM(GU179:HB179)/(1-Summary!$O$25))*CY179/1000</f>
        <v>#VALUE!</v>
      </c>
      <c r="GB179" s="1133" t="n">
        <f aca="false">IF($C179&lt;Summary!$M$81,+Summary!$O$81,VLOOKUP(C179,GasTable,19))</f>
        <v>3.30151192595823</v>
      </c>
      <c r="GC179" s="1134" t="n">
        <f aca="false">IF(H179&lt;=Summary!$N$84,MIN(GA179,Summary!$O$75*(H179-G179+1)),0)</f>
        <v>0</v>
      </c>
      <c r="GD179" s="1135" t="n">
        <f aca="false">IF(C179&lt;Summary!$N$84,IF(Summary!$O$75*(H179-G179+1)*0.8&gt;GC179,1,0),0)</f>
        <v>0</v>
      </c>
      <c r="GE179" s="1136" t="n">
        <v>0</v>
      </c>
      <c r="GF179" s="1134" t="e">
        <f aca="false">ABS(MIN(0,GC179-$GA179))</f>
        <v>#VALUE!</v>
      </c>
      <c r="GG179" s="1135" t="e">
        <f aca="false">GF179*(IF(Summary!$O$74=1,VLOOKUP($C179,GasTable,16)+Summary!$O$92+Summary!$O$93,VLOOKUP($C179,GasTable,19)+Summary!$O$92+Summary!$O$93))</f>
        <v>#VALUE!</v>
      </c>
      <c r="GH179" s="1137" t="n">
        <v>5117.34348523525</v>
      </c>
      <c r="GI179" s="1138" t="n">
        <v>0</v>
      </c>
      <c r="GJ179" s="1139" t="e">
        <f aca="false">+GB179*GC179+GE179+GG179+GH179-GI179</f>
        <v>#VALUE!</v>
      </c>
      <c r="GK179" s="1115" t="e">
        <f aca="false">SUM(FP179:FV179,GU179:GX179,GY179:HB179)</f>
        <v>#VALUE!</v>
      </c>
      <c r="GL179" s="1140" t="n">
        <v>0.51874098224</v>
      </c>
      <c r="GM179" s="1141" t="e">
        <f aca="false">IF(GK179&gt;GC179/(CY179/1000),GC179/(CY179/1000),+GK179)*GL179</f>
        <v>#VALUE!</v>
      </c>
      <c r="GN179" s="1115" t="n">
        <f aca="false">IF(SUM(GU179:HB179)=0,0,IF(Summary!$O$16="Yes",SUM(GX179:HB179),IF(Summary!$O$17="Yes",SUM(GY179:HB179),SUM(GU179:HB179))))</f>
        <v>9547.0731</v>
      </c>
      <c r="GO179" s="1142" t="n">
        <v>3.49441348844265</v>
      </c>
      <c r="GP179" s="1143" t="n">
        <f aca="false">GN179*GO179</f>
        <v>33361.421015788</v>
      </c>
      <c r="GQ179" s="1115"/>
      <c r="GR179" s="1115"/>
      <c r="GS179" s="1115"/>
      <c r="GT179" s="1115"/>
      <c r="GU179" s="1150" t="n">
        <v>3764.079</v>
      </c>
      <c r="GV179" s="1115" t="n">
        <v>684.378</v>
      </c>
      <c r="GW179" s="1115" t="n">
        <v>855.4725</v>
      </c>
      <c r="GX179" s="1115"/>
      <c r="GY179" s="1151" t="n">
        <v>3011.2632</v>
      </c>
      <c r="GZ179" s="1115" t="n">
        <v>547.5024</v>
      </c>
      <c r="HA179" s="1115" t="n">
        <v>684.378</v>
      </c>
      <c r="HB179" s="1141"/>
      <c r="HC179" s="1115" t="n">
        <v>9547.0731</v>
      </c>
      <c r="HD179" s="1115"/>
      <c r="HE179" s="1115" t="n">
        <v>22276.5039</v>
      </c>
      <c r="HF179" s="1115" t="n">
        <v>514551.429490685</v>
      </c>
      <c r="HG179" s="1115"/>
      <c r="HH179" s="1142" t="n">
        <v>57.0747775500207</v>
      </c>
      <c r="HI179" s="1115" t="n">
        <v>1271426.50468467</v>
      </c>
      <c r="HJ179" s="1150" t="e">
        <f aca="false">MAX(FB179-FP179-FW179,0)</f>
        <v>#VALUE!</v>
      </c>
      <c r="HK179" s="1115" t="e">
        <f aca="false">MAX(FD179-FR179-FX179,0)</f>
        <v>#VALUE!</v>
      </c>
      <c r="HL179" s="1115" t="e">
        <f aca="false">MAX(FF179-FT179-FY179,0)</f>
        <v>#VALUE!</v>
      </c>
      <c r="HM179" s="1141" t="e">
        <f aca="false">MAX(FH179-FV179-FZ179,0)</f>
        <v>#VALUE!</v>
      </c>
      <c r="HN179" s="1115" t="e">
        <f aca="false">SUM(HJ179:HM179)</f>
        <v>#VALUE!</v>
      </c>
      <c r="HO179" s="1142" t="n">
        <f aca="false">IF(ISERROR(+HP179/HN179),0,+HP179/HN179)</f>
        <v>0</v>
      </c>
      <c r="HP179" s="1143" t="e">
        <f aca="false">(HJ179*CE179+HK179*CF179+HL179*CG179+HM179*CH179)</f>
        <v>#VALUE!</v>
      </c>
      <c r="HQ179" s="1142"/>
      <c r="HR179" s="1142"/>
      <c r="HS179" s="1142"/>
      <c r="HT179" s="1142"/>
      <c r="HU179" s="1142"/>
      <c r="HV179" s="1142"/>
      <c r="HW179" s="1142"/>
      <c r="HX179" s="1142"/>
      <c r="HY179" s="1142"/>
      <c r="HZ179" s="1142"/>
      <c r="IA179" s="1142"/>
      <c r="IB179" s="1142"/>
      <c r="IC179" s="1142"/>
      <c r="ID179" s="1142"/>
      <c r="IE179" s="1142"/>
      <c r="IF179" s="1142"/>
      <c r="IG179" s="1142"/>
      <c r="IH179" s="1142"/>
      <c r="II179" s="1142"/>
      <c r="IJ179" s="1142"/>
      <c r="IK179" s="1142"/>
      <c r="IL179" s="1190"/>
      <c r="IM179" s="1192"/>
      <c r="IN179" s="222"/>
      <c r="IR179" s="844"/>
    </row>
    <row r="180" customFormat="false" ht="13.5" hidden="false" customHeight="false" outlineLevel="0" collapsed="false">
      <c r="A180" s="0" t="str">
        <f aca="false">+D180&amp;"Q"&amp;ROUNDUP(E180/3,0)</f>
        <v>2013Q3</v>
      </c>
      <c r="B180" s="0" t="n">
        <f aca="false">YEAR(C180)</f>
        <v>2013</v>
      </c>
      <c r="C180" s="1153" t="n">
        <f aca="false">EOMONTH(C179,0)+1</f>
        <v>41487</v>
      </c>
      <c r="D180" s="841" t="n">
        <f aca="false">+YEAR(C180)</f>
        <v>2013</v>
      </c>
      <c r="E180" s="807" t="n">
        <f aca="false">MONTH(C180)</f>
        <v>8</v>
      </c>
      <c r="F180" s="1154" t="e">
        <f aca="false">IF(G180="","",Holiday(D180,E180))</f>
        <v>#VALUE!</v>
      </c>
      <c r="G180" s="1155" t="n">
        <v>41487</v>
      </c>
      <c r="H180" s="1156" t="n">
        <v>41517</v>
      </c>
      <c r="I180" s="1157" t="n">
        <f aca="false">I179</f>
        <v>0.0715</v>
      </c>
      <c r="J180" s="1158" t="n">
        <f aca="false">(1+I180/2)^(-2*(DATE(D181,E181,20)-$H$7)/365.25)</f>
        <v>0.380192520627734</v>
      </c>
      <c r="K180" s="1159"/>
      <c r="L180" s="1158"/>
      <c r="M180" s="1082" t="n">
        <v>0</v>
      </c>
      <c r="N180" s="1110" t="n">
        <f aca="false">M180</f>
        <v>0</v>
      </c>
      <c r="O180" s="1174" t="n">
        <f aca="false">N180</f>
        <v>0</v>
      </c>
      <c r="P180" s="1175" t="n">
        <f aca="false">M180</f>
        <v>0</v>
      </c>
      <c r="Q180" s="1110" t="n">
        <f aca="false">P180</f>
        <v>0</v>
      </c>
      <c r="R180" s="1174" t="n">
        <f aca="false">Q180</f>
        <v>0</v>
      </c>
      <c r="S180" s="1110" t="n">
        <f aca="false">R180</f>
        <v>0</v>
      </c>
      <c r="T180" s="1110" t="n">
        <f aca="false">S180</f>
        <v>0</v>
      </c>
      <c r="U180" s="1110" t="n">
        <f aca="false">T180</f>
        <v>0</v>
      </c>
      <c r="V180" s="1175" t="n">
        <f aca="false">U180</f>
        <v>0</v>
      </c>
      <c r="W180" s="1110" t="n">
        <f aca="false">V180</f>
        <v>0</v>
      </c>
      <c r="X180" s="1176" t="n">
        <f aca="false">W180</f>
        <v>0</v>
      </c>
      <c r="Y180" s="1086" t="n">
        <v>0</v>
      </c>
      <c r="Z180" s="1086" t="n">
        <v>0</v>
      </c>
      <c r="AA180" s="1087" t="n">
        <v>0</v>
      </c>
      <c r="AB180" s="1086" t="n">
        <v>0</v>
      </c>
      <c r="AC180" s="1086" t="n">
        <v>0</v>
      </c>
      <c r="AD180" s="1087" t="n">
        <v>0</v>
      </c>
      <c r="AE180" s="1086" t="n">
        <v>0</v>
      </c>
      <c r="AF180" s="1086" t="n">
        <v>0</v>
      </c>
      <c r="AG180" s="1087" t="n">
        <v>0</v>
      </c>
      <c r="AH180" s="1086" t="n">
        <v>0</v>
      </c>
      <c r="AI180" s="1086" t="n">
        <v>0</v>
      </c>
      <c r="AJ180" s="1087" t="n">
        <v>0</v>
      </c>
      <c r="AK180" s="1086" t="n">
        <v>0</v>
      </c>
      <c r="AL180" s="1086" t="n">
        <v>0</v>
      </c>
      <c r="AM180" s="1087" t="n">
        <v>0</v>
      </c>
      <c r="AN180" s="1086" t="n">
        <v>0</v>
      </c>
      <c r="AO180" s="1086" t="n">
        <v>0</v>
      </c>
      <c r="AP180" s="1087" t="n">
        <v>0</v>
      </c>
      <c r="AQ180" s="1086" t="n">
        <v>0</v>
      </c>
      <c r="AR180" s="1086" t="n">
        <v>0</v>
      </c>
      <c r="AS180" s="1087" t="n">
        <v>0</v>
      </c>
      <c r="AT180" s="1086" t="n">
        <v>0</v>
      </c>
      <c r="AU180" s="1086" t="n">
        <v>0</v>
      </c>
      <c r="AV180" s="1086" t="n">
        <v>0</v>
      </c>
      <c r="AW180" s="1172" t="n">
        <v>0</v>
      </c>
      <c r="AX180" s="807" t="n">
        <f aca="false">BB180-SUM(AY180:BA180)</f>
        <v>22</v>
      </c>
      <c r="AY180" s="807" t="n">
        <f aca="false">IF(AND($E180=MONTH(Summary!$E$24),$D180=YEAR(Summary!$E$24)),Summary!$E$25,1)*IF(G180="",0,INT((H180-MOD(H180,7)-G180)/7)+1-IF(BA180,IF(WEEKDAY(F180)=7,1,0),0))</f>
        <v>5</v>
      </c>
      <c r="AZ180" s="807" t="n">
        <f aca="false">IF(AND($E180=MONTH(Summary!$E$24),$D180=YEAR(Summary!$E$24)),Summary!$E$25,1)*IF(G180="",0,INT((H180-MOD(H180-1,7)-G180)/7)+1-IF(BA180,IF(WEEKDAY(F180)=1,1,0),0))</f>
        <v>4</v>
      </c>
      <c r="BA180" s="807" t="n">
        <v>0</v>
      </c>
      <c r="BB180" s="807" t="n">
        <f aca="false">IF(AND($E180=MONTH(Summary!$E$24),$D180=YEAR(Summary!$E$24)),Summary!$E$25,1)*IF(G180="",0,H180-G180+1)</f>
        <v>31</v>
      </c>
      <c r="BC180" s="1089" t="n">
        <f aca="false">Summary!$E$19</f>
        <v>0.015</v>
      </c>
      <c r="BD180" s="1090" t="n">
        <v>15602.4</v>
      </c>
      <c r="BE180" s="1091" t="n">
        <v>3546</v>
      </c>
      <c r="BF180" s="1091" t="n">
        <v>2836.8</v>
      </c>
      <c r="BG180" s="842"/>
      <c r="BH180" s="1092" t="n">
        <v>1</v>
      </c>
      <c r="BI180" s="1092" t="n">
        <v>1</v>
      </c>
      <c r="BJ180" s="1092" t="n">
        <v>1</v>
      </c>
      <c r="BK180" s="1092" t="n">
        <v>1</v>
      </c>
      <c r="BL180" s="1093" t="n">
        <v>3120.48</v>
      </c>
      <c r="BM180" s="1091" t="n">
        <v>709.2</v>
      </c>
      <c r="BN180" s="1091" t="n">
        <v>567.36</v>
      </c>
      <c r="BO180" s="842"/>
      <c r="BP180" s="1092" t="n">
        <v>1</v>
      </c>
      <c r="BQ180" s="1094" t="n">
        <v>1</v>
      </c>
      <c r="BR180" s="1094" t="n">
        <v>1</v>
      </c>
      <c r="BS180" s="1095" t="n">
        <v>1</v>
      </c>
      <c r="BT180" s="1093" t="n">
        <f aca="false">SUM(BD180:BF180)</f>
        <v>21985.2</v>
      </c>
      <c r="BU180" s="1098" t="n">
        <f aca="false">SUM(BD180:BG180)</f>
        <v>21985.2</v>
      </c>
      <c r="BV180" s="1090" t="n">
        <f aca="false">SUM(BL180:BN180)</f>
        <v>4397.04</v>
      </c>
      <c r="BW180" s="1098" t="n">
        <f aca="false">SUM(BL180:BO180)</f>
        <v>4397.04</v>
      </c>
      <c r="BX180" s="852" t="n">
        <v>13.6290212183436</v>
      </c>
      <c r="BY180" s="1099" t="n">
        <v>0</v>
      </c>
      <c r="BZ180" s="852" t="n">
        <v>0</v>
      </c>
      <c r="CA180" s="852" t="n">
        <v>0</v>
      </c>
      <c r="CB180" s="852" t="n">
        <v>0</v>
      </c>
      <c r="CC180" s="852" t="n">
        <v>0</v>
      </c>
      <c r="CD180" s="852" t="n">
        <v>0</v>
      </c>
      <c r="CE180" s="1100" t="n">
        <v>0</v>
      </c>
      <c r="CF180" s="852" t="n">
        <v>0</v>
      </c>
      <c r="CG180" s="852" t="n">
        <v>0</v>
      </c>
      <c r="CH180" s="852" t="n">
        <v>0</v>
      </c>
      <c r="CI180" s="852" t="n">
        <v>0</v>
      </c>
      <c r="CJ180" s="1101" t="n">
        <v>0</v>
      </c>
      <c r="CK180" s="852" t="n">
        <v>0</v>
      </c>
      <c r="CL180" s="852" t="n">
        <v>0</v>
      </c>
      <c r="CM180" s="852" t="n">
        <v>0</v>
      </c>
      <c r="CN180" s="852" t="n">
        <v>0</v>
      </c>
      <c r="CO180" s="852" t="n">
        <v>0</v>
      </c>
      <c r="CP180" s="852" t="n">
        <v>0</v>
      </c>
      <c r="CQ180" s="1102" t="n">
        <v>0</v>
      </c>
      <c r="CR180" s="1103" t="n">
        <v>0</v>
      </c>
      <c r="CS180" s="1103" t="n">
        <v>0</v>
      </c>
      <c r="CT180" s="1103" t="n">
        <v>0</v>
      </c>
      <c r="CU180" s="1103" t="n">
        <v>0</v>
      </c>
      <c r="CV180" s="1103" t="n">
        <v>0</v>
      </c>
      <c r="CW180" s="1103" t="n">
        <v>0</v>
      </c>
      <c r="CX180" s="1104" t="n">
        <v>0</v>
      </c>
      <c r="CY180" s="1105" t="n">
        <v>7743.7056</v>
      </c>
      <c r="CZ180" s="1099" t="n">
        <v>0</v>
      </c>
      <c r="DA180" s="852" t="n">
        <v>0</v>
      </c>
      <c r="DB180" s="852" t="n">
        <v>0</v>
      </c>
      <c r="DC180" s="852" t="n">
        <v>0</v>
      </c>
      <c r="DD180" s="852" t="n">
        <v>0</v>
      </c>
      <c r="DE180" s="1113" t="n">
        <v>0</v>
      </c>
      <c r="DF180" s="1109" t="n">
        <v>0</v>
      </c>
      <c r="DG180" s="1110" t="n">
        <v>0</v>
      </c>
      <c r="DH180" s="1111" t="n">
        <v>0</v>
      </c>
      <c r="DI180" s="1112" t="n">
        <v>0</v>
      </c>
      <c r="DJ180" s="1112" t="n">
        <v>0</v>
      </c>
      <c r="DK180" s="1112" t="n">
        <v>0</v>
      </c>
      <c r="DL180" s="1113" t="n">
        <v>0</v>
      </c>
      <c r="DM180" s="1114" t="n">
        <v>0</v>
      </c>
      <c r="DN180" s="1114" t="n">
        <v>0</v>
      </c>
      <c r="DO180" s="1114" t="n">
        <v>0</v>
      </c>
      <c r="DP180" s="1114" t="n">
        <v>0</v>
      </c>
      <c r="DQ180" s="1114" t="n">
        <v>0</v>
      </c>
      <c r="DR180" s="1109" t="n">
        <v>0</v>
      </c>
      <c r="DS180" s="852" t="n">
        <v>0</v>
      </c>
      <c r="DT180" s="852" t="n">
        <v>0</v>
      </c>
      <c r="DU180" s="852" t="n">
        <v>0</v>
      </c>
      <c r="DV180" s="852" t="n">
        <v>0</v>
      </c>
      <c r="DW180" s="852" t="n">
        <v>0</v>
      </c>
      <c r="DX180" s="852" t="n">
        <v>0</v>
      </c>
      <c r="DY180" s="852" t="n">
        <v>0</v>
      </c>
      <c r="DZ180" s="852" t="n">
        <v>0</v>
      </c>
      <c r="EA180" s="852" t="n">
        <v>0</v>
      </c>
      <c r="EB180" s="1113" t="n">
        <v>0</v>
      </c>
      <c r="EC180" s="1115" t="n">
        <f aca="false">DS180*BD180</f>
        <v>0</v>
      </c>
      <c r="ED180" s="1115" t="n">
        <f aca="false">DT180*BE180</f>
        <v>0</v>
      </c>
      <c r="EE180" s="1115" t="n">
        <f aca="false">DU180*BF180</f>
        <v>0</v>
      </c>
      <c r="EF180" s="1115" t="n">
        <f aca="false">DV180*BG180</f>
        <v>0</v>
      </c>
      <c r="EG180" s="1115" t="n">
        <f aca="false">DS180*BD180+DT180*BE180+DU180*BF180+DV180*BG180</f>
        <v>0</v>
      </c>
      <c r="EH180" s="1116" t="n">
        <v>0</v>
      </c>
      <c r="EI180" s="1117" t="n">
        <v>0</v>
      </c>
      <c r="EJ180" s="1117" t="n">
        <v>0</v>
      </c>
      <c r="EK180" s="1117" t="n">
        <v>0</v>
      </c>
      <c r="EL180" s="1118" t="n">
        <f aca="false">IF(C180&gt;=Summary!$E$26,MAX(0,SUM(EH180:EK180)),0)</f>
        <v>0</v>
      </c>
      <c r="EM180" s="1115" t="n">
        <f aca="false">IF(C180&gt;=Summary!$E$26,DX180*BL180,0)</f>
        <v>0</v>
      </c>
      <c r="EN180" s="1115" t="n">
        <f aca="false">IF(C180&gt;=Summary!$E$26,DY180*BM180,0)</f>
        <v>0</v>
      </c>
      <c r="EO180" s="1115" t="n">
        <f aca="false">IF(C180&gt;=Summary!$E$26,DZ180*BN180,0)</f>
        <v>0</v>
      </c>
      <c r="EP180" s="1115" t="n">
        <f aca="false">IF(C180&gt;=Summary!$E$26,EA180*BO180,0)</f>
        <v>0</v>
      </c>
      <c r="EQ180" s="1115" t="n">
        <f aca="false">IF(C180&gt;=Summary!$E$26,DX180*BL180+DY180*BM180+DZ180*BN180+EA180*BO180,0)</f>
        <v>0</v>
      </c>
      <c r="ER180" s="1119" t="n">
        <v>0</v>
      </c>
      <c r="ES180" s="1120" t="n">
        <v>0</v>
      </c>
      <c r="ET180" s="1120" t="n">
        <v>0</v>
      </c>
      <c r="EU180" s="1120" t="n">
        <v>0</v>
      </c>
      <c r="EV180" s="1143" t="n">
        <f aca="false">IF(C180&gt;=Summary!$E$26,MAX(0,SUM(ER180:EU180)),0)</f>
        <v>0</v>
      </c>
      <c r="EW180" s="1115"/>
      <c r="EX180" s="1165" t="n">
        <f aca="false">(EQ180-EV180)+IF(EZ180="Yes",(EG180-EL180),0)</f>
        <v>0</v>
      </c>
      <c r="EY180" s="1166" t="str">
        <f aca="false">IF(EX180,EX180/EQ180,"")</f>
        <v/>
      </c>
      <c r="EZ180" s="1122" t="s">
        <v>37</v>
      </c>
      <c r="FA180" s="1096" t="n">
        <f aca="false">FA179</f>
        <v>45</v>
      </c>
      <c r="FB180" s="1167" t="n">
        <f aca="false">IF(EZ180="No",IF((OR(MONTH(C180)=5,MONTH(C180)=6,MONTH(C180)=7,MONTH(C180)=8,MONTH(C180)=9)),$FA180*12*AX180*(1-$BC180),$FA180*10*AX180*(1-$BC180)),0)</f>
        <v>11701.8</v>
      </c>
      <c r="FC180" s="1129" t="n">
        <f aca="false">IF(EZ180="No",IF((OR(MONTH(C180)=5,MONTH(C180)=6,MONTH(C180)=7,MONTH(C180)=8,MONTH(C180)=9)),0,$FA180*3*AX180*(1-$BC180)),0)</f>
        <v>0</v>
      </c>
      <c r="FD180" s="1129" t="n">
        <f aca="false">IF(EZ180="No",IF((OR(MONTH(C180)=5,MONTH(C180)=6,MONTH(C180)=7,MONTH(C180)=8,MONTH(C180)=9)),$FA180*12*AY180*(1-$BC180),$FA180*10*AY180*(1-$BC180)),0)</f>
        <v>2659.5</v>
      </c>
      <c r="FE180" s="1129" t="n">
        <f aca="false">IF(EZ180="No",IF((OR(MONTH(C180)=5,MONTH(C180)=6,MONTH(C180)=7,MONTH(C180)=8,MONTH(C180)=9)),0,$FA180*3*AY180*(1-$BC180)),0)</f>
        <v>0</v>
      </c>
      <c r="FF180" s="1129" t="n">
        <f aca="false">IF(EZ180="No",IF((OR(MONTH(C180)=5,MONTH(C180)=6,MONTH(C180)=7,MONTH(C180)=8,MONTH(C180)=9)),$FA180*12*(AZ180+BA180)*(1-$BC180),$FA180*10*(AZ180+BA180)*(1-$BC180)),0)</f>
        <v>2127.6</v>
      </c>
      <c r="FG180" s="1129" t="n">
        <f aca="false">IF(EZ180="No",IF((OR(MONTH(C180)=5,MONTH(C180)=6,MONTH(C180)=7,MONTH(C180)=8,MONTH(C180)=9)),0,$FA180*3*(AZ180+BA180)*(1-$BC180)),0)</f>
        <v>0</v>
      </c>
      <c r="FH180" s="1170" t="n">
        <f aca="false">IF(EZ180="No",IF((OR(MONTH(C180)=5,MONTH(C180)=6,MONTH(C180)=7,MONTH(C180)=8,MONTH(C180)=9)),Summary!$O$15*12*(AX180+AY180+AZ180+BA180)*(1-$BC180),Summary!$O$15*13*(AX180+AY180+AZ180+BA180)*(1-$BC180)+IF(Summary!$O$16="Yes",(CALC!FA180+Summary!$O$15)*6*(AX180+AY180+AZ180+BA180)*(1-$BC180),0)),0)</f>
        <v>0</v>
      </c>
      <c r="FI180" s="1126" t="n">
        <f aca="false">IF(MONTH(C180)=5,FI179*(IF(Summary!$E$70="no",(1+(Summary!$E$71*0.8)),1+HLOOKUP(YEAR(C180)-1,CCFMODEL!$I$127:$AF$128,2)*0.8)),+FI179)</f>
        <v>37.0785775054311</v>
      </c>
      <c r="FJ180" s="1127" t="n">
        <f aca="false">IF(MONTH(C180)=5,FJ179*(IF(Summary!$E$70="no",(1+(Summary!$E$71*0.8)),1+HLOOKUP(YEAR(CALC!C180)-1,CCFMODEL!$I$127:$AF$128,2)*0.8)),FJ179)</f>
        <v>32.4072606543532</v>
      </c>
      <c r="FK180" s="1128" t="n">
        <f aca="false">SUM(FB180:FG180)*FI180+FH180*FJ180</f>
        <v>611384.956629303</v>
      </c>
      <c r="FL180" s="1126" t="n">
        <f aca="false">IF(MONTH(C180)=5,FL179*(IF(Summary!$E$70="no",(1+(Summary!$E$71*0.8)),1+HLOOKUP(YEAR(CALC!C180)-1,CCFMODEL!$I$127:$AF$128,2)*0.8)),+FL179)</f>
        <v>77.9804054098099</v>
      </c>
      <c r="FM180" s="1127" t="n">
        <f aca="false">IF(MONTH(C180)=5,FM179*(IF(Summary!$E$70="no",(1+(Summary!$E$71*0.8)),1+HLOOKUP(YEAR(CALC!C180)-1,CCFMODEL!$I$127:$AF$128,2)*0.8)),+FM179)</f>
        <v>37.2176047926656</v>
      </c>
      <c r="FN180" s="1128" t="n">
        <f aca="false">IF((OR(MONTH(C180)=5,MONTH(C180)=6,MONTH(C180)=7,MONTH(C180)=8,MONTH(C180)=9)),SUM(FB180:FG180)/(1-BC180)*FL180,SUM(FB180:FG180)/(1-BC180)*FM180)</f>
        <v>1305391.98656022</v>
      </c>
      <c r="FO180" s="1129" t="n">
        <f aca="false">FK180+FN180</f>
        <v>1916776.94318952</v>
      </c>
      <c r="FP180" s="1169" t="n">
        <f aca="false">FB180</f>
        <v>11701.8</v>
      </c>
      <c r="FQ180" s="1129" t="n">
        <f aca="false">FC180</f>
        <v>0</v>
      </c>
      <c r="FR180" s="1129" t="n">
        <f aca="false">FD180</f>
        <v>2659.5</v>
      </c>
      <c r="FS180" s="1129" t="n">
        <f aca="false">FE180</f>
        <v>0</v>
      </c>
      <c r="FT180" s="1129" t="n">
        <f aca="false">FF180</f>
        <v>2127.6</v>
      </c>
      <c r="FU180" s="1129" t="n">
        <f aca="false">FG180</f>
        <v>0</v>
      </c>
      <c r="FV180" s="1170" t="n">
        <f aca="false">FH180</f>
        <v>0</v>
      </c>
      <c r="FW180" s="1115" t="n">
        <f aca="false">IF(ER180&gt;0,MIN(FB180-FP180,BL180),0)</f>
        <v>0</v>
      </c>
      <c r="FX180" s="1115" t="n">
        <f aca="false">IF(ES180&gt;0,MIN(FD180-FR180,BM180),0)</f>
        <v>0</v>
      </c>
      <c r="FY180" s="1115" t="n">
        <f aca="false">IF(ET180&gt;0,MIN(FF180-FT180,BN180),0)</f>
        <v>0</v>
      </c>
      <c r="FZ180" s="1143" t="n">
        <f aca="false">IF(EU180&gt;0,MIN(FH180-FV180,BO180),0)</f>
        <v>0</v>
      </c>
      <c r="GA180" s="1132" t="n">
        <f aca="false">(SUM(FP180:FV180)+SUM(GU180:HB180)/(1-Summary!$O$25))*CY180/1000</f>
        <v>204296.299628544</v>
      </c>
      <c r="GB180" s="1133" t="n">
        <f aca="false">IF($C180&lt;Summary!$M$81,+Summary!$O$81,VLOOKUP(C180,GasTable,19))</f>
        <v>3.42609801188385</v>
      </c>
      <c r="GC180" s="1134" t="n">
        <f aca="false">IF(H180&lt;=Summary!$N$84,MIN(GA180,Summary!$O$75*(H180-G180+1)),0)</f>
        <v>0</v>
      </c>
      <c r="GD180" s="1135" t="n">
        <f aca="false">IF(C180&lt;Summary!$N$84,IF(Summary!$O$75*(H180-G180+1)*0.8&gt;GC180,1,0),0)</f>
        <v>0</v>
      </c>
      <c r="GE180" s="1136" t="n">
        <v>0</v>
      </c>
      <c r="GF180" s="1134" t="n">
        <f aca="false">ABS(MIN(0,GC180-$GA180))</f>
        <v>204296.299628544</v>
      </c>
      <c r="GG180" s="1135" t="n">
        <f aca="false">GF180*(IF(Summary!$O$74=1,VLOOKUP($C180,GasTable,16)+Summary!$O$92+Summary!$O$93,VLOOKUP($C180,GasTable,19)+Summary!$O$92+Summary!$O$93))</f>
        <v>710582.983203229</v>
      </c>
      <c r="GH180" s="1137" t="n">
        <v>5310.45191841997</v>
      </c>
      <c r="GI180" s="1138" t="n">
        <v>0</v>
      </c>
      <c r="GJ180" s="1139" t="n">
        <f aca="false">+GB180*GC180+GE180+GG180+GH180-GI180</f>
        <v>715893.435121649</v>
      </c>
      <c r="GK180" s="1115" t="n">
        <f aca="false">SUM(FP180:FV180,GU180:GX180,GY180:HB180)</f>
        <v>26035.9731</v>
      </c>
      <c r="GL180" s="1140" t="n">
        <v>0.5188282752</v>
      </c>
      <c r="GM180" s="1141" t="n">
        <f aca="false">IF(GK180&gt;GC180/(CY180/1000),GC180/(CY180/1000),+GK180)*GL180</f>
        <v>0</v>
      </c>
      <c r="GN180" s="1115" t="n">
        <f aca="false">IF(SUM(GU180:HB180)=0,0,IF(Summary!$O$16="Yes",SUM(GX180:HB180),IF(Summary!$O$17="Yes",SUM(GY180:HB180),SUM(GU180:HB180))))</f>
        <v>9547.0731</v>
      </c>
      <c r="GO180" s="1142" t="n">
        <v>3.49441348844265</v>
      </c>
      <c r="GP180" s="1143" t="n">
        <f aca="false">GN180*GO180</f>
        <v>33361.421015788</v>
      </c>
      <c r="GQ180" s="1115"/>
      <c r="GR180" s="1115"/>
      <c r="GS180" s="1115"/>
      <c r="GT180" s="1115"/>
      <c r="GU180" s="1150" t="n">
        <v>3764.079</v>
      </c>
      <c r="GV180" s="1115" t="n">
        <v>855.4725</v>
      </c>
      <c r="GW180" s="1115" t="n">
        <v>684.378</v>
      </c>
      <c r="GX180" s="1115"/>
      <c r="GY180" s="1151" t="n">
        <v>3011.2632</v>
      </c>
      <c r="GZ180" s="1115" t="n">
        <v>684.378</v>
      </c>
      <c r="HA180" s="1115" t="n">
        <v>547.5024</v>
      </c>
      <c r="HB180" s="1141"/>
      <c r="HC180" s="1115" t="n">
        <v>9547.0731</v>
      </c>
      <c r="HD180" s="1115"/>
      <c r="HE180" s="1115" t="n">
        <v>22276.5039</v>
      </c>
      <c r="HF180" s="1115" t="n">
        <v>624304.605967835</v>
      </c>
      <c r="HG180" s="1115"/>
      <c r="HH180" s="1142" t="n">
        <v>68.8517285404624</v>
      </c>
      <c r="HI180" s="1115" t="n">
        <v>1533775.79935335</v>
      </c>
      <c r="HJ180" s="1150" t="n">
        <f aca="false">MAX(FB180-FP180-FW180,0)</f>
        <v>0</v>
      </c>
      <c r="HK180" s="1115" t="n">
        <f aca="false">MAX(FD180-FR180-FX180,0)</f>
        <v>0</v>
      </c>
      <c r="HL180" s="1115" t="n">
        <f aca="false">MAX(FF180-FT180-FY180,0)</f>
        <v>0</v>
      </c>
      <c r="HM180" s="1141" t="n">
        <f aca="false">MAX(FH180-FV180-FZ180,0)</f>
        <v>0</v>
      </c>
      <c r="HN180" s="1115" t="n">
        <f aca="false">SUM(HJ180:HM180)</f>
        <v>0</v>
      </c>
      <c r="HO180" s="1142" t="n">
        <f aca="false">IF(ISERROR(+HP180/HN180),0,+HP180/HN180)</f>
        <v>0</v>
      </c>
      <c r="HP180" s="1143" t="n">
        <f aca="false">(HJ180*CE180+HK180*CF180+HL180*CG180+HM180*CH180)</f>
        <v>0</v>
      </c>
      <c r="HQ180" s="1142"/>
      <c r="HR180" s="1142"/>
      <c r="HS180" s="1142"/>
      <c r="HT180" s="1142"/>
      <c r="HU180" s="1142"/>
      <c r="HV180" s="1142"/>
      <c r="HW180" s="1142"/>
      <c r="HX180" s="1142"/>
      <c r="HY180" s="1142"/>
      <c r="HZ180" s="1142"/>
      <c r="IA180" s="1142"/>
      <c r="IB180" s="1142"/>
      <c r="IC180" s="1142"/>
      <c r="ID180" s="1142"/>
      <c r="IE180" s="1142"/>
      <c r="IF180" s="1142"/>
      <c r="IG180" s="1142"/>
      <c r="IH180" s="1142"/>
      <c r="II180" s="1142"/>
      <c r="IJ180" s="1142"/>
      <c r="IK180" s="1142"/>
      <c r="IL180" s="1190"/>
      <c r="IM180" s="222"/>
      <c r="IN180" s="222"/>
      <c r="IR180" s="844"/>
    </row>
    <row r="181" customFormat="false" ht="13.5" hidden="false" customHeight="false" outlineLevel="0" collapsed="false">
      <c r="A181" s="0" t="str">
        <f aca="false">+D181&amp;"Q"&amp;ROUNDUP(E181/3,0)</f>
        <v>2013Q3</v>
      </c>
      <c r="B181" s="0" t="n">
        <f aca="false">YEAR(C181)</f>
        <v>2013</v>
      </c>
      <c r="C181" s="1153" t="n">
        <f aca="false">EOMONTH(C180,0)+1</f>
        <v>41518</v>
      </c>
      <c r="D181" s="841" t="n">
        <f aca="false">+YEAR(C181)</f>
        <v>2013</v>
      </c>
      <c r="E181" s="807" t="n">
        <f aca="false">MONTH(C181)</f>
        <v>9</v>
      </c>
      <c r="F181" s="1154" t="e">
        <f aca="false">IF(G181="","",Holiday(D181,E181))</f>
        <v>#VALUE!</v>
      </c>
      <c r="G181" s="1155" t="n">
        <v>41518</v>
      </c>
      <c r="H181" s="1156" t="n">
        <v>41547</v>
      </c>
      <c r="I181" s="1157" t="n">
        <f aca="false">I180</f>
        <v>0.0715</v>
      </c>
      <c r="J181" s="1158" t="n">
        <f aca="false">(1+I181/2)^(-2*(DATE(D182,E182,20)-$H$7)/365.25)</f>
        <v>0.378005068923729</v>
      </c>
      <c r="K181" s="1159"/>
      <c r="L181" s="1158"/>
      <c r="M181" s="1082" t="n">
        <v>0</v>
      </c>
      <c r="N181" s="1110" t="n">
        <f aca="false">M181</f>
        <v>0</v>
      </c>
      <c r="O181" s="1174" t="n">
        <f aca="false">N181</f>
        <v>0</v>
      </c>
      <c r="P181" s="1175" t="n">
        <f aca="false">M181</f>
        <v>0</v>
      </c>
      <c r="Q181" s="1110" t="n">
        <f aca="false">P181</f>
        <v>0</v>
      </c>
      <c r="R181" s="1174" t="n">
        <f aca="false">Q181</f>
        <v>0</v>
      </c>
      <c r="S181" s="1110" t="n">
        <f aca="false">R181</f>
        <v>0</v>
      </c>
      <c r="T181" s="1110" t="n">
        <f aca="false">S181</f>
        <v>0</v>
      </c>
      <c r="U181" s="1110" t="n">
        <f aca="false">T181</f>
        <v>0</v>
      </c>
      <c r="V181" s="1175" t="n">
        <f aca="false">U181</f>
        <v>0</v>
      </c>
      <c r="W181" s="1110" t="n">
        <f aca="false">V181</f>
        <v>0</v>
      </c>
      <c r="X181" s="1176" t="n">
        <f aca="false">W181</f>
        <v>0</v>
      </c>
      <c r="Y181" s="1086" t="n">
        <v>0</v>
      </c>
      <c r="Z181" s="1086" t="n">
        <v>0</v>
      </c>
      <c r="AA181" s="1087" t="n">
        <v>0</v>
      </c>
      <c r="AB181" s="1086" t="n">
        <v>0</v>
      </c>
      <c r="AC181" s="1086" t="n">
        <v>0</v>
      </c>
      <c r="AD181" s="1087" t="n">
        <v>0</v>
      </c>
      <c r="AE181" s="1086" t="n">
        <v>0</v>
      </c>
      <c r="AF181" s="1086" t="n">
        <v>0</v>
      </c>
      <c r="AG181" s="1087" t="n">
        <v>0</v>
      </c>
      <c r="AH181" s="1086" t="n">
        <v>0</v>
      </c>
      <c r="AI181" s="1086" t="n">
        <v>0</v>
      </c>
      <c r="AJ181" s="1087" t="n">
        <v>0</v>
      </c>
      <c r="AK181" s="1086" t="n">
        <v>0</v>
      </c>
      <c r="AL181" s="1086" t="n">
        <v>0</v>
      </c>
      <c r="AM181" s="1087" t="n">
        <v>0</v>
      </c>
      <c r="AN181" s="1086" t="n">
        <v>0</v>
      </c>
      <c r="AO181" s="1086" t="n">
        <v>0</v>
      </c>
      <c r="AP181" s="1087" t="n">
        <v>0</v>
      </c>
      <c r="AQ181" s="1086" t="n">
        <v>0</v>
      </c>
      <c r="AR181" s="1086" t="n">
        <v>0</v>
      </c>
      <c r="AS181" s="1087" t="n">
        <v>0</v>
      </c>
      <c r="AT181" s="1086" t="n">
        <v>0</v>
      </c>
      <c r="AU181" s="1086" t="n">
        <v>0</v>
      </c>
      <c r="AV181" s="1086" t="n">
        <v>0</v>
      </c>
      <c r="AW181" s="1172" t="n">
        <v>0</v>
      </c>
      <c r="AX181" s="807" t="e">
        <f aca="false">BB181-SUM(AY181:BA181)</f>
        <v>#VALUE!</v>
      </c>
      <c r="AY181" s="807" t="e">
        <f aca="false">IF(AND($E181=MONTH(Summary!$E$24),$D181=YEAR(Summary!$E$24)),Summary!$E$25,1)*IF(G181="",0,INT((H181-MOD(H181,7)-G181)/7)+1-IF(BA181,IF(WEEKDAY(F181)=7,1,0),0))</f>
        <v>#VALUE!</v>
      </c>
      <c r="AZ181" s="807" t="e">
        <f aca="false">IF(AND($E181=MONTH(Summary!$E$24),$D181=YEAR(Summary!$E$24)),Summary!$E$25,1)*IF(G181="",0,INT((H181-MOD(H181-1,7)-G181)/7)+1-IF(BA181,IF(WEEKDAY(F181)=1,1,0),0))</f>
        <v>#VALUE!</v>
      </c>
      <c r="BA181" s="807" t="n">
        <v>1</v>
      </c>
      <c r="BB181" s="807" t="n">
        <f aca="false">IF(AND($E181=MONTH(Summary!$E$24),$D181=YEAR(Summary!$E$24)),Summary!$E$25,1)*IF(G181="",0,H181-G181+1)</f>
        <v>30</v>
      </c>
      <c r="BC181" s="1089" t="n">
        <f aca="false">Summary!$E$19</f>
        <v>0.015</v>
      </c>
      <c r="BD181" s="1090" t="n">
        <v>14184</v>
      </c>
      <c r="BE181" s="1091" t="n">
        <v>2836.8</v>
      </c>
      <c r="BF181" s="1091" t="n">
        <v>4255.2</v>
      </c>
      <c r="BG181" s="842"/>
      <c r="BH181" s="1092" t="n">
        <v>1</v>
      </c>
      <c r="BI181" s="1092" t="n">
        <v>1</v>
      </c>
      <c r="BJ181" s="1092" t="n">
        <v>1</v>
      </c>
      <c r="BK181" s="1092" t="n">
        <v>1</v>
      </c>
      <c r="BL181" s="1093" t="n">
        <v>2836.8</v>
      </c>
      <c r="BM181" s="1091" t="n">
        <v>567.36</v>
      </c>
      <c r="BN181" s="1091" t="n">
        <v>851.04</v>
      </c>
      <c r="BO181" s="842"/>
      <c r="BP181" s="1092" t="n">
        <v>1</v>
      </c>
      <c r="BQ181" s="1094" t="n">
        <v>1</v>
      </c>
      <c r="BR181" s="1094" t="n">
        <v>1</v>
      </c>
      <c r="BS181" s="1095" t="n">
        <v>1</v>
      </c>
      <c r="BT181" s="1093" t="n">
        <f aca="false">SUM(BD181:BF181)</f>
        <v>21276</v>
      </c>
      <c r="BU181" s="1098" t="n">
        <f aca="false">SUM(BD181:BG181)</f>
        <v>21276</v>
      </c>
      <c r="BV181" s="1090" t="n">
        <f aca="false">SUM(BL181:BN181)</f>
        <v>4255.2</v>
      </c>
      <c r="BW181" s="1098" t="n">
        <f aca="false">SUM(BL181:BO181)</f>
        <v>4255.2</v>
      </c>
      <c r="BX181" s="852" t="n">
        <v>13.7138945927447</v>
      </c>
      <c r="BY181" s="1099" t="n">
        <v>0</v>
      </c>
      <c r="BZ181" s="852" t="n">
        <v>0</v>
      </c>
      <c r="CA181" s="852" t="n">
        <v>0</v>
      </c>
      <c r="CB181" s="852" t="n">
        <v>0</v>
      </c>
      <c r="CC181" s="852" t="n">
        <v>0</v>
      </c>
      <c r="CD181" s="852" t="n">
        <v>0</v>
      </c>
      <c r="CE181" s="1100" t="n">
        <v>0</v>
      </c>
      <c r="CF181" s="852" t="n">
        <v>0</v>
      </c>
      <c r="CG181" s="852" t="n">
        <v>0</v>
      </c>
      <c r="CH181" s="852" t="n">
        <v>0</v>
      </c>
      <c r="CI181" s="852" t="n">
        <v>0</v>
      </c>
      <c r="CJ181" s="1101" t="n">
        <v>0</v>
      </c>
      <c r="CK181" s="852" t="n">
        <v>0</v>
      </c>
      <c r="CL181" s="852" t="n">
        <v>0</v>
      </c>
      <c r="CM181" s="852" t="n">
        <v>0</v>
      </c>
      <c r="CN181" s="852" t="n">
        <v>0</v>
      </c>
      <c r="CO181" s="852" t="n">
        <v>0</v>
      </c>
      <c r="CP181" s="852" t="n">
        <v>0</v>
      </c>
      <c r="CQ181" s="1102" t="n">
        <v>0</v>
      </c>
      <c r="CR181" s="1103" t="n">
        <v>0</v>
      </c>
      <c r="CS181" s="1103" t="n">
        <v>0</v>
      </c>
      <c r="CT181" s="1103" t="n">
        <v>0</v>
      </c>
      <c r="CU181" s="1103" t="n">
        <v>0</v>
      </c>
      <c r="CV181" s="1103" t="n">
        <v>0</v>
      </c>
      <c r="CW181" s="1103" t="n">
        <v>0</v>
      </c>
      <c r="CX181" s="1104" t="n">
        <v>0</v>
      </c>
      <c r="CY181" s="1105" t="n">
        <v>7745.00848</v>
      </c>
      <c r="CZ181" s="1099" t="n">
        <v>0</v>
      </c>
      <c r="DA181" s="852" t="n">
        <v>0</v>
      </c>
      <c r="DB181" s="852" t="n">
        <v>0</v>
      </c>
      <c r="DC181" s="852" t="n">
        <v>0</v>
      </c>
      <c r="DD181" s="852" t="n">
        <v>0</v>
      </c>
      <c r="DE181" s="1113" t="n">
        <v>0</v>
      </c>
      <c r="DF181" s="1109" t="n">
        <v>0</v>
      </c>
      <c r="DG181" s="1110" t="n">
        <v>0</v>
      </c>
      <c r="DH181" s="1111" t="n">
        <v>0</v>
      </c>
      <c r="DI181" s="1112" t="n">
        <v>0</v>
      </c>
      <c r="DJ181" s="1112" t="n">
        <v>0</v>
      </c>
      <c r="DK181" s="1112" t="n">
        <v>0</v>
      </c>
      <c r="DL181" s="1113" t="n">
        <v>0</v>
      </c>
      <c r="DM181" s="1114" t="n">
        <v>0</v>
      </c>
      <c r="DN181" s="1114" t="n">
        <v>0</v>
      </c>
      <c r="DO181" s="1114" t="n">
        <v>0</v>
      </c>
      <c r="DP181" s="1114" t="n">
        <v>0</v>
      </c>
      <c r="DQ181" s="1114" t="n">
        <v>0</v>
      </c>
      <c r="DR181" s="1109" t="n">
        <v>0</v>
      </c>
      <c r="DS181" s="852" t="n">
        <v>0</v>
      </c>
      <c r="DT181" s="852" t="n">
        <v>0</v>
      </c>
      <c r="DU181" s="852" t="n">
        <v>0</v>
      </c>
      <c r="DV181" s="852" t="n">
        <v>0</v>
      </c>
      <c r="DW181" s="852" t="n">
        <v>0</v>
      </c>
      <c r="DX181" s="852" t="n">
        <v>0</v>
      </c>
      <c r="DY181" s="852" t="n">
        <v>0</v>
      </c>
      <c r="DZ181" s="852" t="n">
        <v>0</v>
      </c>
      <c r="EA181" s="852" t="n">
        <v>0</v>
      </c>
      <c r="EB181" s="1113" t="n">
        <v>0</v>
      </c>
      <c r="EC181" s="1115" t="n">
        <f aca="false">DS181*BD181</f>
        <v>0</v>
      </c>
      <c r="ED181" s="1115" t="n">
        <f aca="false">DT181*BE181</f>
        <v>0</v>
      </c>
      <c r="EE181" s="1115" t="n">
        <f aca="false">DU181*BF181</f>
        <v>0</v>
      </c>
      <c r="EF181" s="1115" t="n">
        <f aca="false">DV181*BG181</f>
        <v>0</v>
      </c>
      <c r="EG181" s="1115" t="n">
        <f aca="false">DS181*BD181+DT181*BE181+DU181*BF181+DV181*BG181</f>
        <v>0</v>
      </c>
      <c r="EH181" s="1116" t="n">
        <v>0</v>
      </c>
      <c r="EI181" s="1117" t="n">
        <v>0</v>
      </c>
      <c r="EJ181" s="1117" t="n">
        <v>0</v>
      </c>
      <c r="EK181" s="1117" t="n">
        <v>0</v>
      </c>
      <c r="EL181" s="1118" t="n">
        <f aca="false">IF(C181&gt;=Summary!$E$26,MAX(0,SUM(EH181:EK181)),0)</f>
        <v>0</v>
      </c>
      <c r="EM181" s="1115" t="n">
        <f aca="false">IF(C181&gt;=Summary!$E$26,DX181*BL181,0)</f>
        <v>0</v>
      </c>
      <c r="EN181" s="1115" t="n">
        <f aca="false">IF(C181&gt;=Summary!$E$26,DY181*BM181,0)</f>
        <v>0</v>
      </c>
      <c r="EO181" s="1115" t="n">
        <f aca="false">IF(C181&gt;=Summary!$E$26,DZ181*BN181,0)</f>
        <v>0</v>
      </c>
      <c r="EP181" s="1115" t="n">
        <f aca="false">IF(C181&gt;=Summary!$E$26,EA181*BO181,0)</f>
        <v>0</v>
      </c>
      <c r="EQ181" s="1115" t="n">
        <f aca="false">IF(C181&gt;=Summary!$E$26,DX181*BL181+DY181*BM181+DZ181*BN181+EA181*BO181,0)</f>
        <v>0</v>
      </c>
      <c r="ER181" s="1119" t="n">
        <v>0</v>
      </c>
      <c r="ES181" s="1120" t="n">
        <v>0</v>
      </c>
      <c r="ET181" s="1120" t="n">
        <v>0</v>
      </c>
      <c r="EU181" s="1120" t="n">
        <v>0</v>
      </c>
      <c r="EV181" s="1143" t="n">
        <f aca="false">IF(C181&gt;=Summary!$E$26,MAX(0,SUM(ER181:EU181)),0)</f>
        <v>0</v>
      </c>
      <c r="EW181" s="1115"/>
      <c r="EX181" s="1165" t="n">
        <f aca="false">(EQ181-EV181)+IF(EZ181="Yes",(EG181-EL181),0)</f>
        <v>0</v>
      </c>
      <c r="EY181" s="1166" t="str">
        <f aca="false">IF(EX181,EX181/EQ181,"")</f>
        <v/>
      </c>
      <c r="EZ181" s="1122" t="s">
        <v>37</v>
      </c>
      <c r="FA181" s="1096" t="n">
        <f aca="false">FA180</f>
        <v>45</v>
      </c>
      <c r="FB181" s="1167" t="e">
        <f aca="false">IF(EZ181="No",IF((OR(MONTH(C181)=5,MONTH(C181)=6,MONTH(C181)=7,MONTH(C181)=8,MONTH(C181)=9)),$FA181*12*AX181*(1-$BC181),$FA181*10*AX181*(1-$BC181)),0)</f>
        <v>#VALUE!</v>
      </c>
      <c r="FC181" s="1129" t="n">
        <f aca="false">IF(EZ181="No",IF((OR(MONTH(C181)=5,MONTH(C181)=6,MONTH(C181)=7,MONTH(C181)=8,MONTH(C181)=9)),0,$FA181*3*AX181*(1-$BC181)),0)</f>
        <v>0</v>
      </c>
      <c r="FD181" s="1129" t="e">
        <f aca="false">IF(EZ181="No",IF((OR(MONTH(C181)=5,MONTH(C181)=6,MONTH(C181)=7,MONTH(C181)=8,MONTH(C181)=9)),$FA181*12*AY181*(1-$BC181),$FA181*10*AY181*(1-$BC181)),0)</f>
        <v>#VALUE!</v>
      </c>
      <c r="FE181" s="1129" t="n">
        <f aca="false">IF(EZ181="No",IF((OR(MONTH(C181)=5,MONTH(C181)=6,MONTH(C181)=7,MONTH(C181)=8,MONTH(C181)=9)),0,$FA181*3*AY181*(1-$BC181)),0)</f>
        <v>0</v>
      </c>
      <c r="FF181" s="1129" t="e">
        <f aca="false">IF(EZ181="No",IF((OR(MONTH(C181)=5,MONTH(C181)=6,MONTH(C181)=7,MONTH(C181)=8,MONTH(C181)=9)),$FA181*12*(AZ181+BA181)*(1-$BC181),$FA181*10*(AZ181+BA181)*(1-$BC181)),0)</f>
        <v>#VALUE!</v>
      </c>
      <c r="FG181" s="1129" t="n">
        <f aca="false">IF(EZ181="No",IF((OR(MONTH(C181)=5,MONTH(C181)=6,MONTH(C181)=7,MONTH(C181)=8,MONTH(C181)=9)),0,$FA181*3*(AZ181+BA181)*(1-$BC181)),0)</f>
        <v>0</v>
      </c>
      <c r="FH181" s="1170" t="e">
        <f aca="false">IF(EZ181="No",IF((OR(MONTH(C181)=5,MONTH(C181)=6,MONTH(C181)=7,MONTH(C181)=8,MONTH(C181)=9)),Summary!$O$15*12*(AX181+AY181+AZ181+BA181)*(1-$BC181),Summary!$O$15*13*(AX181+AY181+AZ181+BA181)*(1-$BC181)+IF(Summary!$O$16="Yes",(CALC!FA181+Summary!$O$15)*6*(AX181+AY181+AZ181+BA181)*(1-$BC181),0)),0)</f>
        <v>#VALUE!</v>
      </c>
      <c r="FI181" s="1126" t="n">
        <f aca="false">IF(MONTH(C181)=5,FI180*(IF(Summary!$E$70="no",(1+(Summary!$E$71*0.8)),1+HLOOKUP(YEAR(C181)-1,CCFMODEL!$I$127:$AF$128,2)*0.8)),+FI180)</f>
        <v>37.0785775054311</v>
      </c>
      <c r="FJ181" s="1127" t="n">
        <f aca="false">IF(MONTH(C181)=5,FJ180*(IF(Summary!$E$70="no",(1+(Summary!$E$71*0.8)),1+HLOOKUP(YEAR(CALC!C181)-1,CCFMODEL!$I$127:$AF$128,2)*0.8)),FJ180)</f>
        <v>32.4072606543532</v>
      </c>
      <c r="FK181" s="1128" t="e">
        <f aca="false">SUM(FB181:FG181)*FI181+FH181*FJ181</f>
        <v>#VALUE!</v>
      </c>
      <c r="FL181" s="1126" t="n">
        <f aca="false">IF(MONTH(C181)=5,FL180*(IF(Summary!$E$70="no",(1+(Summary!$E$71*0.8)),1+HLOOKUP(YEAR(CALC!C181)-1,CCFMODEL!$I$127:$AF$128,2)*0.8)),+FL180)</f>
        <v>77.9804054098099</v>
      </c>
      <c r="FM181" s="1127" t="n">
        <f aca="false">IF(MONTH(C181)=5,FM180*(IF(Summary!$E$70="no",(1+(Summary!$E$71*0.8)),1+HLOOKUP(YEAR(CALC!C181)-1,CCFMODEL!$I$127:$AF$128,2)*0.8)),+FM180)</f>
        <v>37.2176047926656</v>
      </c>
      <c r="FN181" s="1128" t="e">
        <f aca="false">IF((OR(MONTH(C181)=5,MONTH(C181)=6,MONTH(C181)=7,MONTH(C181)=8,MONTH(C181)=9)),SUM(FB181:FG181)/(1-BC181)*FL181,SUM(FB181:FG181)/(1-BC181)*FM181)</f>
        <v>#VALUE!</v>
      </c>
      <c r="FO181" s="1129" t="e">
        <f aca="false">FK181+FN181</f>
        <v>#VALUE!</v>
      </c>
      <c r="FP181" s="1169" t="e">
        <f aca="false">FB181</f>
        <v>#VALUE!</v>
      </c>
      <c r="FQ181" s="1129" t="n">
        <f aca="false">FC181</f>
        <v>0</v>
      </c>
      <c r="FR181" s="1129" t="e">
        <f aca="false">FD181</f>
        <v>#VALUE!</v>
      </c>
      <c r="FS181" s="1129" t="n">
        <f aca="false">FE181</f>
        <v>0</v>
      </c>
      <c r="FT181" s="1129" t="e">
        <f aca="false">FF181</f>
        <v>#VALUE!</v>
      </c>
      <c r="FU181" s="1129" t="n">
        <f aca="false">FG181</f>
        <v>0</v>
      </c>
      <c r="FV181" s="1170" t="e">
        <f aca="false">FH181</f>
        <v>#VALUE!</v>
      </c>
      <c r="FW181" s="1115" t="n">
        <f aca="false">IF(ER181&gt;0,MIN(FB181-FP181,BL181),0)</f>
        <v>0</v>
      </c>
      <c r="FX181" s="1115" t="n">
        <f aca="false">IF(ES181&gt;0,MIN(FD181-FR181,BM181),0)</f>
        <v>0</v>
      </c>
      <c r="FY181" s="1115" t="n">
        <f aca="false">IF(ET181&gt;0,MIN(FF181-FT181,BN181),0)</f>
        <v>0</v>
      </c>
      <c r="FZ181" s="1143" t="n">
        <f aca="false">IF(EU181&gt;0,MIN(FH181-FV181,BO181),0)</f>
        <v>0</v>
      </c>
      <c r="GA181" s="1132" t="e">
        <f aca="false">(SUM(FP181:FV181)+SUM(GU181:HB181)/(1-Summary!$O$25))*CY181/1000</f>
        <v>#VALUE!</v>
      </c>
      <c r="GB181" s="1133" t="n">
        <f aca="false">IF($C181&lt;Summary!$M$81,+Summary!$O$81,VLOOKUP(C181,GasTable,19))</f>
        <v>3.57442996814804</v>
      </c>
      <c r="GC181" s="1134" t="n">
        <f aca="false">IF(H181&lt;=Summary!$N$84,MIN(GA181,Summary!$O$75*(H181-G181+1)),0)</f>
        <v>0</v>
      </c>
      <c r="GD181" s="1135" t="n">
        <f aca="false">IF(C181&lt;Summary!$N$84,IF(Summary!$O$75*(H181-G181+1)*0.8&gt;GC181,1,0),0)</f>
        <v>0</v>
      </c>
      <c r="GE181" s="1136" t="n">
        <v>0</v>
      </c>
      <c r="GF181" s="1134" t="e">
        <f aca="false">ABS(MIN(0,GC181-$GA181))</f>
        <v>#VALUE!</v>
      </c>
      <c r="GG181" s="1135" t="e">
        <f aca="false">GF181*(IF(Summary!$O$74=1,VLOOKUP($C181,GasTable,16)+Summary!$O$92+Summary!$O$93,VLOOKUP($C181,GasTable,19)+Summary!$O$92+Summary!$O$93))</f>
        <v>#VALUE!</v>
      </c>
      <c r="GH181" s="1137" t="n">
        <v>5361.64495222207</v>
      </c>
      <c r="GI181" s="1138" t="n">
        <v>0</v>
      </c>
      <c r="GJ181" s="1139" t="e">
        <f aca="false">+GB181*GC181+GE181+GG181+GH181-GI181</f>
        <v>#VALUE!</v>
      </c>
      <c r="GK181" s="1115" t="e">
        <f aca="false">SUM(FP181:FV181,GU181:GX181,GY181:HB181)</f>
        <v>#VALUE!</v>
      </c>
      <c r="GL181" s="1140" t="n">
        <v>0.51891556816</v>
      </c>
      <c r="GM181" s="1141" t="e">
        <f aca="false">IF(GK181&gt;GC181/(CY181/1000),GC181/(CY181/1000),+GK181)*GL181</f>
        <v>#VALUE!</v>
      </c>
      <c r="GN181" s="1115" t="n">
        <f aca="false">IF(SUM(GU181:HB181)=0,0,IF(Summary!$O$16="Yes",SUM(GX181:HB181),IF(Summary!$O$17="Yes",SUM(GY181:HB181),SUM(GU181:HB181))))</f>
        <v>9239.103</v>
      </c>
      <c r="GO181" s="1142" t="n">
        <v>3.49441348844265</v>
      </c>
      <c r="GP181" s="1143" t="n">
        <f aca="false">GN181*GO181</f>
        <v>32285.2461443109</v>
      </c>
      <c r="GQ181" s="1115"/>
      <c r="GR181" s="1115"/>
      <c r="GS181" s="1115"/>
      <c r="GT181" s="1115"/>
      <c r="GU181" s="1150" t="n">
        <v>3421.89</v>
      </c>
      <c r="GV181" s="1115" t="n">
        <v>684.378</v>
      </c>
      <c r="GW181" s="1115" t="n">
        <v>1026.567</v>
      </c>
      <c r="GX181" s="1115"/>
      <c r="GY181" s="1151" t="n">
        <v>2737.512</v>
      </c>
      <c r="GZ181" s="1115" t="n">
        <v>547.5024</v>
      </c>
      <c r="HA181" s="1115" t="n">
        <v>821.2536</v>
      </c>
      <c r="HB181" s="1141"/>
      <c r="HC181" s="1115" t="n">
        <v>9239.103</v>
      </c>
      <c r="HD181" s="1115"/>
      <c r="HE181" s="1115" t="n">
        <v>21557.907</v>
      </c>
      <c r="HF181" s="1115" t="n">
        <v>548477.136397961</v>
      </c>
      <c r="HG181" s="1115"/>
      <c r="HH181" s="1142" t="n">
        <v>61.6171643651763</v>
      </c>
      <c r="HI181" s="1115" t="n">
        <v>1328337.09898819</v>
      </c>
      <c r="HJ181" s="1150" t="e">
        <f aca="false">MAX(FB181-FP181-FW181,0)</f>
        <v>#VALUE!</v>
      </c>
      <c r="HK181" s="1115" t="e">
        <f aca="false">MAX(FD181-FR181-FX181,0)</f>
        <v>#VALUE!</v>
      </c>
      <c r="HL181" s="1115" t="e">
        <f aca="false">MAX(FF181-FT181-FY181,0)</f>
        <v>#VALUE!</v>
      </c>
      <c r="HM181" s="1141" t="e">
        <f aca="false">MAX(FH181-FV181-FZ181,0)</f>
        <v>#VALUE!</v>
      </c>
      <c r="HN181" s="1115" t="e">
        <f aca="false">SUM(HJ181:HM181)</f>
        <v>#VALUE!</v>
      </c>
      <c r="HO181" s="1142" t="n">
        <f aca="false">IF(ISERROR(+HP181/HN181),0,+HP181/HN181)</f>
        <v>0</v>
      </c>
      <c r="HP181" s="1143" t="e">
        <f aca="false">(HJ181*CE181+HK181*CF181+HL181*CG181+HM181*CH181)</f>
        <v>#VALUE!</v>
      </c>
      <c r="HQ181" s="1142"/>
      <c r="HR181" s="1142"/>
      <c r="HS181" s="1142"/>
      <c r="HT181" s="1142"/>
      <c r="HU181" s="1142"/>
      <c r="HV181" s="1142"/>
      <c r="HW181" s="1142"/>
      <c r="HX181" s="1142"/>
      <c r="HY181" s="1142"/>
      <c r="HZ181" s="1142"/>
      <c r="IA181" s="1142"/>
      <c r="IB181" s="1142"/>
      <c r="IC181" s="1142"/>
      <c r="ID181" s="1142"/>
      <c r="IE181" s="1142"/>
      <c r="IF181" s="1142"/>
      <c r="IG181" s="1142"/>
      <c r="IH181" s="1142"/>
      <c r="II181" s="1142"/>
      <c r="IJ181" s="1142"/>
      <c r="IK181" s="1142"/>
      <c r="IL181" s="1190"/>
      <c r="IM181" s="222"/>
      <c r="IN181" s="222"/>
      <c r="IR181" s="844"/>
    </row>
    <row r="182" customFormat="false" ht="13.5" hidden="false" customHeight="false" outlineLevel="0" collapsed="false">
      <c r="A182" s="0" t="str">
        <f aca="false">+D182&amp;"Q"&amp;ROUNDUP(E182/3,0)</f>
        <v>2013Q4</v>
      </c>
      <c r="B182" s="0" t="n">
        <f aca="false">YEAR(C182)</f>
        <v>2013</v>
      </c>
      <c r="C182" s="1153" t="n">
        <f aca="false">EOMONTH(C181,0)+1</f>
        <v>41548</v>
      </c>
      <c r="D182" s="841" t="n">
        <f aca="false">+YEAR(C182)</f>
        <v>2013</v>
      </c>
      <c r="E182" s="807" t="n">
        <f aca="false">MONTH(C182)</f>
        <v>10</v>
      </c>
      <c r="F182" s="1154" t="e">
        <f aca="false">IF(G182="","",Holiday(D182,E182))</f>
        <v>#VALUE!</v>
      </c>
      <c r="G182" s="1155" t="n">
        <v>41548</v>
      </c>
      <c r="H182" s="1156" t="n">
        <v>41578</v>
      </c>
      <c r="I182" s="1157" t="n">
        <f aca="false">I181</f>
        <v>0.0715</v>
      </c>
      <c r="J182" s="1158" t="n">
        <f aca="false">(1+I182/2)^(-2*(DATE(D183,E183,20)-$H$7)/365.25)</f>
        <v>0.375757923171833</v>
      </c>
      <c r="K182" s="1159"/>
      <c r="L182" s="1158"/>
      <c r="M182" s="1082" t="n">
        <v>0</v>
      </c>
      <c r="N182" s="1110" t="n">
        <f aca="false">M182</f>
        <v>0</v>
      </c>
      <c r="O182" s="1174" t="n">
        <f aca="false">N182</f>
        <v>0</v>
      </c>
      <c r="P182" s="1175" t="n">
        <f aca="false">M182</f>
        <v>0</v>
      </c>
      <c r="Q182" s="1110" t="n">
        <f aca="false">P182</f>
        <v>0</v>
      </c>
      <c r="R182" s="1174" t="n">
        <f aca="false">Q182</f>
        <v>0</v>
      </c>
      <c r="S182" s="1110" t="n">
        <f aca="false">R182</f>
        <v>0</v>
      </c>
      <c r="T182" s="1110" t="n">
        <f aca="false">S182</f>
        <v>0</v>
      </c>
      <c r="U182" s="1110" t="n">
        <f aca="false">T182</f>
        <v>0</v>
      </c>
      <c r="V182" s="1175" t="n">
        <f aca="false">U182</f>
        <v>0</v>
      </c>
      <c r="W182" s="1110" t="n">
        <f aca="false">V182</f>
        <v>0</v>
      </c>
      <c r="X182" s="1176" t="n">
        <f aca="false">W182</f>
        <v>0</v>
      </c>
      <c r="Y182" s="1086" t="n">
        <v>0</v>
      </c>
      <c r="Z182" s="1086" t="n">
        <v>0</v>
      </c>
      <c r="AA182" s="1087" t="n">
        <v>0</v>
      </c>
      <c r="AB182" s="1086" t="n">
        <v>0</v>
      </c>
      <c r="AC182" s="1086" t="n">
        <v>0</v>
      </c>
      <c r="AD182" s="1087" t="n">
        <v>0</v>
      </c>
      <c r="AE182" s="1086" t="n">
        <v>0</v>
      </c>
      <c r="AF182" s="1086" t="n">
        <v>0</v>
      </c>
      <c r="AG182" s="1087" t="n">
        <v>0</v>
      </c>
      <c r="AH182" s="1086" t="n">
        <v>0</v>
      </c>
      <c r="AI182" s="1086" t="n">
        <v>0</v>
      </c>
      <c r="AJ182" s="1087" t="n">
        <v>0</v>
      </c>
      <c r="AK182" s="1086" t="n">
        <v>0</v>
      </c>
      <c r="AL182" s="1086" t="n">
        <v>0</v>
      </c>
      <c r="AM182" s="1087" t="n">
        <v>0</v>
      </c>
      <c r="AN182" s="1086" t="n">
        <v>0</v>
      </c>
      <c r="AO182" s="1086" t="n">
        <v>0</v>
      </c>
      <c r="AP182" s="1087" t="n">
        <v>0</v>
      </c>
      <c r="AQ182" s="1086" t="n">
        <v>0</v>
      </c>
      <c r="AR182" s="1086" t="n">
        <v>0</v>
      </c>
      <c r="AS182" s="1087" t="n">
        <v>0</v>
      </c>
      <c r="AT182" s="1086" t="n">
        <v>0</v>
      </c>
      <c r="AU182" s="1086" t="n">
        <v>0</v>
      </c>
      <c r="AV182" s="1086" t="n">
        <v>0</v>
      </c>
      <c r="AW182" s="1172" t="n">
        <v>0</v>
      </c>
      <c r="AX182" s="807" t="n">
        <f aca="false">BB182-SUM(AY182:BA182)</f>
        <v>23</v>
      </c>
      <c r="AY182" s="807" t="n">
        <f aca="false">IF(AND($E182=MONTH(Summary!$E$24),$D182=YEAR(Summary!$E$24)),Summary!$E$25,1)*IF(G182="",0,INT((H182-MOD(H182,7)-G182)/7)+1-IF(BA182,IF(WEEKDAY(F182)=7,1,0),0))</f>
        <v>4</v>
      </c>
      <c r="AZ182" s="807" t="n">
        <f aca="false">IF(AND($E182=MONTH(Summary!$E$24),$D182=YEAR(Summary!$E$24)),Summary!$E$25,1)*IF(G182="",0,INT((H182-MOD(H182-1,7)-G182)/7)+1-IF(BA182,IF(WEEKDAY(F182)=1,1,0),0))</f>
        <v>4</v>
      </c>
      <c r="BA182" s="807" t="n">
        <v>0</v>
      </c>
      <c r="BB182" s="807" t="n">
        <f aca="false">IF(AND($E182=MONTH(Summary!$E$24),$D182=YEAR(Summary!$E$24)),Summary!$E$25,1)*IF(G182="",0,H182-G182+1)</f>
        <v>31</v>
      </c>
      <c r="BC182" s="1089" t="n">
        <f aca="false">Summary!$E$19</f>
        <v>0.015</v>
      </c>
      <c r="BD182" s="1090" t="n">
        <v>16311.6</v>
      </c>
      <c r="BE182" s="1091" t="n">
        <v>2836.8</v>
      </c>
      <c r="BF182" s="1091" t="n">
        <v>2836.8</v>
      </c>
      <c r="BG182" s="842"/>
      <c r="BH182" s="1092" t="n">
        <v>1</v>
      </c>
      <c r="BI182" s="1092" t="n">
        <v>1</v>
      </c>
      <c r="BJ182" s="1092" t="n">
        <v>1</v>
      </c>
      <c r="BK182" s="1092" t="n">
        <v>1</v>
      </c>
      <c r="BL182" s="1093" t="n">
        <v>3262.32</v>
      </c>
      <c r="BM182" s="1091" t="n">
        <v>567.36</v>
      </c>
      <c r="BN182" s="1091" t="n">
        <v>567.36</v>
      </c>
      <c r="BO182" s="842"/>
      <c r="BP182" s="1092" t="n">
        <v>1</v>
      </c>
      <c r="BQ182" s="1094" t="n">
        <v>1</v>
      </c>
      <c r="BR182" s="1094" t="n">
        <v>1</v>
      </c>
      <c r="BS182" s="1095" t="n">
        <v>1</v>
      </c>
      <c r="BT182" s="1093" t="n">
        <f aca="false">SUM(BD182:BF182)</f>
        <v>21985.2</v>
      </c>
      <c r="BU182" s="1098" t="n">
        <f aca="false">SUM(BD182:BG182)</f>
        <v>21985.2</v>
      </c>
      <c r="BV182" s="1090" t="n">
        <f aca="false">SUM(BL182:BN182)</f>
        <v>4397.04</v>
      </c>
      <c r="BW182" s="1098" t="n">
        <f aca="false">SUM(BL182:BO182)</f>
        <v>4397.04</v>
      </c>
      <c r="BX182" s="852" t="n">
        <v>13.7960301163587</v>
      </c>
      <c r="BY182" s="1099" t="n">
        <v>0</v>
      </c>
      <c r="BZ182" s="852" t="n">
        <v>0</v>
      </c>
      <c r="CA182" s="852" t="n">
        <v>0</v>
      </c>
      <c r="CB182" s="852" t="n">
        <v>0</v>
      </c>
      <c r="CC182" s="852" t="n">
        <v>0</v>
      </c>
      <c r="CD182" s="852" t="n">
        <v>0</v>
      </c>
      <c r="CE182" s="1100" t="n">
        <v>0</v>
      </c>
      <c r="CF182" s="852" t="n">
        <v>0</v>
      </c>
      <c r="CG182" s="852" t="n">
        <v>0</v>
      </c>
      <c r="CH182" s="852" t="n">
        <v>0</v>
      </c>
      <c r="CI182" s="852" t="n">
        <v>0</v>
      </c>
      <c r="CJ182" s="1101" t="n">
        <v>0</v>
      </c>
      <c r="CK182" s="852" t="n">
        <v>0</v>
      </c>
      <c r="CL182" s="852" t="n">
        <v>0</v>
      </c>
      <c r="CM182" s="852" t="n">
        <v>0</v>
      </c>
      <c r="CN182" s="852" t="n">
        <v>0</v>
      </c>
      <c r="CO182" s="852" t="n">
        <v>0</v>
      </c>
      <c r="CP182" s="852" t="n">
        <v>0</v>
      </c>
      <c r="CQ182" s="1102" t="n">
        <v>0</v>
      </c>
      <c r="CR182" s="1103" t="n">
        <v>0</v>
      </c>
      <c r="CS182" s="1103" t="n">
        <v>0</v>
      </c>
      <c r="CT182" s="1103" t="n">
        <v>0</v>
      </c>
      <c r="CU182" s="1103" t="n">
        <v>0</v>
      </c>
      <c r="CV182" s="1103" t="n">
        <v>0</v>
      </c>
      <c r="CW182" s="1103" t="n">
        <v>0</v>
      </c>
      <c r="CX182" s="1104" t="n">
        <v>0</v>
      </c>
      <c r="CY182" s="1105" t="n">
        <v>7746.31136</v>
      </c>
      <c r="CZ182" s="1099" t="n">
        <v>0</v>
      </c>
      <c r="DA182" s="852" t="n">
        <v>0</v>
      </c>
      <c r="DB182" s="852" t="n">
        <v>0</v>
      </c>
      <c r="DC182" s="852" t="n">
        <v>0</v>
      </c>
      <c r="DD182" s="852" t="n">
        <v>0</v>
      </c>
      <c r="DE182" s="1113" t="n">
        <v>0</v>
      </c>
      <c r="DF182" s="1109" t="n">
        <v>0</v>
      </c>
      <c r="DG182" s="1110" t="n">
        <v>0</v>
      </c>
      <c r="DH182" s="1111" t="n">
        <v>0</v>
      </c>
      <c r="DI182" s="1112" t="n">
        <v>0</v>
      </c>
      <c r="DJ182" s="1112" t="n">
        <v>0</v>
      </c>
      <c r="DK182" s="1112" t="n">
        <v>0</v>
      </c>
      <c r="DL182" s="1113" t="n">
        <v>0</v>
      </c>
      <c r="DM182" s="1114" t="n">
        <v>0</v>
      </c>
      <c r="DN182" s="1114" t="n">
        <v>0</v>
      </c>
      <c r="DO182" s="1114" t="n">
        <v>0</v>
      </c>
      <c r="DP182" s="1114" t="n">
        <v>0</v>
      </c>
      <c r="DQ182" s="1114" t="n">
        <v>0</v>
      </c>
      <c r="DR182" s="1109" t="n">
        <v>0</v>
      </c>
      <c r="DS182" s="852" t="n">
        <v>0</v>
      </c>
      <c r="DT182" s="852" t="n">
        <v>0</v>
      </c>
      <c r="DU182" s="852" t="n">
        <v>0</v>
      </c>
      <c r="DV182" s="852" t="n">
        <v>0</v>
      </c>
      <c r="DW182" s="852" t="n">
        <v>0</v>
      </c>
      <c r="DX182" s="852" t="n">
        <v>0</v>
      </c>
      <c r="DY182" s="852" t="n">
        <v>0</v>
      </c>
      <c r="DZ182" s="852" t="n">
        <v>0</v>
      </c>
      <c r="EA182" s="852" t="n">
        <v>0</v>
      </c>
      <c r="EB182" s="1113" t="n">
        <v>0</v>
      </c>
      <c r="EC182" s="1115" t="n">
        <f aca="false">DS182*BD182</f>
        <v>0</v>
      </c>
      <c r="ED182" s="1115" t="n">
        <f aca="false">DT182*BE182</f>
        <v>0</v>
      </c>
      <c r="EE182" s="1115" t="n">
        <f aca="false">DU182*BF182</f>
        <v>0</v>
      </c>
      <c r="EF182" s="1115" t="n">
        <f aca="false">DV182*BG182</f>
        <v>0</v>
      </c>
      <c r="EG182" s="1115" t="n">
        <f aca="false">DS182*BD182+DT182*BE182+DU182*BF182+DV182*BG182</f>
        <v>0</v>
      </c>
      <c r="EH182" s="1116" t="n">
        <v>0</v>
      </c>
      <c r="EI182" s="1117" t="n">
        <v>0</v>
      </c>
      <c r="EJ182" s="1117" t="n">
        <v>0</v>
      </c>
      <c r="EK182" s="1117" t="n">
        <v>0</v>
      </c>
      <c r="EL182" s="1118" t="n">
        <f aca="false">IF(C182&gt;=Summary!$E$26,MAX(0,SUM(EH182:EK182)),0)</f>
        <v>0</v>
      </c>
      <c r="EM182" s="1115" t="n">
        <f aca="false">IF(C182&gt;=Summary!$E$26,DX182*BL182,0)</f>
        <v>0</v>
      </c>
      <c r="EN182" s="1115" t="n">
        <f aca="false">IF(C182&gt;=Summary!$E$26,DY182*BM182,0)</f>
        <v>0</v>
      </c>
      <c r="EO182" s="1115" t="n">
        <f aca="false">IF(C182&gt;=Summary!$E$26,DZ182*BN182,0)</f>
        <v>0</v>
      </c>
      <c r="EP182" s="1115" t="n">
        <f aca="false">IF(C182&gt;=Summary!$E$26,EA182*BO182,0)</f>
        <v>0</v>
      </c>
      <c r="EQ182" s="1115" t="n">
        <f aca="false">IF(C182&gt;=Summary!$E$26,DX182*BL182+DY182*BM182+DZ182*BN182+EA182*BO182,0)</f>
        <v>0</v>
      </c>
      <c r="ER182" s="1119" t="n">
        <v>0</v>
      </c>
      <c r="ES182" s="1120" t="n">
        <v>0</v>
      </c>
      <c r="ET182" s="1120" t="n">
        <v>0</v>
      </c>
      <c r="EU182" s="1120" t="n">
        <v>0</v>
      </c>
      <c r="EV182" s="1143" t="n">
        <f aca="false">IF(C182&gt;=Summary!$E$26,MAX(0,SUM(ER182:EU182)),0)</f>
        <v>0</v>
      </c>
      <c r="EW182" s="1115"/>
      <c r="EX182" s="1165" t="n">
        <f aca="false">(EQ182-EV182)+IF(EZ182="Yes",(EG182-EL182),0)</f>
        <v>0</v>
      </c>
      <c r="EY182" s="1166" t="str">
        <f aca="false">IF(EX182,EX182/EQ182,"")</f>
        <v/>
      </c>
      <c r="EZ182" s="1122" t="s">
        <v>37</v>
      </c>
      <c r="FA182" s="1096" t="n">
        <f aca="false">FA181</f>
        <v>45</v>
      </c>
      <c r="FB182" s="1167" t="n">
        <f aca="false">IF(EZ182="No",IF((OR(MONTH(C182)=5,MONTH(C182)=6,MONTH(C182)=7,MONTH(C182)=8,MONTH(C182)=9)),$FA182*12*AX182*(1-$BC182),$FA182*10*AX182*(1-$BC182)),0)</f>
        <v>10194.75</v>
      </c>
      <c r="FC182" s="1129" t="n">
        <f aca="false">IF(EZ182="No",IF((OR(MONTH(C182)=5,MONTH(C182)=6,MONTH(C182)=7,MONTH(C182)=8,MONTH(C182)=9)),0,$FA182*3*AX182*(1-$BC182)),0)</f>
        <v>3058.425</v>
      </c>
      <c r="FD182" s="1129" t="n">
        <f aca="false">IF(EZ182="No",IF((OR(MONTH(C182)=5,MONTH(C182)=6,MONTH(C182)=7,MONTH(C182)=8,MONTH(C182)=9)),$FA182*12*AY182*(1-$BC182),$FA182*10*AY182*(1-$BC182)),0)</f>
        <v>1773</v>
      </c>
      <c r="FE182" s="1129" t="n">
        <f aca="false">IF(EZ182="No",IF((OR(MONTH(C182)=5,MONTH(C182)=6,MONTH(C182)=7,MONTH(C182)=8,MONTH(C182)=9)),0,$FA182*3*AY182*(1-$BC182)),0)</f>
        <v>531.9</v>
      </c>
      <c r="FF182" s="1129" t="n">
        <f aca="false">IF(EZ182="No",IF((OR(MONTH(C182)=5,MONTH(C182)=6,MONTH(C182)=7,MONTH(C182)=8,MONTH(C182)=9)),$FA182*12*(AZ182+BA182)*(1-$BC182),$FA182*10*(AZ182+BA182)*(1-$BC182)),0)</f>
        <v>1773</v>
      </c>
      <c r="FG182" s="1129" t="n">
        <f aca="false">IF(EZ182="No",IF((OR(MONTH(C182)=5,MONTH(C182)=6,MONTH(C182)=7,MONTH(C182)=8,MONTH(C182)=9)),0,$FA182*3*(AZ182+BA182)*(1-$BC182)),0)</f>
        <v>531.9</v>
      </c>
      <c r="FH182" s="1170" t="n">
        <f aca="false">IF(EZ182="No",IF((OR(MONTH(C182)=5,MONTH(C182)=6,MONTH(C182)=7,MONTH(C182)=8,MONTH(C182)=9)),Summary!$O$15*12*(AX182+AY182+AZ182+BA182)*(1-$BC182),Summary!$O$15*13*(AX182+AY182+AZ182+BA182)*(1-$BC182)+IF(Summary!$O$16="Yes",(CALC!FA182+Summary!$O$15)*6*(AX182+AY182+AZ182+BA182)*(1-$BC182),0)),0)</f>
        <v>0</v>
      </c>
      <c r="FI182" s="1126" t="n">
        <f aca="false">IF(MONTH(C182)=5,FI181*(IF(Summary!$E$70="no",(1+(Summary!$E$71*0.8)),1+HLOOKUP(YEAR(C182)-1,CCFMODEL!$I$127:$AF$128,2)*0.8)),+FI181)</f>
        <v>37.0785775054311</v>
      </c>
      <c r="FJ182" s="1127" t="n">
        <f aca="false">IF(MONTH(C182)=5,FJ181*(IF(Summary!$E$70="no",(1+(Summary!$E$71*0.8)),1+HLOOKUP(YEAR(CALC!C182)-1,CCFMODEL!$I$127:$AF$128,2)*0.8)),FJ181)</f>
        <v>32.4072606543532</v>
      </c>
      <c r="FK182" s="1128" t="n">
        <f aca="false">SUM(FB182:FG182)*FI182+FH182*FJ182</f>
        <v>662333.703015078</v>
      </c>
      <c r="FL182" s="1126" t="n">
        <f aca="false">IF(MONTH(C182)=5,FL181*(IF(Summary!$E$70="no",(1+(Summary!$E$71*0.8)),1+HLOOKUP(YEAR(CALC!C182)-1,CCFMODEL!$I$127:$AF$128,2)*0.8)),+FL181)</f>
        <v>77.9804054098099</v>
      </c>
      <c r="FM182" s="1127" t="n">
        <f aca="false">IF(MONTH(C182)=5,FM181*(IF(Summary!$E$70="no",(1+(Summary!$E$71*0.8)),1+HLOOKUP(YEAR(CALC!C182)-1,CCFMODEL!$I$127:$AF$128,2)*0.8)),+FM181)</f>
        <v>37.2176047926656</v>
      </c>
      <c r="FN182" s="1128" t="n">
        <f aca="false">IF((OR(MONTH(C182)=5,MONTH(C182)=6,MONTH(C182)=7,MONTH(C182)=8,MONTH(C182)=9)),SUM(FB182:FG182)/(1-BC182)*FL182,SUM(FB182:FG182)/(1-BC182)*FM182)</f>
        <v>674941.26291499</v>
      </c>
      <c r="FO182" s="1129" t="n">
        <f aca="false">FK182+FN182</f>
        <v>1337274.96593007</v>
      </c>
      <c r="FP182" s="1169" t="n">
        <f aca="false">FB182</f>
        <v>10194.75</v>
      </c>
      <c r="FQ182" s="1129" t="n">
        <f aca="false">FC182</f>
        <v>3058.425</v>
      </c>
      <c r="FR182" s="1129" t="n">
        <f aca="false">FD182</f>
        <v>1773</v>
      </c>
      <c r="FS182" s="1129" t="n">
        <f aca="false">FE182</f>
        <v>531.9</v>
      </c>
      <c r="FT182" s="1129" t="n">
        <f aca="false">FF182</f>
        <v>1773</v>
      </c>
      <c r="FU182" s="1129" t="n">
        <f aca="false">FG182</f>
        <v>531.9</v>
      </c>
      <c r="FV182" s="1170" t="n">
        <f aca="false">FH182</f>
        <v>0</v>
      </c>
      <c r="FW182" s="1115" t="n">
        <f aca="false">IF(ER182&gt;0,MIN(FB182-FP182,BL182),0)</f>
        <v>0</v>
      </c>
      <c r="FX182" s="1115" t="n">
        <f aca="false">IF(ES182&gt;0,MIN(FD182-FR182,BM182),0)</f>
        <v>0</v>
      </c>
      <c r="FY182" s="1115" t="n">
        <f aca="false">IF(ET182&gt;0,MIN(FF182-FT182,BN182),0)</f>
        <v>0</v>
      </c>
      <c r="FZ182" s="1143" t="n">
        <f aca="false">IF(EU182&gt;0,MIN(FH182-FV182,BO182),0)</f>
        <v>0</v>
      </c>
      <c r="GA182" s="1132" t="n">
        <f aca="false">(SUM(FP182:FV182)+SUM(GU182:HB182)/(1-Summary!$O$25))*CY182/1000</f>
        <v>236297.083760222</v>
      </c>
      <c r="GB182" s="1133" t="n">
        <f aca="false">IF($C182&lt;Summary!$M$81,+Summary!$O$81,VLOOKUP(C182,GasTable,19))</f>
        <v>3.73327555133386</v>
      </c>
      <c r="GC182" s="1134" t="n">
        <f aca="false">IF(H182&lt;=Summary!$N$84,MIN(GA182,Summary!$O$75*(H182-G182+1)),0)</f>
        <v>0</v>
      </c>
      <c r="GD182" s="1135" t="n">
        <f aca="false">IF(C182&lt;Summary!$N$84,IF(Summary!$O$75*(H182-G182+1)*0.8&gt;GC182,1,0),0)</f>
        <v>0</v>
      </c>
      <c r="GE182" s="1136" t="n">
        <v>0</v>
      </c>
      <c r="GF182" s="1134" t="n">
        <f aca="false">ABS(MIN(0,GC182-$GA182))</f>
        <v>236297.083760222</v>
      </c>
      <c r="GG182" s="1135" t="n">
        <f aca="false">GF182*(IF(Summary!$O$74=1,VLOOKUP($C182,GasTable,16)+Summary!$O$92+Summary!$O$93,VLOOKUP($C182,GasTable,19)+Summary!$O$92+Summary!$O$93))</f>
        <v>894473.203717436</v>
      </c>
      <c r="GH182" s="1137" t="n">
        <v>5786.57710456749</v>
      </c>
      <c r="GI182" s="1138" t="n">
        <v>0</v>
      </c>
      <c r="GJ182" s="1139" t="n">
        <f aca="false">+GB182*GC182+GE182+GG182+GH182-GI182</f>
        <v>900259.780822003</v>
      </c>
      <c r="GK182" s="1115" t="n">
        <f aca="false">SUM(FP182:FV182,GU182:GX182,GY182:HB182)</f>
        <v>30062.01285</v>
      </c>
      <c r="GL182" s="1140" t="n">
        <v>0.51900286112</v>
      </c>
      <c r="GM182" s="1141" t="n">
        <f aca="false">IF(GK182&gt;GC182/(CY182/1000),GC182/(CY182/1000),+GK182)*GL182</f>
        <v>0</v>
      </c>
      <c r="GN182" s="1115" t="n">
        <f aca="false">IF(SUM(GU182:HB182)=0,0,IF(Summary!$O$16="Yes",SUM(GX182:HB182),IF(Summary!$O$17="Yes",SUM(GY182:HB182),SUM(GU182:HB182))))</f>
        <v>12199.03785</v>
      </c>
      <c r="GO182" s="1142" t="n">
        <v>3.49441348844265</v>
      </c>
      <c r="GP182" s="1143" t="n">
        <f aca="false">GN182*GO182</f>
        <v>42628.4824090624</v>
      </c>
      <c r="GQ182" s="1115"/>
      <c r="GR182" s="1115"/>
      <c r="GS182" s="1115"/>
      <c r="GT182" s="1115"/>
      <c r="GU182" s="1150" t="n">
        <v>5902.76025</v>
      </c>
      <c r="GV182" s="1115" t="n">
        <v>1026.567</v>
      </c>
      <c r="GW182" s="1115" t="n">
        <v>1026.567</v>
      </c>
      <c r="GX182" s="1115"/>
      <c r="GY182" s="1151" t="n">
        <v>3148.1388</v>
      </c>
      <c r="GZ182" s="1115" t="n">
        <v>547.5024</v>
      </c>
      <c r="HA182" s="1115" t="n">
        <v>547.5024</v>
      </c>
      <c r="HB182" s="1141"/>
      <c r="HC182" s="1115" t="n">
        <v>12199.03785</v>
      </c>
      <c r="HD182" s="1115"/>
      <c r="HE182" s="1115" t="n">
        <v>20950.521525</v>
      </c>
      <c r="HF182" s="1115" t="n">
        <v>631882.07858452</v>
      </c>
      <c r="HG182" s="1115"/>
      <c r="HH182" s="1142" t="n">
        <v>50.9784420156844</v>
      </c>
      <c r="HI182" s="1115" t="n">
        <v>1068024.94676056</v>
      </c>
      <c r="HJ182" s="1150" t="n">
        <f aca="false">MAX(FB182-FP182-FW182,0)</f>
        <v>0</v>
      </c>
      <c r="HK182" s="1115" t="n">
        <f aca="false">MAX(FD182-FR182-FX182,0)</f>
        <v>0</v>
      </c>
      <c r="HL182" s="1115" t="n">
        <f aca="false">MAX(FF182-FT182-FY182,0)</f>
        <v>0</v>
      </c>
      <c r="HM182" s="1141" t="n">
        <f aca="false">MAX(FH182-FV182-FZ182,0)</f>
        <v>0</v>
      </c>
      <c r="HN182" s="1115" t="n">
        <f aca="false">SUM(HJ182:HM182)</f>
        <v>0</v>
      </c>
      <c r="HO182" s="1142" t="n">
        <f aca="false">IF(ISERROR(+HP182/HN182),0,+HP182/HN182)</f>
        <v>0</v>
      </c>
      <c r="HP182" s="1143" t="n">
        <f aca="false">(HJ182*CE182+HK182*CF182+HL182*CG182+HM182*CH182)</f>
        <v>0</v>
      </c>
      <c r="HQ182" s="909"/>
      <c r="HR182" s="987"/>
      <c r="HS182" s="988"/>
      <c r="HT182" s="988"/>
      <c r="HU182" s="1142"/>
      <c r="HV182" s="1142"/>
      <c r="HW182" s="1142"/>
      <c r="HX182" s="1142"/>
      <c r="HY182" s="1142"/>
      <c r="HZ182" s="1142"/>
      <c r="IA182" s="1142"/>
      <c r="IB182" s="1142"/>
      <c r="IC182" s="1142"/>
      <c r="ID182" s="1142"/>
      <c r="IE182" s="1142"/>
      <c r="IF182" s="1142"/>
      <c r="IG182" s="1142"/>
      <c r="IH182" s="1142"/>
      <c r="II182" s="1142"/>
      <c r="IJ182" s="1142"/>
      <c r="IK182" s="1142"/>
      <c r="IL182" s="1190"/>
      <c r="IM182" s="222"/>
      <c r="IN182" s="222"/>
      <c r="IR182" s="844"/>
    </row>
    <row r="183" customFormat="false" ht="13.5" hidden="false" customHeight="false" outlineLevel="0" collapsed="false">
      <c r="A183" s="0" t="str">
        <f aca="false">+D183&amp;"Q"&amp;ROUNDUP(E183/3,0)</f>
        <v>2013Q4</v>
      </c>
      <c r="B183" s="0" t="n">
        <f aca="false">YEAR(C183)</f>
        <v>2013</v>
      </c>
      <c r="C183" s="1153" t="n">
        <f aca="false">EOMONTH(C182,0)+1</f>
        <v>41579</v>
      </c>
      <c r="D183" s="841" t="n">
        <f aca="false">+YEAR(C183)</f>
        <v>2013</v>
      </c>
      <c r="E183" s="807" t="n">
        <f aca="false">MONTH(C183)</f>
        <v>11</v>
      </c>
      <c r="F183" s="1154" t="e">
        <f aca="false">IF(G183="","",Holiday(D183,E183))</f>
        <v>#VALUE!</v>
      </c>
      <c r="G183" s="1155" t="n">
        <v>41579</v>
      </c>
      <c r="H183" s="1156" t="n">
        <v>41608</v>
      </c>
      <c r="I183" s="1157" t="n">
        <f aca="false">I182</f>
        <v>0.0715</v>
      </c>
      <c r="J183" s="1158" t="n">
        <f aca="false">(1+I183/2)^(-2*(DATE(D184,E184,20)-$H$7)/365.25)</f>
        <v>0.373595986088014</v>
      </c>
      <c r="K183" s="1159"/>
      <c r="L183" s="1158"/>
      <c r="M183" s="1082" t="n">
        <v>0</v>
      </c>
      <c r="N183" s="1110" t="n">
        <f aca="false">M183</f>
        <v>0</v>
      </c>
      <c r="O183" s="1174" t="n">
        <f aca="false">N183</f>
        <v>0</v>
      </c>
      <c r="P183" s="1175" t="n">
        <f aca="false">M183</f>
        <v>0</v>
      </c>
      <c r="Q183" s="1110" t="n">
        <f aca="false">P183</f>
        <v>0</v>
      </c>
      <c r="R183" s="1174" t="n">
        <f aca="false">Q183</f>
        <v>0</v>
      </c>
      <c r="S183" s="1110" t="n">
        <f aca="false">R183</f>
        <v>0</v>
      </c>
      <c r="T183" s="1110" t="n">
        <f aca="false">S183</f>
        <v>0</v>
      </c>
      <c r="U183" s="1110" t="n">
        <f aca="false">T183</f>
        <v>0</v>
      </c>
      <c r="V183" s="1175" t="n">
        <f aca="false">U183</f>
        <v>0</v>
      </c>
      <c r="W183" s="1110" t="n">
        <f aca="false">V183</f>
        <v>0</v>
      </c>
      <c r="X183" s="1176" t="n">
        <f aca="false">W183</f>
        <v>0</v>
      </c>
      <c r="Y183" s="1086" t="n">
        <v>0</v>
      </c>
      <c r="Z183" s="1086" t="n">
        <v>0</v>
      </c>
      <c r="AA183" s="1087" t="n">
        <v>0</v>
      </c>
      <c r="AB183" s="1086" t="n">
        <v>0</v>
      </c>
      <c r="AC183" s="1086" t="n">
        <v>0</v>
      </c>
      <c r="AD183" s="1087" t="n">
        <v>0</v>
      </c>
      <c r="AE183" s="1086" t="n">
        <v>0</v>
      </c>
      <c r="AF183" s="1086" t="n">
        <v>0</v>
      </c>
      <c r="AG183" s="1087" t="n">
        <v>0</v>
      </c>
      <c r="AH183" s="1086" t="n">
        <v>0</v>
      </c>
      <c r="AI183" s="1086" t="n">
        <v>0</v>
      </c>
      <c r="AJ183" s="1087" t="n">
        <v>0</v>
      </c>
      <c r="AK183" s="1086" t="n">
        <v>0</v>
      </c>
      <c r="AL183" s="1086" t="n">
        <v>0</v>
      </c>
      <c r="AM183" s="1087" t="n">
        <v>0</v>
      </c>
      <c r="AN183" s="1086" t="n">
        <v>0</v>
      </c>
      <c r="AO183" s="1086" t="n">
        <v>0</v>
      </c>
      <c r="AP183" s="1087" t="n">
        <v>0</v>
      </c>
      <c r="AQ183" s="1086" t="n">
        <v>0</v>
      </c>
      <c r="AR183" s="1086" t="n">
        <v>0</v>
      </c>
      <c r="AS183" s="1087" t="n">
        <v>0</v>
      </c>
      <c r="AT183" s="1086" t="n">
        <v>0</v>
      </c>
      <c r="AU183" s="1086" t="n">
        <v>0</v>
      </c>
      <c r="AV183" s="1086" t="n">
        <v>0</v>
      </c>
      <c r="AW183" s="1172" t="n">
        <v>0</v>
      </c>
      <c r="AX183" s="807" t="e">
        <f aca="false">BB183-SUM(AY183:BA183)</f>
        <v>#VALUE!</v>
      </c>
      <c r="AY183" s="807" t="e">
        <f aca="false">IF(AND($E183=MONTH(Summary!$E$24),$D183=YEAR(Summary!$E$24)),Summary!$E$25,1)*IF(G183="",0,INT((H183-MOD(H183,7)-G183)/7)+1-IF(BA183,IF(WEEKDAY(F183)=7,1,0),0))</f>
        <v>#VALUE!</v>
      </c>
      <c r="AZ183" s="807" t="e">
        <f aca="false">IF(AND($E183=MONTH(Summary!$E$24),$D183=YEAR(Summary!$E$24)),Summary!$E$25,1)*IF(G183="",0,INT((H183-MOD(H183-1,7)-G183)/7)+1-IF(BA183,IF(WEEKDAY(F183)=1,1,0),0))</f>
        <v>#VALUE!</v>
      </c>
      <c r="BA183" s="807" t="n">
        <v>1</v>
      </c>
      <c r="BB183" s="807" t="n">
        <f aca="false">IF(AND($E183=MONTH(Summary!$E$24),$D183=YEAR(Summary!$E$24)),Summary!$E$25,1)*IF(G183="",0,H183-G183+1)</f>
        <v>30</v>
      </c>
      <c r="BC183" s="1089" t="n">
        <f aca="false">Summary!$E$19</f>
        <v>0.015</v>
      </c>
      <c r="BD183" s="1090" t="n">
        <v>14184</v>
      </c>
      <c r="BE183" s="1091" t="n">
        <v>3546</v>
      </c>
      <c r="BF183" s="1091" t="n">
        <v>3546</v>
      </c>
      <c r="BG183" s="842"/>
      <c r="BH183" s="1092" t="n">
        <v>1</v>
      </c>
      <c r="BI183" s="1092" t="n">
        <v>1</v>
      </c>
      <c r="BJ183" s="1092" t="n">
        <v>1</v>
      </c>
      <c r="BK183" s="1092" t="n">
        <v>1</v>
      </c>
      <c r="BL183" s="1093" t="n">
        <v>2836.8</v>
      </c>
      <c r="BM183" s="1091" t="n">
        <v>709.2</v>
      </c>
      <c r="BN183" s="1091" t="n">
        <v>709.2</v>
      </c>
      <c r="BO183" s="842"/>
      <c r="BP183" s="1092" t="n">
        <v>1</v>
      </c>
      <c r="BQ183" s="1094" t="n">
        <v>1</v>
      </c>
      <c r="BR183" s="1094" t="n">
        <v>1</v>
      </c>
      <c r="BS183" s="1095" t="n">
        <v>1</v>
      </c>
      <c r="BT183" s="1093" t="n">
        <f aca="false">SUM(BD183:BF183)</f>
        <v>21276</v>
      </c>
      <c r="BU183" s="1098" t="n">
        <f aca="false">SUM(BD183:BG183)</f>
        <v>21276</v>
      </c>
      <c r="BV183" s="1090" t="n">
        <f aca="false">SUM(BL183:BN183)</f>
        <v>4255.2</v>
      </c>
      <c r="BW183" s="1098" t="n">
        <f aca="false">SUM(BL183:BO183)</f>
        <v>4255.2</v>
      </c>
      <c r="BX183" s="852" t="n">
        <v>13.8809034907598</v>
      </c>
      <c r="BY183" s="1099" t="n">
        <v>0</v>
      </c>
      <c r="BZ183" s="852" t="n">
        <v>0</v>
      </c>
      <c r="CA183" s="852" t="n">
        <v>0</v>
      </c>
      <c r="CB183" s="852" t="n">
        <v>0</v>
      </c>
      <c r="CC183" s="852" t="n">
        <v>0</v>
      </c>
      <c r="CD183" s="852" t="n">
        <v>0</v>
      </c>
      <c r="CE183" s="1100" t="n">
        <v>0</v>
      </c>
      <c r="CF183" s="852" t="n">
        <v>0</v>
      </c>
      <c r="CG183" s="852" t="n">
        <v>0</v>
      </c>
      <c r="CH183" s="852" t="n">
        <v>0</v>
      </c>
      <c r="CI183" s="852" t="n">
        <v>0</v>
      </c>
      <c r="CJ183" s="1101" t="n">
        <v>0</v>
      </c>
      <c r="CK183" s="852" t="n">
        <v>0</v>
      </c>
      <c r="CL183" s="852" t="n">
        <v>0</v>
      </c>
      <c r="CM183" s="852" t="n">
        <v>0</v>
      </c>
      <c r="CN183" s="852" t="n">
        <v>0</v>
      </c>
      <c r="CO183" s="852" t="n">
        <v>0</v>
      </c>
      <c r="CP183" s="852" t="n">
        <v>0</v>
      </c>
      <c r="CQ183" s="1102" t="n">
        <v>0</v>
      </c>
      <c r="CR183" s="1103" t="n">
        <v>0</v>
      </c>
      <c r="CS183" s="1103" t="n">
        <v>0</v>
      </c>
      <c r="CT183" s="1103" t="n">
        <v>0</v>
      </c>
      <c r="CU183" s="1103" t="n">
        <v>0</v>
      </c>
      <c r="CV183" s="1103" t="n">
        <v>0</v>
      </c>
      <c r="CW183" s="1103" t="n">
        <v>0</v>
      </c>
      <c r="CX183" s="1104" t="n">
        <v>0</v>
      </c>
      <c r="CY183" s="1105" t="n">
        <v>7747.61424</v>
      </c>
      <c r="CZ183" s="1099" t="n">
        <v>0</v>
      </c>
      <c r="DA183" s="852" t="n">
        <v>0</v>
      </c>
      <c r="DB183" s="852" t="n">
        <v>0</v>
      </c>
      <c r="DC183" s="852" t="n">
        <v>0</v>
      </c>
      <c r="DD183" s="852" t="n">
        <v>0</v>
      </c>
      <c r="DE183" s="1113" t="n">
        <v>0</v>
      </c>
      <c r="DF183" s="1109" t="n">
        <v>0</v>
      </c>
      <c r="DG183" s="1110" t="n">
        <v>0</v>
      </c>
      <c r="DH183" s="1111" t="n">
        <v>0</v>
      </c>
      <c r="DI183" s="1112" t="n">
        <v>0</v>
      </c>
      <c r="DJ183" s="1112" t="n">
        <v>0</v>
      </c>
      <c r="DK183" s="1112" t="n">
        <v>0</v>
      </c>
      <c r="DL183" s="1113" t="n">
        <v>0</v>
      </c>
      <c r="DM183" s="1114" t="n">
        <v>0</v>
      </c>
      <c r="DN183" s="1114" t="n">
        <v>0</v>
      </c>
      <c r="DO183" s="1114" t="n">
        <v>0</v>
      </c>
      <c r="DP183" s="1114" t="n">
        <v>0</v>
      </c>
      <c r="DQ183" s="1114" t="n">
        <v>0</v>
      </c>
      <c r="DR183" s="1109" t="n">
        <v>0</v>
      </c>
      <c r="DS183" s="852" t="n">
        <v>0</v>
      </c>
      <c r="DT183" s="852" t="n">
        <v>0</v>
      </c>
      <c r="DU183" s="852" t="n">
        <v>0</v>
      </c>
      <c r="DV183" s="852" t="n">
        <v>0</v>
      </c>
      <c r="DW183" s="852" t="n">
        <v>0</v>
      </c>
      <c r="DX183" s="852" t="n">
        <v>0</v>
      </c>
      <c r="DY183" s="852" t="n">
        <v>0</v>
      </c>
      <c r="DZ183" s="852" t="n">
        <v>0</v>
      </c>
      <c r="EA183" s="852" t="n">
        <v>0</v>
      </c>
      <c r="EB183" s="1113" t="n">
        <v>0</v>
      </c>
      <c r="EC183" s="1115" t="n">
        <f aca="false">DS183*BD183</f>
        <v>0</v>
      </c>
      <c r="ED183" s="1115" t="n">
        <f aca="false">DT183*BE183</f>
        <v>0</v>
      </c>
      <c r="EE183" s="1115" t="n">
        <f aca="false">DU183*BF183</f>
        <v>0</v>
      </c>
      <c r="EF183" s="1115" t="n">
        <f aca="false">DV183*BG183</f>
        <v>0</v>
      </c>
      <c r="EG183" s="1115" t="n">
        <f aca="false">DS183*BD183+DT183*BE183+DU183*BF183+DV183*BG183</f>
        <v>0</v>
      </c>
      <c r="EH183" s="1116" t="n">
        <v>0</v>
      </c>
      <c r="EI183" s="1117" t="n">
        <v>0</v>
      </c>
      <c r="EJ183" s="1117" t="n">
        <v>0</v>
      </c>
      <c r="EK183" s="1117" t="n">
        <v>0</v>
      </c>
      <c r="EL183" s="1118" t="n">
        <f aca="false">IF(C183&gt;=Summary!$E$26,MAX(0,SUM(EH183:EK183)),0)</f>
        <v>0</v>
      </c>
      <c r="EM183" s="1115" t="n">
        <f aca="false">IF(C183&gt;=Summary!$E$26,DX183*BL183,0)</f>
        <v>0</v>
      </c>
      <c r="EN183" s="1115" t="n">
        <f aca="false">IF(C183&gt;=Summary!$E$26,DY183*BM183,0)</f>
        <v>0</v>
      </c>
      <c r="EO183" s="1115" t="n">
        <f aca="false">IF(C183&gt;=Summary!$E$26,DZ183*BN183,0)</f>
        <v>0</v>
      </c>
      <c r="EP183" s="1115" t="n">
        <f aca="false">IF(C183&gt;=Summary!$E$26,EA183*BO183,0)</f>
        <v>0</v>
      </c>
      <c r="EQ183" s="1115" t="n">
        <f aca="false">IF(C183&gt;=Summary!$E$26,DX183*BL183+DY183*BM183+DZ183*BN183+EA183*BO183,0)</f>
        <v>0</v>
      </c>
      <c r="ER183" s="1119" t="n">
        <v>0</v>
      </c>
      <c r="ES183" s="1120" t="n">
        <v>0</v>
      </c>
      <c r="ET183" s="1120" t="n">
        <v>0</v>
      </c>
      <c r="EU183" s="1120" t="n">
        <v>0</v>
      </c>
      <c r="EV183" s="1143" t="n">
        <f aca="false">IF(C183&gt;=Summary!$E$26,MAX(0,SUM(ER183:EU183)),0)</f>
        <v>0</v>
      </c>
      <c r="EW183" s="1115"/>
      <c r="EX183" s="1165" t="n">
        <f aca="false">(EQ183-EV183)+IF(EZ183="Yes",(EG183-EL183),0)</f>
        <v>0</v>
      </c>
      <c r="EY183" s="1166" t="str">
        <f aca="false">IF(EX183,EX183/EQ183,"")</f>
        <v/>
      </c>
      <c r="EZ183" s="1122" t="s">
        <v>37</v>
      </c>
      <c r="FA183" s="1096" t="n">
        <f aca="false">FA182</f>
        <v>45</v>
      </c>
      <c r="FB183" s="1167" t="e">
        <f aca="false">IF(EZ183="No",IF((OR(MONTH(C183)=5,MONTH(C183)=6,MONTH(C183)=7,MONTH(C183)=8,MONTH(C183)=9)),$FA183*12*AX183*(1-$BC183),$FA183*10*AX183*(1-$BC183)),0)</f>
        <v>#VALUE!</v>
      </c>
      <c r="FC183" s="1129" t="e">
        <f aca="false">IF(EZ183="No",IF((OR(MONTH(C183)=5,MONTH(C183)=6,MONTH(C183)=7,MONTH(C183)=8,MONTH(C183)=9)),0,$FA183*3*AX183*(1-$BC183)),0)</f>
        <v>#VALUE!</v>
      </c>
      <c r="FD183" s="1129" t="e">
        <f aca="false">IF(EZ183="No",IF((OR(MONTH(C183)=5,MONTH(C183)=6,MONTH(C183)=7,MONTH(C183)=8,MONTH(C183)=9)),$FA183*12*AY183*(1-$BC183),$FA183*10*AY183*(1-$BC183)),0)</f>
        <v>#VALUE!</v>
      </c>
      <c r="FE183" s="1129" t="e">
        <f aca="false">IF(EZ183="No",IF((OR(MONTH(C183)=5,MONTH(C183)=6,MONTH(C183)=7,MONTH(C183)=8,MONTH(C183)=9)),0,$FA183*3*AY183*(1-$BC183)),0)</f>
        <v>#VALUE!</v>
      </c>
      <c r="FF183" s="1129" t="e">
        <f aca="false">IF(EZ183="No",IF((OR(MONTH(C183)=5,MONTH(C183)=6,MONTH(C183)=7,MONTH(C183)=8,MONTH(C183)=9)),$FA183*12*(AZ183+BA183)*(1-$BC183),$FA183*10*(AZ183+BA183)*(1-$BC183)),0)</f>
        <v>#VALUE!</v>
      </c>
      <c r="FG183" s="1129" t="e">
        <f aca="false">IF(EZ183="No",IF((OR(MONTH(C183)=5,MONTH(C183)=6,MONTH(C183)=7,MONTH(C183)=8,MONTH(C183)=9)),0,$FA183*3*(AZ183+BA183)*(1-$BC183)),0)</f>
        <v>#VALUE!</v>
      </c>
      <c r="FH183" s="1170" t="e">
        <f aca="false">IF(EZ183="No",IF((OR(MONTH(C183)=5,MONTH(C183)=6,MONTH(C183)=7,MONTH(C183)=8,MONTH(C183)=9)),Summary!$O$15*12*(AX183+AY183+AZ183+BA183)*(1-$BC183),Summary!$O$15*13*(AX183+AY183+AZ183+BA183)*(1-$BC183)+IF(Summary!$O$16="Yes",(CALC!FA183+Summary!$O$15)*6*(AX183+AY183+AZ183+BA183)*(1-$BC183),0)),0)</f>
        <v>#VALUE!</v>
      </c>
      <c r="FI183" s="1126" t="n">
        <f aca="false">IF(MONTH(C183)=5,FI182*(IF(Summary!$E$70="no",(1+(Summary!$E$71*0.8)),1+HLOOKUP(YEAR(C183)-1,CCFMODEL!$I$127:$AF$128,2)*0.8)),+FI182)</f>
        <v>37.0785775054311</v>
      </c>
      <c r="FJ183" s="1127" t="n">
        <f aca="false">IF(MONTH(C183)=5,FJ182*(IF(Summary!$E$70="no",(1+(Summary!$E$71*0.8)),1+HLOOKUP(YEAR(CALC!C183)-1,CCFMODEL!$I$127:$AF$128,2)*0.8)),FJ182)</f>
        <v>32.4072606543532</v>
      </c>
      <c r="FK183" s="1128" t="e">
        <f aca="false">SUM(FB183:FG183)*FI183+FH183*FJ183</f>
        <v>#VALUE!</v>
      </c>
      <c r="FL183" s="1126" t="n">
        <f aca="false">IF(MONTH(C183)=5,FL182*(IF(Summary!$E$70="no",(1+(Summary!$E$71*0.8)),1+HLOOKUP(YEAR(CALC!C183)-1,CCFMODEL!$I$127:$AF$128,2)*0.8)),+FL182)</f>
        <v>77.9804054098099</v>
      </c>
      <c r="FM183" s="1127" t="n">
        <f aca="false">IF(MONTH(C183)=5,FM182*(IF(Summary!$E$70="no",(1+(Summary!$E$71*0.8)),1+HLOOKUP(YEAR(CALC!C183)-1,CCFMODEL!$I$127:$AF$128,2)*0.8)),+FM182)</f>
        <v>37.2176047926656</v>
      </c>
      <c r="FN183" s="1128" t="e">
        <f aca="false">IF((OR(MONTH(C183)=5,MONTH(C183)=6,MONTH(C183)=7,MONTH(C183)=8,MONTH(C183)=9)),SUM(FB183:FG183)/(1-BC183)*FL183,SUM(FB183:FG183)/(1-BC183)*FM183)</f>
        <v>#VALUE!</v>
      </c>
      <c r="FO183" s="1129" t="e">
        <f aca="false">FK183+FN183</f>
        <v>#VALUE!</v>
      </c>
      <c r="FP183" s="1169" t="e">
        <f aca="false">FB183</f>
        <v>#VALUE!</v>
      </c>
      <c r="FQ183" s="1129" t="e">
        <f aca="false">FC183</f>
        <v>#VALUE!</v>
      </c>
      <c r="FR183" s="1129" t="e">
        <f aca="false">FD183</f>
        <v>#VALUE!</v>
      </c>
      <c r="FS183" s="1129" t="e">
        <f aca="false">FE183</f>
        <v>#VALUE!</v>
      </c>
      <c r="FT183" s="1129" t="e">
        <f aca="false">FF183</f>
        <v>#VALUE!</v>
      </c>
      <c r="FU183" s="1129" t="e">
        <f aca="false">FG183</f>
        <v>#VALUE!</v>
      </c>
      <c r="FV183" s="1170" t="e">
        <f aca="false">FH183</f>
        <v>#VALUE!</v>
      </c>
      <c r="FW183" s="1115" t="n">
        <f aca="false">IF(ER183&gt;0,MIN(FB183-FP183,BL183),0)</f>
        <v>0</v>
      </c>
      <c r="FX183" s="1115" t="n">
        <f aca="false">IF(ES183&gt;0,MIN(FD183-FR183,BM183),0)</f>
        <v>0</v>
      </c>
      <c r="FY183" s="1115" t="n">
        <f aca="false">IF(ET183&gt;0,MIN(FF183-FT183,BN183),0)</f>
        <v>0</v>
      </c>
      <c r="FZ183" s="1143" t="n">
        <f aca="false">IF(EU183&gt;0,MIN(FH183-FV183,BO183),0)</f>
        <v>0</v>
      </c>
      <c r="GA183" s="1132" t="e">
        <f aca="false">(SUM(FP183:FV183)+SUM(GU183:HB183)/(1-Summary!$O$25))*CY183/1000</f>
        <v>#VALUE!</v>
      </c>
      <c r="GB183" s="1133" t="n">
        <f aca="false">IF($C183&lt;Summary!$M$81,+Summary!$O$81,VLOOKUP(C183,GasTable,19))</f>
        <v>3.88991318661344</v>
      </c>
      <c r="GC183" s="1134" t="n">
        <f aca="false">IF(H183&lt;=Summary!$N$84,MIN(GA183,Summary!$O$75*(H183-G183+1)),0)</f>
        <v>0</v>
      </c>
      <c r="GD183" s="1135" t="n">
        <f aca="false">IF(C183&lt;Summary!$N$84,IF(Summary!$O$75*(H183-G183+1)*0.8&gt;GC183,1,0),0)</f>
        <v>0</v>
      </c>
      <c r="GE183" s="1136" t="n">
        <v>0</v>
      </c>
      <c r="GF183" s="1134" t="e">
        <f aca="false">ABS(MIN(0,GC183-$GA183))</f>
        <v>#VALUE!</v>
      </c>
      <c r="GG183" s="1135" t="e">
        <f aca="false">GF183*(IF(Summary!$O$74=1,VLOOKUP($C183,GasTable,16)+Summary!$O$92+Summary!$O$93,VLOOKUP($C183,GasTable,19)+Summary!$O$92+Summary!$O$93))</f>
        <v>#VALUE!</v>
      </c>
      <c r="GH183" s="1137" t="n">
        <v>5834.86977992016</v>
      </c>
      <c r="GI183" s="1138" t="n">
        <v>0</v>
      </c>
      <c r="GJ183" s="1139" t="e">
        <f aca="false">+GB183*GC183+GE183+GG183+GH183-GI183</f>
        <v>#VALUE!</v>
      </c>
      <c r="GK183" s="1115" t="e">
        <f aca="false">SUM(FP183:FV183,GU183:GX183,GY183:HB183)</f>
        <v>#VALUE!</v>
      </c>
      <c r="GL183" s="1140" t="n">
        <v>0.51909015408</v>
      </c>
      <c r="GM183" s="1141" t="e">
        <f aca="false">IF(GK183&gt;GC183/(CY183/1000),GC183/(CY183/1000),+GK183)*GL183</f>
        <v>#VALUE!</v>
      </c>
      <c r="GN183" s="1115" t="n">
        <f aca="false">IF(SUM(GU183:HB183)=0,0,IF(Summary!$O$16="Yes",SUM(GX183:HB183),IF(Summary!$O$17="Yes",SUM(GY183:HB183),SUM(GU183:HB183))))</f>
        <v>11805.5205</v>
      </c>
      <c r="GO183" s="1142" t="n">
        <v>3.49441348844265</v>
      </c>
      <c r="GP183" s="1143" t="n">
        <f aca="false">GN183*GO183</f>
        <v>41253.3700732862</v>
      </c>
      <c r="GQ183" s="1115"/>
      <c r="GR183" s="1115"/>
      <c r="GS183" s="1115"/>
      <c r="GT183" s="1115"/>
      <c r="GU183" s="1150" t="n">
        <v>5132.835</v>
      </c>
      <c r="GV183" s="1115" t="n">
        <v>1283.20875</v>
      </c>
      <c r="GW183" s="1115" t="n">
        <v>1283.20875</v>
      </c>
      <c r="GX183" s="1115"/>
      <c r="GY183" s="1151" t="n">
        <v>2737.512</v>
      </c>
      <c r="GZ183" s="1115" t="n">
        <v>684.378</v>
      </c>
      <c r="HA183" s="1115" t="n">
        <v>684.378</v>
      </c>
      <c r="HB183" s="1141"/>
      <c r="HC183" s="1115" t="n">
        <v>11805.5205</v>
      </c>
      <c r="HD183" s="1115"/>
      <c r="HE183" s="1115" t="n">
        <v>20274.69825</v>
      </c>
      <c r="HF183" s="1115" t="n">
        <v>614937.173536185</v>
      </c>
      <c r="HG183" s="1115"/>
      <c r="HH183" s="1142" t="n">
        <v>51.7823162332838</v>
      </c>
      <c r="HI183" s="1115" t="n">
        <v>1049870.8363159</v>
      </c>
      <c r="HJ183" s="1150" t="e">
        <f aca="false">MAX(FB183-FP183-FW183,0)</f>
        <v>#VALUE!</v>
      </c>
      <c r="HK183" s="1115" t="e">
        <f aca="false">MAX(FD183-FR183-FX183,0)</f>
        <v>#VALUE!</v>
      </c>
      <c r="HL183" s="1115" t="e">
        <f aca="false">MAX(FF183-FT183-FY183,0)</f>
        <v>#VALUE!</v>
      </c>
      <c r="HM183" s="1141" t="e">
        <f aca="false">MAX(FH183-FV183-FZ183,0)</f>
        <v>#VALUE!</v>
      </c>
      <c r="HN183" s="1115" t="e">
        <f aca="false">SUM(HJ183:HM183)</f>
        <v>#VALUE!</v>
      </c>
      <c r="HO183" s="1142" t="n">
        <f aca="false">IF(ISERROR(+HP183/HN183),0,+HP183/HN183)</f>
        <v>0</v>
      </c>
      <c r="HP183" s="1143" t="e">
        <f aca="false">(HJ183*CE183+HK183*CF183+HL183*CG183+HM183*CH183)</f>
        <v>#VALUE!</v>
      </c>
      <c r="HQ183" s="909"/>
      <c r="HR183" s="1197"/>
      <c r="HS183" s="1004"/>
      <c r="HT183" s="1198"/>
      <c r="HU183" s="1197"/>
      <c r="HV183" s="991"/>
      <c r="HW183" s="1198"/>
      <c r="HX183" s="203"/>
      <c r="HY183" s="203"/>
      <c r="HZ183" s="0"/>
      <c r="IA183" s="1142"/>
      <c r="IB183" s="1142"/>
      <c r="IC183" s="1142"/>
      <c r="ID183" s="1142"/>
      <c r="IE183" s="1142"/>
      <c r="IF183" s="1142"/>
      <c r="IG183" s="1142"/>
      <c r="IH183" s="1142"/>
      <c r="II183" s="1142"/>
      <c r="IJ183" s="1142"/>
      <c r="IK183" s="1142"/>
      <c r="IL183" s="1190"/>
      <c r="IM183" s="222"/>
      <c r="IN183" s="222"/>
      <c r="IR183" s="844"/>
    </row>
    <row r="184" customFormat="false" ht="13.5" hidden="false" customHeight="false" outlineLevel="0" collapsed="false">
      <c r="A184" s="0" t="str">
        <f aca="false">+D184&amp;"Q"&amp;ROUNDUP(E184/3,0)</f>
        <v>2013Q4</v>
      </c>
      <c r="B184" s="0" t="n">
        <f aca="false">YEAR(C184)</f>
        <v>2013</v>
      </c>
      <c r="C184" s="1153" t="n">
        <f aca="false">EOMONTH(C183,0)+1</f>
        <v>41609</v>
      </c>
      <c r="D184" s="841" t="n">
        <f aca="false">+YEAR(C184)</f>
        <v>2013</v>
      </c>
      <c r="E184" s="807" t="n">
        <f aca="false">MONTH(C184)</f>
        <v>12</v>
      </c>
      <c r="F184" s="1154" t="e">
        <f aca="false">IF(G184="","",Holiday(D184,E184))</f>
        <v>#VALUE!</v>
      </c>
      <c r="G184" s="1155" t="n">
        <v>41609</v>
      </c>
      <c r="H184" s="1156" t="n">
        <v>41639</v>
      </c>
      <c r="I184" s="1157" t="n">
        <f aca="false">I183</f>
        <v>0.0715</v>
      </c>
      <c r="J184" s="1158" t="n">
        <f aca="false">(1+I184/2)^(-2*(DATE(D185,E185,20)-$H$7)/365.25)</f>
        <v>0.371375051232687</v>
      </c>
      <c r="K184" s="1159"/>
      <c r="L184" s="1158"/>
      <c r="M184" s="1082" t="n">
        <v>0</v>
      </c>
      <c r="N184" s="1110" t="n">
        <f aca="false">M184</f>
        <v>0</v>
      </c>
      <c r="O184" s="1174" t="n">
        <f aca="false">N184</f>
        <v>0</v>
      </c>
      <c r="P184" s="1175" t="n">
        <f aca="false">M184</f>
        <v>0</v>
      </c>
      <c r="Q184" s="1110" t="n">
        <f aca="false">P184</f>
        <v>0</v>
      </c>
      <c r="R184" s="1174" t="n">
        <f aca="false">Q184</f>
        <v>0</v>
      </c>
      <c r="S184" s="1110" t="n">
        <f aca="false">R184</f>
        <v>0</v>
      </c>
      <c r="T184" s="1110" t="n">
        <f aca="false">S184</f>
        <v>0</v>
      </c>
      <c r="U184" s="1110" t="n">
        <f aca="false">T184</f>
        <v>0</v>
      </c>
      <c r="V184" s="1175" t="n">
        <f aca="false">U184</f>
        <v>0</v>
      </c>
      <c r="W184" s="1110" t="n">
        <f aca="false">V184</f>
        <v>0</v>
      </c>
      <c r="X184" s="1176" t="n">
        <f aca="false">W184</f>
        <v>0</v>
      </c>
      <c r="Y184" s="1086" t="n">
        <v>0</v>
      </c>
      <c r="Z184" s="1086" t="n">
        <v>0</v>
      </c>
      <c r="AA184" s="1087" t="n">
        <v>0</v>
      </c>
      <c r="AB184" s="1086" t="n">
        <v>0</v>
      </c>
      <c r="AC184" s="1086" t="n">
        <v>0</v>
      </c>
      <c r="AD184" s="1087" t="n">
        <v>0</v>
      </c>
      <c r="AE184" s="1086" t="n">
        <v>0</v>
      </c>
      <c r="AF184" s="1086" t="n">
        <v>0</v>
      </c>
      <c r="AG184" s="1087" t="n">
        <v>0</v>
      </c>
      <c r="AH184" s="1086" t="n">
        <v>0</v>
      </c>
      <c r="AI184" s="1086" t="n">
        <v>0</v>
      </c>
      <c r="AJ184" s="1087" t="n">
        <v>0</v>
      </c>
      <c r="AK184" s="1086" t="n">
        <v>0</v>
      </c>
      <c r="AL184" s="1086" t="n">
        <v>0</v>
      </c>
      <c r="AM184" s="1087" t="n">
        <v>0</v>
      </c>
      <c r="AN184" s="1086" t="n">
        <v>0</v>
      </c>
      <c r="AO184" s="1086" t="n">
        <v>0</v>
      </c>
      <c r="AP184" s="1087" t="n">
        <v>0</v>
      </c>
      <c r="AQ184" s="1086" t="n">
        <v>0</v>
      </c>
      <c r="AR184" s="1086" t="n">
        <v>0</v>
      </c>
      <c r="AS184" s="1087" t="n">
        <v>0</v>
      </c>
      <c r="AT184" s="1086" t="n">
        <v>0</v>
      </c>
      <c r="AU184" s="1086" t="n">
        <v>0</v>
      </c>
      <c r="AV184" s="1086" t="n">
        <v>0</v>
      </c>
      <c r="AW184" s="1172" t="n">
        <v>0</v>
      </c>
      <c r="AX184" s="807" t="e">
        <f aca="false">BB184-SUM(AY184:BA184)</f>
        <v>#VALUE!</v>
      </c>
      <c r="AY184" s="807" t="e">
        <f aca="false">IF(AND($E184=MONTH(Summary!$E$24),$D184=YEAR(Summary!$E$24)),Summary!$E$25,1)*IF(G184="",0,INT((H184-MOD(H184,7)-G184)/7)+1-IF(BA184,IF(WEEKDAY(F184)=7,1,0),0))</f>
        <v>#VALUE!</v>
      </c>
      <c r="AZ184" s="807" t="e">
        <f aca="false">IF(AND($E184=MONTH(Summary!$E$24),$D184=YEAR(Summary!$E$24)),Summary!$E$25,1)*IF(G184="",0,INT((H184-MOD(H184-1,7)-G184)/7)+1-IF(BA184,IF(WEEKDAY(F184)=1,1,0),0))</f>
        <v>#VALUE!</v>
      </c>
      <c r="BA184" s="807" t="n">
        <v>1</v>
      </c>
      <c r="BB184" s="807" t="n">
        <f aca="false">IF(AND($E184=MONTH(Summary!$E$24),$D184=YEAR(Summary!$E$24)),Summary!$E$25,1)*IF(G184="",0,H184-G184+1)</f>
        <v>31</v>
      </c>
      <c r="BC184" s="1089" t="n">
        <f aca="false">Summary!$E$19</f>
        <v>0.015</v>
      </c>
      <c r="BD184" s="1090" t="n">
        <v>14893.2</v>
      </c>
      <c r="BE184" s="1091" t="n">
        <v>2836.8</v>
      </c>
      <c r="BF184" s="1091" t="n">
        <v>4255.2</v>
      </c>
      <c r="BG184" s="842"/>
      <c r="BH184" s="1092" t="n">
        <v>1</v>
      </c>
      <c r="BI184" s="1092" t="n">
        <v>1</v>
      </c>
      <c r="BJ184" s="1092" t="n">
        <v>1</v>
      </c>
      <c r="BK184" s="1092" t="n">
        <v>1</v>
      </c>
      <c r="BL184" s="1093" t="n">
        <v>2978.64</v>
      </c>
      <c r="BM184" s="1091" t="n">
        <v>567.36</v>
      </c>
      <c r="BN184" s="1091" t="n">
        <v>851.04</v>
      </c>
      <c r="BO184" s="842"/>
      <c r="BP184" s="1092" t="n">
        <v>1</v>
      </c>
      <c r="BQ184" s="1094" t="n">
        <v>1</v>
      </c>
      <c r="BR184" s="1094" t="n">
        <v>1</v>
      </c>
      <c r="BS184" s="1095" t="n">
        <v>1</v>
      </c>
      <c r="BT184" s="1093" t="n">
        <f aca="false">SUM(BD184:BF184)</f>
        <v>21985.2</v>
      </c>
      <c r="BU184" s="1098" t="n">
        <f aca="false">SUM(BD184:BG184)</f>
        <v>21985.2</v>
      </c>
      <c r="BV184" s="1090" t="n">
        <f aca="false">SUM(BL184:BN184)</f>
        <v>4397.04</v>
      </c>
      <c r="BW184" s="1098" t="n">
        <f aca="false">SUM(BL184:BO184)</f>
        <v>4397.04</v>
      </c>
      <c r="BX184" s="852" t="n">
        <v>13.9630390143737</v>
      </c>
      <c r="BY184" s="1099" t="n">
        <v>0</v>
      </c>
      <c r="BZ184" s="852" t="n">
        <v>0</v>
      </c>
      <c r="CA184" s="852" t="n">
        <v>0</v>
      </c>
      <c r="CB184" s="852" t="n">
        <v>0</v>
      </c>
      <c r="CC184" s="852" t="n">
        <v>0</v>
      </c>
      <c r="CD184" s="852" t="n">
        <v>0</v>
      </c>
      <c r="CE184" s="1100" t="n">
        <v>0</v>
      </c>
      <c r="CF184" s="852" t="n">
        <v>0</v>
      </c>
      <c r="CG184" s="852" t="n">
        <v>0</v>
      </c>
      <c r="CH184" s="852" t="n">
        <v>0</v>
      </c>
      <c r="CI184" s="852" t="n">
        <v>0</v>
      </c>
      <c r="CJ184" s="1101" t="n">
        <v>0</v>
      </c>
      <c r="CK184" s="852" t="n">
        <v>0</v>
      </c>
      <c r="CL184" s="852" t="n">
        <v>0</v>
      </c>
      <c r="CM184" s="852" t="n">
        <v>0</v>
      </c>
      <c r="CN184" s="852" t="n">
        <v>0</v>
      </c>
      <c r="CO184" s="852" t="n">
        <v>0</v>
      </c>
      <c r="CP184" s="852" t="n">
        <v>0</v>
      </c>
      <c r="CQ184" s="1102" t="n">
        <v>0</v>
      </c>
      <c r="CR184" s="1103" t="n">
        <v>0</v>
      </c>
      <c r="CS184" s="1103" t="n">
        <v>0</v>
      </c>
      <c r="CT184" s="1103" t="n">
        <v>0</v>
      </c>
      <c r="CU184" s="1103" t="n">
        <v>0</v>
      </c>
      <c r="CV184" s="1103" t="n">
        <v>0</v>
      </c>
      <c r="CW184" s="1103" t="n">
        <v>0</v>
      </c>
      <c r="CX184" s="1104" t="n">
        <v>0</v>
      </c>
      <c r="CY184" s="1105" t="n">
        <v>7748.91712</v>
      </c>
      <c r="CZ184" s="1099" t="n">
        <v>0</v>
      </c>
      <c r="DA184" s="852" t="n">
        <v>0</v>
      </c>
      <c r="DB184" s="852" t="n">
        <v>0</v>
      </c>
      <c r="DC184" s="852" t="n">
        <v>0</v>
      </c>
      <c r="DD184" s="852" t="n">
        <v>0</v>
      </c>
      <c r="DE184" s="1113" t="n">
        <v>0</v>
      </c>
      <c r="DF184" s="1109" t="n">
        <v>0</v>
      </c>
      <c r="DG184" s="1110" t="n">
        <v>0</v>
      </c>
      <c r="DH184" s="1111" t="n">
        <v>0</v>
      </c>
      <c r="DI184" s="1112" t="n">
        <v>0</v>
      </c>
      <c r="DJ184" s="1112" t="n">
        <v>0</v>
      </c>
      <c r="DK184" s="1112" t="n">
        <v>0</v>
      </c>
      <c r="DL184" s="1113" t="n">
        <v>0</v>
      </c>
      <c r="DM184" s="1114" t="n">
        <v>0</v>
      </c>
      <c r="DN184" s="1114" t="n">
        <v>0</v>
      </c>
      <c r="DO184" s="1114" t="n">
        <v>0</v>
      </c>
      <c r="DP184" s="1114" t="n">
        <v>0</v>
      </c>
      <c r="DQ184" s="1114" t="n">
        <v>0</v>
      </c>
      <c r="DR184" s="1109" t="n">
        <v>0</v>
      </c>
      <c r="DS184" s="852" t="n">
        <v>0</v>
      </c>
      <c r="DT184" s="852" t="n">
        <v>0</v>
      </c>
      <c r="DU184" s="852" t="n">
        <v>0</v>
      </c>
      <c r="DV184" s="852" t="n">
        <v>0</v>
      </c>
      <c r="DW184" s="852" t="n">
        <v>0</v>
      </c>
      <c r="DX184" s="852" t="n">
        <v>0</v>
      </c>
      <c r="DY184" s="852" t="n">
        <v>0</v>
      </c>
      <c r="DZ184" s="852" t="n">
        <v>0</v>
      </c>
      <c r="EA184" s="852" t="n">
        <v>0</v>
      </c>
      <c r="EB184" s="1113" t="n">
        <v>0</v>
      </c>
      <c r="EC184" s="1115" t="n">
        <f aca="false">DS184*BD184</f>
        <v>0</v>
      </c>
      <c r="ED184" s="1115" t="n">
        <f aca="false">DT184*BE184</f>
        <v>0</v>
      </c>
      <c r="EE184" s="1115" t="n">
        <f aca="false">DU184*BF184</f>
        <v>0</v>
      </c>
      <c r="EF184" s="1115" t="n">
        <f aca="false">DV184*BG184</f>
        <v>0</v>
      </c>
      <c r="EG184" s="1115" t="n">
        <f aca="false">DS184*BD184+DT184*BE184+DU184*BF184+DV184*BG184</f>
        <v>0</v>
      </c>
      <c r="EH184" s="1116" t="n">
        <v>0</v>
      </c>
      <c r="EI184" s="1117" t="n">
        <v>0</v>
      </c>
      <c r="EJ184" s="1117" t="n">
        <v>0</v>
      </c>
      <c r="EK184" s="1117" t="n">
        <v>0</v>
      </c>
      <c r="EL184" s="1118" t="n">
        <f aca="false">IF(C184&gt;=Summary!$E$26,MAX(0,SUM(EH184:EK184)),0)</f>
        <v>0</v>
      </c>
      <c r="EM184" s="1115" t="n">
        <f aca="false">IF(C184&gt;=Summary!$E$26,DX184*BL184,0)</f>
        <v>0</v>
      </c>
      <c r="EN184" s="1115" t="n">
        <f aca="false">IF(C184&gt;=Summary!$E$26,DY184*BM184,0)</f>
        <v>0</v>
      </c>
      <c r="EO184" s="1115" t="n">
        <f aca="false">IF(C184&gt;=Summary!$E$26,DZ184*BN184,0)</f>
        <v>0</v>
      </c>
      <c r="EP184" s="1115" t="n">
        <f aca="false">IF(C184&gt;=Summary!$E$26,EA184*BO184,0)</f>
        <v>0</v>
      </c>
      <c r="EQ184" s="1115" t="n">
        <f aca="false">IF(C184&gt;=Summary!$E$26,DX184*BL184+DY184*BM184+DZ184*BN184+EA184*BO184,0)</f>
        <v>0</v>
      </c>
      <c r="ER184" s="1119" t="n">
        <v>0</v>
      </c>
      <c r="ES184" s="1120" t="n">
        <v>0</v>
      </c>
      <c r="ET184" s="1120" t="n">
        <v>0</v>
      </c>
      <c r="EU184" s="1120" t="n">
        <v>0</v>
      </c>
      <c r="EV184" s="1143" t="n">
        <f aca="false">IF(C184&gt;=Summary!$E$26,MAX(0,SUM(ER184:EU184)),0)</f>
        <v>0</v>
      </c>
      <c r="EW184" s="1115"/>
      <c r="EX184" s="1165" t="n">
        <f aca="false">(EQ184-EV184)+IF(EZ184="Yes",(EG184-EL184),0)</f>
        <v>0</v>
      </c>
      <c r="EY184" s="1166" t="str">
        <f aca="false">IF(EX184,EX184/EQ184,"")</f>
        <v/>
      </c>
      <c r="EZ184" s="1122" t="s">
        <v>37</v>
      </c>
      <c r="FA184" s="1096" t="n">
        <f aca="false">FA183</f>
        <v>45</v>
      </c>
      <c r="FB184" s="1167" t="e">
        <f aca="false">IF(EZ184="No",IF((OR(MONTH(C184)=5,MONTH(C184)=6,MONTH(C184)=7,MONTH(C184)=8,MONTH(C184)=9)),$FA184*12*AX184*(1-$BC184),$FA184*10*AX184*(1-$BC184)),0)</f>
        <v>#VALUE!</v>
      </c>
      <c r="FC184" s="1129" t="e">
        <f aca="false">IF(EZ184="No",IF((OR(MONTH(C184)=5,MONTH(C184)=6,MONTH(C184)=7,MONTH(C184)=8,MONTH(C184)=9)),0,$FA184*3*AX184*(1-$BC184)),0)</f>
        <v>#VALUE!</v>
      </c>
      <c r="FD184" s="1129" t="e">
        <f aca="false">IF(EZ184="No",IF((OR(MONTH(C184)=5,MONTH(C184)=6,MONTH(C184)=7,MONTH(C184)=8,MONTH(C184)=9)),$FA184*12*AY184*(1-$BC184),$FA184*10*AY184*(1-$BC184)),0)</f>
        <v>#VALUE!</v>
      </c>
      <c r="FE184" s="1129" t="e">
        <f aca="false">IF(EZ184="No",IF((OR(MONTH(C184)=5,MONTH(C184)=6,MONTH(C184)=7,MONTH(C184)=8,MONTH(C184)=9)),0,$FA184*3*AY184*(1-$BC184)),0)</f>
        <v>#VALUE!</v>
      </c>
      <c r="FF184" s="1129" t="e">
        <f aca="false">IF(EZ184="No",IF((OR(MONTH(C184)=5,MONTH(C184)=6,MONTH(C184)=7,MONTH(C184)=8,MONTH(C184)=9)),$FA184*12*(AZ184+BA184)*(1-$BC184),$FA184*10*(AZ184+BA184)*(1-$BC184)),0)</f>
        <v>#VALUE!</v>
      </c>
      <c r="FG184" s="1129" t="e">
        <f aca="false">IF(EZ184="No",IF((OR(MONTH(C184)=5,MONTH(C184)=6,MONTH(C184)=7,MONTH(C184)=8,MONTH(C184)=9)),0,$FA184*3*(AZ184+BA184)*(1-$BC184)),0)</f>
        <v>#VALUE!</v>
      </c>
      <c r="FH184" s="1170" t="e">
        <f aca="false">IF(EZ184="No",IF((OR(MONTH(C184)=5,MONTH(C184)=6,MONTH(C184)=7,MONTH(C184)=8,MONTH(C184)=9)),Summary!$O$15*12*(AX184+AY184+AZ184+BA184)*(1-$BC184),Summary!$O$15*13*(AX184+AY184+AZ184+BA184)*(1-$BC184)+IF(Summary!$O$16="Yes",(CALC!FA184+Summary!$O$15)*6*(AX184+AY184+AZ184+BA184)*(1-$BC184),0)),0)</f>
        <v>#VALUE!</v>
      </c>
      <c r="FI184" s="1126" t="n">
        <f aca="false">IF(MONTH(C184)=5,FI183*(IF(Summary!$E$70="no",(1+(Summary!$E$71*0.8)),1+HLOOKUP(YEAR(C184)-1,CCFMODEL!$I$127:$AF$128,2)*0.8)),+FI183)</f>
        <v>37.0785775054311</v>
      </c>
      <c r="FJ184" s="1127" t="n">
        <f aca="false">IF(MONTH(C184)=5,FJ183*(IF(Summary!$E$70="no",(1+(Summary!$E$71*0.8)),1+HLOOKUP(YEAR(CALC!C184)-1,CCFMODEL!$I$127:$AF$128,2)*0.8)),FJ183)</f>
        <v>32.4072606543532</v>
      </c>
      <c r="FK184" s="1128" t="e">
        <f aca="false">SUM(FB184:FG184)*FI184+FH184*FJ184</f>
        <v>#VALUE!</v>
      </c>
      <c r="FL184" s="1126" t="n">
        <f aca="false">IF(MONTH(C184)=5,FL183*(IF(Summary!$E$70="no",(1+(Summary!$E$71*0.8)),1+HLOOKUP(YEAR(CALC!C184)-1,CCFMODEL!$I$127:$AF$128,2)*0.8)),+FL183)</f>
        <v>77.9804054098099</v>
      </c>
      <c r="FM184" s="1127" t="n">
        <f aca="false">IF(MONTH(C184)=5,FM183*(IF(Summary!$E$70="no",(1+(Summary!$E$71*0.8)),1+HLOOKUP(YEAR(CALC!C184)-1,CCFMODEL!$I$127:$AF$128,2)*0.8)),+FM183)</f>
        <v>37.2176047926656</v>
      </c>
      <c r="FN184" s="1128" t="e">
        <f aca="false">IF((OR(MONTH(C184)=5,MONTH(C184)=6,MONTH(C184)=7,MONTH(C184)=8,MONTH(C184)=9)),SUM(FB184:FG184)/(1-BC184)*FL184,SUM(FB184:FG184)/(1-BC184)*FM184)</f>
        <v>#VALUE!</v>
      </c>
      <c r="FO184" s="1129" t="e">
        <f aca="false">FK184+FN184</f>
        <v>#VALUE!</v>
      </c>
      <c r="FP184" s="1169" t="e">
        <f aca="false">FB184</f>
        <v>#VALUE!</v>
      </c>
      <c r="FQ184" s="1129" t="e">
        <f aca="false">FC184</f>
        <v>#VALUE!</v>
      </c>
      <c r="FR184" s="1129" t="e">
        <f aca="false">FD184</f>
        <v>#VALUE!</v>
      </c>
      <c r="FS184" s="1129" t="e">
        <f aca="false">FE184</f>
        <v>#VALUE!</v>
      </c>
      <c r="FT184" s="1129" t="e">
        <f aca="false">FF184</f>
        <v>#VALUE!</v>
      </c>
      <c r="FU184" s="1129" t="e">
        <f aca="false">FG184</f>
        <v>#VALUE!</v>
      </c>
      <c r="FV184" s="1170" t="e">
        <f aca="false">FH184</f>
        <v>#VALUE!</v>
      </c>
      <c r="FW184" s="1115" t="n">
        <f aca="false">IF(ER184&gt;0,MIN(FB184-FP184,BL184),0)</f>
        <v>0</v>
      </c>
      <c r="FX184" s="1115" t="n">
        <f aca="false">IF(ES184&gt;0,MIN(FD184-FR184,BM184),0)</f>
        <v>0</v>
      </c>
      <c r="FY184" s="1115" t="n">
        <f aca="false">IF(ET184&gt;0,MIN(FF184-FT184,BN184),0)</f>
        <v>0</v>
      </c>
      <c r="FZ184" s="1143" t="n">
        <f aca="false">IF(EU184&gt;0,MIN(FH184-FV184,BO184),0)</f>
        <v>0</v>
      </c>
      <c r="GA184" s="1132" t="e">
        <f aca="false">(SUM(FP184:FV184)+SUM(GU184:HB184)/(1-Summary!$O$25))*CY184/1000</f>
        <v>#VALUE!</v>
      </c>
      <c r="GB184" s="1133" t="n">
        <f aca="false">IF($C184&lt;Summary!$M$81,+Summary!$O$81,VLOOKUP(C184,GasTable,19))</f>
        <v>4.05537103799982</v>
      </c>
      <c r="GC184" s="1134" t="n">
        <f aca="false">IF(H184&lt;=Summary!$N$84,MIN(GA184,Summary!$O$75*(H184-G184+1)),0)</f>
        <v>0</v>
      </c>
      <c r="GD184" s="1135" t="n">
        <f aca="false">IF(C184&lt;Summary!$N$84,IF(Summary!$O$75*(H184-G184+1)*0.8&gt;GC184,1,0),0)</f>
        <v>0</v>
      </c>
      <c r="GE184" s="1136" t="n">
        <v>0</v>
      </c>
      <c r="GF184" s="1134" t="e">
        <f aca="false">ABS(MIN(0,GC184-$GA184))</f>
        <v>#VALUE!</v>
      </c>
      <c r="GG184" s="1135" t="e">
        <f aca="false">GF184*(IF(Summary!$O$74=1,VLOOKUP($C184,GasTable,16)+Summary!$O$92+Summary!$O$93,VLOOKUP($C184,GasTable,19)+Summary!$O$92+Summary!$O$93))</f>
        <v>#VALUE!</v>
      </c>
      <c r="GH184" s="1137" t="n">
        <v>6285.82510889973</v>
      </c>
      <c r="GI184" s="1138" t="n">
        <v>0</v>
      </c>
      <c r="GJ184" s="1139" t="e">
        <f aca="false">+GB184*GC184+GE184+GG184+GH184-GI184</f>
        <v>#VALUE!</v>
      </c>
      <c r="GK184" s="1115" t="e">
        <f aca="false">SUM(FP184:FV184,GU184:GX184,GY184:HB184)</f>
        <v>#VALUE!</v>
      </c>
      <c r="GL184" s="1140" t="n">
        <v>0.51917744704</v>
      </c>
      <c r="GM184" s="1141" t="e">
        <f aca="false">IF(GK184&gt;GC184/(CY184/1000),GC184/(CY184/1000),+GK184)*GL184</f>
        <v>#VALUE!</v>
      </c>
      <c r="GN184" s="1115" t="n">
        <f aca="false">IF(SUM(GU184:HB184)=0,0,IF(Summary!$O$16="Yes",SUM(GX184:HB184),IF(Summary!$O$17="Yes",SUM(GY184:HB184),SUM(GU184:HB184))))</f>
        <v>12199.03785</v>
      </c>
      <c r="GO184" s="1142" t="n">
        <v>3.49441348844265</v>
      </c>
      <c r="GP184" s="1143" t="n">
        <f aca="false">GN184*GO184</f>
        <v>42628.4824090624</v>
      </c>
      <c r="GQ184" s="1115"/>
      <c r="GR184" s="1115"/>
      <c r="GS184" s="1115"/>
      <c r="GT184" s="1115"/>
      <c r="GU184" s="1150" t="n">
        <v>5389.47675</v>
      </c>
      <c r="GV184" s="1115" t="n">
        <v>1026.567</v>
      </c>
      <c r="GW184" s="1115" t="n">
        <v>1539.8505</v>
      </c>
      <c r="GX184" s="1115"/>
      <c r="GY184" s="1151" t="n">
        <v>2874.3876</v>
      </c>
      <c r="GZ184" s="1115" t="n">
        <v>547.5024</v>
      </c>
      <c r="HA184" s="1115" t="n">
        <v>821.2536</v>
      </c>
      <c r="HB184" s="1141"/>
      <c r="HC184" s="1115" t="n">
        <v>12199.03785</v>
      </c>
      <c r="HD184" s="1115"/>
      <c r="HE184" s="1115" t="n">
        <v>20950.521525</v>
      </c>
      <c r="HF184" s="1115" t="n">
        <v>612325.066643285</v>
      </c>
      <c r="HG184" s="1115"/>
      <c r="HH184" s="1142" t="n">
        <v>49.8706446006643</v>
      </c>
      <c r="HI184" s="1115" t="n">
        <v>1044816.01317184</v>
      </c>
      <c r="HJ184" s="1150" t="e">
        <f aca="false">MAX(FB184-FP184-FW184,0)</f>
        <v>#VALUE!</v>
      </c>
      <c r="HK184" s="1115" t="e">
        <f aca="false">MAX(FD184-FR184-FX184,0)</f>
        <v>#VALUE!</v>
      </c>
      <c r="HL184" s="1115" t="e">
        <f aca="false">MAX(FF184-FT184-FY184,0)</f>
        <v>#VALUE!</v>
      </c>
      <c r="HM184" s="1141" t="e">
        <f aca="false">MAX(FH184-FV184-FZ184,0)</f>
        <v>#VALUE!</v>
      </c>
      <c r="HN184" s="1115" t="e">
        <f aca="false">SUM(HJ184:HM184)</f>
        <v>#VALUE!</v>
      </c>
      <c r="HO184" s="1142" t="n">
        <f aca="false">IF(ISERROR(+HP184/HN184),0,+HP184/HN184)</f>
        <v>0</v>
      </c>
      <c r="HP184" s="1143" t="e">
        <f aca="false">(HJ184*CE184+HK184*CF184+HL184*CG184+HM184*CH184)</f>
        <v>#VALUE!</v>
      </c>
      <c r="HQ184" s="1073"/>
      <c r="HR184" s="1069"/>
      <c r="HS184" s="1070"/>
      <c r="HT184" s="1072"/>
      <c r="HU184" s="1069"/>
      <c r="HV184" s="1070"/>
      <c r="HW184" s="1072"/>
      <c r="HX184" s="0"/>
      <c r="HY184" s="0"/>
      <c r="HZ184" s="0"/>
      <c r="IA184" s="1142"/>
      <c r="IB184" s="1142"/>
      <c r="IC184" s="1142"/>
      <c r="ID184" s="1142"/>
      <c r="IE184" s="1142"/>
      <c r="IF184" s="1142"/>
      <c r="IG184" s="1142"/>
      <c r="IH184" s="1142"/>
      <c r="II184" s="1142"/>
      <c r="IJ184" s="1142"/>
      <c r="IK184" s="1142"/>
      <c r="IL184" s="1190"/>
      <c r="IM184" s="222"/>
      <c r="IN184" s="222"/>
      <c r="IR184" s="844"/>
    </row>
    <row r="185" customFormat="false" ht="13.5" hidden="false" customHeight="false" outlineLevel="0" collapsed="false">
      <c r="A185" s="0" t="str">
        <f aca="false">+D185&amp;"Q"&amp;ROUNDUP(E185/3,0)</f>
        <v>2014Q1</v>
      </c>
      <c r="B185" s="0" t="n">
        <f aca="false">YEAR(C185)</f>
        <v>2014</v>
      </c>
      <c r="C185" s="1153" t="n">
        <f aca="false">EOMONTH(C184,0)+1</f>
        <v>41640</v>
      </c>
      <c r="D185" s="841" t="n">
        <f aca="false">+YEAR(C185)</f>
        <v>2014</v>
      </c>
      <c r="E185" s="807" t="n">
        <f aca="false">MONTH(C185)</f>
        <v>1</v>
      </c>
      <c r="F185" s="1154" t="e">
        <f aca="false">IF(G185="","",Holiday(D185,E185))</f>
        <v>#VALUE!</v>
      </c>
      <c r="G185" s="1155" t="n">
        <v>41640</v>
      </c>
      <c r="H185" s="1156" t="n">
        <v>41670</v>
      </c>
      <c r="I185" s="1157" t="n">
        <f aca="false">I184</f>
        <v>0.0715</v>
      </c>
      <c r="J185" s="1158" t="n">
        <f aca="false">(1+I185/2)^(-2*(DATE(D186,E186,20)-$H$7)/365.25)</f>
        <v>0.369167319280537</v>
      </c>
      <c r="K185" s="1159"/>
      <c r="L185" s="1158"/>
      <c r="M185" s="1082" t="n">
        <v>0</v>
      </c>
      <c r="N185" s="1110" t="n">
        <f aca="false">M185</f>
        <v>0</v>
      </c>
      <c r="O185" s="1174" t="n">
        <f aca="false">N185</f>
        <v>0</v>
      </c>
      <c r="P185" s="1175" t="n">
        <f aca="false">M185</f>
        <v>0</v>
      </c>
      <c r="Q185" s="1110" t="n">
        <f aca="false">P185</f>
        <v>0</v>
      </c>
      <c r="R185" s="1174" t="n">
        <f aca="false">Q185</f>
        <v>0</v>
      </c>
      <c r="S185" s="1110" t="n">
        <f aca="false">R185</f>
        <v>0</v>
      </c>
      <c r="T185" s="1110" t="n">
        <f aca="false">S185</f>
        <v>0</v>
      </c>
      <c r="U185" s="1110" t="n">
        <f aca="false">T185</f>
        <v>0</v>
      </c>
      <c r="V185" s="1175" t="n">
        <f aca="false">U185</f>
        <v>0</v>
      </c>
      <c r="W185" s="1110" t="n">
        <f aca="false">V185</f>
        <v>0</v>
      </c>
      <c r="X185" s="1176" t="n">
        <f aca="false">W185</f>
        <v>0</v>
      </c>
      <c r="Y185" s="1086" t="n">
        <v>0</v>
      </c>
      <c r="Z185" s="1086" t="n">
        <v>0</v>
      </c>
      <c r="AA185" s="1087" t="n">
        <v>0</v>
      </c>
      <c r="AB185" s="1086" t="n">
        <v>0</v>
      </c>
      <c r="AC185" s="1086" t="n">
        <v>0</v>
      </c>
      <c r="AD185" s="1087" t="n">
        <v>0</v>
      </c>
      <c r="AE185" s="1086" t="n">
        <v>0</v>
      </c>
      <c r="AF185" s="1086" t="n">
        <v>0</v>
      </c>
      <c r="AG185" s="1087" t="n">
        <v>0</v>
      </c>
      <c r="AH185" s="1086" t="n">
        <v>0</v>
      </c>
      <c r="AI185" s="1086" t="n">
        <v>0</v>
      </c>
      <c r="AJ185" s="1087" t="n">
        <v>0</v>
      </c>
      <c r="AK185" s="1086" t="n">
        <v>0</v>
      </c>
      <c r="AL185" s="1086" t="n">
        <v>0</v>
      </c>
      <c r="AM185" s="1087" t="n">
        <v>0</v>
      </c>
      <c r="AN185" s="1086" t="n">
        <v>0</v>
      </c>
      <c r="AO185" s="1086" t="n">
        <v>0</v>
      </c>
      <c r="AP185" s="1087" t="n">
        <v>0</v>
      </c>
      <c r="AQ185" s="1086" t="n">
        <v>0</v>
      </c>
      <c r="AR185" s="1086" t="n">
        <v>0</v>
      </c>
      <c r="AS185" s="1087" t="n">
        <v>0</v>
      </c>
      <c r="AT185" s="1086" t="n">
        <v>0</v>
      </c>
      <c r="AU185" s="1086" t="n">
        <v>0</v>
      </c>
      <c r="AV185" s="1086" t="n">
        <v>0</v>
      </c>
      <c r="AW185" s="1172" t="n">
        <v>0</v>
      </c>
      <c r="AX185" s="807" t="e">
        <f aca="false">BB185-SUM(AY185:BA185)</f>
        <v>#VALUE!</v>
      </c>
      <c r="AY185" s="807" t="e">
        <f aca="false">IF(AND($E185=MONTH(Summary!$E$24),$D185=YEAR(Summary!$E$24)),Summary!$E$25,1)*IF(G185="",0,INT((H185-MOD(H185,7)-G185)/7)+1-IF(BA185,IF(WEEKDAY(F185)=7,1,0),0))</f>
        <v>#VALUE!</v>
      </c>
      <c r="AZ185" s="807" t="e">
        <f aca="false">IF(AND($E185=MONTH(Summary!$E$24),$D185=YEAR(Summary!$E$24)),Summary!$E$25,1)*IF(G185="",0,INT((H185-MOD(H185-1,7)-G185)/7)+1-IF(BA185,IF(WEEKDAY(F185)=1,1,0),0))</f>
        <v>#VALUE!</v>
      </c>
      <c r="BA185" s="807" t="n">
        <v>1</v>
      </c>
      <c r="BB185" s="807" t="n">
        <f aca="false">IF(AND($E185=MONTH(Summary!$E$24),$D185=YEAR(Summary!$E$24)),Summary!$E$25,1)*IF(G185="",0,H185-G185+1)</f>
        <v>31</v>
      </c>
      <c r="BC185" s="1089" t="n">
        <f aca="false">Summary!$E$19</f>
        <v>0.015</v>
      </c>
      <c r="BD185" s="1090" t="n">
        <v>15602.4</v>
      </c>
      <c r="BE185" s="1091" t="n">
        <v>2836.8</v>
      </c>
      <c r="BF185" s="1091" t="n">
        <v>3546</v>
      </c>
      <c r="BG185" s="842"/>
      <c r="BH185" s="1092" t="n">
        <v>1</v>
      </c>
      <c r="BI185" s="1092" t="n">
        <v>1</v>
      </c>
      <c r="BJ185" s="1092" t="n">
        <v>1</v>
      </c>
      <c r="BK185" s="1092" t="n">
        <v>1</v>
      </c>
      <c r="BL185" s="1093" t="n">
        <v>3120.48</v>
      </c>
      <c r="BM185" s="1091" t="n">
        <v>567.36</v>
      </c>
      <c r="BN185" s="1091" t="n">
        <v>709.2</v>
      </c>
      <c r="BO185" s="842"/>
      <c r="BP185" s="1092" t="n">
        <v>1</v>
      </c>
      <c r="BQ185" s="1094" t="n">
        <v>1</v>
      </c>
      <c r="BR185" s="1094" t="n">
        <v>1</v>
      </c>
      <c r="BS185" s="1095" t="n">
        <v>1</v>
      </c>
      <c r="BT185" s="1093" t="n">
        <f aca="false">SUM(BD185:BF185)</f>
        <v>21985.2</v>
      </c>
      <c r="BU185" s="1098" t="n">
        <f aca="false">SUM(BD185:BG185)</f>
        <v>21985.2</v>
      </c>
      <c r="BV185" s="1090" t="n">
        <f aca="false">SUM(BL185:BN185)</f>
        <v>4397.04</v>
      </c>
      <c r="BW185" s="1098" t="n">
        <f aca="false">SUM(BL185:BO185)</f>
        <v>4397.04</v>
      </c>
      <c r="BX185" s="852" t="n">
        <v>14.0479123887748</v>
      </c>
      <c r="BY185" s="1099" t="n">
        <v>0</v>
      </c>
      <c r="BZ185" s="852" t="n">
        <v>0</v>
      </c>
      <c r="CA185" s="852" t="n">
        <v>0</v>
      </c>
      <c r="CB185" s="852" t="n">
        <v>0</v>
      </c>
      <c r="CC185" s="852" t="n">
        <v>0</v>
      </c>
      <c r="CD185" s="852" t="n">
        <v>0</v>
      </c>
      <c r="CE185" s="1100" t="n">
        <v>0</v>
      </c>
      <c r="CF185" s="852" t="n">
        <v>0</v>
      </c>
      <c r="CG185" s="852" t="n">
        <v>0</v>
      </c>
      <c r="CH185" s="852" t="n">
        <v>0</v>
      </c>
      <c r="CI185" s="852" t="n">
        <v>0</v>
      </c>
      <c r="CJ185" s="1101" t="n">
        <v>0</v>
      </c>
      <c r="CK185" s="852" t="n">
        <v>0</v>
      </c>
      <c r="CL185" s="852" t="n">
        <v>0</v>
      </c>
      <c r="CM185" s="852" t="n">
        <v>0</v>
      </c>
      <c r="CN185" s="852" t="n">
        <v>0</v>
      </c>
      <c r="CO185" s="852" t="n">
        <v>0</v>
      </c>
      <c r="CP185" s="852" t="n">
        <v>0</v>
      </c>
      <c r="CQ185" s="1102" t="n">
        <v>0</v>
      </c>
      <c r="CR185" s="1103" t="n">
        <v>0</v>
      </c>
      <c r="CS185" s="1103" t="n">
        <v>0</v>
      </c>
      <c r="CT185" s="1103" t="n">
        <v>0</v>
      </c>
      <c r="CU185" s="1103" t="n">
        <v>0</v>
      </c>
      <c r="CV185" s="1103" t="n">
        <v>0</v>
      </c>
      <c r="CW185" s="1103" t="n">
        <v>0</v>
      </c>
      <c r="CX185" s="1104" t="n">
        <v>0</v>
      </c>
      <c r="CY185" s="1105" t="n">
        <v>7750.22</v>
      </c>
      <c r="CZ185" s="1099" t="n">
        <v>0</v>
      </c>
      <c r="DA185" s="852" t="n">
        <v>0</v>
      </c>
      <c r="DB185" s="852" t="n">
        <v>0</v>
      </c>
      <c r="DC185" s="852" t="n">
        <v>0</v>
      </c>
      <c r="DD185" s="852" t="n">
        <v>0</v>
      </c>
      <c r="DE185" s="1113" t="n">
        <v>0</v>
      </c>
      <c r="DF185" s="1109" t="n">
        <v>0</v>
      </c>
      <c r="DG185" s="1110" t="n">
        <v>0</v>
      </c>
      <c r="DH185" s="1111" t="n">
        <v>0</v>
      </c>
      <c r="DI185" s="1112" t="n">
        <v>0</v>
      </c>
      <c r="DJ185" s="1112" t="n">
        <v>0</v>
      </c>
      <c r="DK185" s="1112" t="n">
        <v>0</v>
      </c>
      <c r="DL185" s="1113" t="n">
        <v>0</v>
      </c>
      <c r="DM185" s="1114" t="n">
        <v>0</v>
      </c>
      <c r="DN185" s="1114" t="n">
        <v>0</v>
      </c>
      <c r="DO185" s="1114" t="n">
        <v>0</v>
      </c>
      <c r="DP185" s="1114" t="n">
        <v>0</v>
      </c>
      <c r="DQ185" s="1114" t="n">
        <v>0</v>
      </c>
      <c r="DR185" s="1109" t="n">
        <v>0</v>
      </c>
      <c r="DS185" s="852" t="n">
        <v>0</v>
      </c>
      <c r="DT185" s="852" t="n">
        <v>0</v>
      </c>
      <c r="DU185" s="852" t="n">
        <v>0</v>
      </c>
      <c r="DV185" s="852" t="n">
        <v>0</v>
      </c>
      <c r="DW185" s="852" t="n">
        <v>0</v>
      </c>
      <c r="DX185" s="852" t="n">
        <v>0</v>
      </c>
      <c r="DY185" s="852" t="n">
        <v>0</v>
      </c>
      <c r="DZ185" s="852" t="n">
        <v>0</v>
      </c>
      <c r="EA185" s="852" t="n">
        <v>0</v>
      </c>
      <c r="EB185" s="1113" t="n">
        <v>0</v>
      </c>
      <c r="EC185" s="1115" t="n">
        <f aca="false">DS185*BD185</f>
        <v>0</v>
      </c>
      <c r="ED185" s="1115" t="n">
        <f aca="false">DT185*BE185</f>
        <v>0</v>
      </c>
      <c r="EE185" s="1115" t="n">
        <f aca="false">DU185*BF185</f>
        <v>0</v>
      </c>
      <c r="EF185" s="1115" t="n">
        <f aca="false">DV185*BG185</f>
        <v>0</v>
      </c>
      <c r="EG185" s="1115" t="n">
        <f aca="false">DS185*BD185+DT185*BE185+DU185*BF185+DV185*BG185</f>
        <v>0</v>
      </c>
      <c r="EH185" s="1116" t="n">
        <v>0</v>
      </c>
      <c r="EI185" s="1117" t="n">
        <v>0</v>
      </c>
      <c r="EJ185" s="1117" t="n">
        <v>0</v>
      </c>
      <c r="EK185" s="1117" t="n">
        <v>0</v>
      </c>
      <c r="EL185" s="1118" t="n">
        <f aca="false">IF(C185&gt;=Summary!$E$26,MAX(0,SUM(EH185:EK185)),0)</f>
        <v>0</v>
      </c>
      <c r="EM185" s="1115" t="n">
        <f aca="false">IF(C185&gt;=Summary!$E$26,DX185*BL185,0)</f>
        <v>0</v>
      </c>
      <c r="EN185" s="1115" t="n">
        <f aca="false">IF(C185&gt;=Summary!$E$26,DY185*BM185,0)</f>
        <v>0</v>
      </c>
      <c r="EO185" s="1115" t="n">
        <f aca="false">IF(C185&gt;=Summary!$E$26,DZ185*BN185,0)</f>
        <v>0</v>
      </c>
      <c r="EP185" s="1115" t="n">
        <f aca="false">IF(C185&gt;=Summary!$E$26,EA185*BO185,0)</f>
        <v>0</v>
      </c>
      <c r="EQ185" s="1115" t="n">
        <f aca="false">IF(C185&gt;=Summary!$E$26,DX185*BL185+DY185*BM185+DZ185*BN185+EA185*BO185,0)</f>
        <v>0</v>
      </c>
      <c r="ER185" s="1119" t="n">
        <v>0</v>
      </c>
      <c r="ES185" s="1120" t="n">
        <v>0</v>
      </c>
      <c r="ET185" s="1120" t="n">
        <v>0</v>
      </c>
      <c r="EU185" s="1120" t="n">
        <v>0</v>
      </c>
      <c r="EV185" s="1143" t="n">
        <f aca="false">IF(C185&gt;=Summary!$E$26,MAX(0,SUM(ER185:EU185)),0)</f>
        <v>0</v>
      </c>
      <c r="EW185" s="1115"/>
      <c r="EX185" s="1165" t="n">
        <f aca="false">(EQ185-EV185)+IF(EZ185="Yes",(EG185-EL185),0)</f>
        <v>0</v>
      </c>
      <c r="EY185" s="1166" t="str">
        <f aca="false">IF(EX185,EX185/EQ185,"")</f>
        <v/>
      </c>
      <c r="EZ185" s="1122" t="s">
        <v>37</v>
      </c>
      <c r="FA185" s="1096" t="n">
        <f aca="false">FA184</f>
        <v>45</v>
      </c>
      <c r="FB185" s="1167" t="e">
        <f aca="false">IF(EZ185="No",IF((OR(MONTH(C185)=5,MONTH(C185)=6,MONTH(C185)=7,MONTH(C185)=8,MONTH(C185)=9)),$FA185*12*AX185*(1-$BC185),$FA185*10*AX185*(1-$BC185)),0)</f>
        <v>#VALUE!</v>
      </c>
      <c r="FC185" s="1129" t="e">
        <f aca="false">IF(EZ185="No",IF((OR(MONTH(C185)=5,MONTH(C185)=6,MONTH(C185)=7,MONTH(C185)=8,MONTH(C185)=9)),0,$FA185*3*AX185*(1-$BC185)),0)</f>
        <v>#VALUE!</v>
      </c>
      <c r="FD185" s="1129" t="e">
        <f aca="false">IF(EZ185="No",IF((OR(MONTH(C185)=5,MONTH(C185)=6,MONTH(C185)=7,MONTH(C185)=8,MONTH(C185)=9)),$FA185*12*AY185*(1-$BC185),$FA185*10*AY185*(1-$BC185)),0)</f>
        <v>#VALUE!</v>
      </c>
      <c r="FE185" s="1129" t="e">
        <f aca="false">IF(EZ185="No",IF((OR(MONTH(C185)=5,MONTH(C185)=6,MONTH(C185)=7,MONTH(C185)=8,MONTH(C185)=9)),0,$FA185*3*AY185*(1-$BC185)),0)</f>
        <v>#VALUE!</v>
      </c>
      <c r="FF185" s="1129" t="e">
        <f aca="false">IF(EZ185="No",IF((OR(MONTH(C185)=5,MONTH(C185)=6,MONTH(C185)=7,MONTH(C185)=8,MONTH(C185)=9)),$FA185*12*(AZ185+BA185)*(1-$BC185),$FA185*10*(AZ185+BA185)*(1-$BC185)),0)</f>
        <v>#VALUE!</v>
      </c>
      <c r="FG185" s="1129" t="e">
        <f aca="false">IF(EZ185="No",IF((OR(MONTH(C185)=5,MONTH(C185)=6,MONTH(C185)=7,MONTH(C185)=8,MONTH(C185)=9)),0,$FA185*3*(AZ185+BA185)*(1-$BC185)),0)</f>
        <v>#VALUE!</v>
      </c>
      <c r="FH185" s="1170" t="e">
        <f aca="false">IF(EZ185="No",IF((OR(MONTH(C185)=5,MONTH(C185)=6,MONTH(C185)=7,MONTH(C185)=8,MONTH(C185)=9)),Summary!$O$15*12*(AX185+AY185+AZ185+BA185)*(1-$BC185),Summary!$O$15*13*(AX185+AY185+AZ185+BA185)*(1-$BC185)+IF(Summary!$O$16="Yes",(CALC!FA185+Summary!$O$15)*6*(AX185+AY185+AZ185+BA185)*(1-$BC185),0)),0)</f>
        <v>#VALUE!</v>
      </c>
      <c r="FI185" s="1126" t="n">
        <f aca="false">IF(MONTH(C185)=5,FI184*(IF(Summary!$E$70="no",(1+(Summary!$E$71*0.8)),1+HLOOKUP(YEAR(C185)-1,CCFMODEL!$I$127:$AF$128,2)*0.8)),+FI184)</f>
        <v>37.0785775054311</v>
      </c>
      <c r="FJ185" s="1127" t="n">
        <f aca="false">IF(MONTH(C185)=5,FJ184*(IF(Summary!$E$70="no",(1+(Summary!$E$71*0.8)),1+HLOOKUP(YEAR(CALC!C185)-1,CCFMODEL!$I$127:$AF$128,2)*0.8)),FJ184)</f>
        <v>32.4072606543532</v>
      </c>
      <c r="FK185" s="1128" t="e">
        <f aca="false">SUM(FB185:FG185)*FI185+FH185*FJ185</f>
        <v>#VALUE!</v>
      </c>
      <c r="FL185" s="1126" t="n">
        <f aca="false">IF(MONTH(C185)=5,FL184*(IF(Summary!$E$70="no",(1+(Summary!$E$71*0.8)),1+HLOOKUP(YEAR(CALC!C185)-1,CCFMODEL!$I$127:$AF$128,2)*0.8)),+FL184)</f>
        <v>77.9804054098099</v>
      </c>
      <c r="FM185" s="1127" t="n">
        <f aca="false">IF(MONTH(C185)=5,FM184*(IF(Summary!$E$70="no",(1+(Summary!$E$71*0.8)),1+HLOOKUP(YEAR(CALC!C185)-1,CCFMODEL!$I$127:$AF$128,2)*0.8)),+FM184)</f>
        <v>37.2176047926656</v>
      </c>
      <c r="FN185" s="1128" t="e">
        <f aca="false">IF((OR(MONTH(C185)=5,MONTH(C185)=6,MONTH(C185)=7,MONTH(C185)=8,MONTH(C185)=9)),SUM(FB185:FG185)/(1-BC185)*FL185,SUM(FB185:FG185)/(1-BC185)*FM185)</f>
        <v>#VALUE!</v>
      </c>
      <c r="FO185" s="1129" t="e">
        <f aca="false">FK185+FN185</f>
        <v>#VALUE!</v>
      </c>
      <c r="FP185" s="1169" t="e">
        <f aca="false">FB185</f>
        <v>#VALUE!</v>
      </c>
      <c r="FQ185" s="1129" t="e">
        <f aca="false">FC185</f>
        <v>#VALUE!</v>
      </c>
      <c r="FR185" s="1129" t="e">
        <f aca="false">FD185</f>
        <v>#VALUE!</v>
      </c>
      <c r="FS185" s="1129" t="e">
        <f aca="false">FE185</f>
        <v>#VALUE!</v>
      </c>
      <c r="FT185" s="1129" t="e">
        <f aca="false">FF185</f>
        <v>#VALUE!</v>
      </c>
      <c r="FU185" s="1129" t="e">
        <f aca="false">FG185</f>
        <v>#VALUE!</v>
      </c>
      <c r="FV185" s="1170" t="e">
        <f aca="false">FH185</f>
        <v>#VALUE!</v>
      </c>
      <c r="FW185" s="1115" t="n">
        <f aca="false">IF(ER185&gt;0,MIN(FB185-FP185,BL185),0)</f>
        <v>0</v>
      </c>
      <c r="FX185" s="1115" t="n">
        <f aca="false">IF(ES185&gt;0,MIN(FD185-FR185,BM185),0)</f>
        <v>0</v>
      </c>
      <c r="FY185" s="1115" t="n">
        <f aca="false">IF(ET185&gt;0,MIN(FF185-FT185,BN185),0)</f>
        <v>0</v>
      </c>
      <c r="FZ185" s="1143" t="n">
        <f aca="false">IF(EU185&gt;0,MIN(FH185-FV185,BO185),0)</f>
        <v>0</v>
      </c>
      <c r="GA185" s="1132" t="e">
        <f aca="false">(SUM(FP185:FV185)+SUM(GU185:HB185)/(1-Summary!$O$25))*CY185/1000</f>
        <v>#VALUE!</v>
      </c>
      <c r="GB185" s="1133" t="n">
        <f aca="false">IF($C185&lt;Summary!$M$81,+Summary!$O$81,VLOOKUP(C185,GasTable,19))</f>
        <v>3.84983075650993</v>
      </c>
      <c r="GC185" s="1134" t="n">
        <f aca="false">IF(H185&lt;=Summary!$N$84,MIN(GA185,Summary!$O$75*(H185-G185+1)),0)</f>
        <v>0</v>
      </c>
      <c r="GD185" s="1135" t="n">
        <f aca="false">IF(C185&lt;Summary!$N$84,IF(Summary!$O$75*(H185-G185+1)*0.8&gt;GC185,1,0),0)</f>
        <v>0</v>
      </c>
      <c r="GE185" s="1136" t="n">
        <v>0</v>
      </c>
      <c r="GF185" s="1134" t="e">
        <f aca="false">ABS(MIN(0,GC185-$GA185))</f>
        <v>#VALUE!</v>
      </c>
      <c r="GG185" s="1135" t="e">
        <f aca="false">GF185*(IF(Summary!$O$74=1,VLOOKUP($C185,GasTable,16)+Summary!$O$92+Summary!$O$93,VLOOKUP($C185,GasTable,19)+Summary!$O$92+Summary!$O$93))</f>
        <v>#VALUE!</v>
      </c>
      <c r="GH185" s="1137" t="n">
        <v>5967.2376725904</v>
      </c>
      <c r="GI185" s="1138" t="n">
        <v>0</v>
      </c>
      <c r="GJ185" s="1139" t="e">
        <f aca="false">+GB185*GC185+GE185+GG185+GH185-GI185</f>
        <v>#VALUE!</v>
      </c>
      <c r="GK185" s="1115" t="e">
        <f aca="false">SUM(FP185:FV185,GU185:GX185,GY185:HB185)</f>
        <v>#VALUE!</v>
      </c>
      <c r="GL185" s="1140" t="n">
        <v>0.51926474</v>
      </c>
      <c r="GM185" s="1141" t="e">
        <f aca="false">IF(GK185&gt;GC185/(CY185/1000),GC185/(CY185/1000),+GK185)*GL185</f>
        <v>#VALUE!</v>
      </c>
      <c r="GN185" s="1115" t="n">
        <f aca="false">IF(SUM(GU185:HB185)=0,0,IF(Summary!$O$16="Yes",SUM(GX185:HB185),IF(Summary!$O$17="Yes",SUM(GY185:HB185),SUM(GU185:HB185))))</f>
        <v>12199.03785</v>
      </c>
      <c r="GO185" s="1142" t="n">
        <v>3.59924589309593</v>
      </c>
      <c r="GP185" s="1143" t="n">
        <f aca="false">GN185*GO185</f>
        <v>43907.3368813343</v>
      </c>
      <c r="GQ185" s="1115"/>
      <c r="GR185" s="1115"/>
      <c r="GS185" s="1115"/>
      <c r="GT185" s="1115"/>
      <c r="GU185" s="1150" t="n">
        <v>5646.1185</v>
      </c>
      <c r="GV185" s="1115" t="n">
        <v>1026.567</v>
      </c>
      <c r="GW185" s="1115" t="n">
        <v>1283.20875</v>
      </c>
      <c r="GX185" s="1115"/>
      <c r="GY185" s="1151" t="n">
        <v>3011.2632</v>
      </c>
      <c r="GZ185" s="1115" t="n">
        <v>547.5024</v>
      </c>
      <c r="HA185" s="1115" t="n">
        <v>684.378</v>
      </c>
      <c r="HB185" s="1141"/>
      <c r="HC185" s="1115" t="n">
        <v>12199.03785</v>
      </c>
      <c r="HD185" s="1115"/>
      <c r="HE185" s="1115" t="n">
        <v>20950.521525</v>
      </c>
      <c r="HF185" s="1115" t="n">
        <v>612213.158755507</v>
      </c>
      <c r="HG185" s="1115"/>
      <c r="HH185" s="1142" t="n">
        <v>49.8010634479173</v>
      </c>
      <c r="HI185" s="1115" t="n">
        <v>1043358.25173348</v>
      </c>
      <c r="HJ185" s="1150" t="e">
        <f aca="false">MAX(FB185-FP185-FW185,0)</f>
        <v>#VALUE!</v>
      </c>
      <c r="HK185" s="1115" t="e">
        <f aca="false">MAX(FD185-FR185-FX185,0)</f>
        <v>#VALUE!</v>
      </c>
      <c r="HL185" s="1115" t="e">
        <f aca="false">MAX(FF185-FT185-FY185,0)</f>
        <v>#VALUE!</v>
      </c>
      <c r="HM185" s="1141" t="e">
        <f aca="false">MAX(FH185-FV185-FZ185,0)</f>
        <v>#VALUE!</v>
      </c>
      <c r="HN185" s="1115" t="e">
        <f aca="false">SUM(HJ185:HM185)</f>
        <v>#VALUE!</v>
      </c>
      <c r="HO185" s="1142" t="n">
        <f aca="false">IF(ISERROR(+HP185/HN185),0,+HP185/HN185)</f>
        <v>0</v>
      </c>
      <c r="HP185" s="1143" t="e">
        <f aca="false">(HJ185*CE185+HK185*CF185+HL185*CG185+HM185*CH185)</f>
        <v>#VALUE!</v>
      </c>
      <c r="HQ185" s="1146"/>
      <c r="HR185" s="1119"/>
      <c r="HS185" s="1147"/>
      <c r="HT185" s="1144"/>
      <c r="HU185" s="1119"/>
      <c r="HV185" s="1199"/>
      <c r="HW185" s="1144"/>
      <c r="HX185" s="1199"/>
      <c r="HY185" s="1199"/>
      <c r="HZ185" s="0"/>
      <c r="IA185" s="1142"/>
      <c r="IB185" s="1142"/>
      <c r="IC185" s="1142"/>
      <c r="ID185" s="1142"/>
      <c r="IE185" s="1142"/>
      <c r="IF185" s="1142"/>
      <c r="IG185" s="1142"/>
      <c r="IH185" s="1142"/>
      <c r="II185" s="1142"/>
      <c r="IJ185" s="1142"/>
      <c r="IK185" s="1142"/>
      <c r="IL185" s="1190"/>
      <c r="IM185" s="222"/>
      <c r="IN185" s="222"/>
      <c r="IR185" s="844"/>
    </row>
    <row r="186" customFormat="false" ht="13.5" hidden="false" customHeight="false" outlineLevel="0" collapsed="false">
      <c r="A186" s="0" t="str">
        <f aca="false">+D186&amp;"Q"&amp;ROUNDUP(E186/3,0)</f>
        <v>2014Q1</v>
      </c>
      <c r="B186" s="0" t="n">
        <f aca="false">YEAR(C186)</f>
        <v>2014</v>
      </c>
      <c r="C186" s="1153" t="n">
        <f aca="false">EOMONTH(C185,0)+1</f>
        <v>41671</v>
      </c>
      <c r="D186" s="841" t="n">
        <f aca="false">+YEAR(C186)</f>
        <v>2014</v>
      </c>
      <c r="E186" s="807" t="n">
        <f aca="false">MONTH(C186)</f>
        <v>2</v>
      </c>
      <c r="F186" s="1154" t="e">
        <f aca="false">IF(G186="","",Holiday(D186,E186))</f>
        <v>#VALUE!</v>
      </c>
      <c r="G186" s="1155" t="n">
        <v>41671</v>
      </c>
      <c r="H186" s="1156" t="n">
        <v>41698</v>
      </c>
      <c r="I186" s="1157" t="n">
        <f aca="false">I185</f>
        <v>0.0715</v>
      </c>
      <c r="J186" s="1158" t="n">
        <f aca="false">(1+I186/2)^(-2*(DATE(D187,E187,20)-$H$7)/365.25)</f>
        <v>0.367184521689267</v>
      </c>
      <c r="K186" s="1159"/>
      <c r="L186" s="1158"/>
      <c r="M186" s="1082" t="n">
        <v>0</v>
      </c>
      <c r="N186" s="1110" t="n">
        <f aca="false">M186</f>
        <v>0</v>
      </c>
      <c r="O186" s="1174" t="n">
        <f aca="false">N186</f>
        <v>0</v>
      </c>
      <c r="P186" s="1175" t="n">
        <f aca="false">M186</f>
        <v>0</v>
      </c>
      <c r="Q186" s="1110" t="n">
        <f aca="false">P186</f>
        <v>0</v>
      </c>
      <c r="R186" s="1174" t="n">
        <f aca="false">Q186</f>
        <v>0</v>
      </c>
      <c r="S186" s="1110" t="n">
        <f aca="false">R186</f>
        <v>0</v>
      </c>
      <c r="T186" s="1110" t="n">
        <f aca="false">S186</f>
        <v>0</v>
      </c>
      <c r="U186" s="1110" t="n">
        <f aca="false">T186</f>
        <v>0</v>
      </c>
      <c r="V186" s="1175" t="n">
        <f aca="false">U186</f>
        <v>0</v>
      </c>
      <c r="W186" s="1110" t="n">
        <f aca="false">V186</f>
        <v>0</v>
      </c>
      <c r="X186" s="1176" t="n">
        <f aca="false">W186</f>
        <v>0</v>
      </c>
      <c r="Y186" s="1086" t="n">
        <v>0</v>
      </c>
      <c r="Z186" s="1086" t="n">
        <v>0</v>
      </c>
      <c r="AA186" s="1087" t="n">
        <v>0</v>
      </c>
      <c r="AB186" s="1086" t="n">
        <v>0</v>
      </c>
      <c r="AC186" s="1086" t="n">
        <v>0</v>
      </c>
      <c r="AD186" s="1087" t="n">
        <v>0</v>
      </c>
      <c r="AE186" s="1086" t="n">
        <v>0</v>
      </c>
      <c r="AF186" s="1086" t="n">
        <v>0</v>
      </c>
      <c r="AG186" s="1087" t="n">
        <v>0</v>
      </c>
      <c r="AH186" s="1086" t="n">
        <v>0</v>
      </c>
      <c r="AI186" s="1086" t="n">
        <v>0</v>
      </c>
      <c r="AJ186" s="1087" t="n">
        <v>0</v>
      </c>
      <c r="AK186" s="1086" t="n">
        <v>0</v>
      </c>
      <c r="AL186" s="1086" t="n">
        <v>0</v>
      </c>
      <c r="AM186" s="1087" t="n">
        <v>0</v>
      </c>
      <c r="AN186" s="1086" t="n">
        <v>0</v>
      </c>
      <c r="AO186" s="1086" t="n">
        <v>0</v>
      </c>
      <c r="AP186" s="1087" t="n">
        <v>0</v>
      </c>
      <c r="AQ186" s="1086" t="n">
        <v>0</v>
      </c>
      <c r="AR186" s="1086" t="n">
        <v>0</v>
      </c>
      <c r="AS186" s="1087" t="n">
        <v>0</v>
      </c>
      <c r="AT186" s="1086" t="n">
        <v>0</v>
      </c>
      <c r="AU186" s="1086" t="n">
        <v>0</v>
      </c>
      <c r="AV186" s="1086" t="n">
        <v>0</v>
      </c>
      <c r="AW186" s="1172" t="n">
        <v>0</v>
      </c>
      <c r="AX186" s="807" t="n">
        <f aca="false">BB186-SUM(AY186:BA186)</f>
        <v>20</v>
      </c>
      <c r="AY186" s="807" t="n">
        <f aca="false">IF(AND($E186=MONTH(Summary!$E$24),$D186=YEAR(Summary!$E$24)),Summary!$E$25,1)*IF(G186="",0,INT((H186-MOD(H186,7)-G186)/7)+1-IF(BA186,IF(WEEKDAY(F186)=7,1,0),0))</f>
        <v>4</v>
      </c>
      <c r="AZ186" s="807" t="n">
        <f aca="false">IF(AND($E186=MONTH(Summary!$E$24),$D186=YEAR(Summary!$E$24)),Summary!$E$25,1)*IF(G186="",0,INT((H186-MOD(H186-1,7)-G186)/7)+1-IF(BA186,IF(WEEKDAY(F186)=1,1,0),0))</f>
        <v>4</v>
      </c>
      <c r="BA186" s="807" t="n">
        <v>0</v>
      </c>
      <c r="BB186" s="807" t="n">
        <f aca="false">IF(AND($E186=MONTH(Summary!$E$24),$D186=YEAR(Summary!$E$24)),Summary!$E$25,1)*IF(G186="",0,H186-G186+1)</f>
        <v>28</v>
      </c>
      <c r="BC186" s="1089" t="n">
        <f aca="false">Summary!$E$19</f>
        <v>0.015</v>
      </c>
      <c r="BD186" s="1090" t="n">
        <v>14184</v>
      </c>
      <c r="BE186" s="1091" t="n">
        <v>2836.8</v>
      </c>
      <c r="BF186" s="1091" t="n">
        <v>2836.8</v>
      </c>
      <c r="BG186" s="842"/>
      <c r="BH186" s="1092" t="n">
        <v>1</v>
      </c>
      <c r="BI186" s="1092" t="n">
        <v>1</v>
      </c>
      <c r="BJ186" s="1092" t="n">
        <v>1</v>
      </c>
      <c r="BK186" s="1092" t="n">
        <v>1</v>
      </c>
      <c r="BL186" s="1093" t="n">
        <v>2836.8</v>
      </c>
      <c r="BM186" s="1091" t="n">
        <v>567.36</v>
      </c>
      <c r="BN186" s="1091" t="n">
        <v>567.36</v>
      </c>
      <c r="BO186" s="842"/>
      <c r="BP186" s="1092" t="n">
        <v>1</v>
      </c>
      <c r="BQ186" s="1094" t="n">
        <v>1</v>
      </c>
      <c r="BR186" s="1094" t="n">
        <v>1</v>
      </c>
      <c r="BS186" s="1095" t="n">
        <v>1</v>
      </c>
      <c r="BT186" s="1093" t="n">
        <f aca="false">SUM(BD186:BF186)</f>
        <v>19857.6</v>
      </c>
      <c r="BU186" s="1098" t="n">
        <f aca="false">SUM(BD186:BG186)</f>
        <v>19857.6</v>
      </c>
      <c r="BV186" s="1090" t="n">
        <f aca="false">SUM(BL186:BN186)</f>
        <v>3971.52</v>
      </c>
      <c r="BW186" s="1098" t="n">
        <f aca="false">SUM(BL186:BO186)</f>
        <v>3971.52</v>
      </c>
      <c r="BX186" s="852" t="n">
        <v>14.1327857631759</v>
      </c>
      <c r="BY186" s="1099" t="n">
        <v>0</v>
      </c>
      <c r="BZ186" s="852" t="n">
        <v>0</v>
      </c>
      <c r="CA186" s="852" t="n">
        <v>0</v>
      </c>
      <c r="CB186" s="852" t="n">
        <v>0</v>
      </c>
      <c r="CC186" s="852" t="n">
        <v>0</v>
      </c>
      <c r="CD186" s="852" t="n">
        <v>0</v>
      </c>
      <c r="CE186" s="1100" t="n">
        <v>0</v>
      </c>
      <c r="CF186" s="852" t="n">
        <v>0</v>
      </c>
      <c r="CG186" s="852" t="n">
        <v>0</v>
      </c>
      <c r="CH186" s="852" t="n">
        <v>0</v>
      </c>
      <c r="CI186" s="852" t="n">
        <v>0</v>
      </c>
      <c r="CJ186" s="1101" t="n">
        <v>0</v>
      </c>
      <c r="CK186" s="852" t="n">
        <v>0</v>
      </c>
      <c r="CL186" s="852" t="n">
        <v>0</v>
      </c>
      <c r="CM186" s="852" t="n">
        <v>0</v>
      </c>
      <c r="CN186" s="852" t="n">
        <v>0</v>
      </c>
      <c r="CO186" s="852" t="n">
        <v>0</v>
      </c>
      <c r="CP186" s="852" t="n">
        <v>0</v>
      </c>
      <c r="CQ186" s="1102" t="n">
        <v>0</v>
      </c>
      <c r="CR186" s="1103" t="n">
        <v>0</v>
      </c>
      <c r="CS186" s="1103" t="n">
        <v>0</v>
      </c>
      <c r="CT186" s="1103" t="n">
        <v>0</v>
      </c>
      <c r="CU186" s="1103" t="n">
        <v>0</v>
      </c>
      <c r="CV186" s="1103" t="n">
        <v>0</v>
      </c>
      <c r="CW186" s="1103" t="n">
        <v>0</v>
      </c>
      <c r="CX186" s="1104" t="n">
        <v>0</v>
      </c>
      <c r="CY186" s="1105" t="n">
        <v>7751.52288</v>
      </c>
      <c r="CZ186" s="1099" t="n">
        <v>0</v>
      </c>
      <c r="DA186" s="852" t="n">
        <v>0</v>
      </c>
      <c r="DB186" s="852" t="n">
        <v>0</v>
      </c>
      <c r="DC186" s="852" t="n">
        <v>0</v>
      </c>
      <c r="DD186" s="852" t="n">
        <v>0</v>
      </c>
      <c r="DE186" s="1113" t="n">
        <v>0</v>
      </c>
      <c r="DF186" s="1109" t="n">
        <v>0</v>
      </c>
      <c r="DG186" s="1110" t="n">
        <v>0</v>
      </c>
      <c r="DH186" s="1111" t="n">
        <v>0</v>
      </c>
      <c r="DI186" s="1112" t="n">
        <v>0</v>
      </c>
      <c r="DJ186" s="1112" t="n">
        <v>0</v>
      </c>
      <c r="DK186" s="1112" t="n">
        <v>0</v>
      </c>
      <c r="DL186" s="1113" t="n">
        <v>0</v>
      </c>
      <c r="DM186" s="1114" t="n">
        <v>0</v>
      </c>
      <c r="DN186" s="1114" t="n">
        <v>0</v>
      </c>
      <c r="DO186" s="1114" t="n">
        <v>0</v>
      </c>
      <c r="DP186" s="1114" t="n">
        <v>0</v>
      </c>
      <c r="DQ186" s="1114" t="n">
        <v>0</v>
      </c>
      <c r="DR186" s="1109" t="n">
        <v>0</v>
      </c>
      <c r="DS186" s="852" t="n">
        <v>0</v>
      </c>
      <c r="DT186" s="852" t="n">
        <v>0</v>
      </c>
      <c r="DU186" s="852" t="n">
        <v>0</v>
      </c>
      <c r="DV186" s="852" t="n">
        <v>0</v>
      </c>
      <c r="DW186" s="852" t="n">
        <v>0</v>
      </c>
      <c r="DX186" s="852" t="n">
        <v>0</v>
      </c>
      <c r="DY186" s="852" t="n">
        <v>0</v>
      </c>
      <c r="DZ186" s="852" t="n">
        <v>0</v>
      </c>
      <c r="EA186" s="852" t="n">
        <v>0</v>
      </c>
      <c r="EB186" s="1113" t="n">
        <v>0</v>
      </c>
      <c r="EC186" s="1115" t="n">
        <f aca="false">DS186*BD186</f>
        <v>0</v>
      </c>
      <c r="ED186" s="1115" t="n">
        <f aca="false">DT186*BE186</f>
        <v>0</v>
      </c>
      <c r="EE186" s="1115" t="n">
        <f aca="false">DU186*BF186</f>
        <v>0</v>
      </c>
      <c r="EF186" s="1115" t="n">
        <f aca="false">DV186*BG186</f>
        <v>0</v>
      </c>
      <c r="EG186" s="1115" t="n">
        <f aca="false">DS186*BD186+DT186*BE186+DU186*BF186+DV186*BG186</f>
        <v>0</v>
      </c>
      <c r="EH186" s="1116" t="n">
        <v>0</v>
      </c>
      <c r="EI186" s="1117" t="n">
        <v>0</v>
      </c>
      <c r="EJ186" s="1117" t="n">
        <v>0</v>
      </c>
      <c r="EK186" s="1117" t="n">
        <v>0</v>
      </c>
      <c r="EL186" s="1118" t="n">
        <f aca="false">IF(C186&gt;=Summary!$E$26,MAX(0,SUM(EH186:EK186)),0)</f>
        <v>0</v>
      </c>
      <c r="EM186" s="1115" t="n">
        <f aca="false">IF(C186&gt;=Summary!$E$26,DX186*BL186,0)</f>
        <v>0</v>
      </c>
      <c r="EN186" s="1115" t="n">
        <f aca="false">IF(C186&gt;=Summary!$E$26,DY186*BM186,0)</f>
        <v>0</v>
      </c>
      <c r="EO186" s="1115" t="n">
        <f aca="false">IF(C186&gt;=Summary!$E$26,DZ186*BN186,0)</f>
        <v>0</v>
      </c>
      <c r="EP186" s="1115" t="n">
        <f aca="false">IF(C186&gt;=Summary!$E$26,EA186*BO186,0)</f>
        <v>0</v>
      </c>
      <c r="EQ186" s="1115" t="n">
        <f aca="false">IF(C186&gt;=Summary!$E$26,DX186*BL186+DY186*BM186+DZ186*BN186+EA186*BO186,0)</f>
        <v>0</v>
      </c>
      <c r="ER186" s="1119" t="n">
        <v>0</v>
      </c>
      <c r="ES186" s="1120" t="n">
        <v>0</v>
      </c>
      <c r="ET186" s="1120" t="n">
        <v>0</v>
      </c>
      <c r="EU186" s="1120" t="n">
        <v>0</v>
      </c>
      <c r="EV186" s="1143" t="n">
        <f aca="false">IF(C186&gt;=Summary!$E$26,MAX(0,SUM(ER186:EU186)),0)</f>
        <v>0</v>
      </c>
      <c r="EW186" s="1115"/>
      <c r="EX186" s="1165" t="n">
        <f aca="false">(EQ186-EV186)+IF(EZ186="Yes",(EG186-EL186),0)</f>
        <v>0</v>
      </c>
      <c r="EY186" s="1166" t="str">
        <f aca="false">IF(EX186,EX186/EQ186,"")</f>
        <v/>
      </c>
      <c r="EZ186" s="1122" t="s">
        <v>37</v>
      </c>
      <c r="FA186" s="1096" t="n">
        <f aca="false">FA185</f>
        <v>45</v>
      </c>
      <c r="FB186" s="1167" t="n">
        <f aca="false">IF(EZ186="No",IF((OR(MONTH(C186)=5,MONTH(C186)=6,MONTH(C186)=7,MONTH(C186)=8,MONTH(C186)=9)),$FA186*12*AX186*(1-$BC186),$FA186*10*AX186*(1-$BC186)),0)</f>
        <v>8865</v>
      </c>
      <c r="FC186" s="1129" t="n">
        <f aca="false">IF(EZ186="No",IF((OR(MONTH(C186)=5,MONTH(C186)=6,MONTH(C186)=7,MONTH(C186)=8,MONTH(C186)=9)),0,$FA186*3*AX186*(1-$BC186)),0)</f>
        <v>2659.5</v>
      </c>
      <c r="FD186" s="1129" t="n">
        <f aca="false">IF(EZ186="No",IF((OR(MONTH(C186)=5,MONTH(C186)=6,MONTH(C186)=7,MONTH(C186)=8,MONTH(C186)=9)),$FA186*12*AY186*(1-$BC186),$FA186*10*AY186*(1-$BC186)),0)</f>
        <v>1773</v>
      </c>
      <c r="FE186" s="1129" t="n">
        <f aca="false">IF(EZ186="No",IF((OR(MONTH(C186)=5,MONTH(C186)=6,MONTH(C186)=7,MONTH(C186)=8,MONTH(C186)=9)),0,$FA186*3*AY186*(1-$BC186)),0)</f>
        <v>531.9</v>
      </c>
      <c r="FF186" s="1129" t="n">
        <f aca="false">IF(EZ186="No",IF((OR(MONTH(C186)=5,MONTH(C186)=6,MONTH(C186)=7,MONTH(C186)=8,MONTH(C186)=9)),$FA186*12*(AZ186+BA186)*(1-$BC186),$FA186*10*(AZ186+BA186)*(1-$BC186)),0)</f>
        <v>1773</v>
      </c>
      <c r="FG186" s="1129" t="n">
        <f aca="false">IF(EZ186="No",IF((OR(MONTH(C186)=5,MONTH(C186)=6,MONTH(C186)=7,MONTH(C186)=8,MONTH(C186)=9)),0,$FA186*3*(AZ186+BA186)*(1-$BC186)),0)</f>
        <v>531.9</v>
      </c>
      <c r="FH186" s="1170" t="n">
        <f aca="false">IF(EZ186="No",IF((OR(MONTH(C186)=5,MONTH(C186)=6,MONTH(C186)=7,MONTH(C186)=8,MONTH(C186)=9)),Summary!$O$15*12*(AX186+AY186+AZ186+BA186)*(1-$BC186),Summary!$O$15*13*(AX186+AY186+AZ186+BA186)*(1-$BC186)+IF(Summary!$O$16="Yes",(CALC!FA186+Summary!$O$15)*6*(AX186+AY186+AZ186+BA186)*(1-$BC186),0)),0)</f>
        <v>0</v>
      </c>
      <c r="FI186" s="1126" t="n">
        <f aca="false">IF(MONTH(C186)=5,FI185*(IF(Summary!$E$70="no",(1+(Summary!$E$71*0.8)),1+HLOOKUP(YEAR(C186)-1,CCFMODEL!$I$127:$AF$128,2)*0.8)),+FI185)</f>
        <v>37.0785775054311</v>
      </c>
      <c r="FJ186" s="1127" t="n">
        <f aca="false">IF(MONTH(C186)=5,FJ185*(IF(Summary!$E$70="no",(1+(Summary!$E$71*0.8)),1+HLOOKUP(YEAR(CALC!C186)-1,CCFMODEL!$I$127:$AF$128,2)*0.8)),FJ185)</f>
        <v>32.4072606543532</v>
      </c>
      <c r="FK186" s="1128" t="n">
        <f aca="false">SUM(FB186:FG186)*FI186+FH186*FJ186</f>
        <v>598236.893045877</v>
      </c>
      <c r="FL186" s="1126" t="n">
        <f aca="false">IF(MONTH(C186)=5,FL185*(IF(Summary!$E$70="no",(1+(Summary!$E$71*0.8)),1+HLOOKUP(YEAR(CALC!C186)-1,CCFMODEL!$I$127:$AF$128,2)*0.8)),+FL185)</f>
        <v>77.9804054098099</v>
      </c>
      <c r="FM186" s="1127" t="n">
        <f aca="false">IF(MONTH(C186)=5,FM185*(IF(Summary!$E$70="no",(1+(Summary!$E$71*0.8)),1+HLOOKUP(YEAR(CALC!C186)-1,CCFMODEL!$I$127:$AF$128,2)*0.8)),+FM185)</f>
        <v>37.2176047926656</v>
      </c>
      <c r="FN186" s="1128" t="n">
        <f aca="false">IF((OR(MONTH(C186)=5,MONTH(C186)=6,MONTH(C186)=7,MONTH(C186)=8,MONTH(C186)=9)),SUM(FB186:FG186)/(1-BC186)*FL186,SUM(FB186:FG186)/(1-BC186)*FM186)</f>
        <v>609624.366503862</v>
      </c>
      <c r="FO186" s="1129" t="n">
        <f aca="false">FK186+FN186</f>
        <v>1207861.25954974</v>
      </c>
      <c r="FP186" s="1169" t="n">
        <f aca="false">FB186</f>
        <v>8865</v>
      </c>
      <c r="FQ186" s="1129" t="n">
        <f aca="false">FC186</f>
        <v>2659.5</v>
      </c>
      <c r="FR186" s="1129" t="n">
        <f aca="false">FD186</f>
        <v>1773</v>
      </c>
      <c r="FS186" s="1129" t="n">
        <f aca="false">FE186</f>
        <v>531.9</v>
      </c>
      <c r="FT186" s="1129" t="n">
        <f aca="false">FF186</f>
        <v>1773</v>
      </c>
      <c r="FU186" s="1129" t="n">
        <f aca="false">FG186</f>
        <v>531.9</v>
      </c>
      <c r="FV186" s="1170" t="n">
        <f aca="false">FH186</f>
        <v>0</v>
      </c>
      <c r="FW186" s="1115" t="n">
        <f aca="false">IF(ER186&gt;0,MIN(FB186-FP186,BL186),0)</f>
        <v>0</v>
      </c>
      <c r="FX186" s="1115" t="n">
        <f aca="false">IF(ES186&gt;0,MIN(FD186-FR186,BM186),0)</f>
        <v>0</v>
      </c>
      <c r="FY186" s="1115" t="n">
        <f aca="false">IF(ET186&gt;0,MIN(FF186-FT186,BN186),0)</f>
        <v>0</v>
      </c>
      <c r="FZ186" s="1143" t="n">
        <f aca="false">IF(EU186&gt;0,MIN(FH186-FV186,BO186),0)</f>
        <v>0</v>
      </c>
      <c r="GA186" s="1132" t="n">
        <f aca="false">(SUM(FP186:FV186)+SUM(GU186:HB186)/(1-Summary!$O$25))*CY186/1000</f>
        <v>213573.21402937</v>
      </c>
      <c r="GB186" s="1133" t="n">
        <f aca="false">IF($C186&lt;Summary!$M$81,+Summary!$O$81,VLOOKUP(C186,GasTable,19))</f>
        <v>3.55577003268057</v>
      </c>
      <c r="GC186" s="1134" t="n">
        <f aca="false">IF(H186&lt;=Summary!$N$84,MIN(GA186,Summary!$O$75*(H186-G186+1)),0)</f>
        <v>0</v>
      </c>
      <c r="GD186" s="1135" t="n">
        <f aca="false">IF(C186&lt;Summary!$N$84,IF(Summary!$O$75*(H186-G186+1)*0.8&gt;GC186,1,0),0)</f>
        <v>0</v>
      </c>
      <c r="GE186" s="1136" t="n">
        <v>0</v>
      </c>
      <c r="GF186" s="1134" t="n">
        <f aca="false">ABS(MIN(0,GC186-$GA186))</f>
        <v>213573.21402937</v>
      </c>
      <c r="GG186" s="1135" t="n">
        <f aca="false">GF186*(IF(Summary!$O$74=1,VLOOKUP($C186,GasTable,16)+Summary!$O$92+Summary!$O$93,VLOOKUP($C186,GasTable,19)+Summary!$O$92+Summary!$O$93))</f>
        <v>770544.398679836</v>
      </c>
      <c r="GH186" s="1137" t="n">
        <v>4978.0780457528</v>
      </c>
      <c r="GI186" s="1138" t="n">
        <v>0</v>
      </c>
      <c r="GJ186" s="1139" t="n">
        <f aca="false">+GB186*GC186+GE186+GG186+GH186-GI186</f>
        <v>775522.476725589</v>
      </c>
      <c r="GK186" s="1115" t="n">
        <f aca="false">SUM(FP186:FV186,GU186:GX186,GY186:HB186)</f>
        <v>27152.7858</v>
      </c>
      <c r="GL186" s="1140" t="n">
        <v>0.51935203296</v>
      </c>
      <c r="GM186" s="1141" t="n">
        <f aca="false">IF(GK186&gt;GC186/(CY186/1000),GC186/(CY186/1000),+GK186)*GL186</f>
        <v>0</v>
      </c>
      <c r="GN186" s="1115" t="n">
        <f aca="false">IF(SUM(GU186:HB186)=0,0,IF(Summary!$O$16="Yes",SUM(GX186:HB186),IF(Summary!$O$17="Yes",SUM(GY186:HB186),SUM(GU186:HB186))))</f>
        <v>11018.4858</v>
      </c>
      <c r="GO186" s="1142" t="n">
        <v>3.59924589309593</v>
      </c>
      <c r="GP186" s="1143" t="n">
        <f aca="false">GN186*GO186</f>
        <v>39658.2397637858</v>
      </c>
      <c r="GQ186" s="1115"/>
      <c r="GR186" s="1115"/>
      <c r="GS186" s="1115"/>
      <c r="GT186" s="1115"/>
      <c r="GU186" s="1150" t="n">
        <v>5132.835</v>
      </c>
      <c r="GV186" s="1115" t="n">
        <v>1026.567</v>
      </c>
      <c r="GW186" s="1115" t="n">
        <v>1026.567</v>
      </c>
      <c r="GX186" s="1115"/>
      <c r="GY186" s="1151" t="n">
        <v>2737.512</v>
      </c>
      <c r="GZ186" s="1115" t="n">
        <v>547.5024</v>
      </c>
      <c r="HA186" s="1115" t="n">
        <v>547.5024</v>
      </c>
      <c r="HB186" s="1141"/>
      <c r="HC186" s="1115" t="n">
        <v>11018.4858</v>
      </c>
      <c r="HD186" s="1115"/>
      <c r="HE186" s="1115" t="n">
        <v>18923.0517</v>
      </c>
      <c r="HF186" s="1115" t="n">
        <v>470662.593679957</v>
      </c>
      <c r="HG186" s="1115"/>
      <c r="HH186" s="1142" t="n">
        <v>42.3968118464612</v>
      </c>
      <c r="HI186" s="1115" t="n">
        <v>802277.062485758</v>
      </c>
      <c r="HJ186" s="1150" t="n">
        <f aca="false">MAX(FB186-FP186-FW186,0)</f>
        <v>0</v>
      </c>
      <c r="HK186" s="1115" t="n">
        <f aca="false">MAX(FD186-FR186-FX186,0)</f>
        <v>0</v>
      </c>
      <c r="HL186" s="1115" t="n">
        <f aca="false">MAX(FF186-FT186-FY186,0)</f>
        <v>0</v>
      </c>
      <c r="HM186" s="1141" t="n">
        <f aca="false">MAX(FH186-FV186-FZ186,0)</f>
        <v>0</v>
      </c>
      <c r="HN186" s="1115" t="n">
        <f aca="false">SUM(HJ186:HM186)</f>
        <v>0</v>
      </c>
      <c r="HO186" s="1142" t="n">
        <f aca="false">IF(ISERROR(+HP186/HN186),0,+HP186/HN186)</f>
        <v>0</v>
      </c>
      <c r="HP186" s="1143" t="n">
        <f aca="false">(HJ186*CE186+HK186*CF186+HL186*CG186+HM186*CH186)</f>
        <v>0</v>
      </c>
      <c r="HQ186" s="1146"/>
      <c r="HR186" s="1150"/>
      <c r="HS186" s="1110"/>
      <c r="HT186" s="1141"/>
      <c r="HU186" s="1150"/>
      <c r="HV186" s="1200"/>
      <c r="HW186" s="1141"/>
      <c r="HX186" s="1200"/>
      <c r="HY186" s="1200"/>
      <c r="HZ186" s="221"/>
      <c r="IA186" s="1142"/>
      <c r="IB186" s="1142"/>
      <c r="IC186" s="1142"/>
      <c r="ID186" s="1142"/>
      <c r="IE186" s="1142"/>
      <c r="IF186" s="1142"/>
      <c r="IG186" s="1142"/>
      <c r="IH186" s="1142"/>
      <c r="II186" s="1142"/>
      <c r="IJ186" s="1142"/>
      <c r="IK186" s="1142"/>
      <c r="IL186" s="1190"/>
      <c r="IM186" s="222"/>
      <c r="IN186" s="222"/>
      <c r="IR186" s="844"/>
    </row>
    <row r="187" customFormat="false" ht="13.5" hidden="false" customHeight="false" outlineLevel="0" collapsed="false">
      <c r="A187" s="0" t="str">
        <f aca="false">+D187&amp;"Q"&amp;ROUNDUP(E187/3,0)</f>
        <v>2014Q1</v>
      </c>
      <c r="B187" s="0" t="n">
        <f aca="false">YEAR(C187)</f>
        <v>2014</v>
      </c>
      <c r="C187" s="1153" t="n">
        <f aca="false">EOMONTH(C186,0)+1</f>
        <v>41699</v>
      </c>
      <c r="D187" s="841" t="n">
        <f aca="false">+YEAR(C187)</f>
        <v>2014</v>
      </c>
      <c r="E187" s="807" t="n">
        <f aca="false">MONTH(C187)</f>
        <v>3</v>
      </c>
      <c r="F187" s="1154" t="e">
        <f aca="false">IF(G187="","",Holiday(D187,E187))</f>
        <v>#VALUE!</v>
      </c>
      <c r="G187" s="1155" t="n">
        <v>41699</v>
      </c>
      <c r="H187" s="1156" t="n">
        <v>41729</v>
      </c>
      <c r="I187" s="1157" t="n">
        <f aca="false">I186</f>
        <v>0.0715</v>
      </c>
      <c r="J187" s="1158" t="n">
        <f aca="false">(1+I187/2)^(-2*(DATE(D188,E188,20)-$H$7)/365.25)</f>
        <v>0.365001701388933</v>
      </c>
      <c r="K187" s="1159"/>
      <c r="L187" s="1158"/>
      <c r="M187" s="1082" t="n">
        <v>0</v>
      </c>
      <c r="N187" s="1110" t="n">
        <f aca="false">M187</f>
        <v>0</v>
      </c>
      <c r="O187" s="1174" t="n">
        <f aca="false">N187</f>
        <v>0</v>
      </c>
      <c r="P187" s="1175" t="n">
        <f aca="false">M187</f>
        <v>0</v>
      </c>
      <c r="Q187" s="1110" t="n">
        <f aca="false">P187</f>
        <v>0</v>
      </c>
      <c r="R187" s="1174" t="n">
        <f aca="false">Q187</f>
        <v>0</v>
      </c>
      <c r="S187" s="1110" t="n">
        <f aca="false">R187</f>
        <v>0</v>
      </c>
      <c r="T187" s="1110" t="n">
        <f aca="false">S187</f>
        <v>0</v>
      </c>
      <c r="U187" s="1110" t="n">
        <f aca="false">T187</f>
        <v>0</v>
      </c>
      <c r="V187" s="1175" t="n">
        <f aca="false">U187</f>
        <v>0</v>
      </c>
      <c r="W187" s="1110" t="n">
        <f aca="false">V187</f>
        <v>0</v>
      </c>
      <c r="X187" s="1176" t="n">
        <f aca="false">W187</f>
        <v>0</v>
      </c>
      <c r="Y187" s="1086" t="n">
        <v>0</v>
      </c>
      <c r="Z187" s="1086" t="n">
        <v>0</v>
      </c>
      <c r="AA187" s="1087" t="n">
        <v>0</v>
      </c>
      <c r="AB187" s="1086" t="n">
        <v>0</v>
      </c>
      <c r="AC187" s="1086" t="n">
        <v>0</v>
      </c>
      <c r="AD187" s="1087" t="n">
        <v>0</v>
      </c>
      <c r="AE187" s="1086" t="n">
        <v>0</v>
      </c>
      <c r="AF187" s="1086" t="n">
        <v>0</v>
      </c>
      <c r="AG187" s="1087" t="n">
        <v>0</v>
      </c>
      <c r="AH187" s="1086" t="n">
        <v>0</v>
      </c>
      <c r="AI187" s="1086" t="n">
        <v>0</v>
      </c>
      <c r="AJ187" s="1087" t="n">
        <v>0</v>
      </c>
      <c r="AK187" s="1086" t="n">
        <v>0</v>
      </c>
      <c r="AL187" s="1086" t="n">
        <v>0</v>
      </c>
      <c r="AM187" s="1087" t="n">
        <v>0</v>
      </c>
      <c r="AN187" s="1086" t="n">
        <v>0</v>
      </c>
      <c r="AO187" s="1086" t="n">
        <v>0</v>
      </c>
      <c r="AP187" s="1087" t="n">
        <v>0</v>
      </c>
      <c r="AQ187" s="1086" t="n">
        <v>0</v>
      </c>
      <c r="AR187" s="1086" t="n">
        <v>0</v>
      </c>
      <c r="AS187" s="1087" t="n">
        <v>0</v>
      </c>
      <c r="AT187" s="1086" t="n">
        <v>0</v>
      </c>
      <c r="AU187" s="1086" t="n">
        <v>0</v>
      </c>
      <c r="AV187" s="1086" t="n">
        <v>0</v>
      </c>
      <c r="AW187" s="1172" t="n">
        <v>0</v>
      </c>
      <c r="AX187" s="807" t="n">
        <f aca="false">BB187-SUM(AY187:BA187)</f>
        <v>21</v>
      </c>
      <c r="AY187" s="807" t="n">
        <f aca="false">IF(AND($E187=MONTH(Summary!$E$24),$D187=YEAR(Summary!$E$24)),Summary!$E$25,1)*IF(G187="",0,INT((H187-MOD(H187,7)-G187)/7)+1-IF(BA187,IF(WEEKDAY(F187)=7,1,0),0))</f>
        <v>5</v>
      </c>
      <c r="AZ187" s="807" t="n">
        <f aca="false">IF(AND($E187=MONTH(Summary!$E$24),$D187=YEAR(Summary!$E$24)),Summary!$E$25,1)*IF(G187="",0,INT((H187-MOD(H187-1,7)-G187)/7)+1-IF(BA187,IF(WEEKDAY(F187)=1,1,0),0))</f>
        <v>5</v>
      </c>
      <c r="BA187" s="807" t="n">
        <v>0</v>
      </c>
      <c r="BB187" s="807" t="n">
        <f aca="false">IF(AND($E187=MONTH(Summary!$E$24),$D187=YEAR(Summary!$E$24)),Summary!$E$25,1)*IF(G187="",0,H187-G187+1)</f>
        <v>31</v>
      </c>
      <c r="BC187" s="1089" t="n">
        <f aca="false">Summary!$E$19</f>
        <v>0.015</v>
      </c>
      <c r="BD187" s="1090" t="n">
        <v>14893.2</v>
      </c>
      <c r="BE187" s="1091" t="n">
        <v>3546</v>
      </c>
      <c r="BF187" s="1091" t="n">
        <v>3546</v>
      </c>
      <c r="BG187" s="842"/>
      <c r="BH187" s="1092" t="n">
        <v>1</v>
      </c>
      <c r="BI187" s="1092" t="n">
        <v>1</v>
      </c>
      <c r="BJ187" s="1092" t="n">
        <v>1</v>
      </c>
      <c r="BK187" s="1092" t="n">
        <v>1</v>
      </c>
      <c r="BL187" s="1093" t="n">
        <v>2978.64</v>
      </c>
      <c r="BM187" s="1091" t="n">
        <v>709.2</v>
      </c>
      <c r="BN187" s="1091" t="n">
        <v>709.2</v>
      </c>
      <c r="BO187" s="842"/>
      <c r="BP187" s="1092" t="n">
        <v>1</v>
      </c>
      <c r="BQ187" s="1094" t="n">
        <v>1</v>
      </c>
      <c r="BR187" s="1094" t="n">
        <v>1</v>
      </c>
      <c r="BS187" s="1095" t="n">
        <v>1</v>
      </c>
      <c r="BT187" s="1093" t="n">
        <f aca="false">SUM(BD187:BF187)</f>
        <v>21985.2</v>
      </c>
      <c r="BU187" s="1098" t="n">
        <f aca="false">SUM(BD187:BG187)</f>
        <v>21985.2</v>
      </c>
      <c r="BV187" s="1090" t="n">
        <f aca="false">SUM(BL187:BN187)</f>
        <v>4397.04</v>
      </c>
      <c r="BW187" s="1098" t="n">
        <f aca="false">SUM(BL187:BO187)</f>
        <v>4397.04</v>
      </c>
      <c r="BX187" s="852" t="n">
        <v>14.2094455852156</v>
      </c>
      <c r="BY187" s="1099" t="n">
        <v>0</v>
      </c>
      <c r="BZ187" s="852" t="n">
        <v>0</v>
      </c>
      <c r="CA187" s="852" t="n">
        <v>0</v>
      </c>
      <c r="CB187" s="852" t="n">
        <v>0</v>
      </c>
      <c r="CC187" s="852" t="n">
        <v>0</v>
      </c>
      <c r="CD187" s="852" t="n">
        <v>0</v>
      </c>
      <c r="CE187" s="1100" t="n">
        <v>0</v>
      </c>
      <c r="CF187" s="852" t="n">
        <v>0</v>
      </c>
      <c r="CG187" s="852" t="n">
        <v>0</v>
      </c>
      <c r="CH187" s="852" t="n">
        <v>0</v>
      </c>
      <c r="CI187" s="852" t="n">
        <v>0</v>
      </c>
      <c r="CJ187" s="1101" t="n">
        <v>0</v>
      </c>
      <c r="CK187" s="852" t="n">
        <v>0</v>
      </c>
      <c r="CL187" s="852" t="n">
        <v>0</v>
      </c>
      <c r="CM187" s="852" t="n">
        <v>0</v>
      </c>
      <c r="CN187" s="852" t="n">
        <v>0</v>
      </c>
      <c r="CO187" s="852" t="n">
        <v>0</v>
      </c>
      <c r="CP187" s="852" t="n">
        <v>0</v>
      </c>
      <c r="CQ187" s="1102" t="n">
        <v>0</v>
      </c>
      <c r="CR187" s="1103" t="n">
        <v>0</v>
      </c>
      <c r="CS187" s="1103" t="n">
        <v>0</v>
      </c>
      <c r="CT187" s="1103" t="n">
        <v>0</v>
      </c>
      <c r="CU187" s="1103" t="n">
        <v>0</v>
      </c>
      <c r="CV187" s="1103" t="n">
        <v>0</v>
      </c>
      <c r="CW187" s="1103" t="n">
        <v>0</v>
      </c>
      <c r="CX187" s="1104" t="n">
        <v>0</v>
      </c>
      <c r="CY187" s="1105" t="n">
        <v>7752.82576</v>
      </c>
      <c r="CZ187" s="1099" t="n">
        <v>0</v>
      </c>
      <c r="DA187" s="852" t="n">
        <v>0</v>
      </c>
      <c r="DB187" s="852" t="n">
        <v>0</v>
      </c>
      <c r="DC187" s="852" t="n">
        <v>0</v>
      </c>
      <c r="DD187" s="852" t="n">
        <v>0</v>
      </c>
      <c r="DE187" s="1113" t="n">
        <v>0</v>
      </c>
      <c r="DF187" s="1109" t="n">
        <v>0</v>
      </c>
      <c r="DG187" s="1110" t="n">
        <v>0</v>
      </c>
      <c r="DH187" s="1111" t="n">
        <v>0</v>
      </c>
      <c r="DI187" s="1112" t="n">
        <v>0</v>
      </c>
      <c r="DJ187" s="1112" t="n">
        <v>0</v>
      </c>
      <c r="DK187" s="1112" t="n">
        <v>0</v>
      </c>
      <c r="DL187" s="1113" t="n">
        <v>0</v>
      </c>
      <c r="DM187" s="1114" t="n">
        <v>0</v>
      </c>
      <c r="DN187" s="1114" t="n">
        <v>0</v>
      </c>
      <c r="DO187" s="1114" t="n">
        <v>0</v>
      </c>
      <c r="DP187" s="1114" t="n">
        <v>0</v>
      </c>
      <c r="DQ187" s="1114" t="n">
        <v>0</v>
      </c>
      <c r="DR187" s="1109" t="n">
        <v>0</v>
      </c>
      <c r="DS187" s="852" t="n">
        <v>0</v>
      </c>
      <c r="DT187" s="852" t="n">
        <v>0</v>
      </c>
      <c r="DU187" s="852" t="n">
        <v>0</v>
      </c>
      <c r="DV187" s="852" t="n">
        <v>0</v>
      </c>
      <c r="DW187" s="852" t="n">
        <v>0</v>
      </c>
      <c r="DX187" s="852" t="n">
        <v>0</v>
      </c>
      <c r="DY187" s="852" t="n">
        <v>0</v>
      </c>
      <c r="DZ187" s="852" t="n">
        <v>0</v>
      </c>
      <c r="EA187" s="852" t="n">
        <v>0</v>
      </c>
      <c r="EB187" s="1113" t="n">
        <v>0</v>
      </c>
      <c r="EC187" s="1115" t="n">
        <f aca="false">DS187*BD187</f>
        <v>0</v>
      </c>
      <c r="ED187" s="1115" t="n">
        <f aca="false">DT187*BE187</f>
        <v>0</v>
      </c>
      <c r="EE187" s="1115" t="n">
        <f aca="false">DU187*BF187</f>
        <v>0</v>
      </c>
      <c r="EF187" s="1115" t="n">
        <f aca="false">DV187*BG187</f>
        <v>0</v>
      </c>
      <c r="EG187" s="1115" t="n">
        <f aca="false">DS187*BD187+DT187*BE187+DU187*BF187+DV187*BG187</f>
        <v>0</v>
      </c>
      <c r="EH187" s="1116" t="n">
        <v>0</v>
      </c>
      <c r="EI187" s="1117" t="n">
        <v>0</v>
      </c>
      <c r="EJ187" s="1117" t="n">
        <v>0</v>
      </c>
      <c r="EK187" s="1117" t="n">
        <v>0</v>
      </c>
      <c r="EL187" s="1118" t="n">
        <f aca="false">IF(C187&gt;=Summary!$E$26,MAX(0,SUM(EH187:EK187)),0)</f>
        <v>0</v>
      </c>
      <c r="EM187" s="1115" t="n">
        <f aca="false">IF(C187&gt;=Summary!$E$26,DX187*BL187,0)</f>
        <v>0</v>
      </c>
      <c r="EN187" s="1115" t="n">
        <f aca="false">IF(C187&gt;=Summary!$E$26,DY187*BM187,0)</f>
        <v>0</v>
      </c>
      <c r="EO187" s="1115" t="n">
        <f aca="false">IF(C187&gt;=Summary!$E$26,DZ187*BN187,0)</f>
        <v>0</v>
      </c>
      <c r="EP187" s="1115" t="n">
        <f aca="false">IF(C187&gt;=Summary!$E$26,EA187*BO187,0)</f>
        <v>0</v>
      </c>
      <c r="EQ187" s="1115" t="n">
        <f aca="false">IF(C187&gt;=Summary!$E$26,DX187*BL187+DY187*BM187+DZ187*BN187+EA187*BO187,0)</f>
        <v>0</v>
      </c>
      <c r="ER187" s="1119" t="n">
        <v>0</v>
      </c>
      <c r="ES187" s="1120" t="n">
        <v>0</v>
      </c>
      <c r="ET187" s="1120" t="n">
        <v>0</v>
      </c>
      <c r="EU187" s="1120" t="n">
        <v>0</v>
      </c>
      <c r="EV187" s="1143" t="n">
        <f aca="false">IF(C187&gt;=Summary!$E$26,MAX(0,SUM(ER187:EU187)),0)</f>
        <v>0</v>
      </c>
      <c r="EW187" s="1115"/>
      <c r="EX187" s="1165" t="n">
        <f aca="false">(EQ187-EV187)+IF(EZ187="Yes",(EG187-EL187),0)</f>
        <v>0</v>
      </c>
      <c r="EY187" s="1166" t="str">
        <f aca="false">IF(EX187,EX187/EQ187,"")</f>
        <v/>
      </c>
      <c r="EZ187" s="1122" t="s">
        <v>37</v>
      </c>
      <c r="FA187" s="1096" t="n">
        <f aca="false">FA186</f>
        <v>45</v>
      </c>
      <c r="FB187" s="1167" t="n">
        <f aca="false">IF(EZ187="No",IF((OR(MONTH(C187)=5,MONTH(C187)=6,MONTH(C187)=7,MONTH(C187)=8,MONTH(C187)=9)),$FA187*12*AX187*(1-$BC187),$FA187*10*AX187*(1-$BC187)),0)</f>
        <v>9308.25</v>
      </c>
      <c r="FC187" s="1129" t="n">
        <f aca="false">IF(EZ187="No",IF((OR(MONTH(C187)=5,MONTH(C187)=6,MONTH(C187)=7,MONTH(C187)=8,MONTH(C187)=9)),0,$FA187*3*AX187*(1-$BC187)),0)</f>
        <v>2792.475</v>
      </c>
      <c r="FD187" s="1129" t="n">
        <f aca="false">IF(EZ187="No",IF((OR(MONTH(C187)=5,MONTH(C187)=6,MONTH(C187)=7,MONTH(C187)=8,MONTH(C187)=9)),$FA187*12*AY187*(1-$BC187),$FA187*10*AY187*(1-$BC187)),0)</f>
        <v>2216.25</v>
      </c>
      <c r="FE187" s="1129" t="n">
        <f aca="false">IF(EZ187="No",IF((OR(MONTH(C187)=5,MONTH(C187)=6,MONTH(C187)=7,MONTH(C187)=8,MONTH(C187)=9)),0,$FA187*3*AY187*(1-$BC187)),0)</f>
        <v>664.875</v>
      </c>
      <c r="FF187" s="1129" t="n">
        <f aca="false">IF(EZ187="No",IF((OR(MONTH(C187)=5,MONTH(C187)=6,MONTH(C187)=7,MONTH(C187)=8,MONTH(C187)=9)),$FA187*12*(AZ187+BA187)*(1-$BC187),$FA187*10*(AZ187+BA187)*(1-$BC187)),0)</f>
        <v>2216.25</v>
      </c>
      <c r="FG187" s="1129" t="n">
        <f aca="false">IF(EZ187="No",IF((OR(MONTH(C187)=5,MONTH(C187)=6,MONTH(C187)=7,MONTH(C187)=8,MONTH(C187)=9)),0,$FA187*3*(AZ187+BA187)*(1-$BC187)),0)</f>
        <v>664.875</v>
      </c>
      <c r="FH187" s="1170" t="n">
        <f aca="false">IF(EZ187="No",IF((OR(MONTH(C187)=5,MONTH(C187)=6,MONTH(C187)=7,MONTH(C187)=8,MONTH(C187)=9)),Summary!$O$15*12*(AX187+AY187+AZ187+BA187)*(1-$BC187),Summary!$O$15*13*(AX187+AY187+AZ187+BA187)*(1-$BC187)+IF(Summary!$O$16="Yes",(CALC!FA187+Summary!$O$15)*6*(AX187+AY187+AZ187+BA187)*(1-$BC187),0)),0)</f>
        <v>0</v>
      </c>
      <c r="FI187" s="1126" t="n">
        <f aca="false">IF(MONTH(C187)=5,FI186*(IF(Summary!$E$70="no",(1+(Summary!$E$71*0.8)),1+HLOOKUP(YEAR(C187)-1,CCFMODEL!$I$127:$AF$128,2)*0.8)),+FI186)</f>
        <v>37.0785775054311</v>
      </c>
      <c r="FJ187" s="1127" t="n">
        <f aca="false">IF(MONTH(C187)=5,FJ186*(IF(Summary!$E$70="no",(1+(Summary!$E$71*0.8)),1+HLOOKUP(YEAR(CALC!C187)-1,CCFMODEL!$I$127:$AF$128,2)*0.8)),FJ186)</f>
        <v>32.4072606543532</v>
      </c>
      <c r="FK187" s="1128" t="n">
        <f aca="false">SUM(FB187:FG187)*FI187+FH187*FJ187</f>
        <v>662333.703015078</v>
      </c>
      <c r="FL187" s="1126" t="n">
        <f aca="false">IF(MONTH(C187)=5,FL186*(IF(Summary!$E$70="no",(1+(Summary!$E$71*0.8)),1+HLOOKUP(YEAR(CALC!C187)-1,CCFMODEL!$I$127:$AF$128,2)*0.8)),+FL186)</f>
        <v>77.9804054098099</v>
      </c>
      <c r="FM187" s="1127" t="n">
        <f aca="false">IF(MONTH(C187)=5,FM186*(IF(Summary!$E$70="no",(1+(Summary!$E$71*0.8)),1+HLOOKUP(YEAR(CALC!C187)-1,CCFMODEL!$I$127:$AF$128,2)*0.8)),+FM186)</f>
        <v>37.2176047926656</v>
      </c>
      <c r="FN187" s="1128" t="n">
        <f aca="false">IF((OR(MONTH(C187)=5,MONTH(C187)=6,MONTH(C187)=7,MONTH(C187)=8,MONTH(C187)=9)),SUM(FB187:FG187)/(1-BC187)*FL187,SUM(FB187:FG187)/(1-BC187)*FM187)</f>
        <v>674941.26291499</v>
      </c>
      <c r="FO187" s="1129" t="n">
        <f aca="false">FK187+FN187</f>
        <v>1337274.96593007</v>
      </c>
      <c r="FP187" s="1169" t="n">
        <f aca="false">FB187</f>
        <v>9308.25</v>
      </c>
      <c r="FQ187" s="1129" t="n">
        <f aca="false">FC187</f>
        <v>2792.475</v>
      </c>
      <c r="FR187" s="1129" t="n">
        <f aca="false">FD187</f>
        <v>2216.25</v>
      </c>
      <c r="FS187" s="1129" t="n">
        <f aca="false">FE187</f>
        <v>664.875</v>
      </c>
      <c r="FT187" s="1129" t="n">
        <f aca="false">FF187</f>
        <v>2216.25</v>
      </c>
      <c r="FU187" s="1129" t="n">
        <f aca="false">FG187</f>
        <v>664.875</v>
      </c>
      <c r="FV187" s="1170" t="n">
        <f aca="false">FH187</f>
        <v>0</v>
      </c>
      <c r="FW187" s="1115" t="n">
        <f aca="false">IF(ER187&gt;0,MIN(FB187-FP187,BL187),0)</f>
        <v>0</v>
      </c>
      <c r="FX187" s="1115" t="n">
        <f aca="false">IF(ES187&gt;0,MIN(FD187-FR187,BM187),0)</f>
        <v>0</v>
      </c>
      <c r="FY187" s="1115" t="n">
        <f aca="false">IF(ET187&gt;0,MIN(FF187-FT187,BN187),0)</f>
        <v>0</v>
      </c>
      <c r="FZ187" s="1143" t="n">
        <f aca="false">IF(EU187&gt;0,MIN(FH187-FV187,BO187),0)</f>
        <v>0</v>
      </c>
      <c r="GA187" s="1132" t="n">
        <f aca="false">(SUM(FP187:FV187)+SUM(GU187:HB187)/(1-Summary!$O$25))*CY187/1000</f>
        <v>236495.802047018</v>
      </c>
      <c r="GB187" s="1133" t="n">
        <f aca="false">IF($C187&lt;Summary!$M$81,+Summary!$O$81,VLOOKUP(C187,GasTable,19))</f>
        <v>3.36488405309789</v>
      </c>
      <c r="GC187" s="1134" t="n">
        <f aca="false">IF(H187&lt;=Summary!$N$84,MIN(GA187,Summary!$O$75*(H187-G187+1)),0)</f>
        <v>0</v>
      </c>
      <c r="GD187" s="1135" t="n">
        <f aca="false">IF(C187&lt;Summary!$N$84,IF(Summary!$O$75*(H187-G187+1)*0.8&gt;GC187,1,0),0)</f>
        <v>0</v>
      </c>
      <c r="GE187" s="1136" t="n">
        <v>0</v>
      </c>
      <c r="GF187" s="1134" t="n">
        <f aca="false">ABS(MIN(0,GC187-$GA187))</f>
        <v>236495.802047018</v>
      </c>
      <c r="GG187" s="1135" t="n">
        <f aca="false">GF187*(IF(Summary!$O$74=1,VLOOKUP($C187,GasTable,16)+Summary!$O$92+Summary!$O$93,VLOOKUP($C187,GasTable,19)+Summary!$O$92+Summary!$O$93))</f>
        <v>808102.384219257</v>
      </c>
      <c r="GH187" s="1137" t="n">
        <v>5215.57028230173</v>
      </c>
      <c r="GI187" s="1138" t="n">
        <v>0</v>
      </c>
      <c r="GJ187" s="1139" t="n">
        <f aca="false">+GB187*GC187+GE187+GG187+GH187-GI187</f>
        <v>813317.954501558</v>
      </c>
      <c r="GK187" s="1115" t="n">
        <f aca="false">SUM(FP187:FV187,GU187:GX187,GY187:HB187)</f>
        <v>30062.01285</v>
      </c>
      <c r="GL187" s="1140" t="n">
        <v>0.51943932592</v>
      </c>
      <c r="GM187" s="1141" t="n">
        <f aca="false">IF(GK187&gt;GC187/(CY187/1000),GC187/(CY187/1000),+GK187)*GL187</f>
        <v>0</v>
      </c>
      <c r="GN187" s="1115" t="n">
        <f aca="false">IF(SUM(GU187:HB187)=0,0,IF(Summary!$O$16="Yes",SUM(GX187:HB187),IF(Summary!$O$17="Yes",SUM(GY187:HB187),SUM(GU187:HB187))))</f>
        <v>12199.03785</v>
      </c>
      <c r="GO187" s="1142" t="n">
        <v>3.59924589309593</v>
      </c>
      <c r="GP187" s="1143" t="n">
        <f aca="false">GN187*GO187</f>
        <v>43907.3368813343</v>
      </c>
      <c r="GQ187" s="1115"/>
      <c r="GR187" s="1115"/>
      <c r="GS187" s="1115"/>
      <c r="GT187" s="1115"/>
      <c r="GU187" s="1150" t="n">
        <v>5389.47675</v>
      </c>
      <c r="GV187" s="1115" t="n">
        <v>1283.20875</v>
      </c>
      <c r="GW187" s="1115" t="n">
        <v>1283.20875</v>
      </c>
      <c r="GX187" s="1115"/>
      <c r="GY187" s="1151" t="n">
        <v>2874.3876</v>
      </c>
      <c r="GZ187" s="1115" t="n">
        <v>684.378</v>
      </c>
      <c r="HA187" s="1115" t="n">
        <v>684.378</v>
      </c>
      <c r="HB187" s="1141"/>
      <c r="HC187" s="1115" t="n">
        <v>12199.03785</v>
      </c>
      <c r="HD187" s="1115"/>
      <c r="HE187" s="1115" t="n">
        <v>20950.521525</v>
      </c>
      <c r="HF187" s="1115" t="n">
        <v>483006.053332672</v>
      </c>
      <c r="HG187" s="1115"/>
      <c r="HH187" s="1142" t="n">
        <v>38.9440324633826</v>
      </c>
      <c r="HI187" s="1115" t="n">
        <v>815897.790394397</v>
      </c>
      <c r="HJ187" s="1150" t="n">
        <f aca="false">MAX(FB187-FP187-FW187,0)</f>
        <v>0</v>
      </c>
      <c r="HK187" s="1115" t="n">
        <f aca="false">MAX(FD187-FR187-FX187,0)</f>
        <v>0</v>
      </c>
      <c r="HL187" s="1115" t="n">
        <f aca="false">MAX(FF187-FT187-FY187,0)</f>
        <v>0</v>
      </c>
      <c r="HM187" s="1141" t="n">
        <f aca="false">MAX(FH187-FV187-FZ187,0)</f>
        <v>0</v>
      </c>
      <c r="HN187" s="1115" t="n">
        <f aca="false">SUM(HJ187:HM187)</f>
        <v>0</v>
      </c>
      <c r="HO187" s="1142" t="n">
        <f aca="false">IF(ISERROR(+HP187/HN187),0,+HP187/HN187)</f>
        <v>0</v>
      </c>
      <c r="HP187" s="1143" t="n">
        <f aca="false">(HJ187*CE187+HK187*CF187+HL187*CG187+HM187*CH187)</f>
        <v>0</v>
      </c>
      <c r="HQ187" s="1146"/>
      <c r="HR187" s="1150"/>
      <c r="HS187" s="1110"/>
      <c r="HT187" s="1141"/>
      <c r="HU187" s="1150"/>
      <c r="HV187" s="1200"/>
      <c r="HW187" s="1141"/>
      <c r="HX187" s="1200"/>
      <c r="HY187" s="1200"/>
      <c r="HZ187" s="0"/>
      <c r="IA187" s="1142"/>
      <c r="IB187" s="1142"/>
      <c r="IC187" s="1142"/>
      <c r="ID187" s="1142"/>
      <c r="IE187" s="1142"/>
      <c r="IF187" s="1142"/>
      <c r="IG187" s="1142"/>
      <c r="IH187" s="1142"/>
      <c r="II187" s="1142"/>
      <c r="IJ187" s="1142"/>
      <c r="IK187" s="1142"/>
      <c r="IL187" s="1190"/>
      <c r="IM187" s="222"/>
      <c r="IN187" s="222"/>
      <c r="IR187" s="844"/>
    </row>
    <row r="188" customFormat="false" ht="13.5" hidden="false" customHeight="false" outlineLevel="0" collapsed="false">
      <c r="A188" s="0" t="str">
        <f aca="false">+D188&amp;"Q"&amp;ROUNDUP(E188/3,0)</f>
        <v>2014Q2</v>
      </c>
      <c r="B188" s="0" t="n">
        <f aca="false">YEAR(C188)</f>
        <v>2014</v>
      </c>
      <c r="C188" s="1153" t="n">
        <f aca="false">EOMONTH(C187,0)+1</f>
        <v>41730</v>
      </c>
      <c r="D188" s="841" t="n">
        <f aca="false">+YEAR(C188)</f>
        <v>2014</v>
      </c>
      <c r="E188" s="807" t="n">
        <f aca="false">MONTH(C188)</f>
        <v>4</v>
      </c>
      <c r="F188" s="1154" t="e">
        <f aca="false">IF(G188="","",Holiday(D188,E188))</f>
        <v>#VALUE!</v>
      </c>
      <c r="G188" s="1155" t="n">
        <v>41730</v>
      </c>
      <c r="H188" s="1156" t="n">
        <v>41759</v>
      </c>
      <c r="I188" s="1157" t="n">
        <f aca="false">I187</f>
        <v>0.0715</v>
      </c>
      <c r="J188" s="1158" t="n">
        <f aca="false">(1+I188/2)^(-2*(DATE(D189,E189,20)-$H$7)/365.25)</f>
        <v>0.362901650624258</v>
      </c>
      <c r="K188" s="1159"/>
      <c r="L188" s="1158"/>
      <c r="M188" s="1082" t="n">
        <v>0</v>
      </c>
      <c r="N188" s="1110" t="n">
        <f aca="false">M188</f>
        <v>0</v>
      </c>
      <c r="O188" s="1174" t="n">
        <f aca="false">N188</f>
        <v>0</v>
      </c>
      <c r="P188" s="1175" t="n">
        <f aca="false">M188</f>
        <v>0</v>
      </c>
      <c r="Q188" s="1110" t="n">
        <f aca="false">P188</f>
        <v>0</v>
      </c>
      <c r="R188" s="1174" t="n">
        <f aca="false">Q188</f>
        <v>0</v>
      </c>
      <c r="S188" s="1110" t="n">
        <f aca="false">R188</f>
        <v>0</v>
      </c>
      <c r="T188" s="1110" t="n">
        <f aca="false">S188</f>
        <v>0</v>
      </c>
      <c r="U188" s="1110" t="n">
        <f aca="false">T188</f>
        <v>0</v>
      </c>
      <c r="V188" s="1175" t="n">
        <f aca="false">U188</f>
        <v>0</v>
      </c>
      <c r="W188" s="1110" t="n">
        <f aca="false">V188</f>
        <v>0</v>
      </c>
      <c r="X188" s="1176" t="n">
        <f aca="false">W188</f>
        <v>0</v>
      </c>
      <c r="Y188" s="1086" t="n">
        <v>0</v>
      </c>
      <c r="Z188" s="1086" t="n">
        <v>0</v>
      </c>
      <c r="AA188" s="1087" t="n">
        <v>0</v>
      </c>
      <c r="AB188" s="1086" t="n">
        <v>0</v>
      </c>
      <c r="AC188" s="1086" t="n">
        <v>0</v>
      </c>
      <c r="AD188" s="1087" t="n">
        <v>0</v>
      </c>
      <c r="AE188" s="1086" t="n">
        <v>0</v>
      </c>
      <c r="AF188" s="1086" t="n">
        <v>0</v>
      </c>
      <c r="AG188" s="1087" t="n">
        <v>0</v>
      </c>
      <c r="AH188" s="1086" t="n">
        <v>0</v>
      </c>
      <c r="AI188" s="1086" t="n">
        <v>0</v>
      </c>
      <c r="AJ188" s="1087" t="n">
        <v>0</v>
      </c>
      <c r="AK188" s="1086" t="n">
        <v>0</v>
      </c>
      <c r="AL188" s="1086" t="n">
        <v>0</v>
      </c>
      <c r="AM188" s="1087" t="n">
        <v>0</v>
      </c>
      <c r="AN188" s="1086" t="n">
        <v>0</v>
      </c>
      <c r="AO188" s="1086" t="n">
        <v>0</v>
      </c>
      <c r="AP188" s="1087" t="n">
        <v>0</v>
      </c>
      <c r="AQ188" s="1086" t="n">
        <v>0</v>
      </c>
      <c r="AR188" s="1086" t="n">
        <v>0</v>
      </c>
      <c r="AS188" s="1087" t="n">
        <v>0</v>
      </c>
      <c r="AT188" s="1086" t="n">
        <v>0</v>
      </c>
      <c r="AU188" s="1086" t="n">
        <v>0</v>
      </c>
      <c r="AV188" s="1086" t="n">
        <v>0</v>
      </c>
      <c r="AW188" s="1172" t="n">
        <v>0</v>
      </c>
      <c r="AX188" s="807" t="n">
        <f aca="false">BB188-SUM(AY188:BA188)</f>
        <v>22</v>
      </c>
      <c r="AY188" s="807" t="n">
        <f aca="false">IF(AND($E188=MONTH(Summary!$E$24),$D188=YEAR(Summary!$E$24)),Summary!$E$25,1)*IF(G188="",0,INT((H188-MOD(H188,7)-G188)/7)+1-IF(BA188,IF(WEEKDAY(F188)=7,1,0),0))</f>
        <v>4</v>
      </c>
      <c r="AZ188" s="807" t="n">
        <f aca="false">IF(AND($E188=MONTH(Summary!$E$24),$D188=YEAR(Summary!$E$24)),Summary!$E$25,1)*IF(G188="",0,INT((H188-MOD(H188-1,7)-G188)/7)+1-IF(BA188,IF(WEEKDAY(F188)=1,1,0),0))</f>
        <v>4</v>
      </c>
      <c r="BA188" s="807" t="n">
        <v>0</v>
      </c>
      <c r="BB188" s="807" t="n">
        <f aca="false">IF(AND($E188=MONTH(Summary!$E$24),$D188=YEAR(Summary!$E$24)),Summary!$E$25,1)*IF(G188="",0,H188-G188+1)</f>
        <v>30</v>
      </c>
      <c r="BC188" s="1089" t="n">
        <f aca="false">Summary!$E$19</f>
        <v>0.015</v>
      </c>
      <c r="BD188" s="1090" t="n">
        <v>15602.4</v>
      </c>
      <c r="BE188" s="1091" t="n">
        <v>2836.8</v>
      </c>
      <c r="BF188" s="1091" t="n">
        <v>2836.8</v>
      </c>
      <c r="BG188" s="842"/>
      <c r="BH188" s="1092" t="n">
        <v>1</v>
      </c>
      <c r="BI188" s="1092" t="n">
        <v>1</v>
      </c>
      <c r="BJ188" s="1092" t="n">
        <v>1</v>
      </c>
      <c r="BK188" s="1092" t="n">
        <v>1</v>
      </c>
      <c r="BL188" s="1093" t="n">
        <v>3120.48</v>
      </c>
      <c r="BM188" s="1091" t="n">
        <v>567.36</v>
      </c>
      <c r="BN188" s="1091" t="n">
        <v>567.36</v>
      </c>
      <c r="BO188" s="842"/>
      <c r="BP188" s="1092" t="n">
        <v>1</v>
      </c>
      <c r="BQ188" s="1094" t="n">
        <v>1</v>
      </c>
      <c r="BR188" s="1094" t="n">
        <v>1</v>
      </c>
      <c r="BS188" s="1095" t="n">
        <v>1</v>
      </c>
      <c r="BT188" s="1093" t="n">
        <f aca="false">SUM(BD188:BF188)</f>
        <v>21276</v>
      </c>
      <c r="BU188" s="1098" t="n">
        <f aca="false">SUM(BD188:BG188)</f>
        <v>21276</v>
      </c>
      <c r="BV188" s="1090" t="n">
        <f aca="false">SUM(BL188:BN188)</f>
        <v>4255.2</v>
      </c>
      <c r="BW188" s="1098" t="n">
        <f aca="false">SUM(BL188:BO188)</f>
        <v>4255.2</v>
      </c>
      <c r="BX188" s="852" t="n">
        <v>14.2943189596167</v>
      </c>
      <c r="BY188" s="1099" t="n">
        <v>0</v>
      </c>
      <c r="BZ188" s="852" t="n">
        <v>0</v>
      </c>
      <c r="CA188" s="852" t="n">
        <v>0</v>
      </c>
      <c r="CB188" s="852" t="n">
        <v>0</v>
      </c>
      <c r="CC188" s="852" t="n">
        <v>0</v>
      </c>
      <c r="CD188" s="852" t="n">
        <v>0</v>
      </c>
      <c r="CE188" s="1100" t="n">
        <v>0</v>
      </c>
      <c r="CF188" s="852" t="n">
        <v>0</v>
      </c>
      <c r="CG188" s="852" t="n">
        <v>0</v>
      </c>
      <c r="CH188" s="852" t="n">
        <v>0</v>
      </c>
      <c r="CI188" s="852" t="n">
        <v>0</v>
      </c>
      <c r="CJ188" s="1101" t="n">
        <v>0</v>
      </c>
      <c r="CK188" s="852" t="n">
        <v>0</v>
      </c>
      <c r="CL188" s="852" t="n">
        <v>0</v>
      </c>
      <c r="CM188" s="852" t="n">
        <v>0</v>
      </c>
      <c r="CN188" s="852" t="n">
        <v>0</v>
      </c>
      <c r="CO188" s="852" t="n">
        <v>0</v>
      </c>
      <c r="CP188" s="852" t="n">
        <v>0</v>
      </c>
      <c r="CQ188" s="1102" t="n">
        <v>0</v>
      </c>
      <c r="CR188" s="1103" t="n">
        <v>0</v>
      </c>
      <c r="CS188" s="1103" t="n">
        <v>0</v>
      </c>
      <c r="CT188" s="1103" t="n">
        <v>0</v>
      </c>
      <c r="CU188" s="1103" t="n">
        <v>0</v>
      </c>
      <c r="CV188" s="1103" t="n">
        <v>0</v>
      </c>
      <c r="CW188" s="1103" t="n">
        <v>0</v>
      </c>
      <c r="CX188" s="1104" t="n">
        <v>0</v>
      </c>
      <c r="CY188" s="1105" t="n">
        <v>7754.12864</v>
      </c>
      <c r="CZ188" s="1099" t="n">
        <v>0</v>
      </c>
      <c r="DA188" s="852" t="n">
        <v>0</v>
      </c>
      <c r="DB188" s="852" t="n">
        <v>0</v>
      </c>
      <c r="DC188" s="852" t="n">
        <v>0</v>
      </c>
      <c r="DD188" s="852" t="n">
        <v>0</v>
      </c>
      <c r="DE188" s="1113" t="n">
        <v>0</v>
      </c>
      <c r="DF188" s="1109" t="n">
        <v>0</v>
      </c>
      <c r="DG188" s="1110" t="n">
        <v>0</v>
      </c>
      <c r="DH188" s="1111" t="n">
        <v>0</v>
      </c>
      <c r="DI188" s="1112" t="n">
        <v>0</v>
      </c>
      <c r="DJ188" s="1112" t="n">
        <v>0</v>
      </c>
      <c r="DK188" s="1112" t="n">
        <v>0</v>
      </c>
      <c r="DL188" s="1113" t="n">
        <v>0</v>
      </c>
      <c r="DM188" s="1114" t="n">
        <v>0</v>
      </c>
      <c r="DN188" s="1114" t="n">
        <v>0</v>
      </c>
      <c r="DO188" s="1114" t="n">
        <v>0</v>
      </c>
      <c r="DP188" s="1114" t="n">
        <v>0</v>
      </c>
      <c r="DQ188" s="1114" t="n">
        <v>0</v>
      </c>
      <c r="DR188" s="1109" t="n">
        <v>0</v>
      </c>
      <c r="DS188" s="852" t="n">
        <v>0</v>
      </c>
      <c r="DT188" s="852" t="n">
        <v>0</v>
      </c>
      <c r="DU188" s="852" t="n">
        <v>0</v>
      </c>
      <c r="DV188" s="852" t="n">
        <v>0</v>
      </c>
      <c r="DW188" s="852" t="n">
        <v>0</v>
      </c>
      <c r="DX188" s="852" t="n">
        <v>0</v>
      </c>
      <c r="DY188" s="852" t="n">
        <v>0</v>
      </c>
      <c r="DZ188" s="852" t="n">
        <v>0</v>
      </c>
      <c r="EA188" s="852" t="n">
        <v>0</v>
      </c>
      <c r="EB188" s="1113" t="n">
        <v>0</v>
      </c>
      <c r="EC188" s="1115" t="n">
        <f aca="false">DS188*BD188</f>
        <v>0</v>
      </c>
      <c r="ED188" s="1115" t="n">
        <f aca="false">DT188*BE188</f>
        <v>0</v>
      </c>
      <c r="EE188" s="1115" t="n">
        <f aca="false">DU188*BF188</f>
        <v>0</v>
      </c>
      <c r="EF188" s="1115" t="n">
        <f aca="false">DV188*BG188</f>
        <v>0</v>
      </c>
      <c r="EG188" s="1115" t="n">
        <f aca="false">DS188*BD188+DT188*BE188+DU188*BF188+DV188*BG188</f>
        <v>0</v>
      </c>
      <c r="EH188" s="1116" t="n">
        <v>0</v>
      </c>
      <c r="EI188" s="1117" t="n">
        <v>0</v>
      </c>
      <c r="EJ188" s="1117" t="n">
        <v>0</v>
      </c>
      <c r="EK188" s="1117" t="n">
        <v>0</v>
      </c>
      <c r="EL188" s="1118" t="n">
        <f aca="false">IF(C188&gt;=Summary!$E$26,MAX(0,SUM(EH188:EK188)),0)</f>
        <v>0</v>
      </c>
      <c r="EM188" s="1115" t="n">
        <f aca="false">IF(C188&gt;=Summary!$E$26,DX188*BL188,0)</f>
        <v>0</v>
      </c>
      <c r="EN188" s="1115" t="n">
        <f aca="false">IF(C188&gt;=Summary!$E$26,DY188*BM188,0)</f>
        <v>0</v>
      </c>
      <c r="EO188" s="1115" t="n">
        <f aca="false">IF(C188&gt;=Summary!$E$26,DZ188*BN188,0)</f>
        <v>0</v>
      </c>
      <c r="EP188" s="1115" t="n">
        <f aca="false">IF(C188&gt;=Summary!$E$26,EA188*BO188,0)</f>
        <v>0</v>
      </c>
      <c r="EQ188" s="1115" t="n">
        <f aca="false">IF(C188&gt;=Summary!$E$26,DX188*BL188+DY188*BM188+DZ188*BN188+EA188*BO188,0)</f>
        <v>0</v>
      </c>
      <c r="ER188" s="1119" t="n">
        <v>0</v>
      </c>
      <c r="ES188" s="1120" t="n">
        <v>0</v>
      </c>
      <c r="ET188" s="1120" t="n">
        <v>0</v>
      </c>
      <c r="EU188" s="1120" t="n">
        <v>0</v>
      </c>
      <c r="EV188" s="1143" t="n">
        <f aca="false">IF(C188&gt;=Summary!$E$26,MAX(0,SUM(ER188:EU188)),0)</f>
        <v>0</v>
      </c>
      <c r="EW188" s="1115"/>
      <c r="EX188" s="1165" t="n">
        <f aca="false">(EQ188-EV188)+IF(EZ188="Yes",(EG188-EL188),0)</f>
        <v>0</v>
      </c>
      <c r="EY188" s="1166" t="str">
        <f aca="false">IF(EX188,EX188/EQ188,"")</f>
        <v/>
      </c>
      <c r="EZ188" s="1122" t="s">
        <v>37</v>
      </c>
      <c r="FA188" s="1096" t="n">
        <f aca="false">FA187</f>
        <v>45</v>
      </c>
      <c r="FB188" s="1167" t="n">
        <f aca="false">IF(EZ188="No",IF((OR(MONTH(C188)=5,MONTH(C188)=6,MONTH(C188)=7,MONTH(C188)=8,MONTH(C188)=9)),$FA188*12*AX188*(1-$BC188),$FA188*10*AX188*(1-$BC188)),0)</f>
        <v>9751.5</v>
      </c>
      <c r="FC188" s="1129" t="n">
        <f aca="false">IF(EZ188="No",IF((OR(MONTH(C188)=5,MONTH(C188)=6,MONTH(C188)=7,MONTH(C188)=8,MONTH(C188)=9)),0,$FA188*3*AX188*(1-$BC188)),0)</f>
        <v>2925.45</v>
      </c>
      <c r="FD188" s="1129" t="n">
        <f aca="false">IF(EZ188="No",IF((OR(MONTH(C188)=5,MONTH(C188)=6,MONTH(C188)=7,MONTH(C188)=8,MONTH(C188)=9)),$FA188*12*AY188*(1-$BC188),$FA188*10*AY188*(1-$BC188)),0)</f>
        <v>1773</v>
      </c>
      <c r="FE188" s="1129" t="n">
        <f aca="false">IF(EZ188="No",IF((OR(MONTH(C188)=5,MONTH(C188)=6,MONTH(C188)=7,MONTH(C188)=8,MONTH(C188)=9)),0,$FA188*3*AY188*(1-$BC188)),0)</f>
        <v>531.9</v>
      </c>
      <c r="FF188" s="1129" t="n">
        <f aca="false">IF(EZ188="No",IF((OR(MONTH(C188)=5,MONTH(C188)=6,MONTH(C188)=7,MONTH(C188)=8,MONTH(C188)=9)),$FA188*12*(AZ188+BA188)*(1-$BC188),$FA188*10*(AZ188+BA188)*(1-$BC188)),0)</f>
        <v>1773</v>
      </c>
      <c r="FG188" s="1129" t="n">
        <f aca="false">IF(EZ188="No",IF((OR(MONTH(C188)=5,MONTH(C188)=6,MONTH(C188)=7,MONTH(C188)=8,MONTH(C188)=9)),0,$FA188*3*(AZ188+BA188)*(1-$BC188)),0)</f>
        <v>531.9</v>
      </c>
      <c r="FH188" s="1170" t="n">
        <f aca="false">IF(EZ188="No",IF((OR(MONTH(C188)=5,MONTH(C188)=6,MONTH(C188)=7,MONTH(C188)=8,MONTH(C188)=9)),Summary!$O$15*12*(AX188+AY188+AZ188+BA188)*(1-$BC188),Summary!$O$15*13*(AX188+AY188+AZ188+BA188)*(1-$BC188)+IF(Summary!$O$16="Yes",(CALC!FA188+Summary!$O$15)*6*(AX188+AY188+AZ188+BA188)*(1-$BC188),0)),0)</f>
        <v>0</v>
      </c>
      <c r="FI188" s="1126" t="n">
        <f aca="false">IF(MONTH(C188)=5,FI187*(IF(Summary!$E$70="no",(1+(Summary!$E$71*0.8)),1+HLOOKUP(YEAR(C188)-1,CCFMODEL!$I$127:$AF$128,2)*0.8)),+FI187)</f>
        <v>37.0785775054311</v>
      </c>
      <c r="FJ188" s="1127" t="n">
        <f aca="false">IF(MONTH(C188)=5,FJ187*(IF(Summary!$E$70="no",(1+(Summary!$E$71*0.8)),1+HLOOKUP(YEAR(CALC!C188)-1,CCFMODEL!$I$127:$AF$128,2)*0.8)),FJ187)</f>
        <v>32.4072606543532</v>
      </c>
      <c r="FK188" s="1128" t="n">
        <f aca="false">SUM(FB188:FG188)*FI188+FH188*FJ188</f>
        <v>640968.099692011</v>
      </c>
      <c r="FL188" s="1126" t="n">
        <f aca="false">IF(MONTH(C188)=5,FL187*(IF(Summary!$E$70="no",(1+(Summary!$E$71*0.8)),1+HLOOKUP(YEAR(CALC!C188)-1,CCFMODEL!$I$127:$AF$128,2)*0.8)),+FL187)</f>
        <v>77.9804054098099</v>
      </c>
      <c r="FM188" s="1127" t="n">
        <f aca="false">IF(MONTH(C188)=5,FM187*(IF(Summary!$E$70="no",(1+(Summary!$E$71*0.8)),1+HLOOKUP(YEAR(CALC!C188)-1,CCFMODEL!$I$127:$AF$128,2)*0.8)),+FM187)</f>
        <v>37.2176047926656</v>
      </c>
      <c r="FN188" s="1128" t="n">
        <f aca="false">IF((OR(MONTH(C188)=5,MONTH(C188)=6,MONTH(C188)=7,MONTH(C188)=8,MONTH(C188)=9)),SUM(FB188:FG188)/(1-BC188)*FL188,SUM(FB188:FG188)/(1-BC188)*FM188)</f>
        <v>653168.964111281</v>
      </c>
      <c r="FO188" s="1129" t="n">
        <f aca="false">FK188+FN188</f>
        <v>1294137.06380329</v>
      </c>
      <c r="FP188" s="1169" t="n">
        <f aca="false">FB188</f>
        <v>9751.5</v>
      </c>
      <c r="FQ188" s="1129" t="n">
        <f aca="false">FC188</f>
        <v>2925.45</v>
      </c>
      <c r="FR188" s="1129" t="n">
        <f aca="false">FD188</f>
        <v>1773</v>
      </c>
      <c r="FS188" s="1129" t="n">
        <f aca="false">FE188</f>
        <v>531.9</v>
      </c>
      <c r="FT188" s="1129" t="n">
        <f aca="false">FF188</f>
        <v>1773</v>
      </c>
      <c r="FU188" s="1129" t="n">
        <f aca="false">FG188</f>
        <v>531.9</v>
      </c>
      <c r="FV188" s="1170" t="n">
        <f aca="false">FH188</f>
        <v>0</v>
      </c>
      <c r="FW188" s="1115" t="n">
        <f aca="false">IF(ER188&gt;0,MIN(FB188-FP188,BL188),0)</f>
        <v>0</v>
      </c>
      <c r="FX188" s="1115" t="n">
        <f aca="false">IF(ES188&gt;0,MIN(FD188-FR188,BM188),0)</f>
        <v>0</v>
      </c>
      <c r="FY188" s="1115" t="n">
        <f aca="false">IF(ET188&gt;0,MIN(FF188-FT188,BN188),0)</f>
        <v>0</v>
      </c>
      <c r="FZ188" s="1143" t="n">
        <f aca="false">IF(EU188&gt;0,MIN(FH188-FV188,BO188),0)</f>
        <v>0</v>
      </c>
      <c r="GA188" s="1132" t="n">
        <f aca="false">(SUM(FP188:FV188)+SUM(GU188:HB188)/(1-Summary!$O$25))*CY188/1000</f>
        <v>228905.366810688</v>
      </c>
      <c r="GB188" s="1133" t="n">
        <f aca="false">IF($C188&lt;Summary!$M$81,+Summary!$O$81,VLOOKUP(C188,GasTable,19))</f>
        <v>3.26393512940722</v>
      </c>
      <c r="GC188" s="1134" t="n">
        <f aca="false">IF(H188&lt;=Summary!$N$84,MIN(GA188,Summary!$O$75*(H188-G188+1)),0)</f>
        <v>0</v>
      </c>
      <c r="GD188" s="1135" t="n">
        <f aca="false">IF(C188&lt;Summary!$N$84,IF(Summary!$O$75*(H188-G188+1)*0.8&gt;GC188,1,0),0)</f>
        <v>0</v>
      </c>
      <c r="GE188" s="1136" t="n">
        <v>0</v>
      </c>
      <c r="GF188" s="1134" t="n">
        <f aca="false">ABS(MIN(0,GC188-$GA188))</f>
        <v>228905.366810688</v>
      </c>
      <c r="GG188" s="1135" t="n">
        <f aca="false">GF188*(IF(Summary!$O$74=1,VLOOKUP($C188,GasTable,16)+Summary!$O$92+Summary!$O$93,VLOOKUP($C188,GasTable,19)+Summary!$O$92+Summary!$O$93))</f>
        <v>759058.237654086</v>
      </c>
      <c r="GH188" s="1137" t="n">
        <v>4895.90269411083</v>
      </c>
      <c r="GI188" s="1138" t="n">
        <v>0</v>
      </c>
      <c r="GJ188" s="1139" t="n">
        <f aca="false">+GB188*GC188+GE188+GG188+GH188-GI188</f>
        <v>763954.140348197</v>
      </c>
      <c r="GK188" s="1115" t="n">
        <f aca="false">SUM(FP188:FV188,GU188:GX188,GY188:HB188)</f>
        <v>29092.2705</v>
      </c>
      <c r="GL188" s="1140" t="n">
        <v>0.51952661888</v>
      </c>
      <c r="GM188" s="1141" t="n">
        <f aca="false">IF(GK188&gt;GC188/(CY188/1000),GC188/(CY188/1000),+GK188)*GL188</f>
        <v>0</v>
      </c>
      <c r="GN188" s="1115" t="n">
        <f aca="false">IF(SUM(GU188:HB188)=0,0,IF(Summary!$O$16="Yes",SUM(GX188:HB188),IF(Summary!$O$17="Yes",SUM(GY188:HB188),SUM(GU188:HB188))))</f>
        <v>11805.5205</v>
      </c>
      <c r="GO188" s="1142" t="n">
        <v>3.59924589309593</v>
      </c>
      <c r="GP188" s="1143" t="n">
        <f aca="false">GN188*GO188</f>
        <v>42490.9711754848</v>
      </c>
      <c r="GQ188" s="1115"/>
      <c r="GR188" s="1115"/>
      <c r="GS188" s="1115"/>
      <c r="GT188" s="1115"/>
      <c r="GU188" s="1150" t="n">
        <v>5646.1185</v>
      </c>
      <c r="GV188" s="1115" t="n">
        <v>1026.567</v>
      </c>
      <c r="GW188" s="1115" t="n">
        <v>1026.567</v>
      </c>
      <c r="GX188" s="1115"/>
      <c r="GY188" s="1151" t="n">
        <v>3011.2632</v>
      </c>
      <c r="GZ188" s="1115" t="n">
        <v>547.5024</v>
      </c>
      <c r="HA188" s="1115" t="n">
        <v>547.5024</v>
      </c>
      <c r="HB188" s="1141"/>
      <c r="HC188" s="1115" t="n">
        <v>11805.5205</v>
      </c>
      <c r="HD188" s="1115"/>
      <c r="HE188" s="1115" t="n">
        <v>20274.69825</v>
      </c>
      <c r="HF188" s="1115" t="n">
        <v>468575.043418393</v>
      </c>
      <c r="HG188" s="1115"/>
      <c r="HH188" s="1142" t="n">
        <v>38.9739758042615</v>
      </c>
      <c r="HI188" s="1115" t="n">
        <v>790185.599034203</v>
      </c>
      <c r="HJ188" s="1150" t="n">
        <f aca="false">MAX(FB188-FP188-FW188,0)</f>
        <v>0</v>
      </c>
      <c r="HK188" s="1115" t="n">
        <f aca="false">MAX(FD188-FR188-FX188,0)</f>
        <v>0</v>
      </c>
      <c r="HL188" s="1115" t="n">
        <f aca="false">MAX(FF188-FT188-FY188,0)</f>
        <v>0</v>
      </c>
      <c r="HM188" s="1141" t="n">
        <f aca="false">MAX(FH188-FV188-FZ188,0)</f>
        <v>0</v>
      </c>
      <c r="HN188" s="1115" t="n">
        <f aca="false">SUM(HJ188:HM188)</f>
        <v>0</v>
      </c>
      <c r="HO188" s="1142" t="n">
        <f aca="false">IF(ISERROR(+HP188/HN188),0,+HP188/HN188)</f>
        <v>0</v>
      </c>
      <c r="HP188" s="1143" t="n">
        <f aca="false">(HJ188*CE188+HK188*CF188+HL188*CG188+HM188*CH188)</f>
        <v>0</v>
      </c>
      <c r="HQ188" s="1146"/>
      <c r="HR188" s="1150"/>
      <c r="HS188" s="1110"/>
      <c r="HT188" s="1141"/>
      <c r="HU188" s="1150"/>
      <c r="HV188" s="1200"/>
      <c r="HW188" s="1141"/>
      <c r="HX188" s="1200"/>
      <c r="HY188" s="1200"/>
      <c r="HZ188" s="0"/>
      <c r="IA188" s="1142"/>
      <c r="IB188" s="1142"/>
      <c r="IC188" s="1142"/>
      <c r="ID188" s="1142"/>
      <c r="IE188" s="1142"/>
      <c r="IF188" s="1142"/>
      <c r="IG188" s="1142"/>
      <c r="IH188" s="1142"/>
      <c r="II188" s="1142"/>
      <c r="IJ188" s="1142"/>
      <c r="IK188" s="1142"/>
      <c r="IL188" s="1190"/>
      <c r="IM188" s="222"/>
      <c r="IN188" s="222"/>
      <c r="IR188" s="844"/>
    </row>
    <row r="189" customFormat="false" ht="13.5" hidden="false" customHeight="false" outlineLevel="0" collapsed="false">
      <c r="A189" s="0" t="str">
        <f aca="false">+D189&amp;"Q"&amp;ROUNDUP(E189/3,0)</f>
        <v>2014Q2</v>
      </c>
      <c r="B189" s="0" t="n">
        <f aca="false">YEAR(C189)</f>
        <v>2014</v>
      </c>
      <c r="C189" s="1153" t="n">
        <f aca="false">EOMONTH(C188,0)+1</f>
        <v>41760</v>
      </c>
      <c r="D189" s="841" t="n">
        <f aca="false">+YEAR(C189)</f>
        <v>2014</v>
      </c>
      <c r="E189" s="807" t="n">
        <f aca="false">MONTH(C189)</f>
        <v>5</v>
      </c>
      <c r="F189" s="1154" t="e">
        <f aca="false">IF(G189="","",Holiday(D189,E189))</f>
        <v>#VALUE!</v>
      </c>
      <c r="G189" s="1155" t="n">
        <v>41760</v>
      </c>
      <c r="H189" s="1156" t="n">
        <v>41790</v>
      </c>
      <c r="I189" s="1157" t="n">
        <f aca="false">I188</f>
        <v>0.0715</v>
      </c>
      <c r="J189" s="1158" t="n">
        <f aca="false">(1+I189/2)^(-2*(DATE(D190,E190,20)-$H$7)/365.25)</f>
        <v>0.360744290923029</v>
      </c>
      <c r="K189" s="1159"/>
      <c r="L189" s="1158"/>
      <c r="M189" s="1082" t="n">
        <v>0</v>
      </c>
      <c r="N189" s="1110" t="n">
        <f aca="false">M189</f>
        <v>0</v>
      </c>
      <c r="O189" s="1174" t="n">
        <f aca="false">N189</f>
        <v>0</v>
      </c>
      <c r="P189" s="1175" t="n">
        <f aca="false">M189</f>
        <v>0</v>
      </c>
      <c r="Q189" s="1110" t="n">
        <f aca="false">P189</f>
        <v>0</v>
      </c>
      <c r="R189" s="1174" t="n">
        <f aca="false">Q189</f>
        <v>0</v>
      </c>
      <c r="S189" s="1110" t="n">
        <f aca="false">R189</f>
        <v>0</v>
      </c>
      <c r="T189" s="1110" t="n">
        <f aca="false">S189</f>
        <v>0</v>
      </c>
      <c r="U189" s="1110" t="n">
        <f aca="false">T189</f>
        <v>0</v>
      </c>
      <c r="V189" s="1175" t="n">
        <f aca="false">U189</f>
        <v>0</v>
      </c>
      <c r="W189" s="1110" t="n">
        <f aca="false">V189</f>
        <v>0</v>
      </c>
      <c r="X189" s="1176" t="n">
        <f aca="false">W189</f>
        <v>0</v>
      </c>
      <c r="Y189" s="1086" t="n">
        <v>0</v>
      </c>
      <c r="Z189" s="1086" t="n">
        <v>0</v>
      </c>
      <c r="AA189" s="1087" t="n">
        <v>0</v>
      </c>
      <c r="AB189" s="1086" t="n">
        <v>0</v>
      </c>
      <c r="AC189" s="1086" t="n">
        <v>0</v>
      </c>
      <c r="AD189" s="1087" t="n">
        <v>0</v>
      </c>
      <c r="AE189" s="1086" t="n">
        <v>0</v>
      </c>
      <c r="AF189" s="1086" t="n">
        <v>0</v>
      </c>
      <c r="AG189" s="1087" t="n">
        <v>0</v>
      </c>
      <c r="AH189" s="1086" t="n">
        <v>0</v>
      </c>
      <c r="AI189" s="1086" t="n">
        <v>0</v>
      </c>
      <c r="AJ189" s="1087" t="n">
        <v>0</v>
      </c>
      <c r="AK189" s="1086" t="n">
        <v>0</v>
      </c>
      <c r="AL189" s="1086" t="n">
        <v>0</v>
      </c>
      <c r="AM189" s="1087" t="n">
        <v>0</v>
      </c>
      <c r="AN189" s="1086" t="n">
        <v>0</v>
      </c>
      <c r="AO189" s="1086" t="n">
        <v>0</v>
      </c>
      <c r="AP189" s="1087" t="n">
        <v>0</v>
      </c>
      <c r="AQ189" s="1086" t="n">
        <v>0</v>
      </c>
      <c r="AR189" s="1086" t="n">
        <v>0</v>
      </c>
      <c r="AS189" s="1087" t="n">
        <v>0</v>
      </c>
      <c r="AT189" s="1086" t="n">
        <v>0</v>
      </c>
      <c r="AU189" s="1086" t="n">
        <v>0</v>
      </c>
      <c r="AV189" s="1086" t="n">
        <v>0</v>
      </c>
      <c r="AW189" s="1172" t="n">
        <v>0</v>
      </c>
      <c r="AX189" s="807" t="e">
        <f aca="false">BB189-SUM(AY189:BA189)</f>
        <v>#VALUE!</v>
      </c>
      <c r="AY189" s="807" t="e">
        <f aca="false">IF(AND($E189=MONTH(Summary!$E$24),$D189=YEAR(Summary!$E$24)),Summary!$E$25,1)*IF(G189="",0,INT((H189-MOD(H189,7)-G189)/7)+1-IF(BA189,IF(WEEKDAY(F189)=7,1,0),0))</f>
        <v>#VALUE!</v>
      </c>
      <c r="AZ189" s="807" t="e">
        <f aca="false">IF(AND($E189=MONTH(Summary!$E$24),$D189=YEAR(Summary!$E$24)),Summary!$E$25,1)*IF(G189="",0,INT((H189-MOD(H189-1,7)-G189)/7)+1-IF(BA189,IF(WEEKDAY(F189)=1,1,0),0))</f>
        <v>#VALUE!</v>
      </c>
      <c r="BA189" s="807" t="n">
        <v>1</v>
      </c>
      <c r="BB189" s="807" t="n">
        <f aca="false">IF(AND($E189=MONTH(Summary!$E$24),$D189=YEAR(Summary!$E$24)),Summary!$E$25,1)*IF(G189="",0,H189-G189+1)</f>
        <v>31</v>
      </c>
      <c r="BC189" s="1089" t="n">
        <f aca="false">Summary!$E$19</f>
        <v>0.015</v>
      </c>
      <c r="BD189" s="1090" t="n">
        <v>14893.2</v>
      </c>
      <c r="BE189" s="1091" t="n">
        <v>3546</v>
      </c>
      <c r="BF189" s="1091" t="n">
        <v>3546</v>
      </c>
      <c r="BG189" s="842"/>
      <c r="BH189" s="1092" t="n">
        <v>1</v>
      </c>
      <c r="BI189" s="1092" t="n">
        <v>1</v>
      </c>
      <c r="BJ189" s="1092" t="n">
        <v>1</v>
      </c>
      <c r="BK189" s="1092" t="n">
        <v>1</v>
      </c>
      <c r="BL189" s="1093" t="n">
        <v>2978.64</v>
      </c>
      <c r="BM189" s="1091" t="n">
        <v>709.2</v>
      </c>
      <c r="BN189" s="1091" t="n">
        <v>709.2</v>
      </c>
      <c r="BO189" s="842"/>
      <c r="BP189" s="1092" t="n">
        <v>1</v>
      </c>
      <c r="BQ189" s="1094" t="n">
        <v>1</v>
      </c>
      <c r="BR189" s="1094" t="n">
        <v>1</v>
      </c>
      <c r="BS189" s="1095" t="n">
        <v>1</v>
      </c>
      <c r="BT189" s="1093" t="n">
        <f aca="false">SUM(BD189:BF189)</f>
        <v>21985.2</v>
      </c>
      <c r="BU189" s="1098" t="n">
        <f aca="false">SUM(BD189:BG189)</f>
        <v>21985.2</v>
      </c>
      <c r="BV189" s="1090" t="n">
        <f aca="false">SUM(BL189:BN189)</f>
        <v>4397.04</v>
      </c>
      <c r="BW189" s="1098" t="n">
        <f aca="false">SUM(BL189:BO189)</f>
        <v>4397.04</v>
      </c>
      <c r="BX189" s="852" t="n">
        <v>14.3764544832307</v>
      </c>
      <c r="BY189" s="1099" t="n">
        <v>0</v>
      </c>
      <c r="BZ189" s="852" t="n">
        <v>0</v>
      </c>
      <c r="CA189" s="852" t="n">
        <v>0</v>
      </c>
      <c r="CB189" s="852" t="n">
        <v>0</v>
      </c>
      <c r="CC189" s="852" t="n">
        <v>0</v>
      </c>
      <c r="CD189" s="852" t="n">
        <v>0</v>
      </c>
      <c r="CE189" s="1100" t="n">
        <v>0</v>
      </c>
      <c r="CF189" s="852" t="n">
        <v>0</v>
      </c>
      <c r="CG189" s="852" t="n">
        <v>0</v>
      </c>
      <c r="CH189" s="852" t="n">
        <v>0</v>
      </c>
      <c r="CI189" s="852" t="n">
        <v>0</v>
      </c>
      <c r="CJ189" s="1101" t="n">
        <v>0</v>
      </c>
      <c r="CK189" s="852" t="n">
        <v>0</v>
      </c>
      <c r="CL189" s="852" t="n">
        <v>0</v>
      </c>
      <c r="CM189" s="852" t="n">
        <v>0</v>
      </c>
      <c r="CN189" s="852" t="n">
        <v>0</v>
      </c>
      <c r="CO189" s="852" t="n">
        <v>0</v>
      </c>
      <c r="CP189" s="852" t="n">
        <v>0</v>
      </c>
      <c r="CQ189" s="1102" t="n">
        <v>0</v>
      </c>
      <c r="CR189" s="1103" t="n">
        <v>0</v>
      </c>
      <c r="CS189" s="1103" t="n">
        <v>0</v>
      </c>
      <c r="CT189" s="1103" t="n">
        <v>0</v>
      </c>
      <c r="CU189" s="1103" t="n">
        <v>0</v>
      </c>
      <c r="CV189" s="1103" t="n">
        <v>0</v>
      </c>
      <c r="CW189" s="1103" t="n">
        <v>0</v>
      </c>
      <c r="CX189" s="1104" t="n">
        <v>0</v>
      </c>
      <c r="CY189" s="1105" t="n">
        <v>7755.43152</v>
      </c>
      <c r="CZ189" s="1099" t="n">
        <v>0</v>
      </c>
      <c r="DA189" s="852" t="n">
        <v>0</v>
      </c>
      <c r="DB189" s="852" t="n">
        <v>0</v>
      </c>
      <c r="DC189" s="852" t="n">
        <v>0</v>
      </c>
      <c r="DD189" s="852" t="n">
        <v>0</v>
      </c>
      <c r="DE189" s="1113" t="n">
        <v>0</v>
      </c>
      <c r="DF189" s="1109" t="n">
        <v>0</v>
      </c>
      <c r="DG189" s="1110" t="n">
        <v>0</v>
      </c>
      <c r="DH189" s="1111" t="n">
        <v>0</v>
      </c>
      <c r="DI189" s="1112" t="n">
        <v>0</v>
      </c>
      <c r="DJ189" s="1112" t="n">
        <v>0</v>
      </c>
      <c r="DK189" s="1112" t="n">
        <v>0</v>
      </c>
      <c r="DL189" s="1113" t="n">
        <v>0</v>
      </c>
      <c r="DM189" s="1114" t="n">
        <v>0</v>
      </c>
      <c r="DN189" s="1114" t="n">
        <v>0</v>
      </c>
      <c r="DO189" s="1114" t="n">
        <v>0</v>
      </c>
      <c r="DP189" s="1114" t="n">
        <v>0</v>
      </c>
      <c r="DQ189" s="1114" t="n">
        <v>0</v>
      </c>
      <c r="DR189" s="1109" t="n">
        <v>0</v>
      </c>
      <c r="DS189" s="852" t="n">
        <v>0</v>
      </c>
      <c r="DT189" s="852" t="n">
        <v>0</v>
      </c>
      <c r="DU189" s="852" t="n">
        <v>0</v>
      </c>
      <c r="DV189" s="852" t="n">
        <v>0</v>
      </c>
      <c r="DW189" s="852" t="n">
        <v>0</v>
      </c>
      <c r="DX189" s="852" t="n">
        <v>0</v>
      </c>
      <c r="DY189" s="852" t="n">
        <v>0</v>
      </c>
      <c r="DZ189" s="852" t="n">
        <v>0</v>
      </c>
      <c r="EA189" s="852" t="n">
        <v>0</v>
      </c>
      <c r="EB189" s="1113" t="n">
        <v>0</v>
      </c>
      <c r="EC189" s="1115" t="n">
        <f aca="false">DS189*BD189</f>
        <v>0</v>
      </c>
      <c r="ED189" s="1115" t="n">
        <f aca="false">DT189*BE189</f>
        <v>0</v>
      </c>
      <c r="EE189" s="1115" t="n">
        <f aca="false">DU189*BF189</f>
        <v>0</v>
      </c>
      <c r="EF189" s="1115" t="n">
        <f aca="false">DV189*BG189</f>
        <v>0</v>
      </c>
      <c r="EG189" s="1115" t="n">
        <f aca="false">DS189*BD189+DT189*BE189+DU189*BF189+DV189*BG189</f>
        <v>0</v>
      </c>
      <c r="EH189" s="1116" t="n">
        <v>0</v>
      </c>
      <c r="EI189" s="1117" t="n">
        <v>0</v>
      </c>
      <c r="EJ189" s="1117" t="n">
        <v>0</v>
      </c>
      <c r="EK189" s="1117" t="n">
        <v>0</v>
      </c>
      <c r="EL189" s="1118" t="n">
        <f aca="false">IF(C189&gt;=Summary!$E$26,MAX(0,SUM(EH189:EK189)),0)</f>
        <v>0</v>
      </c>
      <c r="EM189" s="1115" t="n">
        <f aca="false">IF(C189&gt;=Summary!$E$26,DX189*BL189,0)</f>
        <v>0</v>
      </c>
      <c r="EN189" s="1115" t="n">
        <f aca="false">IF(C189&gt;=Summary!$E$26,DY189*BM189,0)</f>
        <v>0</v>
      </c>
      <c r="EO189" s="1115" t="n">
        <f aca="false">IF(C189&gt;=Summary!$E$26,DZ189*BN189,0)</f>
        <v>0</v>
      </c>
      <c r="EP189" s="1115" t="n">
        <f aca="false">IF(C189&gt;=Summary!$E$26,EA189*BO189,0)</f>
        <v>0</v>
      </c>
      <c r="EQ189" s="1115" t="n">
        <f aca="false">IF(C189&gt;=Summary!$E$26,DX189*BL189+DY189*BM189+DZ189*BN189+EA189*BO189,0)</f>
        <v>0</v>
      </c>
      <c r="ER189" s="1119" t="n">
        <v>0</v>
      </c>
      <c r="ES189" s="1120" t="n">
        <v>0</v>
      </c>
      <c r="ET189" s="1120" t="n">
        <v>0</v>
      </c>
      <c r="EU189" s="1120" t="n">
        <v>0</v>
      </c>
      <c r="EV189" s="1143" t="n">
        <f aca="false">IF(C189&gt;=Summary!$E$26,MAX(0,SUM(ER189:EU189)),0)</f>
        <v>0</v>
      </c>
      <c r="EW189" s="1115"/>
      <c r="EX189" s="1165" t="n">
        <f aca="false">(EQ189-EV189)+IF(EZ189="Yes",(EG189-EL189),0)</f>
        <v>0</v>
      </c>
      <c r="EY189" s="1166" t="str">
        <f aca="false">IF(EX189,EX189/EQ189,"")</f>
        <v/>
      </c>
      <c r="EZ189" s="1122" t="s">
        <v>37</v>
      </c>
      <c r="FA189" s="1096" t="n">
        <f aca="false">FA188</f>
        <v>45</v>
      </c>
      <c r="FB189" s="1167" t="e">
        <f aca="false">IF(EZ189="No",IF((OR(MONTH(C189)=5,MONTH(C189)=6,MONTH(C189)=7,MONTH(C189)=8,MONTH(C189)=9)),$FA189*12*AX189*(1-$BC189),$FA189*10*AX189*(1-$BC189)),0)</f>
        <v>#VALUE!</v>
      </c>
      <c r="FC189" s="1129" t="n">
        <f aca="false">IF(EZ189="No",IF((OR(MONTH(C189)=5,MONTH(C189)=6,MONTH(C189)=7,MONTH(C189)=8,MONTH(C189)=9)),0,$FA189*3*AX189*(1-$BC189)),0)</f>
        <v>0</v>
      </c>
      <c r="FD189" s="1129" t="e">
        <f aca="false">IF(EZ189="No",IF((OR(MONTH(C189)=5,MONTH(C189)=6,MONTH(C189)=7,MONTH(C189)=8,MONTH(C189)=9)),$FA189*12*AY189*(1-$BC189),$FA189*10*AY189*(1-$BC189)),0)</f>
        <v>#VALUE!</v>
      </c>
      <c r="FE189" s="1129" t="n">
        <f aca="false">IF(EZ189="No",IF((OR(MONTH(C189)=5,MONTH(C189)=6,MONTH(C189)=7,MONTH(C189)=8,MONTH(C189)=9)),0,$FA189*3*AY189*(1-$BC189)),0)</f>
        <v>0</v>
      </c>
      <c r="FF189" s="1129" t="e">
        <f aca="false">IF(EZ189="No",IF((OR(MONTH(C189)=5,MONTH(C189)=6,MONTH(C189)=7,MONTH(C189)=8,MONTH(C189)=9)),$FA189*12*(AZ189+BA189)*(1-$BC189),$FA189*10*(AZ189+BA189)*(1-$BC189)),0)</f>
        <v>#VALUE!</v>
      </c>
      <c r="FG189" s="1129" t="n">
        <f aca="false">IF(EZ189="No",IF((OR(MONTH(C189)=5,MONTH(C189)=6,MONTH(C189)=7,MONTH(C189)=8,MONTH(C189)=9)),0,$FA189*3*(AZ189+BA189)*(1-$BC189)),0)</f>
        <v>0</v>
      </c>
      <c r="FH189" s="1170" t="e">
        <f aca="false">IF(EZ189="No",IF((OR(MONTH(C189)=5,MONTH(C189)=6,MONTH(C189)=7,MONTH(C189)=8,MONTH(C189)=9)),Summary!$O$15*12*(AX189+AY189+AZ189+BA189)*(1-$BC189),Summary!$O$15*13*(AX189+AY189+AZ189+BA189)*(1-$BC189)+IF(Summary!$O$16="Yes",(CALC!FA189+Summary!$O$15)*6*(AX189+AY189+AZ189+BA189)*(1-$BC189),0)),0)</f>
        <v>#VALUE!</v>
      </c>
      <c r="FI189" s="1126" t="n">
        <f aca="false">IF(MONTH(C189)=5,FI188*(IF(Summary!$E$70="no",(1+(Summary!$E$71*0.8)),1+HLOOKUP(YEAR(C189)-1,CCFMODEL!$I$127:$AF$128,2)*0.8)),+FI188)</f>
        <v>37.9684633655614</v>
      </c>
      <c r="FJ189" s="1127" t="n">
        <f aca="false">IF(MONTH(C189)=5,FJ188*(IF(Summary!$E$70="no",(1+(Summary!$E$71*0.8)),1+HLOOKUP(YEAR(CALC!C189)-1,CCFMODEL!$I$127:$AF$128,2)*0.8)),FJ188)</f>
        <v>33.1850349100576</v>
      </c>
      <c r="FK189" s="1128" t="e">
        <f aca="false">SUM(FB189:FG189)*FI189+FH189*FJ189</f>
        <v>#VALUE!</v>
      </c>
      <c r="FL189" s="1126" t="n">
        <f aca="false">IF(MONTH(C189)=5,FL188*(IF(Summary!$E$70="no",(1+(Summary!$E$71*0.8)),1+HLOOKUP(YEAR(CALC!C189)-1,CCFMODEL!$I$127:$AF$128,2)*0.8)),+FL188)</f>
        <v>79.8519351396453</v>
      </c>
      <c r="FM189" s="1127" t="n">
        <f aca="false">IF(MONTH(C189)=5,FM188*(IF(Summary!$E$70="no",(1+(Summary!$E$71*0.8)),1+HLOOKUP(YEAR(CALC!C189)-1,CCFMODEL!$I$127:$AF$128,2)*0.8)),+FM188)</f>
        <v>38.1108273076895</v>
      </c>
      <c r="FN189" s="1128" t="e">
        <f aca="false">IF((OR(MONTH(C189)=5,MONTH(C189)=6,MONTH(C189)=7,MONTH(C189)=8,MONTH(C189)=9)),SUM(FB189:FG189)/(1-BC189)*FL189,SUM(FB189:FG189)/(1-BC189)*FM189)</f>
        <v>#VALUE!</v>
      </c>
      <c r="FO189" s="1129" t="e">
        <f aca="false">FK189+FN189</f>
        <v>#VALUE!</v>
      </c>
      <c r="FP189" s="1169" t="e">
        <f aca="false">FB189</f>
        <v>#VALUE!</v>
      </c>
      <c r="FQ189" s="1129" t="n">
        <f aca="false">FC189</f>
        <v>0</v>
      </c>
      <c r="FR189" s="1129" t="e">
        <f aca="false">FD189</f>
        <v>#VALUE!</v>
      </c>
      <c r="FS189" s="1129" t="n">
        <f aca="false">FE189</f>
        <v>0</v>
      </c>
      <c r="FT189" s="1129" t="e">
        <f aca="false">FF189</f>
        <v>#VALUE!</v>
      </c>
      <c r="FU189" s="1129" t="n">
        <f aca="false">FG189</f>
        <v>0</v>
      </c>
      <c r="FV189" s="1170" t="e">
        <f aca="false">FH189</f>
        <v>#VALUE!</v>
      </c>
      <c r="FW189" s="1115" t="n">
        <f aca="false">IF(ER189&gt;0,MIN(FB189-FP189,BL189),0)</f>
        <v>0</v>
      </c>
      <c r="FX189" s="1115" t="n">
        <f aca="false">IF(ES189&gt;0,MIN(FD189-FR189,BM189),0)</f>
        <v>0</v>
      </c>
      <c r="FY189" s="1115" t="n">
        <f aca="false">IF(ET189&gt;0,MIN(FF189-FT189,BN189),0)</f>
        <v>0</v>
      </c>
      <c r="FZ189" s="1143" t="n">
        <f aca="false">IF(EU189&gt;0,MIN(FH189-FV189,BO189),0)</f>
        <v>0</v>
      </c>
      <c r="GA189" s="1132" t="e">
        <f aca="false">(SUM(FP189:FV189)+SUM(GU189:HB189)/(1-Summary!$O$25))*CY189/1000</f>
        <v>#VALUE!</v>
      </c>
      <c r="GB189" s="1133" t="n">
        <f aca="false">IF($C189&lt;Summary!$M$81,+Summary!$O$81,VLOOKUP(C189,GasTable,19))</f>
        <v>3.23931954030813</v>
      </c>
      <c r="GC189" s="1134" t="n">
        <f aca="false">IF(H189&lt;=Summary!$N$84,MIN(GA189,Summary!$O$75*(H189-G189+1)),0)</f>
        <v>0</v>
      </c>
      <c r="GD189" s="1135" t="n">
        <f aca="false">IF(C189&lt;Summary!$N$84,IF(Summary!$O$75*(H189-G189+1)*0.8&gt;GC189,1,0),0)</f>
        <v>0</v>
      </c>
      <c r="GE189" s="1136" t="n">
        <v>0</v>
      </c>
      <c r="GF189" s="1134" t="e">
        <f aca="false">ABS(MIN(0,GC189-$GA189))</f>
        <v>#VALUE!</v>
      </c>
      <c r="GG189" s="1135" t="e">
        <f aca="false">GF189*(IF(Summary!$O$74=1,VLOOKUP($C189,GasTable,16)+Summary!$O$92+Summary!$O$93,VLOOKUP($C189,GasTable,19)+Summary!$O$92+Summary!$O$93))</f>
        <v>#VALUE!</v>
      </c>
      <c r="GH189" s="1137" t="n">
        <v>5020.94528747761</v>
      </c>
      <c r="GI189" s="1138" t="n">
        <v>0</v>
      </c>
      <c r="GJ189" s="1139" t="e">
        <f aca="false">+GB189*GC189+GE189+GG189+GH189-GI189</f>
        <v>#VALUE!</v>
      </c>
      <c r="GK189" s="1115" t="e">
        <f aca="false">SUM(FP189:FV189,GU189:GX189,GY189:HB189)</f>
        <v>#VALUE!</v>
      </c>
      <c r="GL189" s="1140" t="n">
        <v>0.51961391184</v>
      </c>
      <c r="GM189" s="1141" t="e">
        <f aca="false">IF(GK189&gt;GC189/(CY189/1000),GC189/(CY189/1000),+GK189)*GL189</f>
        <v>#VALUE!</v>
      </c>
      <c r="GN189" s="1115" t="n">
        <f aca="false">IF(SUM(GU189:HB189)=0,0,IF(Summary!$O$16="Yes",SUM(GX189:HB189),IF(Summary!$O$17="Yes",SUM(GY189:HB189),SUM(GU189:HB189))))</f>
        <v>9547.0731</v>
      </c>
      <c r="GO189" s="1142" t="n">
        <v>3.59924589309593</v>
      </c>
      <c r="GP189" s="1143" t="n">
        <f aca="false">GN189*GO189</f>
        <v>34362.2636462616</v>
      </c>
      <c r="GQ189" s="1115"/>
      <c r="GR189" s="1115"/>
      <c r="GS189" s="1115"/>
      <c r="GT189" s="1115"/>
      <c r="GU189" s="1150" t="n">
        <v>3592.9845</v>
      </c>
      <c r="GV189" s="1115" t="n">
        <v>855.4725</v>
      </c>
      <c r="GW189" s="1115" t="n">
        <v>855.4725</v>
      </c>
      <c r="GX189" s="1115"/>
      <c r="GY189" s="1151" t="n">
        <v>2874.3876</v>
      </c>
      <c r="GZ189" s="1115" t="n">
        <v>684.378</v>
      </c>
      <c r="HA189" s="1115" t="n">
        <v>684.378</v>
      </c>
      <c r="HB189" s="1141"/>
      <c r="HC189" s="1115" t="n">
        <v>9547.0731</v>
      </c>
      <c r="HD189" s="1115"/>
      <c r="HE189" s="1115" t="n">
        <v>22276.5039</v>
      </c>
      <c r="HF189" s="1115" t="n">
        <v>369515.144460951</v>
      </c>
      <c r="HG189" s="1115"/>
      <c r="HH189" s="1142" t="n">
        <v>39.2152393405539</v>
      </c>
      <c r="HI189" s="1115" t="n">
        <v>873578.432109283</v>
      </c>
      <c r="HJ189" s="1150" t="e">
        <f aca="false">MAX(FB189-FP189-FW189,0)</f>
        <v>#VALUE!</v>
      </c>
      <c r="HK189" s="1115" t="e">
        <f aca="false">MAX(FD189-FR189-FX189,0)</f>
        <v>#VALUE!</v>
      </c>
      <c r="HL189" s="1115" t="e">
        <f aca="false">MAX(FF189-FT189-FY189,0)</f>
        <v>#VALUE!</v>
      </c>
      <c r="HM189" s="1141" t="e">
        <f aca="false">MAX(FH189-FV189-FZ189,0)</f>
        <v>#VALUE!</v>
      </c>
      <c r="HN189" s="1115" t="e">
        <f aca="false">SUM(HJ189:HM189)</f>
        <v>#VALUE!</v>
      </c>
      <c r="HO189" s="1142" t="n">
        <f aca="false">IF(ISERROR(+HP189/HN189),0,+HP189/HN189)</f>
        <v>0</v>
      </c>
      <c r="HP189" s="1143" t="e">
        <f aca="false">(HJ189*CE189+HK189*CF189+HL189*CG189+HM189*CH189)</f>
        <v>#VALUE!</v>
      </c>
      <c r="HQ189" s="1146"/>
      <c r="HR189" s="1150"/>
      <c r="HS189" s="1110"/>
      <c r="HT189" s="1141"/>
      <c r="HU189" s="1150"/>
      <c r="HV189" s="1200"/>
      <c r="HW189" s="1141"/>
      <c r="HX189" s="1200"/>
      <c r="HY189" s="1200"/>
      <c r="HZ189" s="0"/>
      <c r="IA189" s="1142"/>
      <c r="IB189" s="1142"/>
      <c r="IC189" s="1142"/>
      <c r="ID189" s="1142"/>
      <c r="IE189" s="1142"/>
      <c r="IF189" s="1142"/>
      <c r="IG189" s="1142"/>
      <c r="IH189" s="1142"/>
      <c r="II189" s="1142"/>
      <c r="IJ189" s="1142"/>
      <c r="IK189" s="1142"/>
      <c r="IL189" s="1190"/>
      <c r="IM189" s="222"/>
      <c r="IN189" s="222"/>
      <c r="IR189" s="844"/>
    </row>
    <row r="190" customFormat="false" ht="13.5" hidden="false" customHeight="false" outlineLevel="0" collapsed="false">
      <c r="A190" s="0" t="str">
        <f aca="false">+D190&amp;"Q"&amp;ROUNDUP(E190/3,0)</f>
        <v>2014Q2</v>
      </c>
      <c r="B190" s="0" t="n">
        <f aca="false">YEAR(C190)</f>
        <v>2014</v>
      </c>
      <c r="C190" s="1153" t="n">
        <f aca="false">EOMONTH(C189,0)+1</f>
        <v>41791</v>
      </c>
      <c r="D190" s="841" t="n">
        <f aca="false">+YEAR(C190)</f>
        <v>2014</v>
      </c>
      <c r="E190" s="807" t="n">
        <f aca="false">MONTH(C190)</f>
        <v>6</v>
      </c>
      <c r="F190" s="1154" t="e">
        <f aca="false">IF(G190="","",Holiday(D190,E190))</f>
        <v>#VALUE!</v>
      </c>
      <c r="G190" s="1155" t="n">
        <v>41791</v>
      </c>
      <c r="H190" s="1156" t="n">
        <v>41820</v>
      </c>
      <c r="I190" s="1157" t="n">
        <f aca="false">I189</f>
        <v>0.0715</v>
      </c>
      <c r="J190" s="1158" t="n">
        <f aca="false">(1+I190/2)^(-2*(DATE(D191,E191,20)-$H$7)/365.25)</f>
        <v>0.358668735326652</v>
      </c>
      <c r="K190" s="1159"/>
      <c r="L190" s="1158"/>
      <c r="M190" s="1082" t="n">
        <v>0</v>
      </c>
      <c r="N190" s="1110" t="n">
        <f aca="false">M190</f>
        <v>0</v>
      </c>
      <c r="O190" s="1174" t="n">
        <f aca="false">N190</f>
        <v>0</v>
      </c>
      <c r="P190" s="1175" t="n">
        <f aca="false">M190</f>
        <v>0</v>
      </c>
      <c r="Q190" s="1110" t="n">
        <f aca="false">P190</f>
        <v>0</v>
      </c>
      <c r="R190" s="1174" t="n">
        <f aca="false">Q190</f>
        <v>0</v>
      </c>
      <c r="S190" s="1110" t="n">
        <f aca="false">R190</f>
        <v>0</v>
      </c>
      <c r="T190" s="1110" t="n">
        <f aca="false">S190</f>
        <v>0</v>
      </c>
      <c r="U190" s="1110" t="n">
        <f aca="false">T190</f>
        <v>0</v>
      </c>
      <c r="V190" s="1175" t="n">
        <f aca="false">U190</f>
        <v>0</v>
      </c>
      <c r="W190" s="1110" t="n">
        <f aca="false">V190</f>
        <v>0</v>
      </c>
      <c r="X190" s="1176" t="n">
        <f aca="false">W190</f>
        <v>0</v>
      </c>
      <c r="Y190" s="1086" t="n">
        <v>0</v>
      </c>
      <c r="Z190" s="1086" t="n">
        <v>0</v>
      </c>
      <c r="AA190" s="1087" t="n">
        <v>0</v>
      </c>
      <c r="AB190" s="1086" t="n">
        <v>0</v>
      </c>
      <c r="AC190" s="1086" t="n">
        <v>0</v>
      </c>
      <c r="AD190" s="1087" t="n">
        <v>0</v>
      </c>
      <c r="AE190" s="1086" t="n">
        <v>0</v>
      </c>
      <c r="AF190" s="1086" t="n">
        <v>0</v>
      </c>
      <c r="AG190" s="1087" t="n">
        <v>0</v>
      </c>
      <c r="AH190" s="1086" t="n">
        <v>0</v>
      </c>
      <c r="AI190" s="1086" t="n">
        <v>0</v>
      </c>
      <c r="AJ190" s="1087" t="n">
        <v>0</v>
      </c>
      <c r="AK190" s="1086" t="n">
        <v>0</v>
      </c>
      <c r="AL190" s="1086" t="n">
        <v>0</v>
      </c>
      <c r="AM190" s="1087" t="n">
        <v>0</v>
      </c>
      <c r="AN190" s="1086" t="n">
        <v>0</v>
      </c>
      <c r="AO190" s="1086" t="n">
        <v>0</v>
      </c>
      <c r="AP190" s="1087" t="n">
        <v>0</v>
      </c>
      <c r="AQ190" s="1086" t="n">
        <v>0</v>
      </c>
      <c r="AR190" s="1086" t="n">
        <v>0</v>
      </c>
      <c r="AS190" s="1087" t="n">
        <v>0</v>
      </c>
      <c r="AT190" s="1086" t="n">
        <v>0</v>
      </c>
      <c r="AU190" s="1086" t="n">
        <v>0</v>
      </c>
      <c r="AV190" s="1086" t="n">
        <v>0</v>
      </c>
      <c r="AW190" s="1172" t="n">
        <v>0</v>
      </c>
      <c r="AX190" s="807" t="n">
        <f aca="false">BB190-SUM(AY190:BA190)</f>
        <v>21</v>
      </c>
      <c r="AY190" s="807" t="n">
        <f aca="false">IF(AND($E190=MONTH(Summary!$E$24),$D190=YEAR(Summary!$E$24)),Summary!$E$25,1)*IF(G190="",0,INT((H190-MOD(H190,7)-G190)/7)+1-IF(BA190,IF(WEEKDAY(F190)=7,1,0),0))</f>
        <v>4</v>
      </c>
      <c r="AZ190" s="807" t="n">
        <f aca="false">IF(AND($E190=MONTH(Summary!$E$24),$D190=YEAR(Summary!$E$24)),Summary!$E$25,1)*IF(G190="",0,INT((H190-MOD(H190-1,7)-G190)/7)+1-IF(BA190,IF(WEEKDAY(F190)=1,1,0),0))</f>
        <v>5</v>
      </c>
      <c r="BA190" s="807" t="n">
        <v>0</v>
      </c>
      <c r="BB190" s="807" t="n">
        <f aca="false">IF(AND($E190=MONTH(Summary!$E$24),$D190=YEAR(Summary!$E$24)),Summary!$E$25,1)*IF(G190="",0,H190-G190+1)</f>
        <v>30</v>
      </c>
      <c r="BC190" s="1089" t="n">
        <f aca="false">Summary!$E$19</f>
        <v>0.015</v>
      </c>
      <c r="BD190" s="1090" t="n">
        <v>14893.2</v>
      </c>
      <c r="BE190" s="1091" t="n">
        <v>2836.8</v>
      </c>
      <c r="BF190" s="1091" t="n">
        <v>3546</v>
      </c>
      <c r="BG190" s="842"/>
      <c r="BH190" s="1092" t="n">
        <v>1</v>
      </c>
      <c r="BI190" s="1092" t="n">
        <v>1</v>
      </c>
      <c r="BJ190" s="1092" t="n">
        <v>1</v>
      </c>
      <c r="BK190" s="1092" t="n">
        <v>1</v>
      </c>
      <c r="BL190" s="1093" t="n">
        <v>2978.64</v>
      </c>
      <c r="BM190" s="1091" t="n">
        <v>567.36</v>
      </c>
      <c r="BN190" s="1091" t="n">
        <v>709.2</v>
      </c>
      <c r="BO190" s="842"/>
      <c r="BP190" s="1092" t="n">
        <v>1</v>
      </c>
      <c r="BQ190" s="1094" t="n">
        <v>1</v>
      </c>
      <c r="BR190" s="1094" t="n">
        <v>1</v>
      </c>
      <c r="BS190" s="1095" t="n">
        <v>1</v>
      </c>
      <c r="BT190" s="1093" t="n">
        <f aca="false">SUM(BD190:BF190)</f>
        <v>21276</v>
      </c>
      <c r="BU190" s="1098" t="n">
        <f aca="false">SUM(BD190:BG190)</f>
        <v>21276</v>
      </c>
      <c r="BV190" s="1090" t="n">
        <f aca="false">SUM(BL190:BN190)</f>
        <v>4255.2</v>
      </c>
      <c r="BW190" s="1098" t="n">
        <f aca="false">SUM(BL190:BO190)</f>
        <v>4255.2</v>
      </c>
      <c r="BX190" s="852" t="n">
        <v>14.4613278576318</v>
      </c>
      <c r="BY190" s="1099" t="n">
        <v>0</v>
      </c>
      <c r="BZ190" s="852" t="n">
        <v>0</v>
      </c>
      <c r="CA190" s="852" t="n">
        <v>0</v>
      </c>
      <c r="CB190" s="852" t="n">
        <v>0</v>
      </c>
      <c r="CC190" s="852" t="n">
        <v>0</v>
      </c>
      <c r="CD190" s="852" t="n">
        <v>0</v>
      </c>
      <c r="CE190" s="1100" t="n">
        <v>0</v>
      </c>
      <c r="CF190" s="852" t="n">
        <v>0</v>
      </c>
      <c r="CG190" s="852" t="n">
        <v>0</v>
      </c>
      <c r="CH190" s="852" t="n">
        <v>0</v>
      </c>
      <c r="CI190" s="852" t="n">
        <v>0</v>
      </c>
      <c r="CJ190" s="1101" t="n">
        <v>0</v>
      </c>
      <c r="CK190" s="852" t="n">
        <v>0</v>
      </c>
      <c r="CL190" s="852" t="n">
        <v>0</v>
      </c>
      <c r="CM190" s="852" t="n">
        <v>0</v>
      </c>
      <c r="CN190" s="852" t="n">
        <v>0</v>
      </c>
      <c r="CO190" s="852" t="n">
        <v>0</v>
      </c>
      <c r="CP190" s="852" t="n">
        <v>0</v>
      </c>
      <c r="CQ190" s="1102" t="n">
        <v>0</v>
      </c>
      <c r="CR190" s="1103" t="n">
        <v>0</v>
      </c>
      <c r="CS190" s="1103" t="n">
        <v>0</v>
      </c>
      <c r="CT190" s="1103" t="n">
        <v>0</v>
      </c>
      <c r="CU190" s="1103" t="n">
        <v>0</v>
      </c>
      <c r="CV190" s="1103" t="n">
        <v>0</v>
      </c>
      <c r="CW190" s="1103" t="n">
        <v>0</v>
      </c>
      <c r="CX190" s="1104" t="n">
        <v>0</v>
      </c>
      <c r="CY190" s="1105" t="n">
        <v>7756.7344</v>
      </c>
      <c r="CZ190" s="1099" t="n">
        <v>0</v>
      </c>
      <c r="DA190" s="852" t="n">
        <v>0</v>
      </c>
      <c r="DB190" s="852" t="n">
        <v>0</v>
      </c>
      <c r="DC190" s="852" t="n">
        <v>0</v>
      </c>
      <c r="DD190" s="852" t="n">
        <v>0</v>
      </c>
      <c r="DE190" s="1113" t="n">
        <v>0</v>
      </c>
      <c r="DF190" s="1109" t="n">
        <v>0</v>
      </c>
      <c r="DG190" s="1110" t="n">
        <v>0</v>
      </c>
      <c r="DH190" s="1111" t="n">
        <v>0</v>
      </c>
      <c r="DI190" s="1112" t="n">
        <v>0</v>
      </c>
      <c r="DJ190" s="1112" t="n">
        <v>0</v>
      </c>
      <c r="DK190" s="1112" t="n">
        <v>0</v>
      </c>
      <c r="DL190" s="1113" t="n">
        <v>0</v>
      </c>
      <c r="DM190" s="1114" t="n">
        <v>0</v>
      </c>
      <c r="DN190" s="1114" t="n">
        <v>0</v>
      </c>
      <c r="DO190" s="1114" t="n">
        <v>0</v>
      </c>
      <c r="DP190" s="1114" t="n">
        <v>0</v>
      </c>
      <c r="DQ190" s="1114" t="n">
        <v>0</v>
      </c>
      <c r="DR190" s="1109" t="n">
        <v>0</v>
      </c>
      <c r="DS190" s="852" t="n">
        <v>0</v>
      </c>
      <c r="DT190" s="852" t="n">
        <v>0</v>
      </c>
      <c r="DU190" s="852" t="n">
        <v>0</v>
      </c>
      <c r="DV190" s="852" t="n">
        <v>0</v>
      </c>
      <c r="DW190" s="852" t="n">
        <v>0</v>
      </c>
      <c r="DX190" s="852" t="n">
        <v>0</v>
      </c>
      <c r="DY190" s="852" t="n">
        <v>0</v>
      </c>
      <c r="DZ190" s="852" t="n">
        <v>0</v>
      </c>
      <c r="EA190" s="852" t="n">
        <v>0</v>
      </c>
      <c r="EB190" s="1113" t="n">
        <v>0</v>
      </c>
      <c r="EC190" s="1115" t="n">
        <f aca="false">DS190*BD190</f>
        <v>0</v>
      </c>
      <c r="ED190" s="1115" t="n">
        <f aca="false">DT190*BE190</f>
        <v>0</v>
      </c>
      <c r="EE190" s="1115" t="n">
        <f aca="false">DU190*BF190</f>
        <v>0</v>
      </c>
      <c r="EF190" s="1115" t="n">
        <f aca="false">DV190*BG190</f>
        <v>0</v>
      </c>
      <c r="EG190" s="1115" t="n">
        <f aca="false">DS190*BD190+DT190*BE190+DU190*BF190+DV190*BG190</f>
        <v>0</v>
      </c>
      <c r="EH190" s="1116" t="n">
        <v>0</v>
      </c>
      <c r="EI190" s="1117" t="n">
        <v>0</v>
      </c>
      <c r="EJ190" s="1117" t="n">
        <v>0</v>
      </c>
      <c r="EK190" s="1117" t="n">
        <v>0</v>
      </c>
      <c r="EL190" s="1118" t="n">
        <f aca="false">IF(C190&gt;=Summary!$E$26,MAX(0,SUM(EH190:EK190)),0)</f>
        <v>0</v>
      </c>
      <c r="EM190" s="1115" t="n">
        <f aca="false">IF(C190&gt;=Summary!$E$26,DX190*BL190,0)</f>
        <v>0</v>
      </c>
      <c r="EN190" s="1115" t="n">
        <f aca="false">IF(C190&gt;=Summary!$E$26,DY190*BM190,0)</f>
        <v>0</v>
      </c>
      <c r="EO190" s="1115" t="n">
        <f aca="false">IF(C190&gt;=Summary!$E$26,DZ190*BN190,0)</f>
        <v>0</v>
      </c>
      <c r="EP190" s="1115" t="n">
        <f aca="false">IF(C190&gt;=Summary!$E$26,EA190*BO190,0)</f>
        <v>0</v>
      </c>
      <c r="EQ190" s="1115" t="n">
        <f aca="false">IF(C190&gt;=Summary!$E$26,DX190*BL190+DY190*BM190+DZ190*BN190+EA190*BO190,0)</f>
        <v>0</v>
      </c>
      <c r="ER190" s="1119" t="n">
        <v>0</v>
      </c>
      <c r="ES190" s="1120" t="n">
        <v>0</v>
      </c>
      <c r="ET190" s="1120" t="n">
        <v>0</v>
      </c>
      <c r="EU190" s="1120" t="n">
        <v>0</v>
      </c>
      <c r="EV190" s="1143" t="n">
        <f aca="false">IF(C190&gt;=Summary!$E$26,MAX(0,SUM(ER190:EU190)),0)</f>
        <v>0</v>
      </c>
      <c r="EW190" s="1115"/>
      <c r="EX190" s="1165" t="n">
        <f aca="false">(EQ190-EV190)+IF(EZ190="Yes",(EG190-EL190),0)</f>
        <v>0</v>
      </c>
      <c r="EY190" s="1166" t="str">
        <f aca="false">IF(EX190,EX190/EQ190,"")</f>
        <v/>
      </c>
      <c r="EZ190" s="1122" t="s">
        <v>37</v>
      </c>
      <c r="FA190" s="1096" t="n">
        <f aca="false">FA189</f>
        <v>45</v>
      </c>
      <c r="FB190" s="1167" t="n">
        <f aca="false">IF(EZ190="No",IF((OR(MONTH(C190)=5,MONTH(C190)=6,MONTH(C190)=7,MONTH(C190)=8,MONTH(C190)=9)),$FA190*12*AX190*(1-$BC190),$FA190*10*AX190*(1-$BC190)),0)</f>
        <v>11169.9</v>
      </c>
      <c r="FC190" s="1129" t="n">
        <f aca="false">IF(EZ190="No",IF((OR(MONTH(C190)=5,MONTH(C190)=6,MONTH(C190)=7,MONTH(C190)=8,MONTH(C190)=9)),0,$FA190*3*AX190*(1-$BC190)),0)</f>
        <v>0</v>
      </c>
      <c r="FD190" s="1129" t="n">
        <f aca="false">IF(EZ190="No",IF((OR(MONTH(C190)=5,MONTH(C190)=6,MONTH(C190)=7,MONTH(C190)=8,MONTH(C190)=9)),$FA190*12*AY190*(1-$BC190),$FA190*10*AY190*(1-$BC190)),0)</f>
        <v>2127.6</v>
      </c>
      <c r="FE190" s="1129" t="n">
        <f aca="false">IF(EZ190="No",IF((OR(MONTH(C190)=5,MONTH(C190)=6,MONTH(C190)=7,MONTH(C190)=8,MONTH(C190)=9)),0,$FA190*3*AY190*(1-$BC190)),0)</f>
        <v>0</v>
      </c>
      <c r="FF190" s="1129" t="n">
        <f aca="false">IF(EZ190="No",IF((OR(MONTH(C190)=5,MONTH(C190)=6,MONTH(C190)=7,MONTH(C190)=8,MONTH(C190)=9)),$FA190*12*(AZ190+BA190)*(1-$BC190),$FA190*10*(AZ190+BA190)*(1-$BC190)),0)</f>
        <v>2659.5</v>
      </c>
      <c r="FG190" s="1129" t="n">
        <f aca="false">IF(EZ190="No",IF((OR(MONTH(C190)=5,MONTH(C190)=6,MONTH(C190)=7,MONTH(C190)=8,MONTH(C190)=9)),0,$FA190*3*(AZ190+BA190)*(1-$BC190)),0)</f>
        <v>0</v>
      </c>
      <c r="FH190" s="1170" t="n">
        <f aca="false">IF(EZ190="No",IF((OR(MONTH(C190)=5,MONTH(C190)=6,MONTH(C190)=7,MONTH(C190)=8,MONTH(C190)=9)),Summary!$O$15*12*(AX190+AY190+AZ190+BA190)*(1-$BC190),Summary!$O$15*13*(AX190+AY190+AZ190+BA190)*(1-$BC190)+IF(Summary!$O$16="Yes",(CALC!FA190+Summary!$O$15)*6*(AX190+AY190+AZ190+BA190)*(1-$BC190),0)),0)</f>
        <v>0</v>
      </c>
      <c r="FI190" s="1126" t="n">
        <f aca="false">IF(MONTH(C190)=5,FI189*(IF(Summary!$E$70="no",(1+(Summary!$E$71*0.8)),1+HLOOKUP(YEAR(C190)-1,CCFMODEL!$I$127:$AF$128,2)*0.8)),+FI189)</f>
        <v>37.9684633655614</v>
      </c>
      <c r="FJ190" s="1127" t="n">
        <f aca="false">IF(MONTH(C190)=5,FJ189*(IF(Summary!$E$70="no",(1+(Summary!$E$71*0.8)),1+HLOOKUP(YEAR(CALC!C190)-1,CCFMODEL!$I$127:$AF$128,2)*0.8)),FJ189)</f>
        <v>33.1850349100576</v>
      </c>
      <c r="FK190" s="1128" t="n">
        <f aca="false">SUM(FB190:FG190)*FI190+FH190*FJ190</f>
        <v>605862.769924264</v>
      </c>
      <c r="FL190" s="1126" t="n">
        <f aca="false">IF(MONTH(C190)=5,FL189*(IF(Summary!$E$70="no",(1+(Summary!$E$71*0.8)),1+HLOOKUP(YEAR(CALC!C190)-1,CCFMODEL!$I$127:$AF$128,2)*0.8)),+FL189)</f>
        <v>79.8519351396453</v>
      </c>
      <c r="FM190" s="1127" t="n">
        <f aca="false">IF(MONTH(C190)=5,FM189*(IF(Summary!$E$70="no",(1+(Summary!$E$71*0.8)),1+HLOOKUP(YEAR(CALC!C190)-1,CCFMODEL!$I$127:$AF$128,2)*0.8)),+FM189)</f>
        <v>38.1108273076895</v>
      </c>
      <c r="FN190" s="1128" t="n">
        <f aca="false">IF((OR(MONTH(C190)=5,MONTH(C190)=6,MONTH(C190)=7,MONTH(C190)=8,MONTH(C190)=9)),SUM(FB190:FG190)/(1-BC190)*FL190,SUM(FB190:FG190)/(1-BC190)*FM190)</f>
        <v>1293601.34926225</v>
      </c>
      <c r="FO190" s="1129" t="n">
        <f aca="false">FK190+FN190</f>
        <v>1899464.11918652</v>
      </c>
      <c r="FP190" s="1169" t="n">
        <f aca="false">FB190</f>
        <v>11169.9</v>
      </c>
      <c r="FQ190" s="1129" t="n">
        <f aca="false">FC190</f>
        <v>0</v>
      </c>
      <c r="FR190" s="1129" t="n">
        <f aca="false">FD190</f>
        <v>2127.6</v>
      </c>
      <c r="FS190" s="1129" t="n">
        <f aca="false">FE190</f>
        <v>0</v>
      </c>
      <c r="FT190" s="1129" t="n">
        <f aca="false">FF190</f>
        <v>2659.5</v>
      </c>
      <c r="FU190" s="1129" t="n">
        <f aca="false">FG190</f>
        <v>0</v>
      </c>
      <c r="FV190" s="1170" t="n">
        <f aca="false">FH190</f>
        <v>0</v>
      </c>
      <c r="FW190" s="1115" t="n">
        <f aca="false">IF(ER190&gt;0,MIN(FB190-FP190,BL190),0)</f>
        <v>0</v>
      </c>
      <c r="FX190" s="1115" t="n">
        <f aca="false">IF(ES190&gt;0,MIN(FD190-FR190,BM190),0)</f>
        <v>0</v>
      </c>
      <c r="FY190" s="1115" t="n">
        <f aca="false">IF(ET190&gt;0,MIN(FF190-FT190,BN190),0)</f>
        <v>0</v>
      </c>
      <c r="FZ190" s="1143" t="n">
        <f aca="false">IF(EU190&gt;0,MIN(FH190-FV190,BO190),0)</f>
        <v>0</v>
      </c>
      <c r="GA190" s="1132" t="n">
        <f aca="false">(SUM(FP190:FV190)+SUM(GU190:HB190)/(1-Summary!$O$25))*CY190/1000</f>
        <v>198038.73731328</v>
      </c>
      <c r="GB190" s="1133" t="n">
        <f aca="false">IF($C190&lt;Summary!$M$81,+Summary!$O$81,VLOOKUP(C190,GasTable,19))</f>
        <v>3.27844865023206</v>
      </c>
      <c r="GC190" s="1134" t="n">
        <f aca="false">IF(H190&lt;=Summary!$N$84,MIN(GA190,Summary!$O$75*(H190-G190+1)),0)</f>
        <v>0</v>
      </c>
      <c r="GD190" s="1135" t="n">
        <f aca="false">IF(C190&lt;Summary!$N$84,IF(Summary!$O$75*(H190-G190+1)*0.8&gt;GC190,1,0),0)</f>
        <v>0</v>
      </c>
      <c r="GE190" s="1136" t="n">
        <v>0</v>
      </c>
      <c r="GF190" s="1134" t="n">
        <f aca="false">ABS(MIN(0,GC190-$GA190))</f>
        <v>198038.73731328</v>
      </c>
      <c r="GG190" s="1135" t="n">
        <f aca="false">GF190*(IF(Summary!$O$74=1,VLOOKUP($C190,GasTable,16)+Summary!$O$92+Summary!$O$93,VLOOKUP($C190,GasTable,19)+Summary!$O$92+Summary!$O$93))</f>
        <v>659577.649252406</v>
      </c>
      <c r="GH190" s="1137" t="n">
        <v>4917.67297534809</v>
      </c>
      <c r="GI190" s="1138" t="n">
        <v>0</v>
      </c>
      <c r="GJ190" s="1139" t="n">
        <f aca="false">+GB190*GC190+GE190+GG190+GH190-GI190</f>
        <v>664495.322227754</v>
      </c>
      <c r="GK190" s="1115" t="n">
        <f aca="false">SUM(FP190:FV190,GU190:GX190,GY190:HB190)</f>
        <v>25196.103</v>
      </c>
      <c r="GL190" s="1140" t="n">
        <v>0.5197012048</v>
      </c>
      <c r="GM190" s="1141" t="n">
        <f aca="false">IF(GK190&gt;GC190/(CY190/1000),GC190/(CY190/1000),+GK190)*GL190</f>
        <v>0</v>
      </c>
      <c r="GN190" s="1115" t="n">
        <f aca="false">IF(SUM(GU190:HB190)=0,0,IF(Summary!$O$16="Yes",SUM(GX190:HB190),IF(Summary!$O$17="Yes",SUM(GY190:HB190),SUM(GU190:HB190))))</f>
        <v>9239.103</v>
      </c>
      <c r="GO190" s="1142" t="n">
        <v>3.59924589309593</v>
      </c>
      <c r="GP190" s="1143" t="n">
        <f aca="false">GN190*GO190</f>
        <v>33253.8035286403</v>
      </c>
      <c r="GQ190" s="1115"/>
      <c r="GR190" s="1115"/>
      <c r="GS190" s="1115"/>
      <c r="GT190" s="1115"/>
      <c r="GU190" s="1150" t="n">
        <v>3592.9845</v>
      </c>
      <c r="GV190" s="1115" t="n">
        <v>684.378</v>
      </c>
      <c r="GW190" s="1115" t="n">
        <v>855.4725</v>
      </c>
      <c r="GX190" s="1115"/>
      <c r="GY190" s="1151" t="n">
        <v>2874.3876</v>
      </c>
      <c r="GZ190" s="1115" t="n">
        <v>547.5024</v>
      </c>
      <c r="HA190" s="1115" t="n">
        <v>684.378</v>
      </c>
      <c r="HB190" s="1141"/>
      <c r="HC190" s="1115" t="n">
        <v>9239.103</v>
      </c>
      <c r="HD190" s="1115"/>
      <c r="HE190" s="1115" t="n">
        <v>21557.907</v>
      </c>
      <c r="HF190" s="1115" t="n">
        <v>379760.640027665</v>
      </c>
      <c r="HG190" s="1115"/>
      <c r="HH190" s="1142" t="n">
        <v>42.5222544805199</v>
      </c>
      <c r="HI190" s="1115" t="n">
        <v>916690.807521381</v>
      </c>
      <c r="HJ190" s="1150" t="n">
        <f aca="false">MAX(FB190-FP190-FW190,0)</f>
        <v>0</v>
      </c>
      <c r="HK190" s="1115" t="n">
        <f aca="false">MAX(FD190-FR190-FX190,0)</f>
        <v>0</v>
      </c>
      <c r="HL190" s="1115" t="n">
        <f aca="false">MAX(FF190-FT190-FY190,0)</f>
        <v>0</v>
      </c>
      <c r="HM190" s="1141" t="n">
        <f aca="false">MAX(FH190-FV190-FZ190,0)</f>
        <v>0</v>
      </c>
      <c r="HN190" s="1115" t="n">
        <f aca="false">SUM(HJ190:HM190)</f>
        <v>0</v>
      </c>
      <c r="HO190" s="1142" t="n">
        <f aca="false">IF(ISERROR(+HP190/HN190),0,+HP190/HN190)</f>
        <v>0</v>
      </c>
      <c r="HP190" s="1143" t="n">
        <f aca="false">(HJ190*CE190+HK190*CF190+HL190*CG190+HM190*CH190)</f>
        <v>0</v>
      </c>
      <c r="HQ190" s="1146"/>
      <c r="HR190" s="1150"/>
      <c r="HS190" s="1200"/>
      <c r="HT190" s="1141"/>
      <c r="HU190" s="1150"/>
      <c r="HV190" s="1200"/>
      <c r="HW190" s="1141"/>
      <c r="HX190" s="1200"/>
      <c r="HY190" s="1200"/>
      <c r="HZ190" s="0"/>
      <c r="IA190" s="1142"/>
      <c r="IB190" s="1142"/>
      <c r="IC190" s="1142"/>
      <c r="ID190" s="1142"/>
      <c r="IE190" s="1142"/>
      <c r="IF190" s="1142"/>
      <c r="IG190" s="1142"/>
      <c r="IH190" s="1142"/>
      <c r="II190" s="1142"/>
      <c r="IJ190" s="1142"/>
      <c r="IK190" s="1142"/>
      <c r="IL190" s="1190"/>
      <c r="IM190" s="222"/>
      <c r="IN190" s="222"/>
      <c r="IR190" s="844"/>
    </row>
    <row r="191" customFormat="false" ht="13.5" hidden="false" customHeight="false" outlineLevel="0" collapsed="false">
      <c r="A191" s="0" t="str">
        <f aca="false">+D191&amp;"Q"&amp;ROUNDUP(E191/3,0)</f>
        <v>2014Q3</v>
      </c>
      <c r="B191" s="0" t="n">
        <f aca="false">YEAR(C191)</f>
        <v>2014</v>
      </c>
      <c r="C191" s="1153" t="n">
        <f aca="false">EOMONTH(C190,0)+1</f>
        <v>41821</v>
      </c>
      <c r="D191" s="841" t="n">
        <f aca="false">+YEAR(C191)</f>
        <v>2014</v>
      </c>
      <c r="E191" s="807" t="n">
        <f aca="false">MONTH(C191)</f>
        <v>7</v>
      </c>
      <c r="F191" s="1154" t="e">
        <f aca="false">IF(G191="","",Holiday(D191,E191))</f>
        <v>#VALUE!</v>
      </c>
      <c r="G191" s="1155" t="n">
        <v>41821</v>
      </c>
      <c r="H191" s="1156" t="n">
        <v>41851</v>
      </c>
      <c r="I191" s="1157" t="n">
        <f aca="false">I190</f>
        <v>0.0715</v>
      </c>
      <c r="J191" s="1158" t="n">
        <f aca="false">(1+I191/2)^(-2*(DATE(D192,E192,20)-$H$7)/365.25)</f>
        <v>0.356536539249964</v>
      </c>
      <c r="K191" s="1159"/>
      <c r="L191" s="1158"/>
      <c r="M191" s="1082" t="n">
        <v>0</v>
      </c>
      <c r="N191" s="1110" t="n">
        <f aca="false">M191</f>
        <v>0</v>
      </c>
      <c r="O191" s="1174" t="n">
        <f aca="false">N191</f>
        <v>0</v>
      </c>
      <c r="P191" s="1175" t="n">
        <f aca="false">M191</f>
        <v>0</v>
      </c>
      <c r="Q191" s="1110" t="n">
        <f aca="false">P191</f>
        <v>0</v>
      </c>
      <c r="R191" s="1174" t="n">
        <f aca="false">Q191</f>
        <v>0</v>
      </c>
      <c r="S191" s="1110" t="n">
        <f aca="false">R191</f>
        <v>0</v>
      </c>
      <c r="T191" s="1110" t="n">
        <f aca="false">S191</f>
        <v>0</v>
      </c>
      <c r="U191" s="1110" t="n">
        <f aca="false">T191</f>
        <v>0</v>
      </c>
      <c r="V191" s="1175" t="n">
        <f aca="false">U191</f>
        <v>0</v>
      </c>
      <c r="W191" s="1110" t="n">
        <f aca="false">V191</f>
        <v>0</v>
      </c>
      <c r="X191" s="1176" t="n">
        <f aca="false">W191</f>
        <v>0</v>
      </c>
      <c r="Y191" s="1086" t="n">
        <v>0</v>
      </c>
      <c r="Z191" s="1086" t="n">
        <v>0</v>
      </c>
      <c r="AA191" s="1087" t="n">
        <v>0</v>
      </c>
      <c r="AB191" s="1086" t="n">
        <v>0</v>
      </c>
      <c r="AC191" s="1086" t="n">
        <v>0</v>
      </c>
      <c r="AD191" s="1087" t="n">
        <v>0</v>
      </c>
      <c r="AE191" s="1086" t="n">
        <v>0</v>
      </c>
      <c r="AF191" s="1086" t="n">
        <v>0</v>
      </c>
      <c r="AG191" s="1087" t="n">
        <v>0</v>
      </c>
      <c r="AH191" s="1086" t="n">
        <v>0</v>
      </c>
      <c r="AI191" s="1086" t="n">
        <v>0</v>
      </c>
      <c r="AJ191" s="1087" t="n">
        <v>0</v>
      </c>
      <c r="AK191" s="1086" t="n">
        <v>0</v>
      </c>
      <c r="AL191" s="1086" t="n">
        <v>0</v>
      </c>
      <c r="AM191" s="1087" t="n">
        <v>0</v>
      </c>
      <c r="AN191" s="1086" t="n">
        <v>0</v>
      </c>
      <c r="AO191" s="1086" t="n">
        <v>0</v>
      </c>
      <c r="AP191" s="1087" t="n">
        <v>0</v>
      </c>
      <c r="AQ191" s="1086" t="n">
        <v>0</v>
      </c>
      <c r="AR191" s="1086" t="n">
        <v>0</v>
      </c>
      <c r="AS191" s="1087" t="n">
        <v>0</v>
      </c>
      <c r="AT191" s="1086" t="n">
        <v>0</v>
      </c>
      <c r="AU191" s="1086" t="n">
        <v>0</v>
      </c>
      <c r="AV191" s="1086" t="n">
        <v>0</v>
      </c>
      <c r="AW191" s="1172" t="n">
        <v>0</v>
      </c>
      <c r="AX191" s="807" t="e">
        <f aca="false">BB191-SUM(AY191:BA191)</f>
        <v>#VALUE!</v>
      </c>
      <c r="AY191" s="807" t="e">
        <f aca="false">IF(AND($E191=MONTH(Summary!$E$24),$D191=YEAR(Summary!$E$24)),Summary!$E$25,1)*IF(G191="",0,INT((H191-MOD(H191,7)-G191)/7)+1-IF(BA191,IF(WEEKDAY(F191)=7,1,0),0))</f>
        <v>#VALUE!</v>
      </c>
      <c r="AZ191" s="807" t="e">
        <f aca="false">IF(AND($E191=MONTH(Summary!$E$24),$D191=YEAR(Summary!$E$24)),Summary!$E$25,1)*IF(G191="",0,INT((H191-MOD(H191-1,7)-G191)/7)+1-IF(BA191,IF(WEEKDAY(F191)=1,1,0),0))</f>
        <v>#VALUE!</v>
      </c>
      <c r="BA191" s="807" t="n">
        <v>1</v>
      </c>
      <c r="BB191" s="807" t="n">
        <f aca="false">IF(AND($E191=MONTH(Summary!$E$24),$D191=YEAR(Summary!$E$24)),Summary!$E$25,1)*IF(G191="",0,H191-G191+1)</f>
        <v>31</v>
      </c>
      <c r="BC191" s="1089" t="n">
        <f aca="false">Summary!$E$19</f>
        <v>0.015</v>
      </c>
      <c r="BD191" s="1090" t="n">
        <v>15602.4</v>
      </c>
      <c r="BE191" s="1091" t="n">
        <v>2836.8</v>
      </c>
      <c r="BF191" s="1091" t="n">
        <v>3546</v>
      </c>
      <c r="BG191" s="842"/>
      <c r="BH191" s="1092" t="n">
        <v>1</v>
      </c>
      <c r="BI191" s="1092" t="n">
        <v>1</v>
      </c>
      <c r="BJ191" s="1092" t="n">
        <v>1</v>
      </c>
      <c r="BK191" s="1092" t="n">
        <v>1</v>
      </c>
      <c r="BL191" s="1093" t="n">
        <v>3120.48</v>
      </c>
      <c r="BM191" s="1091" t="n">
        <v>567.36</v>
      </c>
      <c r="BN191" s="1091" t="n">
        <v>709.2</v>
      </c>
      <c r="BO191" s="842"/>
      <c r="BP191" s="1092" t="n">
        <v>1</v>
      </c>
      <c r="BQ191" s="1094" t="n">
        <v>1</v>
      </c>
      <c r="BR191" s="1094" t="n">
        <v>1</v>
      </c>
      <c r="BS191" s="1095" t="n">
        <v>1</v>
      </c>
      <c r="BT191" s="1093" t="n">
        <f aca="false">SUM(BD191:BF191)</f>
        <v>21985.2</v>
      </c>
      <c r="BU191" s="1098" t="n">
        <f aca="false">SUM(BD191:BG191)</f>
        <v>21985.2</v>
      </c>
      <c r="BV191" s="1090" t="n">
        <f aca="false">SUM(BL191:BN191)</f>
        <v>4397.04</v>
      </c>
      <c r="BW191" s="1098" t="n">
        <f aca="false">SUM(BL191:BO191)</f>
        <v>4397.04</v>
      </c>
      <c r="BX191" s="852" t="n">
        <v>14.5434633812457</v>
      </c>
      <c r="BY191" s="1099" t="n">
        <v>0</v>
      </c>
      <c r="BZ191" s="852" t="n">
        <v>0</v>
      </c>
      <c r="CA191" s="852" t="n">
        <v>0</v>
      </c>
      <c r="CB191" s="852" t="n">
        <v>0</v>
      </c>
      <c r="CC191" s="852" t="n">
        <v>0</v>
      </c>
      <c r="CD191" s="852" t="n">
        <v>0</v>
      </c>
      <c r="CE191" s="1100" t="n">
        <v>0</v>
      </c>
      <c r="CF191" s="852" t="n">
        <v>0</v>
      </c>
      <c r="CG191" s="852" t="n">
        <v>0</v>
      </c>
      <c r="CH191" s="852" t="n">
        <v>0</v>
      </c>
      <c r="CI191" s="852" t="n">
        <v>0</v>
      </c>
      <c r="CJ191" s="1101" t="n">
        <v>0</v>
      </c>
      <c r="CK191" s="852" t="n">
        <v>0</v>
      </c>
      <c r="CL191" s="852" t="n">
        <v>0</v>
      </c>
      <c r="CM191" s="852" t="n">
        <v>0</v>
      </c>
      <c r="CN191" s="852" t="n">
        <v>0</v>
      </c>
      <c r="CO191" s="852" t="n">
        <v>0</v>
      </c>
      <c r="CP191" s="852" t="n">
        <v>0</v>
      </c>
      <c r="CQ191" s="1102" t="n">
        <v>0</v>
      </c>
      <c r="CR191" s="1103" t="n">
        <v>0</v>
      </c>
      <c r="CS191" s="1103" t="n">
        <v>0</v>
      </c>
      <c r="CT191" s="1103" t="n">
        <v>0</v>
      </c>
      <c r="CU191" s="1103" t="n">
        <v>0</v>
      </c>
      <c r="CV191" s="1103" t="n">
        <v>0</v>
      </c>
      <c r="CW191" s="1103" t="n">
        <v>0</v>
      </c>
      <c r="CX191" s="1104" t="n">
        <v>0</v>
      </c>
      <c r="CY191" s="1105" t="n">
        <v>7758.03728</v>
      </c>
      <c r="CZ191" s="1099" t="n">
        <v>0</v>
      </c>
      <c r="DA191" s="852" t="n">
        <v>0</v>
      </c>
      <c r="DB191" s="852" t="n">
        <v>0</v>
      </c>
      <c r="DC191" s="852" t="n">
        <v>0</v>
      </c>
      <c r="DD191" s="852" t="n">
        <v>0</v>
      </c>
      <c r="DE191" s="1113" t="n">
        <v>0</v>
      </c>
      <c r="DF191" s="1109" t="n">
        <v>0</v>
      </c>
      <c r="DG191" s="1110" t="n">
        <v>0</v>
      </c>
      <c r="DH191" s="1111" t="n">
        <v>0</v>
      </c>
      <c r="DI191" s="1112" t="n">
        <v>0</v>
      </c>
      <c r="DJ191" s="1112" t="n">
        <v>0</v>
      </c>
      <c r="DK191" s="1112" t="n">
        <v>0</v>
      </c>
      <c r="DL191" s="1113" t="n">
        <v>0</v>
      </c>
      <c r="DM191" s="1114" t="n">
        <v>0</v>
      </c>
      <c r="DN191" s="1114" t="n">
        <v>0</v>
      </c>
      <c r="DO191" s="1114" t="n">
        <v>0</v>
      </c>
      <c r="DP191" s="1114" t="n">
        <v>0</v>
      </c>
      <c r="DQ191" s="1114" t="n">
        <v>0</v>
      </c>
      <c r="DR191" s="1109" t="n">
        <v>0</v>
      </c>
      <c r="DS191" s="852" t="n">
        <v>0</v>
      </c>
      <c r="DT191" s="852" t="n">
        <v>0</v>
      </c>
      <c r="DU191" s="852" t="n">
        <v>0</v>
      </c>
      <c r="DV191" s="852" t="n">
        <v>0</v>
      </c>
      <c r="DW191" s="852" t="n">
        <v>0</v>
      </c>
      <c r="DX191" s="852" t="n">
        <v>0</v>
      </c>
      <c r="DY191" s="852" t="n">
        <v>0</v>
      </c>
      <c r="DZ191" s="852" t="n">
        <v>0</v>
      </c>
      <c r="EA191" s="852" t="n">
        <v>0</v>
      </c>
      <c r="EB191" s="1113" t="n">
        <v>0</v>
      </c>
      <c r="EC191" s="1115" t="n">
        <f aca="false">DS191*BD191</f>
        <v>0</v>
      </c>
      <c r="ED191" s="1115" t="n">
        <f aca="false">DT191*BE191</f>
        <v>0</v>
      </c>
      <c r="EE191" s="1115" t="n">
        <f aca="false">DU191*BF191</f>
        <v>0</v>
      </c>
      <c r="EF191" s="1115" t="n">
        <f aca="false">DV191*BG191</f>
        <v>0</v>
      </c>
      <c r="EG191" s="1115" t="n">
        <f aca="false">DS191*BD191+DT191*BE191+DU191*BF191+DV191*BG191</f>
        <v>0</v>
      </c>
      <c r="EH191" s="1116" t="n">
        <v>0</v>
      </c>
      <c r="EI191" s="1117" t="n">
        <v>0</v>
      </c>
      <c r="EJ191" s="1117" t="n">
        <v>0</v>
      </c>
      <c r="EK191" s="1117" t="n">
        <v>0</v>
      </c>
      <c r="EL191" s="1118" t="n">
        <f aca="false">IF(C191&gt;=Summary!$E$26,MAX(0,SUM(EH191:EK191)),0)</f>
        <v>0</v>
      </c>
      <c r="EM191" s="1115" t="n">
        <f aca="false">IF(C191&gt;=Summary!$E$26,DX191*BL191,0)</f>
        <v>0</v>
      </c>
      <c r="EN191" s="1115" t="n">
        <f aca="false">IF(C191&gt;=Summary!$E$26,DY191*BM191,0)</f>
        <v>0</v>
      </c>
      <c r="EO191" s="1115" t="n">
        <f aca="false">IF(C191&gt;=Summary!$E$26,DZ191*BN191,0)</f>
        <v>0</v>
      </c>
      <c r="EP191" s="1115" t="n">
        <f aca="false">IF(C191&gt;=Summary!$E$26,EA191*BO191,0)</f>
        <v>0</v>
      </c>
      <c r="EQ191" s="1115" t="n">
        <f aca="false">IF(C191&gt;=Summary!$E$26,DX191*BL191+DY191*BM191+DZ191*BN191+EA191*BO191,0)</f>
        <v>0</v>
      </c>
      <c r="ER191" s="1119" t="n">
        <v>0</v>
      </c>
      <c r="ES191" s="1120" t="n">
        <v>0</v>
      </c>
      <c r="ET191" s="1120" t="n">
        <v>0</v>
      </c>
      <c r="EU191" s="1120" t="n">
        <v>0</v>
      </c>
      <c r="EV191" s="1143" t="n">
        <f aca="false">IF(C191&gt;=Summary!$E$26,MAX(0,SUM(ER191:EU191)),0)</f>
        <v>0</v>
      </c>
      <c r="EW191" s="1115"/>
      <c r="EX191" s="1165" t="n">
        <f aca="false">(EQ191-EV191)+IF(EZ191="Yes",(EG191-EL191),0)</f>
        <v>0</v>
      </c>
      <c r="EY191" s="1166" t="str">
        <f aca="false">IF(EX191,EX191/EQ191,"")</f>
        <v/>
      </c>
      <c r="EZ191" s="1122" t="s">
        <v>37</v>
      </c>
      <c r="FA191" s="1096" t="n">
        <f aca="false">FA190</f>
        <v>45</v>
      </c>
      <c r="FB191" s="1167" t="e">
        <f aca="false">IF(EZ191="No",IF((OR(MONTH(C191)=5,MONTH(C191)=6,MONTH(C191)=7,MONTH(C191)=8,MONTH(C191)=9)),$FA191*12*AX191*(1-$BC191),$FA191*10*AX191*(1-$BC191)),0)</f>
        <v>#VALUE!</v>
      </c>
      <c r="FC191" s="1129" t="n">
        <f aca="false">IF(EZ191="No",IF((OR(MONTH(C191)=5,MONTH(C191)=6,MONTH(C191)=7,MONTH(C191)=8,MONTH(C191)=9)),0,$FA191*3*AX191*(1-$BC191)),0)</f>
        <v>0</v>
      </c>
      <c r="FD191" s="1129" t="e">
        <f aca="false">IF(EZ191="No",IF((OR(MONTH(C191)=5,MONTH(C191)=6,MONTH(C191)=7,MONTH(C191)=8,MONTH(C191)=9)),$FA191*12*AY191*(1-$BC191),$FA191*10*AY191*(1-$BC191)),0)</f>
        <v>#VALUE!</v>
      </c>
      <c r="FE191" s="1129" t="n">
        <f aca="false">IF(EZ191="No",IF((OR(MONTH(C191)=5,MONTH(C191)=6,MONTH(C191)=7,MONTH(C191)=8,MONTH(C191)=9)),0,$FA191*3*AY191*(1-$BC191)),0)</f>
        <v>0</v>
      </c>
      <c r="FF191" s="1129" t="e">
        <f aca="false">IF(EZ191="No",IF((OR(MONTH(C191)=5,MONTH(C191)=6,MONTH(C191)=7,MONTH(C191)=8,MONTH(C191)=9)),$FA191*12*(AZ191+BA191)*(1-$BC191),$FA191*10*(AZ191+BA191)*(1-$BC191)),0)</f>
        <v>#VALUE!</v>
      </c>
      <c r="FG191" s="1129" t="n">
        <f aca="false">IF(EZ191="No",IF((OR(MONTH(C191)=5,MONTH(C191)=6,MONTH(C191)=7,MONTH(C191)=8,MONTH(C191)=9)),0,$FA191*3*(AZ191+BA191)*(1-$BC191)),0)</f>
        <v>0</v>
      </c>
      <c r="FH191" s="1170" t="e">
        <f aca="false">IF(EZ191="No",IF((OR(MONTH(C191)=5,MONTH(C191)=6,MONTH(C191)=7,MONTH(C191)=8,MONTH(C191)=9)),Summary!$O$15*12*(AX191+AY191+AZ191+BA191)*(1-$BC191),Summary!$O$15*13*(AX191+AY191+AZ191+BA191)*(1-$BC191)+IF(Summary!$O$16="Yes",(CALC!FA191+Summary!$O$15)*6*(AX191+AY191+AZ191+BA191)*(1-$BC191),0)),0)</f>
        <v>#VALUE!</v>
      </c>
      <c r="FI191" s="1126" t="n">
        <f aca="false">IF(MONTH(C191)=5,FI190*(IF(Summary!$E$70="no",(1+(Summary!$E$71*0.8)),1+HLOOKUP(YEAR(C191)-1,CCFMODEL!$I$127:$AF$128,2)*0.8)),+FI190)</f>
        <v>37.9684633655614</v>
      </c>
      <c r="FJ191" s="1127" t="n">
        <f aca="false">IF(MONTH(C191)=5,FJ190*(IF(Summary!$E$70="no",(1+(Summary!$E$71*0.8)),1+HLOOKUP(YEAR(CALC!C191)-1,CCFMODEL!$I$127:$AF$128,2)*0.8)),FJ190)</f>
        <v>33.1850349100576</v>
      </c>
      <c r="FK191" s="1128" t="e">
        <f aca="false">SUM(FB191:FG191)*FI191+FH191*FJ191</f>
        <v>#VALUE!</v>
      </c>
      <c r="FL191" s="1126" t="n">
        <f aca="false">IF(MONTH(C191)=5,FL190*(IF(Summary!$E$70="no",(1+(Summary!$E$71*0.8)),1+HLOOKUP(YEAR(CALC!C191)-1,CCFMODEL!$I$127:$AF$128,2)*0.8)),+FL190)</f>
        <v>79.8519351396453</v>
      </c>
      <c r="FM191" s="1127" t="n">
        <f aca="false">IF(MONTH(C191)=5,FM190*(IF(Summary!$E$70="no",(1+(Summary!$E$71*0.8)),1+HLOOKUP(YEAR(CALC!C191)-1,CCFMODEL!$I$127:$AF$128,2)*0.8)),+FM190)</f>
        <v>38.1108273076895</v>
      </c>
      <c r="FN191" s="1128" t="e">
        <f aca="false">IF((OR(MONTH(C191)=5,MONTH(C191)=6,MONTH(C191)=7,MONTH(C191)=8,MONTH(C191)=9)),SUM(FB191:FG191)/(1-BC191)*FL191,SUM(FB191:FG191)/(1-BC191)*FM191)</f>
        <v>#VALUE!</v>
      </c>
      <c r="FO191" s="1129" t="e">
        <f aca="false">FK191+FN191</f>
        <v>#VALUE!</v>
      </c>
      <c r="FP191" s="1169" t="e">
        <f aca="false">FB191</f>
        <v>#VALUE!</v>
      </c>
      <c r="FQ191" s="1129" t="n">
        <f aca="false">FC191</f>
        <v>0</v>
      </c>
      <c r="FR191" s="1129" t="e">
        <f aca="false">FD191</f>
        <v>#VALUE!</v>
      </c>
      <c r="FS191" s="1129" t="n">
        <f aca="false">FE191</f>
        <v>0</v>
      </c>
      <c r="FT191" s="1129" t="e">
        <f aca="false">FF191</f>
        <v>#VALUE!</v>
      </c>
      <c r="FU191" s="1129" t="n">
        <f aca="false">FG191</f>
        <v>0</v>
      </c>
      <c r="FV191" s="1170" t="e">
        <f aca="false">FH191</f>
        <v>#VALUE!</v>
      </c>
      <c r="FW191" s="1115" t="n">
        <f aca="false">IF(ER191&gt;0,MIN(FB191-FP191,BL191),0)</f>
        <v>0</v>
      </c>
      <c r="FX191" s="1115" t="n">
        <f aca="false">IF(ES191&gt;0,MIN(FD191-FR191,BM191),0)</f>
        <v>0</v>
      </c>
      <c r="FY191" s="1115" t="n">
        <f aca="false">IF(ET191&gt;0,MIN(FF191-FT191,BN191),0)</f>
        <v>0</v>
      </c>
      <c r="FZ191" s="1143" t="n">
        <f aca="false">IF(EU191&gt;0,MIN(FH191-FV191,BO191),0)</f>
        <v>0</v>
      </c>
      <c r="GA191" s="1132" t="e">
        <f aca="false">(SUM(FP191:FV191)+SUM(GU191:HB191)/(1-Summary!$O$25))*CY191/1000</f>
        <v>#VALUE!</v>
      </c>
      <c r="GB191" s="1133" t="n">
        <f aca="false">IF($C191&lt;Summary!$M$81,+Summary!$O$81,VLOOKUP(C191,GasTable,19))</f>
        <v>3.36793748089476</v>
      </c>
      <c r="GC191" s="1134" t="n">
        <f aca="false">IF(H191&lt;=Summary!$N$84,MIN(GA191,Summary!$O$75*(H191-G191+1)),0)</f>
        <v>0</v>
      </c>
      <c r="GD191" s="1135" t="n">
        <f aca="false">IF(C191&lt;Summary!$N$84,IF(Summary!$O$75*(H191-G191+1)*0.8&gt;GC191,1,0),0)</f>
        <v>0</v>
      </c>
      <c r="GE191" s="1136" t="n">
        <v>0</v>
      </c>
      <c r="GF191" s="1134" t="e">
        <f aca="false">ABS(MIN(0,GC191-$GA191))</f>
        <v>#VALUE!</v>
      </c>
      <c r="GG191" s="1135" t="e">
        <f aca="false">GF191*(IF(Summary!$O$74=1,VLOOKUP($C191,GasTable,16)+Summary!$O$92+Summary!$O$93,VLOOKUP($C191,GasTable,19)+Summary!$O$92+Summary!$O$93))</f>
        <v>#VALUE!</v>
      </c>
      <c r="GH191" s="1137" t="n">
        <v>5220.30309538688</v>
      </c>
      <c r="GI191" s="1138" t="n">
        <v>0</v>
      </c>
      <c r="GJ191" s="1139" t="e">
        <f aca="false">+GB191*GC191+GE191+GG191+GH191-GI191</f>
        <v>#VALUE!</v>
      </c>
      <c r="GK191" s="1115" t="e">
        <f aca="false">SUM(FP191:FV191,GU191:GX191,GY191:HB191)</f>
        <v>#VALUE!</v>
      </c>
      <c r="GL191" s="1140" t="n">
        <v>0.51978849776</v>
      </c>
      <c r="GM191" s="1141" t="e">
        <f aca="false">IF(GK191&gt;GC191/(CY191/1000),GC191/(CY191/1000),+GK191)*GL191</f>
        <v>#VALUE!</v>
      </c>
      <c r="GN191" s="1115" t="n">
        <f aca="false">IF(SUM(GU191:HB191)=0,0,IF(Summary!$O$16="Yes",SUM(GX191:HB191),IF(Summary!$O$17="Yes",SUM(GY191:HB191),SUM(GU191:HB191))))</f>
        <v>9547.0731</v>
      </c>
      <c r="GO191" s="1142" t="n">
        <v>3.59924589309593</v>
      </c>
      <c r="GP191" s="1143" t="n">
        <f aca="false">GN191*GO191</f>
        <v>34362.2636462616</v>
      </c>
      <c r="GQ191" s="1115"/>
      <c r="GR191" s="1115"/>
      <c r="GS191" s="1115"/>
      <c r="GT191" s="1115"/>
      <c r="GU191" s="1150" t="n">
        <v>3764.079</v>
      </c>
      <c r="GV191" s="1115" t="n">
        <v>684.378</v>
      </c>
      <c r="GW191" s="1115" t="n">
        <v>855.4725</v>
      </c>
      <c r="GX191" s="1115"/>
      <c r="GY191" s="1151" t="n">
        <v>3011.2632</v>
      </c>
      <c r="GZ191" s="1115" t="n">
        <v>547.5024</v>
      </c>
      <c r="HA191" s="1115" t="n">
        <v>684.378</v>
      </c>
      <c r="HB191" s="1141"/>
      <c r="HC191" s="1115" t="n">
        <v>9547.0731</v>
      </c>
      <c r="HD191" s="1115"/>
      <c r="HE191" s="1115" t="n">
        <v>22276.5039</v>
      </c>
      <c r="HF191" s="1115" t="n">
        <v>520304.635637029</v>
      </c>
      <c r="HG191" s="1115"/>
      <c r="HH191" s="1142" t="n">
        <v>57.7129313713539</v>
      </c>
      <c r="HI191" s="1115" t="n">
        <v>1285642.3407744</v>
      </c>
      <c r="HJ191" s="1150" t="e">
        <f aca="false">MAX(FB191-FP191-FW191,0)</f>
        <v>#VALUE!</v>
      </c>
      <c r="HK191" s="1115" t="e">
        <f aca="false">MAX(FD191-FR191-FX191,0)</f>
        <v>#VALUE!</v>
      </c>
      <c r="HL191" s="1115" t="e">
        <f aca="false">MAX(FF191-FT191-FY191,0)</f>
        <v>#VALUE!</v>
      </c>
      <c r="HM191" s="1141" t="e">
        <f aca="false">MAX(FH191-FV191-FZ191,0)</f>
        <v>#VALUE!</v>
      </c>
      <c r="HN191" s="1115" t="e">
        <f aca="false">SUM(HJ191:HM191)</f>
        <v>#VALUE!</v>
      </c>
      <c r="HO191" s="1142" t="n">
        <f aca="false">IF(ISERROR(+HP191/HN191),0,+HP191/HN191)</f>
        <v>0</v>
      </c>
      <c r="HP191" s="1143" t="e">
        <f aca="false">(HJ191*CE191+HK191*CF191+HL191*CG191+HM191*CH191)</f>
        <v>#VALUE!</v>
      </c>
      <c r="HQ191" s="1146"/>
      <c r="HR191" s="1150"/>
      <c r="HS191" s="1200"/>
      <c r="HT191" s="1141"/>
      <c r="HU191" s="1150"/>
      <c r="HV191" s="1200"/>
      <c r="HW191" s="1141"/>
      <c r="HX191" s="1200"/>
      <c r="HY191" s="1200"/>
      <c r="HZ191" s="0"/>
      <c r="IA191" s="1142"/>
      <c r="IB191" s="1142"/>
      <c r="IC191" s="1142"/>
      <c r="ID191" s="1142"/>
      <c r="IE191" s="1142"/>
      <c r="IF191" s="1142"/>
      <c r="IG191" s="1142"/>
      <c r="IH191" s="1142"/>
      <c r="II191" s="1142"/>
      <c r="IJ191" s="1142"/>
      <c r="IK191" s="1142"/>
      <c r="IL191" s="1190"/>
      <c r="IM191" s="222"/>
      <c r="IN191" s="222"/>
      <c r="IR191" s="844"/>
    </row>
    <row r="192" customFormat="false" ht="13.5" hidden="false" customHeight="false" outlineLevel="0" collapsed="false">
      <c r="A192" s="0" t="str">
        <f aca="false">+D192&amp;"Q"&amp;ROUNDUP(E192/3,0)</f>
        <v>2014Q3</v>
      </c>
      <c r="B192" s="0" t="n">
        <f aca="false">YEAR(C192)</f>
        <v>2014</v>
      </c>
      <c r="C192" s="1153" t="n">
        <f aca="false">EOMONTH(C191,0)+1</f>
        <v>41852</v>
      </c>
      <c r="D192" s="841" t="n">
        <f aca="false">+YEAR(C192)</f>
        <v>2014</v>
      </c>
      <c r="E192" s="807" t="n">
        <f aca="false">MONTH(C192)</f>
        <v>8</v>
      </c>
      <c r="F192" s="1154" t="e">
        <f aca="false">IF(G192="","",Holiday(D192,E192))</f>
        <v>#VALUE!</v>
      </c>
      <c r="G192" s="1155" t="n">
        <v>41852</v>
      </c>
      <c r="H192" s="1156" t="n">
        <v>41882</v>
      </c>
      <c r="I192" s="1157" t="n">
        <f aca="false">I191</f>
        <v>0.0715</v>
      </c>
      <c r="J192" s="1158" t="n">
        <f aca="false">(1+I192/2)^(-2*(DATE(D193,E193,20)-$H$7)/365.25)</f>
        <v>0.354417018546572</v>
      </c>
      <c r="K192" s="1159"/>
      <c r="L192" s="1158"/>
      <c r="M192" s="1082" t="n">
        <v>0</v>
      </c>
      <c r="N192" s="1110" t="n">
        <f aca="false">M192</f>
        <v>0</v>
      </c>
      <c r="O192" s="1174" t="n">
        <f aca="false">N192</f>
        <v>0</v>
      </c>
      <c r="P192" s="1175" t="n">
        <f aca="false">M192</f>
        <v>0</v>
      </c>
      <c r="Q192" s="1110" t="n">
        <f aca="false">P192</f>
        <v>0</v>
      </c>
      <c r="R192" s="1174" t="n">
        <f aca="false">Q192</f>
        <v>0</v>
      </c>
      <c r="S192" s="1110" t="n">
        <f aca="false">R192</f>
        <v>0</v>
      </c>
      <c r="T192" s="1110" t="n">
        <f aca="false">S192</f>
        <v>0</v>
      </c>
      <c r="U192" s="1110" t="n">
        <f aca="false">T192</f>
        <v>0</v>
      </c>
      <c r="V192" s="1175" t="n">
        <f aca="false">U192</f>
        <v>0</v>
      </c>
      <c r="W192" s="1110" t="n">
        <f aca="false">V192</f>
        <v>0</v>
      </c>
      <c r="X192" s="1176" t="n">
        <f aca="false">W192</f>
        <v>0</v>
      </c>
      <c r="Y192" s="1086" t="n">
        <v>0</v>
      </c>
      <c r="Z192" s="1086" t="n">
        <v>0</v>
      </c>
      <c r="AA192" s="1087" t="n">
        <v>0</v>
      </c>
      <c r="AB192" s="1086" t="n">
        <v>0</v>
      </c>
      <c r="AC192" s="1086" t="n">
        <v>0</v>
      </c>
      <c r="AD192" s="1087" t="n">
        <v>0</v>
      </c>
      <c r="AE192" s="1086" t="n">
        <v>0</v>
      </c>
      <c r="AF192" s="1086" t="n">
        <v>0</v>
      </c>
      <c r="AG192" s="1087" t="n">
        <v>0</v>
      </c>
      <c r="AH192" s="1086" t="n">
        <v>0</v>
      </c>
      <c r="AI192" s="1086" t="n">
        <v>0</v>
      </c>
      <c r="AJ192" s="1087" t="n">
        <v>0</v>
      </c>
      <c r="AK192" s="1086" t="n">
        <v>0</v>
      </c>
      <c r="AL192" s="1086" t="n">
        <v>0</v>
      </c>
      <c r="AM192" s="1087" t="n">
        <v>0</v>
      </c>
      <c r="AN192" s="1086" t="n">
        <v>0</v>
      </c>
      <c r="AO192" s="1086" t="n">
        <v>0</v>
      </c>
      <c r="AP192" s="1087" t="n">
        <v>0</v>
      </c>
      <c r="AQ192" s="1086" t="n">
        <v>0</v>
      </c>
      <c r="AR192" s="1086" t="n">
        <v>0</v>
      </c>
      <c r="AS192" s="1087" t="n">
        <v>0</v>
      </c>
      <c r="AT192" s="1086" t="n">
        <v>0</v>
      </c>
      <c r="AU192" s="1086" t="n">
        <v>0</v>
      </c>
      <c r="AV192" s="1086" t="n">
        <v>0</v>
      </c>
      <c r="AW192" s="1172" t="n">
        <v>0</v>
      </c>
      <c r="AX192" s="807" t="n">
        <f aca="false">BB192-SUM(AY192:BA192)</f>
        <v>21</v>
      </c>
      <c r="AY192" s="807" t="n">
        <f aca="false">IF(AND($E192=MONTH(Summary!$E$24),$D192=YEAR(Summary!$E$24)),Summary!$E$25,1)*IF(G192="",0,INT((H192-MOD(H192,7)-G192)/7)+1-IF(BA192,IF(WEEKDAY(F192)=7,1,0),0))</f>
        <v>5</v>
      </c>
      <c r="AZ192" s="807" t="n">
        <f aca="false">IF(AND($E192=MONTH(Summary!$E$24),$D192=YEAR(Summary!$E$24)),Summary!$E$25,1)*IF(G192="",0,INT((H192-MOD(H192-1,7)-G192)/7)+1-IF(BA192,IF(WEEKDAY(F192)=1,1,0),0))</f>
        <v>5</v>
      </c>
      <c r="BA192" s="807" t="n">
        <v>0</v>
      </c>
      <c r="BB192" s="807" t="n">
        <f aca="false">IF(AND($E192=MONTH(Summary!$E$24),$D192=YEAR(Summary!$E$24)),Summary!$E$25,1)*IF(G192="",0,H192-G192+1)</f>
        <v>31</v>
      </c>
      <c r="BC192" s="1089" t="n">
        <f aca="false">Summary!$E$19</f>
        <v>0.015</v>
      </c>
      <c r="BD192" s="1090" t="n">
        <v>14893.2</v>
      </c>
      <c r="BE192" s="1091" t="n">
        <v>3546</v>
      </c>
      <c r="BF192" s="1091" t="n">
        <v>3546</v>
      </c>
      <c r="BG192" s="842"/>
      <c r="BH192" s="1092" t="n">
        <v>1</v>
      </c>
      <c r="BI192" s="1092" t="n">
        <v>1</v>
      </c>
      <c r="BJ192" s="1092" t="n">
        <v>1</v>
      </c>
      <c r="BK192" s="1092" t="n">
        <v>1</v>
      </c>
      <c r="BL192" s="1093" t="n">
        <v>2978.64</v>
      </c>
      <c r="BM192" s="1091" t="n">
        <v>709.2</v>
      </c>
      <c r="BN192" s="1091" t="n">
        <v>709.2</v>
      </c>
      <c r="BO192" s="842"/>
      <c r="BP192" s="1092" t="n">
        <v>1</v>
      </c>
      <c r="BQ192" s="1094" t="n">
        <v>1</v>
      </c>
      <c r="BR192" s="1094" t="n">
        <v>1</v>
      </c>
      <c r="BS192" s="1095" t="n">
        <v>1</v>
      </c>
      <c r="BT192" s="1093" t="n">
        <f aca="false">SUM(BD192:BF192)</f>
        <v>21985.2</v>
      </c>
      <c r="BU192" s="1098" t="n">
        <f aca="false">SUM(BD192:BG192)</f>
        <v>21985.2</v>
      </c>
      <c r="BV192" s="1090" t="n">
        <f aca="false">SUM(BL192:BN192)</f>
        <v>4397.04</v>
      </c>
      <c r="BW192" s="1098" t="n">
        <f aca="false">SUM(BL192:BO192)</f>
        <v>4397.04</v>
      </c>
      <c r="BX192" s="852" t="n">
        <v>14.6283367556468</v>
      </c>
      <c r="BY192" s="1099" t="n">
        <v>0</v>
      </c>
      <c r="BZ192" s="852" t="n">
        <v>0</v>
      </c>
      <c r="CA192" s="852" t="n">
        <v>0</v>
      </c>
      <c r="CB192" s="852" t="n">
        <v>0</v>
      </c>
      <c r="CC192" s="852" t="n">
        <v>0</v>
      </c>
      <c r="CD192" s="852" t="n">
        <v>0</v>
      </c>
      <c r="CE192" s="1100" t="n">
        <v>0</v>
      </c>
      <c r="CF192" s="852" t="n">
        <v>0</v>
      </c>
      <c r="CG192" s="852" t="n">
        <v>0</v>
      </c>
      <c r="CH192" s="852" t="n">
        <v>0</v>
      </c>
      <c r="CI192" s="852" t="n">
        <v>0</v>
      </c>
      <c r="CJ192" s="1101" t="n">
        <v>0</v>
      </c>
      <c r="CK192" s="852" t="n">
        <v>0</v>
      </c>
      <c r="CL192" s="852" t="n">
        <v>0</v>
      </c>
      <c r="CM192" s="852" t="n">
        <v>0</v>
      </c>
      <c r="CN192" s="852" t="n">
        <v>0</v>
      </c>
      <c r="CO192" s="852" t="n">
        <v>0</v>
      </c>
      <c r="CP192" s="852" t="n">
        <v>0</v>
      </c>
      <c r="CQ192" s="1102" t="n">
        <v>0</v>
      </c>
      <c r="CR192" s="1103" t="n">
        <v>0</v>
      </c>
      <c r="CS192" s="1103" t="n">
        <v>0</v>
      </c>
      <c r="CT192" s="1103" t="n">
        <v>0</v>
      </c>
      <c r="CU192" s="1103" t="n">
        <v>0</v>
      </c>
      <c r="CV192" s="1103" t="n">
        <v>0</v>
      </c>
      <c r="CW192" s="1103" t="n">
        <v>0</v>
      </c>
      <c r="CX192" s="1104" t="n">
        <v>0</v>
      </c>
      <c r="CY192" s="1105" t="n">
        <v>7759.34016</v>
      </c>
      <c r="CZ192" s="1099" t="n">
        <v>0</v>
      </c>
      <c r="DA192" s="852" t="n">
        <v>0</v>
      </c>
      <c r="DB192" s="852" t="n">
        <v>0</v>
      </c>
      <c r="DC192" s="852" t="n">
        <v>0</v>
      </c>
      <c r="DD192" s="852" t="n">
        <v>0</v>
      </c>
      <c r="DE192" s="1113" t="n">
        <v>0</v>
      </c>
      <c r="DF192" s="1109" t="n">
        <v>0</v>
      </c>
      <c r="DG192" s="1110" t="n">
        <v>0</v>
      </c>
      <c r="DH192" s="1111" t="n">
        <v>0</v>
      </c>
      <c r="DI192" s="1112" t="n">
        <v>0</v>
      </c>
      <c r="DJ192" s="1112" t="n">
        <v>0</v>
      </c>
      <c r="DK192" s="1112" t="n">
        <v>0</v>
      </c>
      <c r="DL192" s="1113" t="n">
        <v>0</v>
      </c>
      <c r="DM192" s="1114" t="n">
        <v>0</v>
      </c>
      <c r="DN192" s="1114" t="n">
        <v>0</v>
      </c>
      <c r="DO192" s="1114" t="n">
        <v>0</v>
      </c>
      <c r="DP192" s="1114" t="n">
        <v>0</v>
      </c>
      <c r="DQ192" s="1114" t="n">
        <v>0</v>
      </c>
      <c r="DR192" s="1109" t="n">
        <v>0</v>
      </c>
      <c r="DS192" s="852" t="n">
        <v>0</v>
      </c>
      <c r="DT192" s="852" t="n">
        <v>0</v>
      </c>
      <c r="DU192" s="852" t="n">
        <v>0</v>
      </c>
      <c r="DV192" s="852" t="n">
        <v>0</v>
      </c>
      <c r="DW192" s="852" t="n">
        <v>0</v>
      </c>
      <c r="DX192" s="852" t="n">
        <v>0</v>
      </c>
      <c r="DY192" s="852" t="n">
        <v>0</v>
      </c>
      <c r="DZ192" s="852" t="n">
        <v>0</v>
      </c>
      <c r="EA192" s="852" t="n">
        <v>0</v>
      </c>
      <c r="EB192" s="1113" t="n">
        <v>0</v>
      </c>
      <c r="EC192" s="1115" t="n">
        <f aca="false">DS192*BD192</f>
        <v>0</v>
      </c>
      <c r="ED192" s="1115" t="n">
        <f aca="false">DT192*BE192</f>
        <v>0</v>
      </c>
      <c r="EE192" s="1115" t="n">
        <f aca="false">DU192*BF192</f>
        <v>0</v>
      </c>
      <c r="EF192" s="1115" t="n">
        <f aca="false">DV192*BG192</f>
        <v>0</v>
      </c>
      <c r="EG192" s="1115" t="n">
        <f aca="false">DS192*BD192+DT192*BE192+DU192*BF192+DV192*BG192</f>
        <v>0</v>
      </c>
      <c r="EH192" s="1116" t="n">
        <v>0</v>
      </c>
      <c r="EI192" s="1117" t="n">
        <v>0</v>
      </c>
      <c r="EJ192" s="1117" t="n">
        <v>0</v>
      </c>
      <c r="EK192" s="1117" t="n">
        <v>0</v>
      </c>
      <c r="EL192" s="1118" t="n">
        <f aca="false">IF(C192&gt;=Summary!$E$26,MAX(0,SUM(EH192:EK192)),0)</f>
        <v>0</v>
      </c>
      <c r="EM192" s="1115" t="n">
        <f aca="false">IF(C192&gt;=Summary!$E$26,DX192*BL192,0)</f>
        <v>0</v>
      </c>
      <c r="EN192" s="1115" t="n">
        <f aca="false">IF(C192&gt;=Summary!$E$26,DY192*BM192,0)</f>
        <v>0</v>
      </c>
      <c r="EO192" s="1115" t="n">
        <f aca="false">IF(C192&gt;=Summary!$E$26,DZ192*BN192,0)</f>
        <v>0</v>
      </c>
      <c r="EP192" s="1115" t="n">
        <f aca="false">IF(C192&gt;=Summary!$E$26,EA192*BO192,0)</f>
        <v>0</v>
      </c>
      <c r="EQ192" s="1115" t="n">
        <f aca="false">IF(C192&gt;=Summary!$E$26,DX192*BL192+DY192*BM192+DZ192*BN192+EA192*BO192,0)</f>
        <v>0</v>
      </c>
      <c r="ER192" s="1119" t="n">
        <v>0</v>
      </c>
      <c r="ES192" s="1120" t="n">
        <v>0</v>
      </c>
      <c r="ET192" s="1120" t="n">
        <v>0</v>
      </c>
      <c r="EU192" s="1120" t="n">
        <v>0</v>
      </c>
      <c r="EV192" s="1143" t="n">
        <f aca="false">IF(C192&gt;=Summary!$E$26,MAX(0,SUM(ER192:EU192)),0)</f>
        <v>0</v>
      </c>
      <c r="EW192" s="1115"/>
      <c r="EX192" s="1165" t="n">
        <f aca="false">(EQ192-EV192)+IF(EZ192="Yes",(EG192-EL192),0)</f>
        <v>0</v>
      </c>
      <c r="EY192" s="1166" t="str">
        <f aca="false">IF(EX192,EX192/EQ192,"")</f>
        <v/>
      </c>
      <c r="EZ192" s="1122" t="s">
        <v>37</v>
      </c>
      <c r="FA192" s="1096" t="n">
        <f aca="false">FA191</f>
        <v>45</v>
      </c>
      <c r="FB192" s="1167" t="n">
        <f aca="false">IF(EZ192="No",IF((OR(MONTH(C192)=5,MONTH(C192)=6,MONTH(C192)=7,MONTH(C192)=8,MONTH(C192)=9)),$FA192*12*AX192*(1-$BC192),$FA192*10*AX192*(1-$BC192)),0)</f>
        <v>11169.9</v>
      </c>
      <c r="FC192" s="1129" t="n">
        <f aca="false">IF(EZ192="No",IF((OR(MONTH(C192)=5,MONTH(C192)=6,MONTH(C192)=7,MONTH(C192)=8,MONTH(C192)=9)),0,$FA192*3*AX192*(1-$BC192)),0)</f>
        <v>0</v>
      </c>
      <c r="FD192" s="1129" t="n">
        <f aca="false">IF(EZ192="No",IF((OR(MONTH(C192)=5,MONTH(C192)=6,MONTH(C192)=7,MONTH(C192)=8,MONTH(C192)=9)),$FA192*12*AY192*(1-$BC192),$FA192*10*AY192*(1-$BC192)),0)</f>
        <v>2659.5</v>
      </c>
      <c r="FE192" s="1129" t="n">
        <f aca="false">IF(EZ192="No",IF((OR(MONTH(C192)=5,MONTH(C192)=6,MONTH(C192)=7,MONTH(C192)=8,MONTH(C192)=9)),0,$FA192*3*AY192*(1-$BC192)),0)</f>
        <v>0</v>
      </c>
      <c r="FF192" s="1129" t="n">
        <f aca="false">IF(EZ192="No",IF((OR(MONTH(C192)=5,MONTH(C192)=6,MONTH(C192)=7,MONTH(C192)=8,MONTH(C192)=9)),$FA192*12*(AZ192+BA192)*(1-$BC192),$FA192*10*(AZ192+BA192)*(1-$BC192)),0)</f>
        <v>2659.5</v>
      </c>
      <c r="FG192" s="1129" t="n">
        <f aca="false">IF(EZ192="No",IF((OR(MONTH(C192)=5,MONTH(C192)=6,MONTH(C192)=7,MONTH(C192)=8,MONTH(C192)=9)),0,$FA192*3*(AZ192+BA192)*(1-$BC192)),0)</f>
        <v>0</v>
      </c>
      <c r="FH192" s="1170" t="n">
        <f aca="false">IF(EZ192="No",IF((OR(MONTH(C192)=5,MONTH(C192)=6,MONTH(C192)=7,MONTH(C192)=8,MONTH(C192)=9)),Summary!$O$15*12*(AX192+AY192+AZ192+BA192)*(1-$BC192),Summary!$O$15*13*(AX192+AY192+AZ192+BA192)*(1-$BC192)+IF(Summary!$O$16="Yes",(CALC!FA192+Summary!$O$15)*6*(AX192+AY192+AZ192+BA192)*(1-$BC192),0)),0)</f>
        <v>0</v>
      </c>
      <c r="FI192" s="1126" t="n">
        <f aca="false">IF(MONTH(C192)=5,FI191*(IF(Summary!$E$70="no",(1+(Summary!$E$71*0.8)),1+HLOOKUP(YEAR(C192)-1,CCFMODEL!$I$127:$AF$128,2)*0.8)),+FI191)</f>
        <v>37.9684633655614</v>
      </c>
      <c r="FJ192" s="1127" t="n">
        <f aca="false">IF(MONTH(C192)=5,FJ191*(IF(Summary!$E$70="no",(1+(Summary!$E$71*0.8)),1+HLOOKUP(YEAR(CALC!C192)-1,CCFMODEL!$I$127:$AF$128,2)*0.8)),FJ191)</f>
        <v>33.1850349100576</v>
      </c>
      <c r="FK192" s="1128" t="n">
        <f aca="false">SUM(FB192:FG192)*FI192+FH192*FJ192</f>
        <v>626058.195588406</v>
      </c>
      <c r="FL192" s="1126" t="n">
        <f aca="false">IF(MONTH(C192)=5,FL191*(IF(Summary!$E$70="no",(1+(Summary!$E$71*0.8)),1+HLOOKUP(YEAR(CALC!C192)-1,CCFMODEL!$I$127:$AF$128,2)*0.8)),+FL191)</f>
        <v>79.8519351396453</v>
      </c>
      <c r="FM192" s="1127" t="n">
        <f aca="false">IF(MONTH(C192)=5,FM191*(IF(Summary!$E$70="no",(1+(Summary!$E$71*0.8)),1+HLOOKUP(YEAR(CALC!C192)-1,CCFMODEL!$I$127:$AF$128,2)*0.8)),+FM191)</f>
        <v>38.1108273076895</v>
      </c>
      <c r="FN192" s="1128" t="n">
        <f aca="false">IF((OR(MONTH(C192)=5,MONTH(C192)=6,MONTH(C192)=7,MONTH(C192)=8,MONTH(C192)=9)),SUM(FB192:FG192)/(1-BC192)*FL192,SUM(FB192:FG192)/(1-BC192)*FM192)</f>
        <v>1336721.39423766</v>
      </c>
      <c r="FO192" s="1129" t="n">
        <f aca="false">FK192+FN192</f>
        <v>1962779.58982607</v>
      </c>
      <c r="FP192" s="1169" t="n">
        <f aca="false">FB192</f>
        <v>11169.9</v>
      </c>
      <c r="FQ192" s="1129" t="n">
        <f aca="false">FC192</f>
        <v>0</v>
      </c>
      <c r="FR192" s="1129" t="n">
        <f aca="false">FD192</f>
        <v>2659.5</v>
      </c>
      <c r="FS192" s="1129" t="n">
        <f aca="false">FE192</f>
        <v>0</v>
      </c>
      <c r="FT192" s="1129" t="n">
        <f aca="false">FF192</f>
        <v>2659.5</v>
      </c>
      <c r="FU192" s="1129" t="n">
        <f aca="false">FG192</f>
        <v>0</v>
      </c>
      <c r="FV192" s="1170" t="n">
        <f aca="false">FH192</f>
        <v>0</v>
      </c>
      <c r="FW192" s="1115" t="n">
        <f aca="false">IF(ER192&gt;0,MIN(FB192-FP192,BL192),0)</f>
        <v>0</v>
      </c>
      <c r="FX192" s="1115" t="n">
        <f aca="false">IF(ES192&gt;0,MIN(FD192-FR192,BM192),0)</f>
        <v>0</v>
      </c>
      <c r="FY192" s="1115" t="n">
        <f aca="false">IF(ET192&gt;0,MIN(FF192-FT192,BN192),0)</f>
        <v>0</v>
      </c>
      <c r="FZ192" s="1143" t="n">
        <f aca="false">IF(EU192&gt;0,MIN(FH192-FV192,BO192),0)</f>
        <v>0</v>
      </c>
      <c r="GA192" s="1132" t="n">
        <f aca="false">(SUM(FP192:FV192)+SUM(GU192:HB192)/(1-Summary!$O$25))*CY192/1000</f>
        <v>204708.774342758</v>
      </c>
      <c r="GB192" s="1133" t="n">
        <f aca="false">IF($C192&lt;Summary!$M$81,+Summary!$O$81,VLOOKUP(C192,GasTable,19))</f>
        <v>3.49503020622699</v>
      </c>
      <c r="GC192" s="1134" t="n">
        <f aca="false">IF(H192&lt;=Summary!$N$84,MIN(GA192,Summary!$O$75*(H192-G192+1)),0)</f>
        <v>0</v>
      </c>
      <c r="GD192" s="1135" t="n">
        <f aca="false">IF(C192&lt;Summary!$N$84,IF(Summary!$O$75*(H192-G192+1)*0.8&gt;GC192,1,0),0)</f>
        <v>0</v>
      </c>
      <c r="GE192" s="1136" t="n">
        <v>0</v>
      </c>
      <c r="GF192" s="1134" t="n">
        <f aca="false">ABS(MIN(0,GC192-$GA192))</f>
        <v>204708.774342758</v>
      </c>
      <c r="GG192" s="1135" t="n">
        <f aca="false">GF192*(IF(Summary!$O$74=1,VLOOKUP($C192,GasTable,16)+Summary!$O$92+Summary!$O$93,VLOOKUP($C192,GasTable,19)+Summary!$O$92+Summary!$O$93))</f>
        <v>726128.676950903</v>
      </c>
      <c r="GH192" s="1137" t="n">
        <v>5417.29681965183</v>
      </c>
      <c r="GI192" s="1138" t="n">
        <v>0</v>
      </c>
      <c r="GJ192" s="1139" t="n">
        <f aca="false">+GB192*GC192+GE192+GG192+GH192-GI192</f>
        <v>731545.973770555</v>
      </c>
      <c r="GK192" s="1115" t="n">
        <f aca="false">SUM(FP192:FV192,GU192:GX192,GY192:HB192)</f>
        <v>26035.9731</v>
      </c>
      <c r="GL192" s="1140" t="n">
        <v>0.51987579072</v>
      </c>
      <c r="GM192" s="1141" t="n">
        <f aca="false">IF(GK192&gt;GC192/(CY192/1000),GC192/(CY192/1000),+GK192)*GL192</f>
        <v>0</v>
      </c>
      <c r="GN192" s="1115" t="n">
        <f aca="false">IF(SUM(GU192:HB192)=0,0,IF(Summary!$O$16="Yes",SUM(GX192:HB192),IF(Summary!$O$17="Yes",SUM(GY192:HB192),SUM(GU192:HB192))))</f>
        <v>9547.0731</v>
      </c>
      <c r="GO192" s="1142" t="n">
        <v>3.59924589309593</v>
      </c>
      <c r="GP192" s="1143" t="n">
        <f aca="false">GN192*GO192</f>
        <v>34362.2636462616</v>
      </c>
      <c r="GQ192" s="1115"/>
      <c r="GR192" s="1115"/>
      <c r="GS192" s="1115"/>
      <c r="GT192" s="1115"/>
      <c r="GU192" s="1150" t="n">
        <v>3592.9845</v>
      </c>
      <c r="GV192" s="1115" t="n">
        <v>855.4725</v>
      </c>
      <c r="GW192" s="1115" t="n">
        <v>855.4725</v>
      </c>
      <c r="GX192" s="1115"/>
      <c r="GY192" s="1151" t="n">
        <v>2874.3876</v>
      </c>
      <c r="GZ192" s="1115" t="n">
        <v>684.378</v>
      </c>
      <c r="HA192" s="1115" t="n">
        <v>684.378</v>
      </c>
      <c r="HB192" s="1141"/>
      <c r="HC192" s="1115" t="n">
        <v>9547.0731</v>
      </c>
      <c r="HD192" s="1115"/>
      <c r="HE192" s="1115" t="n">
        <v>22276.5039</v>
      </c>
      <c r="HF192" s="1115" t="n">
        <v>614605.144730506</v>
      </c>
      <c r="HG192" s="1115"/>
      <c r="HH192" s="1142" t="n">
        <v>67.7820188735506</v>
      </c>
      <c r="HI192" s="1115" t="n">
        <v>1509946.40778652</v>
      </c>
      <c r="HJ192" s="1150" t="n">
        <f aca="false">MAX(FB192-FP192-FW192,0)</f>
        <v>0</v>
      </c>
      <c r="HK192" s="1115" t="n">
        <f aca="false">MAX(FD192-FR192-FX192,0)</f>
        <v>0</v>
      </c>
      <c r="HL192" s="1115" t="n">
        <f aca="false">MAX(FF192-FT192-FY192,0)</f>
        <v>0</v>
      </c>
      <c r="HM192" s="1141" t="n">
        <f aca="false">MAX(FH192-FV192-FZ192,0)</f>
        <v>0</v>
      </c>
      <c r="HN192" s="1115" t="n">
        <f aca="false">SUM(HJ192:HM192)</f>
        <v>0</v>
      </c>
      <c r="HO192" s="1142" t="n">
        <f aca="false">IF(ISERROR(+HP192/HN192),0,+HP192/HN192)</f>
        <v>0</v>
      </c>
      <c r="HP192" s="1143" t="n">
        <f aca="false">(HJ192*CE192+HK192*CF192+HL192*CG192+HM192*CH192)</f>
        <v>0</v>
      </c>
      <c r="HQ192" s="1146"/>
      <c r="HR192" s="1150"/>
      <c r="HS192" s="1200"/>
      <c r="HT192" s="1141"/>
      <c r="HU192" s="1150"/>
      <c r="HV192" s="1200"/>
      <c r="HW192" s="1141"/>
      <c r="HX192" s="1200"/>
      <c r="HY192" s="1200"/>
      <c r="HZ192" s="0"/>
      <c r="IA192" s="1142"/>
      <c r="IB192" s="1142"/>
      <c r="IC192" s="1142"/>
      <c r="ID192" s="1142"/>
      <c r="IE192" s="1142"/>
      <c r="IF192" s="1142"/>
      <c r="IG192" s="1142"/>
      <c r="IH192" s="1142"/>
      <c r="II192" s="1142"/>
      <c r="IJ192" s="1142"/>
      <c r="IK192" s="1142"/>
      <c r="IL192" s="1190"/>
      <c r="IM192" s="222"/>
      <c r="IN192" s="222"/>
      <c r="IR192" s="844"/>
    </row>
    <row r="193" customFormat="false" ht="13.5" hidden="false" customHeight="false" outlineLevel="0" collapsed="false">
      <c r="A193" s="0" t="str">
        <f aca="false">+D193&amp;"Q"&amp;ROUNDUP(E193/3,0)</f>
        <v>2014Q3</v>
      </c>
      <c r="B193" s="0" t="n">
        <f aca="false">YEAR(C193)</f>
        <v>2014</v>
      </c>
      <c r="C193" s="1153" t="n">
        <f aca="false">EOMONTH(C192,0)+1</f>
        <v>41883</v>
      </c>
      <c r="D193" s="841" t="n">
        <f aca="false">+YEAR(C193)</f>
        <v>2014</v>
      </c>
      <c r="E193" s="807" t="n">
        <f aca="false">MONTH(C193)</f>
        <v>9</v>
      </c>
      <c r="F193" s="1154" t="e">
        <f aca="false">IF(G193="","",Holiday(D193,E193))</f>
        <v>#VALUE!</v>
      </c>
      <c r="G193" s="1155" t="n">
        <v>41883</v>
      </c>
      <c r="H193" s="1156" t="n">
        <v>41912</v>
      </c>
      <c r="I193" s="1157" t="n">
        <f aca="false">I192</f>
        <v>0.0715</v>
      </c>
      <c r="J193" s="1158" t="n">
        <f aca="false">(1+I193/2)^(-2*(DATE(D194,E194,20)-$H$7)/365.25)</f>
        <v>0.352377867145413</v>
      </c>
      <c r="K193" s="1159"/>
      <c r="L193" s="1158"/>
      <c r="M193" s="1082" t="n">
        <v>0</v>
      </c>
      <c r="N193" s="1110" t="n">
        <f aca="false">M193</f>
        <v>0</v>
      </c>
      <c r="O193" s="1174" t="n">
        <f aca="false">N193</f>
        <v>0</v>
      </c>
      <c r="P193" s="1175" t="n">
        <f aca="false">M193</f>
        <v>0</v>
      </c>
      <c r="Q193" s="1110" t="n">
        <f aca="false">P193</f>
        <v>0</v>
      </c>
      <c r="R193" s="1174" t="n">
        <f aca="false">Q193</f>
        <v>0</v>
      </c>
      <c r="S193" s="1110" t="n">
        <f aca="false">R193</f>
        <v>0</v>
      </c>
      <c r="T193" s="1110" t="n">
        <f aca="false">S193</f>
        <v>0</v>
      </c>
      <c r="U193" s="1110" t="n">
        <f aca="false">T193</f>
        <v>0</v>
      </c>
      <c r="V193" s="1175" t="n">
        <f aca="false">U193</f>
        <v>0</v>
      </c>
      <c r="W193" s="1110" t="n">
        <f aca="false">V193</f>
        <v>0</v>
      </c>
      <c r="X193" s="1176" t="n">
        <f aca="false">W193</f>
        <v>0</v>
      </c>
      <c r="Y193" s="1086" t="n">
        <v>0</v>
      </c>
      <c r="Z193" s="1086" t="n">
        <v>0</v>
      </c>
      <c r="AA193" s="1087" t="n">
        <v>0</v>
      </c>
      <c r="AB193" s="1086" t="n">
        <v>0</v>
      </c>
      <c r="AC193" s="1086" t="n">
        <v>0</v>
      </c>
      <c r="AD193" s="1087" t="n">
        <v>0</v>
      </c>
      <c r="AE193" s="1086" t="n">
        <v>0</v>
      </c>
      <c r="AF193" s="1086" t="n">
        <v>0</v>
      </c>
      <c r="AG193" s="1087" t="n">
        <v>0</v>
      </c>
      <c r="AH193" s="1086" t="n">
        <v>0</v>
      </c>
      <c r="AI193" s="1086" t="n">
        <v>0</v>
      </c>
      <c r="AJ193" s="1087" t="n">
        <v>0</v>
      </c>
      <c r="AK193" s="1086" t="n">
        <v>0</v>
      </c>
      <c r="AL193" s="1086" t="n">
        <v>0</v>
      </c>
      <c r="AM193" s="1087" t="n">
        <v>0</v>
      </c>
      <c r="AN193" s="1086" t="n">
        <v>0</v>
      </c>
      <c r="AO193" s="1086" t="n">
        <v>0</v>
      </c>
      <c r="AP193" s="1087" t="n">
        <v>0</v>
      </c>
      <c r="AQ193" s="1086" t="n">
        <v>0</v>
      </c>
      <c r="AR193" s="1086" t="n">
        <v>0</v>
      </c>
      <c r="AS193" s="1087" t="n">
        <v>0</v>
      </c>
      <c r="AT193" s="1086" t="n">
        <v>0</v>
      </c>
      <c r="AU193" s="1086" t="n">
        <v>0</v>
      </c>
      <c r="AV193" s="1086" t="n">
        <v>0</v>
      </c>
      <c r="AW193" s="1172" t="n">
        <v>0</v>
      </c>
      <c r="AX193" s="807" t="e">
        <f aca="false">BB193-SUM(AY193:BA193)</f>
        <v>#VALUE!</v>
      </c>
      <c r="AY193" s="807" t="e">
        <f aca="false">IF(AND($E193=MONTH(Summary!$E$24),$D193=YEAR(Summary!$E$24)),Summary!$E$25,1)*IF(G193="",0,INT((H193-MOD(H193,7)-G193)/7)+1-IF(BA193,IF(WEEKDAY(F193)=7,1,0),0))</f>
        <v>#VALUE!</v>
      </c>
      <c r="AZ193" s="807" t="e">
        <f aca="false">IF(AND($E193=MONTH(Summary!$E$24),$D193=YEAR(Summary!$E$24)),Summary!$E$25,1)*IF(G193="",0,INT((H193-MOD(H193-1,7)-G193)/7)+1-IF(BA193,IF(WEEKDAY(F193)=1,1,0),0))</f>
        <v>#VALUE!</v>
      </c>
      <c r="BA193" s="807" t="n">
        <v>1</v>
      </c>
      <c r="BB193" s="807" t="n">
        <f aca="false">IF(AND($E193=MONTH(Summary!$E$24),$D193=YEAR(Summary!$E$24)),Summary!$E$25,1)*IF(G193="",0,H193-G193+1)</f>
        <v>30</v>
      </c>
      <c r="BC193" s="1089" t="n">
        <f aca="false">Summary!$E$19</f>
        <v>0.015</v>
      </c>
      <c r="BD193" s="1090" t="n">
        <v>14893.2</v>
      </c>
      <c r="BE193" s="1091" t="n">
        <v>2836.8</v>
      </c>
      <c r="BF193" s="1091" t="n">
        <v>3546</v>
      </c>
      <c r="BG193" s="842"/>
      <c r="BH193" s="1092" t="n">
        <v>1</v>
      </c>
      <c r="BI193" s="1092" t="n">
        <v>1</v>
      </c>
      <c r="BJ193" s="1092" t="n">
        <v>1</v>
      </c>
      <c r="BK193" s="1092" t="n">
        <v>1</v>
      </c>
      <c r="BL193" s="1093" t="n">
        <v>2978.64</v>
      </c>
      <c r="BM193" s="1091" t="n">
        <v>567.36</v>
      </c>
      <c r="BN193" s="1091" t="n">
        <v>709.2</v>
      </c>
      <c r="BO193" s="842"/>
      <c r="BP193" s="1092" t="n">
        <v>1</v>
      </c>
      <c r="BQ193" s="1094" t="n">
        <v>1</v>
      </c>
      <c r="BR193" s="1094" t="n">
        <v>1</v>
      </c>
      <c r="BS193" s="1095" t="n">
        <v>1</v>
      </c>
      <c r="BT193" s="1093" t="n">
        <f aca="false">SUM(BD193:BF193)</f>
        <v>21276</v>
      </c>
      <c r="BU193" s="1098" t="n">
        <f aca="false">SUM(BD193:BG193)</f>
        <v>21276</v>
      </c>
      <c r="BV193" s="1090" t="n">
        <f aca="false">SUM(BL193:BN193)</f>
        <v>4255.2</v>
      </c>
      <c r="BW193" s="1098" t="n">
        <f aca="false">SUM(BL193:BO193)</f>
        <v>4255.2</v>
      </c>
      <c r="BX193" s="852" t="n">
        <v>14.7132101300479</v>
      </c>
      <c r="BY193" s="1099" t="n">
        <v>0</v>
      </c>
      <c r="BZ193" s="852" t="n">
        <v>0</v>
      </c>
      <c r="CA193" s="852" t="n">
        <v>0</v>
      </c>
      <c r="CB193" s="852" t="n">
        <v>0</v>
      </c>
      <c r="CC193" s="852" t="n">
        <v>0</v>
      </c>
      <c r="CD193" s="852" t="n">
        <v>0</v>
      </c>
      <c r="CE193" s="1100" t="n">
        <v>0</v>
      </c>
      <c r="CF193" s="852" t="n">
        <v>0</v>
      </c>
      <c r="CG193" s="852" t="n">
        <v>0</v>
      </c>
      <c r="CH193" s="852" t="n">
        <v>0</v>
      </c>
      <c r="CI193" s="852" t="n">
        <v>0</v>
      </c>
      <c r="CJ193" s="1101" t="n">
        <v>0</v>
      </c>
      <c r="CK193" s="852" t="n">
        <v>0</v>
      </c>
      <c r="CL193" s="852" t="n">
        <v>0</v>
      </c>
      <c r="CM193" s="852" t="n">
        <v>0</v>
      </c>
      <c r="CN193" s="852" t="n">
        <v>0</v>
      </c>
      <c r="CO193" s="852" t="n">
        <v>0</v>
      </c>
      <c r="CP193" s="852" t="n">
        <v>0</v>
      </c>
      <c r="CQ193" s="1102" t="n">
        <v>0</v>
      </c>
      <c r="CR193" s="1103" t="n">
        <v>0</v>
      </c>
      <c r="CS193" s="1103" t="n">
        <v>0</v>
      </c>
      <c r="CT193" s="1103" t="n">
        <v>0</v>
      </c>
      <c r="CU193" s="1103" t="n">
        <v>0</v>
      </c>
      <c r="CV193" s="1103" t="n">
        <v>0</v>
      </c>
      <c r="CW193" s="1103" t="n">
        <v>0</v>
      </c>
      <c r="CX193" s="1104" t="n">
        <v>0</v>
      </c>
      <c r="CY193" s="1105" t="n">
        <v>7760.64304</v>
      </c>
      <c r="CZ193" s="1099" t="n">
        <v>0</v>
      </c>
      <c r="DA193" s="852" t="n">
        <v>0</v>
      </c>
      <c r="DB193" s="852" t="n">
        <v>0</v>
      </c>
      <c r="DC193" s="852" t="n">
        <v>0</v>
      </c>
      <c r="DD193" s="852" t="n">
        <v>0</v>
      </c>
      <c r="DE193" s="1113" t="n">
        <v>0</v>
      </c>
      <c r="DF193" s="1109" t="n">
        <v>0</v>
      </c>
      <c r="DG193" s="1110" t="n">
        <v>0</v>
      </c>
      <c r="DH193" s="1111" t="n">
        <v>0</v>
      </c>
      <c r="DI193" s="1112" t="n">
        <v>0</v>
      </c>
      <c r="DJ193" s="1112" t="n">
        <v>0</v>
      </c>
      <c r="DK193" s="1112" t="n">
        <v>0</v>
      </c>
      <c r="DL193" s="1113" t="n">
        <v>0</v>
      </c>
      <c r="DM193" s="1114" t="n">
        <v>0</v>
      </c>
      <c r="DN193" s="1114" t="n">
        <v>0</v>
      </c>
      <c r="DO193" s="1114" t="n">
        <v>0</v>
      </c>
      <c r="DP193" s="1114" t="n">
        <v>0</v>
      </c>
      <c r="DQ193" s="1114" t="n">
        <v>0</v>
      </c>
      <c r="DR193" s="1109" t="n">
        <v>0</v>
      </c>
      <c r="DS193" s="852" t="n">
        <v>0</v>
      </c>
      <c r="DT193" s="852" t="n">
        <v>0</v>
      </c>
      <c r="DU193" s="852" t="n">
        <v>0</v>
      </c>
      <c r="DV193" s="852" t="n">
        <v>0</v>
      </c>
      <c r="DW193" s="852" t="n">
        <v>0</v>
      </c>
      <c r="DX193" s="852" t="n">
        <v>0</v>
      </c>
      <c r="DY193" s="852" t="n">
        <v>0</v>
      </c>
      <c r="DZ193" s="852" t="n">
        <v>0</v>
      </c>
      <c r="EA193" s="852" t="n">
        <v>0</v>
      </c>
      <c r="EB193" s="1113" t="n">
        <v>0</v>
      </c>
      <c r="EC193" s="1115" t="n">
        <f aca="false">DS193*BD193</f>
        <v>0</v>
      </c>
      <c r="ED193" s="1115" t="n">
        <f aca="false">DT193*BE193</f>
        <v>0</v>
      </c>
      <c r="EE193" s="1115" t="n">
        <f aca="false">DU193*BF193</f>
        <v>0</v>
      </c>
      <c r="EF193" s="1115" t="n">
        <f aca="false">DV193*BG193</f>
        <v>0</v>
      </c>
      <c r="EG193" s="1115" t="n">
        <f aca="false">DS193*BD193+DT193*BE193+DU193*BF193+DV193*BG193</f>
        <v>0</v>
      </c>
      <c r="EH193" s="1116" t="n">
        <v>0</v>
      </c>
      <c r="EI193" s="1117" t="n">
        <v>0</v>
      </c>
      <c r="EJ193" s="1117" t="n">
        <v>0</v>
      </c>
      <c r="EK193" s="1117" t="n">
        <v>0</v>
      </c>
      <c r="EL193" s="1118" t="n">
        <f aca="false">IF(C193&gt;=Summary!$E$26,MAX(0,SUM(EH193:EK193)),0)</f>
        <v>0</v>
      </c>
      <c r="EM193" s="1115" t="n">
        <f aca="false">IF(C193&gt;=Summary!$E$26,DX193*BL193,0)</f>
        <v>0</v>
      </c>
      <c r="EN193" s="1115" t="n">
        <f aca="false">IF(C193&gt;=Summary!$E$26,DY193*BM193,0)</f>
        <v>0</v>
      </c>
      <c r="EO193" s="1115" t="n">
        <f aca="false">IF(C193&gt;=Summary!$E$26,DZ193*BN193,0)</f>
        <v>0</v>
      </c>
      <c r="EP193" s="1115" t="n">
        <f aca="false">IF(C193&gt;=Summary!$E$26,EA193*BO193,0)</f>
        <v>0</v>
      </c>
      <c r="EQ193" s="1115" t="n">
        <f aca="false">IF(C193&gt;=Summary!$E$26,DX193*BL193+DY193*BM193+DZ193*BN193+EA193*BO193,0)</f>
        <v>0</v>
      </c>
      <c r="ER193" s="1119" t="n">
        <v>0</v>
      </c>
      <c r="ES193" s="1120" t="n">
        <v>0</v>
      </c>
      <c r="ET193" s="1120" t="n">
        <v>0</v>
      </c>
      <c r="EU193" s="1120" t="n">
        <v>0</v>
      </c>
      <c r="EV193" s="1143" t="n">
        <f aca="false">IF(C193&gt;=Summary!$E$26,MAX(0,SUM(ER193:EU193)),0)</f>
        <v>0</v>
      </c>
      <c r="EW193" s="1115"/>
      <c r="EX193" s="1165" t="n">
        <f aca="false">(EQ193-EV193)+IF(EZ193="Yes",(EG193-EL193),0)</f>
        <v>0</v>
      </c>
      <c r="EY193" s="1166" t="str">
        <f aca="false">IF(EX193,EX193/EQ193,"")</f>
        <v/>
      </c>
      <c r="EZ193" s="1122" t="s">
        <v>37</v>
      </c>
      <c r="FA193" s="1096" t="n">
        <f aca="false">FA192</f>
        <v>45</v>
      </c>
      <c r="FB193" s="1167" t="e">
        <f aca="false">IF(EZ193="No",IF((OR(MONTH(C193)=5,MONTH(C193)=6,MONTH(C193)=7,MONTH(C193)=8,MONTH(C193)=9)),$FA193*12*AX193*(1-$BC193),$FA193*10*AX193*(1-$BC193)),0)</f>
        <v>#VALUE!</v>
      </c>
      <c r="FC193" s="1129" t="n">
        <f aca="false">IF(EZ193="No",IF((OR(MONTH(C193)=5,MONTH(C193)=6,MONTH(C193)=7,MONTH(C193)=8,MONTH(C193)=9)),0,$FA193*3*AX193*(1-$BC193)),0)</f>
        <v>0</v>
      </c>
      <c r="FD193" s="1129" t="e">
        <f aca="false">IF(EZ193="No",IF((OR(MONTH(C193)=5,MONTH(C193)=6,MONTH(C193)=7,MONTH(C193)=8,MONTH(C193)=9)),$FA193*12*AY193*(1-$BC193),$FA193*10*AY193*(1-$BC193)),0)</f>
        <v>#VALUE!</v>
      </c>
      <c r="FE193" s="1129" t="n">
        <f aca="false">IF(EZ193="No",IF((OR(MONTH(C193)=5,MONTH(C193)=6,MONTH(C193)=7,MONTH(C193)=8,MONTH(C193)=9)),0,$FA193*3*AY193*(1-$BC193)),0)</f>
        <v>0</v>
      </c>
      <c r="FF193" s="1129" t="e">
        <f aca="false">IF(EZ193="No",IF((OR(MONTH(C193)=5,MONTH(C193)=6,MONTH(C193)=7,MONTH(C193)=8,MONTH(C193)=9)),$FA193*12*(AZ193+BA193)*(1-$BC193),$FA193*10*(AZ193+BA193)*(1-$BC193)),0)</f>
        <v>#VALUE!</v>
      </c>
      <c r="FG193" s="1129" t="n">
        <f aca="false">IF(EZ193="No",IF((OR(MONTH(C193)=5,MONTH(C193)=6,MONTH(C193)=7,MONTH(C193)=8,MONTH(C193)=9)),0,$FA193*3*(AZ193+BA193)*(1-$BC193)),0)</f>
        <v>0</v>
      </c>
      <c r="FH193" s="1170" t="e">
        <f aca="false">IF(EZ193="No",IF((OR(MONTH(C193)=5,MONTH(C193)=6,MONTH(C193)=7,MONTH(C193)=8,MONTH(C193)=9)),Summary!$O$15*12*(AX193+AY193+AZ193+BA193)*(1-$BC193),Summary!$O$15*13*(AX193+AY193+AZ193+BA193)*(1-$BC193)+IF(Summary!$O$16="Yes",(CALC!FA193+Summary!$O$15)*6*(AX193+AY193+AZ193+BA193)*(1-$BC193),0)),0)</f>
        <v>#VALUE!</v>
      </c>
      <c r="FI193" s="1126" t="n">
        <f aca="false">IF(MONTH(C193)=5,FI192*(IF(Summary!$E$70="no",(1+(Summary!$E$71*0.8)),1+HLOOKUP(YEAR(C193)-1,CCFMODEL!$I$127:$AF$128,2)*0.8)),+FI192)</f>
        <v>37.9684633655614</v>
      </c>
      <c r="FJ193" s="1127" t="n">
        <f aca="false">IF(MONTH(C193)=5,FJ192*(IF(Summary!$E$70="no",(1+(Summary!$E$71*0.8)),1+HLOOKUP(YEAR(CALC!C193)-1,CCFMODEL!$I$127:$AF$128,2)*0.8)),FJ192)</f>
        <v>33.1850349100576</v>
      </c>
      <c r="FK193" s="1128" t="e">
        <f aca="false">SUM(FB193:FG193)*FI193+FH193*FJ193</f>
        <v>#VALUE!</v>
      </c>
      <c r="FL193" s="1126" t="n">
        <f aca="false">IF(MONTH(C193)=5,FL192*(IF(Summary!$E$70="no",(1+(Summary!$E$71*0.8)),1+HLOOKUP(YEAR(CALC!C193)-1,CCFMODEL!$I$127:$AF$128,2)*0.8)),+FL192)</f>
        <v>79.8519351396453</v>
      </c>
      <c r="FM193" s="1127" t="n">
        <f aca="false">IF(MONTH(C193)=5,FM192*(IF(Summary!$E$70="no",(1+(Summary!$E$71*0.8)),1+HLOOKUP(YEAR(CALC!C193)-1,CCFMODEL!$I$127:$AF$128,2)*0.8)),+FM192)</f>
        <v>38.1108273076895</v>
      </c>
      <c r="FN193" s="1128" t="e">
        <f aca="false">IF((OR(MONTH(C193)=5,MONTH(C193)=6,MONTH(C193)=7,MONTH(C193)=8,MONTH(C193)=9)),SUM(FB193:FG193)/(1-BC193)*FL193,SUM(FB193:FG193)/(1-BC193)*FM193)</f>
        <v>#VALUE!</v>
      </c>
      <c r="FO193" s="1129" t="e">
        <f aca="false">FK193+FN193</f>
        <v>#VALUE!</v>
      </c>
      <c r="FP193" s="1169" t="e">
        <f aca="false">FB193</f>
        <v>#VALUE!</v>
      </c>
      <c r="FQ193" s="1129" t="n">
        <f aca="false">FC193</f>
        <v>0</v>
      </c>
      <c r="FR193" s="1129" t="e">
        <f aca="false">FD193</f>
        <v>#VALUE!</v>
      </c>
      <c r="FS193" s="1129" t="n">
        <f aca="false">FE193</f>
        <v>0</v>
      </c>
      <c r="FT193" s="1129" t="e">
        <f aca="false">FF193</f>
        <v>#VALUE!</v>
      </c>
      <c r="FU193" s="1129" t="n">
        <f aca="false">FG193</f>
        <v>0</v>
      </c>
      <c r="FV193" s="1170" t="e">
        <f aca="false">FH193</f>
        <v>#VALUE!</v>
      </c>
      <c r="FW193" s="1115" t="n">
        <f aca="false">IF(ER193&gt;0,MIN(FB193-FP193,BL193),0)</f>
        <v>0</v>
      </c>
      <c r="FX193" s="1115" t="n">
        <f aca="false">IF(ES193&gt;0,MIN(FD193-FR193,BM193),0)</f>
        <v>0</v>
      </c>
      <c r="FY193" s="1115" t="n">
        <f aca="false">IF(ET193&gt;0,MIN(FF193-FT193,BN193),0)</f>
        <v>0</v>
      </c>
      <c r="FZ193" s="1143" t="n">
        <f aca="false">IF(EU193&gt;0,MIN(FH193-FV193,BO193),0)</f>
        <v>0</v>
      </c>
      <c r="GA193" s="1132" t="e">
        <f aca="false">(SUM(FP193:FV193)+SUM(GU193:HB193)/(1-Summary!$O$25))*CY193/1000</f>
        <v>#VALUE!</v>
      </c>
      <c r="GB193" s="1133" t="n">
        <f aca="false">IF($C193&lt;Summary!$M$81,+Summary!$O$81,VLOOKUP(C193,GasTable,19))</f>
        <v>3.64634656258746</v>
      </c>
      <c r="GC193" s="1134" t="n">
        <f aca="false">IF(H193&lt;=Summary!$N$84,MIN(GA193,Summary!$O$75*(H193-G193+1)),0)</f>
        <v>0</v>
      </c>
      <c r="GD193" s="1135" t="n">
        <f aca="false">IF(C193&lt;Summary!$N$84,IF(Summary!$O$75*(H193-G193+1)*0.8&gt;GC193,1,0),0)</f>
        <v>0</v>
      </c>
      <c r="GE193" s="1136" t="n">
        <v>0</v>
      </c>
      <c r="GF193" s="1134" t="e">
        <f aca="false">ABS(MIN(0,GC193-$GA193))</f>
        <v>#VALUE!</v>
      </c>
      <c r="GG193" s="1135" t="e">
        <f aca="false">GF193*(IF(Summary!$O$74=1,VLOOKUP($C193,GasTable,16)+Summary!$O$92+Summary!$O$93,VLOOKUP($C193,GasTable,19)+Summary!$O$92+Summary!$O$93))</f>
        <v>#VALUE!</v>
      </c>
      <c r="GH193" s="1137" t="n">
        <v>5469.51984388118</v>
      </c>
      <c r="GI193" s="1138" t="n">
        <v>0</v>
      </c>
      <c r="GJ193" s="1139" t="e">
        <f aca="false">+GB193*GC193+GE193+GG193+GH193-GI193</f>
        <v>#VALUE!</v>
      </c>
      <c r="GK193" s="1115" t="e">
        <f aca="false">SUM(FP193:FV193,GU193:GX193,GY193:HB193)</f>
        <v>#VALUE!</v>
      </c>
      <c r="GL193" s="1140" t="n">
        <v>0.51996308368</v>
      </c>
      <c r="GM193" s="1141" t="e">
        <f aca="false">IF(GK193&gt;GC193/(CY193/1000),GC193/(CY193/1000),+GK193)*GL193</f>
        <v>#VALUE!</v>
      </c>
      <c r="GN193" s="1115" t="n">
        <f aca="false">IF(SUM(GU193:HB193)=0,0,IF(Summary!$O$16="Yes",SUM(GX193:HB193),IF(Summary!$O$17="Yes",SUM(GY193:HB193),SUM(GU193:HB193))))</f>
        <v>9239.103</v>
      </c>
      <c r="GO193" s="1142" t="n">
        <v>3.59924589309593</v>
      </c>
      <c r="GP193" s="1143" t="n">
        <f aca="false">GN193*GO193</f>
        <v>33253.8035286403</v>
      </c>
      <c r="GQ193" s="1115"/>
      <c r="GR193" s="1115"/>
      <c r="GS193" s="1115"/>
      <c r="GT193" s="1115"/>
      <c r="GU193" s="1150" t="n">
        <v>3592.9845</v>
      </c>
      <c r="GV193" s="1115" t="n">
        <v>684.378</v>
      </c>
      <c r="GW193" s="1115" t="n">
        <v>855.4725</v>
      </c>
      <c r="GX193" s="1115"/>
      <c r="GY193" s="1151" t="n">
        <v>2874.3876</v>
      </c>
      <c r="GZ193" s="1115" t="n">
        <v>547.5024</v>
      </c>
      <c r="HA193" s="1115" t="n">
        <v>684.378</v>
      </c>
      <c r="HB193" s="1141"/>
      <c r="HC193" s="1115" t="n">
        <v>9239.103</v>
      </c>
      <c r="HD193" s="1115"/>
      <c r="HE193" s="1115" t="n">
        <v>21557.907</v>
      </c>
      <c r="HF193" s="1115" t="n">
        <v>543917.232363975</v>
      </c>
      <c r="HG193" s="1115"/>
      <c r="HH193" s="1142" t="n">
        <v>61.1048944131475</v>
      </c>
      <c r="HI193" s="1115" t="n">
        <v>1317293.63100345</v>
      </c>
      <c r="HJ193" s="1150" t="e">
        <f aca="false">MAX(FB193-FP193-FW193,0)</f>
        <v>#VALUE!</v>
      </c>
      <c r="HK193" s="1115" t="e">
        <f aca="false">MAX(FD193-FR193-FX193,0)</f>
        <v>#VALUE!</v>
      </c>
      <c r="HL193" s="1115" t="e">
        <f aca="false">MAX(FF193-FT193-FY193,0)</f>
        <v>#VALUE!</v>
      </c>
      <c r="HM193" s="1141" t="e">
        <f aca="false">MAX(FH193-FV193-FZ193,0)</f>
        <v>#VALUE!</v>
      </c>
      <c r="HN193" s="1115" t="e">
        <f aca="false">SUM(HJ193:HM193)</f>
        <v>#VALUE!</v>
      </c>
      <c r="HO193" s="1142" t="n">
        <f aca="false">IF(ISERROR(+HP193/HN193),0,+HP193/HN193)</f>
        <v>0</v>
      </c>
      <c r="HP193" s="1143" t="e">
        <f aca="false">(HJ193*CE193+HK193*CF193+HL193*CG193+HM193*CH193)</f>
        <v>#VALUE!</v>
      </c>
      <c r="HQ193" s="1146"/>
      <c r="HR193" s="1150"/>
      <c r="HS193" s="1200"/>
      <c r="HT193" s="1141"/>
      <c r="HU193" s="1150"/>
      <c r="HV193" s="1200"/>
      <c r="HW193" s="1141"/>
      <c r="HX193" s="1200"/>
      <c r="HY193" s="1200"/>
      <c r="HZ193" s="0"/>
      <c r="IA193" s="1142"/>
      <c r="IB193" s="1142"/>
      <c r="IC193" s="1142"/>
      <c r="ID193" s="1142"/>
      <c r="IE193" s="1142"/>
      <c r="IF193" s="1142"/>
      <c r="IG193" s="1142"/>
      <c r="IH193" s="1142"/>
      <c r="II193" s="1142"/>
      <c r="IJ193" s="1142"/>
      <c r="IK193" s="1142"/>
      <c r="IL193" s="1190"/>
      <c r="IM193" s="222"/>
      <c r="IN193" s="222"/>
      <c r="IR193" s="844"/>
    </row>
    <row r="194" customFormat="false" ht="13.5" hidden="false" customHeight="false" outlineLevel="0" collapsed="false">
      <c r="A194" s="0" t="str">
        <f aca="false">+D194&amp;"Q"&amp;ROUNDUP(E194/3,0)</f>
        <v>2014Q4</v>
      </c>
      <c r="B194" s="0" t="n">
        <f aca="false">YEAR(C194)</f>
        <v>2014</v>
      </c>
      <c r="C194" s="1153" t="n">
        <f aca="false">EOMONTH(C193,0)+1</f>
        <v>41913</v>
      </c>
      <c r="D194" s="841" t="n">
        <f aca="false">+YEAR(C194)</f>
        <v>2014</v>
      </c>
      <c r="E194" s="807" t="n">
        <f aca="false">MONTH(C194)</f>
        <v>10</v>
      </c>
      <c r="F194" s="1154" t="e">
        <f aca="false">IF(G194="","",Holiday(D194,E194))</f>
        <v>#VALUE!</v>
      </c>
      <c r="G194" s="1155" t="n">
        <v>41913</v>
      </c>
      <c r="H194" s="1156" t="n">
        <v>41943</v>
      </c>
      <c r="I194" s="1157" t="n">
        <f aca="false">I193</f>
        <v>0.0715</v>
      </c>
      <c r="J194" s="1158" t="n">
        <f aca="false">(1+I194/2)^(-2*(DATE(D195,E195,20)-$H$7)/365.25)</f>
        <v>0.350283068709316</v>
      </c>
      <c r="K194" s="1159"/>
      <c r="L194" s="1158"/>
      <c r="M194" s="1082" t="n">
        <v>0</v>
      </c>
      <c r="N194" s="1110" t="n">
        <f aca="false">M194</f>
        <v>0</v>
      </c>
      <c r="O194" s="1174" t="n">
        <f aca="false">N194</f>
        <v>0</v>
      </c>
      <c r="P194" s="1175" t="n">
        <f aca="false">M194</f>
        <v>0</v>
      </c>
      <c r="Q194" s="1110" t="n">
        <f aca="false">P194</f>
        <v>0</v>
      </c>
      <c r="R194" s="1174" t="n">
        <f aca="false">Q194</f>
        <v>0</v>
      </c>
      <c r="S194" s="1110" t="n">
        <f aca="false">R194</f>
        <v>0</v>
      </c>
      <c r="T194" s="1110" t="n">
        <f aca="false">S194</f>
        <v>0</v>
      </c>
      <c r="U194" s="1110" t="n">
        <f aca="false">T194</f>
        <v>0</v>
      </c>
      <c r="V194" s="1175" t="n">
        <f aca="false">U194</f>
        <v>0</v>
      </c>
      <c r="W194" s="1110" t="n">
        <f aca="false">V194</f>
        <v>0</v>
      </c>
      <c r="X194" s="1176" t="n">
        <f aca="false">W194</f>
        <v>0</v>
      </c>
      <c r="Y194" s="1086" t="n">
        <v>0</v>
      </c>
      <c r="Z194" s="1086" t="n">
        <v>0</v>
      </c>
      <c r="AA194" s="1087" t="n">
        <v>0</v>
      </c>
      <c r="AB194" s="1086" t="n">
        <v>0</v>
      </c>
      <c r="AC194" s="1086" t="n">
        <v>0</v>
      </c>
      <c r="AD194" s="1087" t="n">
        <v>0</v>
      </c>
      <c r="AE194" s="1086" t="n">
        <v>0</v>
      </c>
      <c r="AF194" s="1086" t="n">
        <v>0</v>
      </c>
      <c r="AG194" s="1087" t="n">
        <v>0</v>
      </c>
      <c r="AH194" s="1086" t="n">
        <v>0</v>
      </c>
      <c r="AI194" s="1086" t="n">
        <v>0</v>
      </c>
      <c r="AJ194" s="1087" t="n">
        <v>0</v>
      </c>
      <c r="AK194" s="1086" t="n">
        <v>0</v>
      </c>
      <c r="AL194" s="1086" t="n">
        <v>0</v>
      </c>
      <c r="AM194" s="1087" t="n">
        <v>0</v>
      </c>
      <c r="AN194" s="1086" t="n">
        <v>0</v>
      </c>
      <c r="AO194" s="1086" t="n">
        <v>0</v>
      </c>
      <c r="AP194" s="1087" t="n">
        <v>0</v>
      </c>
      <c r="AQ194" s="1086" t="n">
        <v>0</v>
      </c>
      <c r="AR194" s="1086" t="n">
        <v>0</v>
      </c>
      <c r="AS194" s="1087" t="n">
        <v>0</v>
      </c>
      <c r="AT194" s="1086" t="n">
        <v>0</v>
      </c>
      <c r="AU194" s="1086" t="n">
        <v>0</v>
      </c>
      <c r="AV194" s="1086" t="n">
        <v>0</v>
      </c>
      <c r="AW194" s="1172" t="n">
        <v>0</v>
      </c>
      <c r="AX194" s="807" t="n">
        <f aca="false">BB194-SUM(AY194:BA194)</f>
        <v>23</v>
      </c>
      <c r="AY194" s="807" t="n">
        <f aca="false">IF(AND($E194=MONTH(Summary!$E$24),$D194=YEAR(Summary!$E$24)),Summary!$E$25,1)*IF(G194="",0,INT((H194-MOD(H194,7)-G194)/7)+1-IF(BA194,IF(WEEKDAY(F194)=7,1,0),0))</f>
        <v>4</v>
      </c>
      <c r="AZ194" s="807" t="n">
        <f aca="false">IF(AND($E194=MONTH(Summary!$E$24),$D194=YEAR(Summary!$E$24)),Summary!$E$25,1)*IF(G194="",0,INT((H194-MOD(H194-1,7)-G194)/7)+1-IF(BA194,IF(WEEKDAY(F194)=1,1,0),0))</f>
        <v>4</v>
      </c>
      <c r="BA194" s="807" t="n">
        <v>0</v>
      </c>
      <c r="BB194" s="807" t="n">
        <f aca="false">IF(AND($E194=MONTH(Summary!$E$24),$D194=YEAR(Summary!$E$24)),Summary!$E$25,1)*IF(G194="",0,H194-G194+1)</f>
        <v>31</v>
      </c>
      <c r="BC194" s="1089" t="n">
        <f aca="false">Summary!$E$19</f>
        <v>0.015</v>
      </c>
      <c r="BD194" s="1090" t="n">
        <v>16311.6</v>
      </c>
      <c r="BE194" s="1091" t="n">
        <v>2836.8</v>
      </c>
      <c r="BF194" s="1091" t="n">
        <v>2836.8</v>
      </c>
      <c r="BG194" s="842"/>
      <c r="BH194" s="1092" t="n">
        <v>1</v>
      </c>
      <c r="BI194" s="1092" t="n">
        <v>1</v>
      </c>
      <c r="BJ194" s="1092" t="n">
        <v>1</v>
      </c>
      <c r="BK194" s="1092" t="n">
        <v>1</v>
      </c>
      <c r="BL194" s="1093" t="n">
        <v>3262.32</v>
      </c>
      <c r="BM194" s="1091" t="n">
        <v>567.36</v>
      </c>
      <c r="BN194" s="1091" t="n">
        <v>567.36</v>
      </c>
      <c r="BO194" s="842"/>
      <c r="BP194" s="1092" t="n">
        <v>1</v>
      </c>
      <c r="BQ194" s="1094" t="n">
        <v>1</v>
      </c>
      <c r="BR194" s="1094" t="n">
        <v>1</v>
      </c>
      <c r="BS194" s="1095" t="n">
        <v>1</v>
      </c>
      <c r="BT194" s="1093" t="n">
        <f aca="false">SUM(BD194:BF194)</f>
        <v>21985.2</v>
      </c>
      <c r="BU194" s="1098" t="n">
        <f aca="false">SUM(BD194:BG194)</f>
        <v>21985.2</v>
      </c>
      <c r="BV194" s="1090" t="n">
        <f aca="false">SUM(BL194:BN194)</f>
        <v>4397.04</v>
      </c>
      <c r="BW194" s="1098" t="n">
        <f aca="false">SUM(BL194:BO194)</f>
        <v>4397.04</v>
      </c>
      <c r="BX194" s="852" t="n">
        <v>14.7953456536619</v>
      </c>
      <c r="BY194" s="1099" t="n">
        <v>0</v>
      </c>
      <c r="BZ194" s="852" t="n">
        <v>0</v>
      </c>
      <c r="CA194" s="852" t="n">
        <v>0</v>
      </c>
      <c r="CB194" s="852" t="n">
        <v>0</v>
      </c>
      <c r="CC194" s="852" t="n">
        <v>0</v>
      </c>
      <c r="CD194" s="852" t="n">
        <v>0</v>
      </c>
      <c r="CE194" s="1100" t="n">
        <v>0</v>
      </c>
      <c r="CF194" s="852" t="n">
        <v>0</v>
      </c>
      <c r="CG194" s="852" t="n">
        <v>0</v>
      </c>
      <c r="CH194" s="852" t="n">
        <v>0</v>
      </c>
      <c r="CI194" s="852" t="n">
        <v>0</v>
      </c>
      <c r="CJ194" s="1101" t="n">
        <v>0</v>
      </c>
      <c r="CK194" s="852" t="n">
        <v>0</v>
      </c>
      <c r="CL194" s="852" t="n">
        <v>0</v>
      </c>
      <c r="CM194" s="852" t="n">
        <v>0</v>
      </c>
      <c r="CN194" s="852" t="n">
        <v>0</v>
      </c>
      <c r="CO194" s="852" t="n">
        <v>0</v>
      </c>
      <c r="CP194" s="852" t="n">
        <v>0</v>
      </c>
      <c r="CQ194" s="1102" t="n">
        <v>0</v>
      </c>
      <c r="CR194" s="1103" t="n">
        <v>0</v>
      </c>
      <c r="CS194" s="1103" t="n">
        <v>0</v>
      </c>
      <c r="CT194" s="1103" t="n">
        <v>0</v>
      </c>
      <c r="CU194" s="1103" t="n">
        <v>0</v>
      </c>
      <c r="CV194" s="1103" t="n">
        <v>0</v>
      </c>
      <c r="CW194" s="1103" t="n">
        <v>0</v>
      </c>
      <c r="CX194" s="1104" t="n">
        <v>0</v>
      </c>
      <c r="CY194" s="1105" t="n">
        <v>7761.94592</v>
      </c>
      <c r="CZ194" s="1099" t="n">
        <v>0</v>
      </c>
      <c r="DA194" s="852" t="n">
        <v>0</v>
      </c>
      <c r="DB194" s="852" t="n">
        <v>0</v>
      </c>
      <c r="DC194" s="852" t="n">
        <v>0</v>
      </c>
      <c r="DD194" s="852" t="n">
        <v>0</v>
      </c>
      <c r="DE194" s="1113" t="n">
        <v>0</v>
      </c>
      <c r="DF194" s="1109" t="n">
        <v>0</v>
      </c>
      <c r="DG194" s="1110" t="n">
        <v>0</v>
      </c>
      <c r="DH194" s="1111" t="n">
        <v>0</v>
      </c>
      <c r="DI194" s="1112" t="n">
        <v>0</v>
      </c>
      <c r="DJ194" s="1112" t="n">
        <v>0</v>
      </c>
      <c r="DK194" s="1112" t="n">
        <v>0</v>
      </c>
      <c r="DL194" s="1113" t="n">
        <v>0</v>
      </c>
      <c r="DM194" s="1114" t="n">
        <v>0</v>
      </c>
      <c r="DN194" s="1114" t="n">
        <v>0</v>
      </c>
      <c r="DO194" s="1114" t="n">
        <v>0</v>
      </c>
      <c r="DP194" s="1114" t="n">
        <v>0</v>
      </c>
      <c r="DQ194" s="1114" t="n">
        <v>0</v>
      </c>
      <c r="DR194" s="1109" t="n">
        <v>0</v>
      </c>
      <c r="DS194" s="852" t="n">
        <v>0</v>
      </c>
      <c r="DT194" s="852" t="n">
        <v>0</v>
      </c>
      <c r="DU194" s="852" t="n">
        <v>0</v>
      </c>
      <c r="DV194" s="852" t="n">
        <v>0</v>
      </c>
      <c r="DW194" s="852" t="n">
        <v>0</v>
      </c>
      <c r="DX194" s="852" t="n">
        <v>0</v>
      </c>
      <c r="DY194" s="852" t="n">
        <v>0</v>
      </c>
      <c r="DZ194" s="852" t="n">
        <v>0</v>
      </c>
      <c r="EA194" s="852" t="n">
        <v>0</v>
      </c>
      <c r="EB194" s="1113" t="n">
        <v>0</v>
      </c>
      <c r="EC194" s="1115" t="n">
        <f aca="false">DS194*BD194</f>
        <v>0</v>
      </c>
      <c r="ED194" s="1115" t="n">
        <f aca="false">DT194*BE194</f>
        <v>0</v>
      </c>
      <c r="EE194" s="1115" t="n">
        <f aca="false">DU194*BF194</f>
        <v>0</v>
      </c>
      <c r="EF194" s="1115" t="n">
        <f aca="false">DV194*BG194</f>
        <v>0</v>
      </c>
      <c r="EG194" s="1115" t="n">
        <f aca="false">DS194*BD194+DT194*BE194+DU194*BF194+DV194*BG194</f>
        <v>0</v>
      </c>
      <c r="EH194" s="1116" t="n">
        <v>0</v>
      </c>
      <c r="EI194" s="1117" t="n">
        <v>0</v>
      </c>
      <c r="EJ194" s="1117" t="n">
        <v>0</v>
      </c>
      <c r="EK194" s="1117" t="n">
        <v>0</v>
      </c>
      <c r="EL194" s="1118" t="n">
        <f aca="false">IF(C194&gt;=Summary!$E$26,MAX(0,SUM(EH194:EK194)),0)</f>
        <v>0</v>
      </c>
      <c r="EM194" s="1115" t="n">
        <f aca="false">IF(C194&gt;=Summary!$E$26,DX194*BL194,0)</f>
        <v>0</v>
      </c>
      <c r="EN194" s="1115" t="n">
        <f aca="false">IF(C194&gt;=Summary!$E$26,DY194*BM194,0)</f>
        <v>0</v>
      </c>
      <c r="EO194" s="1115" t="n">
        <f aca="false">IF(C194&gt;=Summary!$E$26,DZ194*BN194,0)</f>
        <v>0</v>
      </c>
      <c r="EP194" s="1115" t="n">
        <f aca="false">IF(C194&gt;=Summary!$E$26,EA194*BO194,0)</f>
        <v>0</v>
      </c>
      <c r="EQ194" s="1115" t="n">
        <f aca="false">IF(C194&gt;=Summary!$E$26,DX194*BL194+DY194*BM194+DZ194*BN194+EA194*BO194,0)</f>
        <v>0</v>
      </c>
      <c r="ER194" s="1119" t="n">
        <v>0</v>
      </c>
      <c r="ES194" s="1120" t="n">
        <v>0</v>
      </c>
      <c r="ET194" s="1120" t="n">
        <v>0</v>
      </c>
      <c r="EU194" s="1120" t="n">
        <v>0</v>
      </c>
      <c r="EV194" s="1143" t="n">
        <f aca="false">IF(C194&gt;=Summary!$E$26,MAX(0,SUM(ER194:EU194)),0)</f>
        <v>0</v>
      </c>
      <c r="EW194" s="1115"/>
      <c r="EX194" s="1165" t="n">
        <f aca="false">(EQ194-EV194)+IF(EZ194="Yes",(EG194-EL194),0)</f>
        <v>0</v>
      </c>
      <c r="EY194" s="1166" t="str">
        <f aca="false">IF(EX194,EX194/EQ194,"")</f>
        <v/>
      </c>
      <c r="EZ194" s="1122" t="s">
        <v>37</v>
      </c>
      <c r="FA194" s="1096" t="n">
        <f aca="false">FA193</f>
        <v>45</v>
      </c>
      <c r="FB194" s="1167" t="n">
        <f aca="false">IF(EZ194="No",IF((OR(MONTH(C194)=5,MONTH(C194)=6,MONTH(C194)=7,MONTH(C194)=8,MONTH(C194)=9)),$FA194*12*AX194*(1-$BC194),$FA194*10*AX194*(1-$BC194)),0)</f>
        <v>10194.75</v>
      </c>
      <c r="FC194" s="1129" t="n">
        <f aca="false">IF(EZ194="No",IF((OR(MONTH(C194)=5,MONTH(C194)=6,MONTH(C194)=7,MONTH(C194)=8,MONTH(C194)=9)),0,$FA194*3*AX194*(1-$BC194)),0)</f>
        <v>3058.425</v>
      </c>
      <c r="FD194" s="1129" t="n">
        <f aca="false">IF(EZ194="No",IF((OR(MONTH(C194)=5,MONTH(C194)=6,MONTH(C194)=7,MONTH(C194)=8,MONTH(C194)=9)),$FA194*12*AY194*(1-$BC194),$FA194*10*AY194*(1-$BC194)),0)</f>
        <v>1773</v>
      </c>
      <c r="FE194" s="1129" t="n">
        <f aca="false">IF(EZ194="No",IF((OR(MONTH(C194)=5,MONTH(C194)=6,MONTH(C194)=7,MONTH(C194)=8,MONTH(C194)=9)),0,$FA194*3*AY194*(1-$BC194)),0)</f>
        <v>531.9</v>
      </c>
      <c r="FF194" s="1129" t="n">
        <f aca="false">IF(EZ194="No",IF((OR(MONTH(C194)=5,MONTH(C194)=6,MONTH(C194)=7,MONTH(C194)=8,MONTH(C194)=9)),$FA194*12*(AZ194+BA194)*(1-$BC194),$FA194*10*(AZ194+BA194)*(1-$BC194)),0)</f>
        <v>1773</v>
      </c>
      <c r="FG194" s="1129" t="n">
        <f aca="false">IF(EZ194="No",IF((OR(MONTH(C194)=5,MONTH(C194)=6,MONTH(C194)=7,MONTH(C194)=8,MONTH(C194)=9)),0,$FA194*3*(AZ194+BA194)*(1-$BC194)),0)</f>
        <v>531.9</v>
      </c>
      <c r="FH194" s="1170" t="n">
        <f aca="false">IF(EZ194="No",IF((OR(MONTH(C194)=5,MONTH(C194)=6,MONTH(C194)=7,MONTH(C194)=8,MONTH(C194)=9)),Summary!$O$15*12*(AX194+AY194+AZ194+BA194)*(1-$BC194),Summary!$O$15*13*(AX194+AY194+AZ194+BA194)*(1-$BC194)+IF(Summary!$O$16="Yes",(CALC!FA194+Summary!$O$15)*6*(AX194+AY194+AZ194+BA194)*(1-$BC194),0)),0)</f>
        <v>0</v>
      </c>
      <c r="FI194" s="1126" t="n">
        <f aca="false">IF(MONTH(C194)=5,FI193*(IF(Summary!$E$70="no",(1+(Summary!$E$71*0.8)),1+HLOOKUP(YEAR(C194)-1,CCFMODEL!$I$127:$AF$128,2)*0.8)),+FI193)</f>
        <v>37.9684633655614</v>
      </c>
      <c r="FJ194" s="1127" t="n">
        <f aca="false">IF(MONTH(C194)=5,FJ193*(IF(Summary!$E$70="no",(1+(Summary!$E$71*0.8)),1+HLOOKUP(YEAR(CALC!C194)-1,CCFMODEL!$I$127:$AF$128,2)*0.8)),FJ193)</f>
        <v>33.1850349100576</v>
      </c>
      <c r="FK194" s="1128" t="n">
        <f aca="false">SUM(FB194:FG194)*FI194+FH194*FJ194</f>
        <v>678229.71188744</v>
      </c>
      <c r="FL194" s="1126" t="n">
        <f aca="false">IF(MONTH(C194)=5,FL193*(IF(Summary!$E$70="no",(1+(Summary!$E$71*0.8)),1+HLOOKUP(YEAR(CALC!C194)-1,CCFMODEL!$I$127:$AF$128,2)*0.8)),+FL193)</f>
        <v>79.8519351396453</v>
      </c>
      <c r="FM194" s="1127" t="n">
        <f aca="false">IF(MONTH(C194)=5,FM193*(IF(Summary!$E$70="no",(1+(Summary!$E$71*0.8)),1+HLOOKUP(YEAR(CALC!C194)-1,CCFMODEL!$I$127:$AF$128,2)*0.8)),+FM193)</f>
        <v>38.1108273076895</v>
      </c>
      <c r="FN194" s="1128" t="n">
        <f aca="false">IF((OR(MONTH(C194)=5,MONTH(C194)=6,MONTH(C194)=7,MONTH(C194)=8,MONTH(C194)=9)),SUM(FB194:FG194)/(1-BC194)*FL194,SUM(FB194:FG194)/(1-BC194)*FM194)</f>
        <v>691139.85322495</v>
      </c>
      <c r="FO194" s="1129" t="n">
        <f aca="false">FK194+FN194</f>
        <v>1369369.56511239</v>
      </c>
      <c r="FP194" s="1169" t="n">
        <f aca="false">FB194</f>
        <v>10194.75</v>
      </c>
      <c r="FQ194" s="1129" t="n">
        <f aca="false">FC194</f>
        <v>3058.425</v>
      </c>
      <c r="FR194" s="1129" t="n">
        <f aca="false">FD194</f>
        <v>1773</v>
      </c>
      <c r="FS194" s="1129" t="n">
        <f aca="false">FE194</f>
        <v>531.9</v>
      </c>
      <c r="FT194" s="1129" t="n">
        <f aca="false">FF194</f>
        <v>1773</v>
      </c>
      <c r="FU194" s="1129" t="n">
        <f aca="false">FG194</f>
        <v>531.9</v>
      </c>
      <c r="FV194" s="1170" t="n">
        <f aca="false">FH194</f>
        <v>0</v>
      </c>
      <c r="FW194" s="1115" t="n">
        <f aca="false">IF(ER194&gt;0,MIN(FB194-FP194,BL194),0)</f>
        <v>0</v>
      </c>
      <c r="FX194" s="1115" t="n">
        <f aca="false">IF(ES194&gt;0,MIN(FD194-FR194,BM194),0)</f>
        <v>0</v>
      </c>
      <c r="FY194" s="1115" t="n">
        <f aca="false">IF(ET194&gt;0,MIN(FF194-FT194,BN194),0)</f>
        <v>0</v>
      </c>
      <c r="FZ194" s="1143" t="n">
        <f aca="false">IF(EU194&gt;0,MIN(FH194-FV194,BO194),0)</f>
        <v>0</v>
      </c>
      <c r="GA194" s="1132" t="n">
        <f aca="false">(SUM(FP194:FV194)+SUM(GU194:HB194)/(1-Summary!$O$25))*CY194/1000</f>
        <v>236774.007648533</v>
      </c>
      <c r="GB194" s="1133" t="n">
        <f aca="false">IF($C194&lt;Summary!$M$81,+Summary!$O$81,VLOOKUP(C194,GasTable,19))</f>
        <v>3.80838807728858</v>
      </c>
      <c r="GC194" s="1134" t="n">
        <f aca="false">IF(H194&lt;=Summary!$N$84,MIN(GA194,Summary!$O$75*(H194-G194+1)),0)</f>
        <v>0</v>
      </c>
      <c r="GD194" s="1135" t="n">
        <f aca="false">IF(C194&lt;Summary!$N$84,IF(Summary!$O$75*(H194-G194+1)*0.8&gt;GC194,1,0),0)</f>
        <v>0</v>
      </c>
      <c r="GE194" s="1136" t="n">
        <v>0</v>
      </c>
      <c r="GF194" s="1134" t="n">
        <f aca="false">ABS(MIN(0,GC194-$GA194))</f>
        <v>236774.007648533</v>
      </c>
      <c r="GG194" s="1135" t="n">
        <f aca="false">GF194*(IF(Summary!$O$74=1,VLOOKUP($C194,GasTable,16)+Summary!$O$92+Summary!$O$93,VLOOKUP($C194,GasTable,19)+Summary!$O$92+Summary!$O$93))</f>
        <v>914063.233538997</v>
      </c>
      <c r="GH194" s="1137" t="n">
        <v>5903.0015197973</v>
      </c>
      <c r="GI194" s="1138" t="n">
        <v>0</v>
      </c>
      <c r="GJ194" s="1139" t="n">
        <f aca="false">+GB194*GC194+GE194+GG194+GH194-GI194</f>
        <v>919966.235058794</v>
      </c>
      <c r="GK194" s="1115" t="n">
        <f aca="false">SUM(FP194:FV194,GU194:GX194,GY194:HB194)</f>
        <v>30062.01285</v>
      </c>
      <c r="GL194" s="1140" t="n">
        <v>0.52005037664</v>
      </c>
      <c r="GM194" s="1141" t="n">
        <f aca="false">IF(GK194&gt;GC194/(CY194/1000),GC194/(CY194/1000),+GK194)*GL194</f>
        <v>0</v>
      </c>
      <c r="GN194" s="1115" t="n">
        <f aca="false">IF(SUM(GU194:HB194)=0,0,IF(Summary!$O$16="Yes",SUM(GX194:HB194),IF(Summary!$O$17="Yes",SUM(GY194:HB194),SUM(GU194:HB194))))</f>
        <v>12199.03785</v>
      </c>
      <c r="GO194" s="1142" t="n">
        <v>3.59924589309593</v>
      </c>
      <c r="GP194" s="1143" t="n">
        <f aca="false">GN194*GO194</f>
        <v>43907.3368813343</v>
      </c>
      <c r="GQ194" s="1115"/>
      <c r="GR194" s="1115"/>
      <c r="GS194" s="1115"/>
      <c r="GT194" s="1115"/>
      <c r="GU194" s="1150" t="n">
        <v>5902.76025</v>
      </c>
      <c r="GV194" s="1115" t="n">
        <v>1026.567</v>
      </c>
      <c r="GW194" s="1115" t="n">
        <v>1026.567</v>
      </c>
      <c r="GX194" s="1115"/>
      <c r="GY194" s="1151" t="n">
        <v>3148.1388</v>
      </c>
      <c r="GZ194" s="1115" t="n">
        <v>547.5024</v>
      </c>
      <c r="HA194" s="1115" t="n">
        <v>547.5024</v>
      </c>
      <c r="HB194" s="1141"/>
      <c r="HC194" s="1115" t="n">
        <v>12199.03785</v>
      </c>
      <c r="HD194" s="1115"/>
      <c r="HE194" s="1115" t="n">
        <v>20950.521525</v>
      </c>
      <c r="HF194" s="1115" t="n">
        <v>651638.550816302</v>
      </c>
      <c r="HG194" s="1115"/>
      <c r="HH194" s="1142" t="n">
        <v>52.5723377887035</v>
      </c>
      <c r="HI194" s="1115" t="n">
        <v>1101417.8944618</v>
      </c>
      <c r="HJ194" s="1150" t="n">
        <f aca="false">MAX(FB194-FP194-FW194,0)</f>
        <v>0</v>
      </c>
      <c r="HK194" s="1115" t="n">
        <f aca="false">MAX(FD194-FR194-FX194,0)</f>
        <v>0</v>
      </c>
      <c r="HL194" s="1115" t="n">
        <f aca="false">MAX(FF194-FT194-FY194,0)</f>
        <v>0</v>
      </c>
      <c r="HM194" s="1141" t="n">
        <f aca="false">MAX(FH194-FV194-FZ194,0)</f>
        <v>0</v>
      </c>
      <c r="HN194" s="1115" t="n">
        <f aca="false">SUM(HJ194:HM194)</f>
        <v>0</v>
      </c>
      <c r="HO194" s="1142" t="n">
        <f aca="false">IF(ISERROR(+HP194/HN194),0,+HP194/HN194)</f>
        <v>0</v>
      </c>
      <c r="HP194" s="1143" t="n">
        <f aca="false">(HJ194*CE194+HK194*CF194+HL194*CG194+HM194*CH194)</f>
        <v>0</v>
      </c>
      <c r="HQ194" s="1146"/>
      <c r="HR194" s="1150"/>
      <c r="HS194" s="1200"/>
      <c r="HT194" s="1141"/>
      <c r="HU194" s="1150"/>
      <c r="HV194" s="1200"/>
      <c r="HW194" s="1141"/>
      <c r="HX194" s="1200"/>
      <c r="HY194" s="1200"/>
      <c r="HZ194" s="0"/>
      <c r="IA194" s="1142"/>
      <c r="IB194" s="1142"/>
      <c r="IC194" s="1142"/>
      <c r="ID194" s="1142"/>
      <c r="IE194" s="1142"/>
      <c r="IF194" s="1142"/>
      <c r="IG194" s="1142"/>
      <c r="IH194" s="1142"/>
      <c r="II194" s="1142"/>
      <c r="IJ194" s="1142"/>
      <c r="IK194" s="1142"/>
      <c r="IL194" s="1190"/>
      <c r="IM194" s="222"/>
      <c r="IN194" s="222"/>
      <c r="IR194" s="844"/>
    </row>
    <row r="195" customFormat="false" ht="13.5" hidden="false" customHeight="false" outlineLevel="0" collapsed="false">
      <c r="A195" s="0" t="str">
        <f aca="false">+D195&amp;"Q"&amp;ROUNDUP(E195/3,0)</f>
        <v>2014Q4</v>
      </c>
      <c r="B195" s="0" t="n">
        <f aca="false">YEAR(C195)</f>
        <v>2014</v>
      </c>
      <c r="C195" s="1153" t="n">
        <f aca="false">EOMONTH(C194,0)+1</f>
        <v>41944</v>
      </c>
      <c r="D195" s="841" t="n">
        <f aca="false">+YEAR(C195)</f>
        <v>2014</v>
      </c>
      <c r="E195" s="807" t="n">
        <f aca="false">MONTH(C195)</f>
        <v>11</v>
      </c>
      <c r="F195" s="1154" t="e">
        <f aca="false">IF(G195="","",Holiday(D195,E195))</f>
        <v>#VALUE!</v>
      </c>
      <c r="G195" s="1155" t="n">
        <v>41944</v>
      </c>
      <c r="H195" s="1156" t="n">
        <v>41973</v>
      </c>
      <c r="I195" s="1157" t="n">
        <f aca="false">I194</f>
        <v>0.0715</v>
      </c>
      <c r="J195" s="1158" t="n">
        <f aca="false">(1+I195/2)^(-2*(DATE(D196,E196,20)-$H$7)/365.25)</f>
        <v>0.34826770214117</v>
      </c>
      <c r="K195" s="1159"/>
      <c r="L195" s="1158"/>
      <c r="M195" s="1082" t="n">
        <v>0</v>
      </c>
      <c r="N195" s="1110" t="n">
        <f aca="false">M195</f>
        <v>0</v>
      </c>
      <c r="O195" s="1174" t="n">
        <f aca="false">N195</f>
        <v>0</v>
      </c>
      <c r="P195" s="1175" t="n">
        <f aca="false">M195</f>
        <v>0</v>
      </c>
      <c r="Q195" s="1110" t="n">
        <f aca="false">P195</f>
        <v>0</v>
      </c>
      <c r="R195" s="1174" t="n">
        <f aca="false">Q195</f>
        <v>0</v>
      </c>
      <c r="S195" s="1110" t="n">
        <f aca="false">R195</f>
        <v>0</v>
      </c>
      <c r="T195" s="1110" t="n">
        <f aca="false">S195</f>
        <v>0</v>
      </c>
      <c r="U195" s="1110" t="n">
        <f aca="false">T195</f>
        <v>0</v>
      </c>
      <c r="V195" s="1175" t="n">
        <f aca="false">U195</f>
        <v>0</v>
      </c>
      <c r="W195" s="1110" t="n">
        <f aca="false">V195</f>
        <v>0</v>
      </c>
      <c r="X195" s="1176" t="n">
        <f aca="false">W195</f>
        <v>0</v>
      </c>
      <c r="Y195" s="1086" t="n">
        <v>0</v>
      </c>
      <c r="Z195" s="1086" t="n">
        <v>0</v>
      </c>
      <c r="AA195" s="1087" t="n">
        <v>0</v>
      </c>
      <c r="AB195" s="1086" t="n">
        <v>0</v>
      </c>
      <c r="AC195" s="1086" t="n">
        <v>0</v>
      </c>
      <c r="AD195" s="1087" t="n">
        <v>0</v>
      </c>
      <c r="AE195" s="1086" t="n">
        <v>0</v>
      </c>
      <c r="AF195" s="1086" t="n">
        <v>0</v>
      </c>
      <c r="AG195" s="1087" t="n">
        <v>0</v>
      </c>
      <c r="AH195" s="1086" t="n">
        <v>0</v>
      </c>
      <c r="AI195" s="1086" t="n">
        <v>0</v>
      </c>
      <c r="AJ195" s="1087" t="n">
        <v>0</v>
      </c>
      <c r="AK195" s="1086" t="n">
        <v>0</v>
      </c>
      <c r="AL195" s="1086" t="n">
        <v>0</v>
      </c>
      <c r="AM195" s="1087" t="n">
        <v>0</v>
      </c>
      <c r="AN195" s="1086" t="n">
        <v>0</v>
      </c>
      <c r="AO195" s="1086" t="n">
        <v>0</v>
      </c>
      <c r="AP195" s="1087" t="n">
        <v>0</v>
      </c>
      <c r="AQ195" s="1086" t="n">
        <v>0</v>
      </c>
      <c r="AR195" s="1086" t="n">
        <v>0</v>
      </c>
      <c r="AS195" s="1087" t="n">
        <v>0</v>
      </c>
      <c r="AT195" s="1086" t="n">
        <v>0</v>
      </c>
      <c r="AU195" s="1086" t="n">
        <v>0</v>
      </c>
      <c r="AV195" s="1086" t="n">
        <v>0</v>
      </c>
      <c r="AW195" s="1172" t="n">
        <v>0</v>
      </c>
      <c r="AX195" s="807" t="e">
        <f aca="false">BB195-SUM(AY195:BA195)</f>
        <v>#VALUE!</v>
      </c>
      <c r="AY195" s="807" t="e">
        <f aca="false">IF(AND($E195=MONTH(Summary!$E$24),$D195=YEAR(Summary!$E$24)),Summary!$E$25,1)*IF(G195="",0,INT((H195-MOD(H195,7)-G195)/7)+1-IF(BA195,IF(WEEKDAY(F195)=7,1,0),0))</f>
        <v>#VALUE!</v>
      </c>
      <c r="AZ195" s="807" t="e">
        <f aca="false">IF(AND($E195=MONTH(Summary!$E$24),$D195=YEAR(Summary!$E$24)),Summary!$E$25,1)*IF(G195="",0,INT((H195-MOD(H195-1,7)-G195)/7)+1-IF(BA195,IF(WEEKDAY(F195)=1,1,0),0))</f>
        <v>#VALUE!</v>
      </c>
      <c r="BA195" s="807" t="n">
        <v>1</v>
      </c>
      <c r="BB195" s="807" t="n">
        <f aca="false">IF(AND($E195=MONTH(Summary!$E$24),$D195=YEAR(Summary!$E$24)),Summary!$E$25,1)*IF(G195="",0,H195-G195+1)</f>
        <v>30</v>
      </c>
      <c r="BC195" s="1089" t="n">
        <f aca="false">Summary!$E$19</f>
        <v>0.015</v>
      </c>
      <c r="BD195" s="1090" t="n">
        <v>13474.8</v>
      </c>
      <c r="BE195" s="1091" t="n">
        <v>3546</v>
      </c>
      <c r="BF195" s="1091" t="n">
        <v>4255.2</v>
      </c>
      <c r="BG195" s="842"/>
      <c r="BH195" s="1092" t="n">
        <v>1</v>
      </c>
      <c r="BI195" s="1092" t="n">
        <v>1</v>
      </c>
      <c r="BJ195" s="1092" t="n">
        <v>1</v>
      </c>
      <c r="BK195" s="1092" t="n">
        <v>1</v>
      </c>
      <c r="BL195" s="1093" t="n">
        <v>2694.96</v>
      </c>
      <c r="BM195" s="1091" t="n">
        <v>709.2</v>
      </c>
      <c r="BN195" s="1091" t="n">
        <v>851.04</v>
      </c>
      <c r="BO195" s="842"/>
      <c r="BP195" s="1092" t="n">
        <v>1</v>
      </c>
      <c r="BQ195" s="1094" t="n">
        <v>1</v>
      </c>
      <c r="BR195" s="1094" t="n">
        <v>1</v>
      </c>
      <c r="BS195" s="1095" t="n">
        <v>1</v>
      </c>
      <c r="BT195" s="1093" t="n">
        <f aca="false">SUM(BD195:BF195)</f>
        <v>21276</v>
      </c>
      <c r="BU195" s="1098" t="n">
        <f aca="false">SUM(BD195:BG195)</f>
        <v>21276</v>
      </c>
      <c r="BV195" s="1090" t="n">
        <f aca="false">SUM(BL195:BN195)</f>
        <v>4255.2</v>
      </c>
      <c r="BW195" s="1098" t="n">
        <f aca="false">SUM(BL195:BO195)</f>
        <v>4255.2</v>
      </c>
      <c r="BX195" s="852" t="n">
        <v>14.880219028063</v>
      </c>
      <c r="BY195" s="1099" t="n">
        <v>0</v>
      </c>
      <c r="BZ195" s="852" t="n">
        <v>0</v>
      </c>
      <c r="CA195" s="852" t="n">
        <v>0</v>
      </c>
      <c r="CB195" s="852" t="n">
        <v>0</v>
      </c>
      <c r="CC195" s="852" t="n">
        <v>0</v>
      </c>
      <c r="CD195" s="852" t="n">
        <v>0</v>
      </c>
      <c r="CE195" s="1100" t="n">
        <v>0</v>
      </c>
      <c r="CF195" s="852" t="n">
        <v>0</v>
      </c>
      <c r="CG195" s="852" t="n">
        <v>0</v>
      </c>
      <c r="CH195" s="852" t="n">
        <v>0</v>
      </c>
      <c r="CI195" s="852" t="n">
        <v>0</v>
      </c>
      <c r="CJ195" s="1101" t="n">
        <v>0</v>
      </c>
      <c r="CK195" s="852" t="n">
        <v>0</v>
      </c>
      <c r="CL195" s="852" t="n">
        <v>0</v>
      </c>
      <c r="CM195" s="852" t="n">
        <v>0</v>
      </c>
      <c r="CN195" s="852" t="n">
        <v>0</v>
      </c>
      <c r="CO195" s="852" t="n">
        <v>0</v>
      </c>
      <c r="CP195" s="852" t="n">
        <v>0</v>
      </c>
      <c r="CQ195" s="1102" t="n">
        <v>0</v>
      </c>
      <c r="CR195" s="1103" t="n">
        <v>0</v>
      </c>
      <c r="CS195" s="1103" t="n">
        <v>0</v>
      </c>
      <c r="CT195" s="1103" t="n">
        <v>0</v>
      </c>
      <c r="CU195" s="1103" t="n">
        <v>0</v>
      </c>
      <c r="CV195" s="1103" t="n">
        <v>0</v>
      </c>
      <c r="CW195" s="1103" t="n">
        <v>0</v>
      </c>
      <c r="CX195" s="1104" t="n">
        <v>0</v>
      </c>
      <c r="CY195" s="1105" t="n">
        <v>7763.2488</v>
      </c>
      <c r="CZ195" s="1099" t="n">
        <v>0</v>
      </c>
      <c r="DA195" s="852" t="n">
        <v>0</v>
      </c>
      <c r="DB195" s="852" t="n">
        <v>0</v>
      </c>
      <c r="DC195" s="852" t="n">
        <v>0</v>
      </c>
      <c r="DD195" s="852" t="n">
        <v>0</v>
      </c>
      <c r="DE195" s="1113" t="n">
        <v>0</v>
      </c>
      <c r="DF195" s="1109" t="n">
        <v>0</v>
      </c>
      <c r="DG195" s="1110" t="n">
        <v>0</v>
      </c>
      <c r="DH195" s="1111" t="n">
        <v>0</v>
      </c>
      <c r="DI195" s="1112" t="n">
        <v>0</v>
      </c>
      <c r="DJ195" s="1112" t="n">
        <v>0</v>
      </c>
      <c r="DK195" s="1112" t="n">
        <v>0</v>
      </c>
      <c r="DL195" s="1113" t="n">
        <v>0</v>
      </c>
      <c r="DM195" s="1114" t="n">
        <v>0</v>
      </c>
      <c r="DN195" s="1114" t="n">
        <v>0</v>
      </c>
      <c r="DO195" s="1114" t="n">
        <v>0</v>
      </c>
      <c r="DP195" s="1114" t="n">
        <v>0</v>
      </c>
      <c r="DQ195" s="1114" t="n">
        <v>0</v>
      </c>
      <c r="DR195" s="1109" t="n">
        <v>0</v>
      </c>
      <c r="DS195" s="852" t="n">
        <v>0</v>
      </c>
      <c r="DT195" s="852" t="n">
        <v>0</v>
      </c>
      <c r="DU195" s="852" t="n">
        <v>0</v>
      </c>
      <c r="DV195" s="852" t="n">
        <v>0</v>
      </c>
      <c r="DW195" s="852" t="n">
        <v>0</v>
      </c>
      <c r="DX195" s="852" t="n">
        <v>0</v>
      </c>
      <c r="DY195" s="852" t="n">
        <v>0</v>
      </c>
      <c r="DZ195" s="852" t="n">
        <v>0</v>
      </c>
      <c r="EA195" s="852" t="n">
        <v>0</v>
      </c>
      <c r="EB195" s="1113" t="n">
        <v>0</v>
      </c>
      <c r="EC195" s="1115" t="n">
        <f aca="false">DS195*BD195</f>
        <v>0</v>
      </c>
      <c r="ED195" s="1115" t="n">
        <f aca="false">DT195*BE195</f>
        <v>0</v>
      </c>
      <c r="EE195" s="1115" t="n">
        <f aca="false">DU195*BF195</f>
        <v>0</v>
      </c>
      <c r="EF195" s="1115" t="n">
        <f aca="false">DV195*BG195</f>
        <v>0</v>
      </c>
      <c r="EG195" s="1115" t="n">
        <f aca="false">DS195*BD195+DT195*BE195+DU195*BF195+DV195*BG195</f>
        <v>0</v>
      </c>
      <c r="EH195" s="1116" t="n">
        <v>0</v>
      </c>
      <c r="EI195" s="1117" t="n">
        <v>0</v>
      </c>
      <c r="EJ195" s="1117" t="n">
        <v>0</v>
      </c>
      <c r="EK195" s="1117" t="n">
        <v>0</v>
      </c>
      <c r="EL195" s="1118" t="n">
        <f aca="false">IF(C195&gt;=Summary!$E$26,MAX(0,SUM(EH195:EK195)),0)</f>
        <v>0</v>
      </c>
      <c r="EM195" s="1115" t="n">
        <f aca="false">IF(C195&gt;=Summary!$E$26,DX195*BL195,0)</f>
        <v>0</v>
      </c>
      <c r="EN195" s="1115" t="n">
        <f aca="false">IF(C195&gt;=Summary!$E$26,DY195*BM195,0)</f>
        <v>0</v>
      </c>
      <c r="EO195" s="1115" t="n">
        <f aca="false">IF(C195&gt;=Summary!$E$26,DZ195*BN195,0)</f>
        <v>0</v>
      </c>
      <c r="EP195" s="1115" t="n">
        <f aca="false">IF(C195&gt;=Summary!$E$26,EA195*BO195,0)</f>
        <v>0</v>
      </c>
      <c r="EQ195" s="1115" t="n">
        <f aca="false">IF(C195&gt;=Summary!$E$26,DX195*BL195+DY195*BM195+DZ195*BN195+EA195*BO195,0)</f>
        <v>0</v>
      </c>
      <c r="ER195" s="1119" t="n">
        <v>0</v>
      </c>
      <c r="ES195" s="1120" t="n">
        <v>0</v>
      </c>
      <c r="ET195" s="1120" t="n">
        <v>0</v>
      </c>
      <c r="EU195" s="1120" t="n">
        <v>0</v>
      </c>
      <c r="EV195" s="1143" t="n">
        <f aca="false">IF(C195&gt;=Summary!$E$26,MAX(0,SUM(ER195:EU195)),0)</f>
        <v>0</v>
      </c>
      <c r="EW195" s="1115"/>
      <c r="EX195" s="1165" t="n">
        <f aca="false">(EQ195-EV195)+IF(EZ195="Yes",(EG195-EL195),0)</f>
        <v>0</v>
      </c>
      <c r="EY195" s="1166" t="str">
        <f aca="false">IF(EX195,EX195/EQ195,"")</f>
        <v/>
      </c>
      <c r="EZ195" s="1122" t="s">
        <v>37</v>
      </c>
      <c r="FA195" s="1096" t="n">
        <f aca="false">FA194</f>
        <v>45</v>
      </c>
      <c r="FB195" s="1167" t="e">
        <f aca="false">IF(EZ195="No",IF((OR(MONTH(C195)=5,MONTH(C195)=6,MONTH(C195)=7,MONTH(C195)=8,MONTH(C195)=9)),$FA195*12*AX195*(1-$BC195),$FA195*10*AX195*(1-$BC195)),0)</f>
        <v>#VALUE!</v>
      </c>
      <c r="FC195" s="1129" t="e">
        <f aca="false">IF(EZ195="No",IF((OR(MONTH(C195)=5,MONTH(C195)=6,MONTH(C195)=7,MONTH(C195)=8,MONTH(C195)=9)),0,$FA195*3*AX195*(1-$BC195)),0)</f>
        <v>#VALUE!</v>
      </c>
      <c r="FD195" s="1129" t="e">
        <f aca="false">IF(EZ195="No",IF((OR(MONTH(C195)=5,MONTH(C195)=6,MONTH(C195)=7,MONTH(C195)=8,MONTH(C195)=9)),$FA195*12*AY195*(1-$BC195),$FA195*10*AY195*(1-$BC195)),0)</f>
        <v>#VALUE!</v>
      </c>
      <c r="FE195" s="1129" t="e">
        <f aca="false">IF(EZ195="No",IF((OR(MONTH(C195)=5,MONTH(C195)=6,MONTH(C195)=7,MONTH(C195)=8,MONTH(C195)=9)),0,$FA195*3*AY195*(1-$BC195)),0)</f>
        <v>#VALUE!</v>
      </c>
      <c r="FF195" s="1129" t="e">
        <f aca="false">IF(EZ195="No",IF((OR(MONTH(C195)=5,MONTH(C195)=6,MONTH(C195)=7,MONTH(C195)=8,MONTH(C195)=9)),$FA195*12*(AZ195+BA195)*(1-$BC195),$FA195*10*(AZ195+BA195)*(1-$BC195)),0)</f>
        <v>#VALUE!</v>
      </c>
      <c r="FG195" s="1129" t="e">
        <f aca="false">IF(EZ195="No",IF((OR(MONTH(C195)=5,MONTH(C195)=6,MONTH(C195)=7,MONTH(C195)=8,MONTH(C195)=9)),0,$FA195*3*(AZ195+BA195)*(1-$BC195)),0)</f>
        <v>#VALUE!</v>
      </c>
      <c r="FH195" s="1170" t="e">
        <f aca="false">IF(EZ195="No",IF((OR(MONTH(C195)=5,MONTH(C195)=6,MONTH(C195)=7,MONTH(C195)=8,MONTH(C195)=9)),Summary!$O$15*12*(AX195+AY195+AZ195+BA195)*(1-$BC195),Summary!$O$15*13*(AX195+AY195+AZ195+BA195)*(1-$BC195)+IF(Summary!$O$16="Yes",(CALC!FA195+Summary!$O$15)*6*(AX195+AY195+AZ195+BA195)*(1-$BC195),0)),0)</f>
        <v>#VALUE!</v>
      </c>
      <c r="FI195" s="1126" t="n">
        <f aca="false">IF(MONTH(C195)=5,FI194*(IF(Summary!$E$70="no",(1+(Summary!$E$71*0.8)),1+HLOOKUP(YEAR(C195)-1,CCFMODEL!$I$127:$AF$128,2)*0.8)),+FI194)</f>
        <v>37.9684633655614</v>
      </c>
      <c r="FJ195" s="1127" t="n">
        <f aca="false">IF(MONTH(C195)=5,FJ194*(IF(Summary!$E$70="no",(1+(Summary!$E$71*0.8)),1+HLOOKUP(YEAR(CALC!C195)-1,CCFMODEL!$I$127:$AF$128,2)*0.8)),FJ194)</f>
        <v>33.1850349100576</v>
      </c>
      <c r="FK195" s="1128" t="e">
        <f aca="false">SUM(FB195:FG195)*FI195+FH195*FJ195</f>
        <v>#VALUE!</v>
      </c>
      <c r="FL195" s="1126" t="n">
        <f aca="false">IF(MONTH(C195)=5,FL194*(IF(Summary!$E$70="no",(1+(Summary!$E$71*0.8)),1+HLOOKUP(YEAR(CALC!C195)-1,CCFMODEL!$I$127:$AF$128,2)*0.8)),+FL194)</f>
        <v>79.8519351396453</v>
      </c>
      <c r="FM195" s="1127" t="n">
        <f aca="false">IF(MONTH(C195)=5,FM194*(IF(Summary!$E$70="no",(1+(Summary!$E$71*0.8)),1+HLOOKUP(YEAR(CALC!C195)-1,CCFMODEL!$I$127:$AF$128,2)*0.8)),+FM194)</f>
        <v>38.1108273076895</v>
      </c>
      <c r="FN195" s="1128" t="e">
        <f aca="false">IF((OR(MONTH(C195)=5,MONTH(C195)=6,MONTH(C195)=7,MONTH(C195)=8,MONTH(C195)=9)),SUM(FB195:FG195)/(1-BC195)*FL195,SUM(FB195:FG195)/(1-BC195)*FM195)</f>
        <v>#VALUE!</v>
      </c>
      <c r="FO195" s="1129" t="e">
        <f aca="false">FK195+FN195</f>
        <v>#VALUE!</v>
      </c>
      <c r="FP195" s="1169" t="e">
        <f aca="false">FB195</f>
        <v>#VALUE!</v>
      </c>
      <c r="FQ195" s="1129" t="e">
        <f aca="false">FC195</f>
        <v>#VALUE!</v>
      </c>
      <c r="FR195" s="1129" t="e">
        <f aca="false">FD195</f>
        <v>#VALUE!</v>
      </c>
      <c r="FS195" s="1129" t="e">
        <f aca="false">FE195</f>
        <v>#VALUE!</v>
      </c>
      <c r="FT195" s="1129" t="e">
        <f aca="false">FF195</f>
        <v>#VALUE!</v>
      </c>
      <c r="FU195" s="1129" t="e">
        <f aca="false">FG195</f>
        <v>#VALUE!</v>
      </c>
      <c r="FV195" s="1170" t="e">
        <f aca="false">FH195</f>
        <v>#VALUE!</v>
      </c>
      <c r="FW195" s="1115" t="n">
        <f aca="false">IF(ER195&gt;0,MIN(FB195-FP195,BL195),0)</f>
        <v>0</v>
      </c>
      <c r="FX195" s="1115" t="n">
        <f aca="false">IF(ES195&gt;0,MIN(FD195-FR195,BM195),0)</f>
        <v>0</v>
      </c>
      <c r="FY195" s="1115" t="n">
        <f aca="false">IF(ET195&gt;0,MIN(FF195-FT195,BN195),0)</f>
        <v>0</v>
      </c>
      <c r="FZ195" s="1143" t="n">
        <f aca="false">IF(EU195&gt;0,MIN(FH195-FV195,BO195),0)</f>
        <v>0</v>
      </c>
      <c r="GA195" s="1132" t="e">
        <f aca="false">(SUM(FP195:FV195)+SUM(GU195:HB195)/(1-Summary!$O$25))*CY195/1000</f>
        <v>#VALUE!</v>
      </c>
      <c r="GB195" s="1133" t="n">
        <f aca="false">IF($C195&lt;Summary!$M$81,+Summary!$O$81,VLOOKUP(C195,GasTable,19))</f>
        <v>3.96817722075009</v>
      </c>
      <c r="GC195" s="1134" t="n">
        <f aca="false">IF(H195&lt;=Summary!$N$84,MIN(GA195,Summary!$O$75*(H195-G195+1)),0)</f>
        <v>0</v>
      </c>
      <c r="GD195" s="1135" t="n">
        <f aca="false">IF(C195&lt;Summary!$N$84,IF(Summary!$O$75*(H195-G195+1)*0.8&gt;GC195,1,0),0)</f>
        <v>0</v>
      </c>
      <c r="GE195" s="1136" t="n">
        <v>0</v>
      </c>
      <c r="GF195" s="1134" t="e">
        <f aca="false">ABS(MIN(0,GC195-$GA195))</f>
        <v>#VALUE!</v>
      </c>
      <c r="GG195" s="1135" t="e">
        <f aca="false">GF195*(IF(Summary!$O$74=1,VLOOKUP($C195,GasTable,16)+Summary!$O$92+Summary!$O$93,VLOOKUP($C195,GasTable,19)+Summary!$O$92+Summary!$O$93))</f>
        <v>#VALUE!</v>
      </c>
      <c r="GH195" s="1137" t="n">
        <v>5952.26583112514</v>
      </c>
      <c r="GI195" s="1138" t="n">
        <v>0</v>
      </c>
      <c r="GJ195" s="1139" t="e">
        <f aca="false">+GB195*GC195+GE195+GG195+GH195-GI195</f>
        <v>#VALUE!</v>
      </c>
      <c r="GK195" s="1115" t="e">
        <f aca="false">SUM(FP195:FV195,GU195:GX195,GY195:HB195)</f>
        <v>#VALUE!</v>
      </c>
      <c r="GL195" s="1140" t="n">
        <v>0.5201376696</v>
      </c>
      <c r="GM195" s="1141" t="e">
        <f aca="false">IF(GK195&gt;GC195/(CY195/1000),GC195/(CY195/1000),+GK195)*GL195</f>
        <v>#VALUE!</v>
      </c>
      <c r="GN195" s="1115" t="n">
        <f aca="false">IF(SUM(GU195:HB195)=0,0,IF(Summary!$O$16="Yes",SUM(GX195:HB195),IF(Summary!$O$17="Yes",SUM(GY195:HB195),SUM(GU195:HB195))))</f>
        <v>11805.5205</v>
      </c>
      <c r="GO195" s="1142" t="n">
        <v>3.59924589309593</v>
      </c>
      <c r="GP195" s="1143" t="n">
        <f aca="false">GN195*GO195</f>
        <v>42490.9711754848</v>
      </c>
      <c r="GQ195" s="1115"/>
      <c r="GR195" s="1115"/>
      <c r="GS195" s="1115"/>
      <c r="GT195" s="1115"/>
      <c r="GU195" s="1150" t="n">
        <v>4876.19325</v>
      </c>
      <c r="GV195" s="1115" t="n">
        <v>1283.20875</v>
      </c>
      <c r="GW195" s="1115" t="n">
        <v>1539.8505</v>
      </c>
      <c r="GX195" s="1115"/>
      <c r="GY195" s="1151" t="n">
        <v>2600.6364</v>
      </c>
      <c r="GZ195" s="1115" t="n">
        <v>684.378</v>
      </c>
      <c r="HA195" s="1115" t="n">
        <v>821.2536</v>
      </c>
      <c r="HB195" s="1141"/>
      <c r="HC195" s="1115" t="n">
        <v>11805.5205</v>
      </c>
      <c r="HD195" s="1115"/>
      <c r="HE195" s="1115" t="n">
        <v>20274.69825</v>
      </c>
      <c r="HF195" s="1115" t="n">
        <v>632391.783992893</v>
      </c>
      <c r="HG195" s="1115"/>
      <c r="HH195" s="1142" t="n">
        <v>53.2521251784814</v>
      </c>
      <c r="HI195" s="1115" t="n">
        <v>1079670.76916494</v>
      </c>
      <c r="HJ195" s="1150" t="e">
        <f aca="false">MAX(FB195-FP195-FW195,0)</f>
        <v>#VALUE!</v>
      </c>
      <c r="HK195" s="1115" t="e">
        <f aca="false">MAX(FD195-FR195-FX195,0)</f>
        <v>#VALUE!</v>
      </c>
      <c r="HL195" s="1115" t="e">
        <f aca="false">MAX(FF195-FT195-FY195,0)</f>
        <v>#VALUE!</v>
      </c>
      <c r="HM195" s="1141" t="e">
        <f aca="false">MAX(FH195-FV195-FZ195,0)</f>
        <v>#VALUE!</v>
      </c>
      <c r="HN195" s="1115" t="e">
        <f aca="false">SUM(HJ195:HM195)</f>
        <v>#VALUE!</v>
      </c>
      <c r="HO195" s="1142" t="n">
        <f aca="false">IF(ISERROR(+HP195/HN195),0,+HP195/HN195)</f>
        <v>0</v>
      </c>
      <c r="HP195" s="1143" t="e">
        <f aca="false">(HJ195*CE195+HK195*CF195+HL195*CG195+HM195*CH195)</f>
        <v>#VALUE!</v>
      </c>
      <c r="HQ195" s="1146"/>
      <c r="HR195" s="1150"/>
      <c r="HS195" s="1200"/>
      <c r="HT195" s="1141"/>
      <c r="HU195" s="1150"/>
      <c r="HV195" s="1200"/>
      <c r="HW195" s="1141"/>
      <c r="HX195" s="1200"/>
      <c r="HY195" s="1200"/>
      <c r="HZ195" s="0"/>
      <c r="IA195" s="1142"/>
      <c r="IB195" s="1142"/>
      <c r="IC195" s="1142"/>
      <c r="ID195" s="1142"/>
      <c r="IE195" s="1142"/>
      <c r="IF195" s="1142"/>
      <c r="IG195" s="1142"/>
      <c r="IH195" s="1142"/>
      <c r="II195" s="1142"/>
      <c r="IJ195" s="1142"/>
      <c r="IK195" s="1142"/>
      <c r="IL195" s="1190"/>
      <c r="IM195" s="222"/>
      <c r="IN195" s="222"/>
      <c r="IR195" s="844"/>
    </row>
    <row r="196" customFormat="false" ht="13.5" hidden="false" customHeight="false" outlineLevel="0" collapsed="false">
      <c r="A196" s="0" t="str">
        <f aca="false">+D196&amp;"Q"&amp;ROUNDUP(E196/3,0)</f>
        <v>2014Q4</v>
      </c>
      <c r="B196" s="0" t="n">
        <f aca="false">YEAR(C196)</f>
        <v>2014</v>
      </c>
      <c r="C196" s="1153" t="n">
        <f aca="false">EOMONTH(C195,0)+1</f>
        <v>41974</v>
      </c>
      <c r="D196" s="841" t="n">
        <f aca="false">+YEAR(C196)</f>
        <v>2014</v>
      </c>
      <c r="E196" s="807" t="n">
        <f aca="false">MONTH(C196)</f>
        <v>12</v>
      </c>
      <c r="F196" s="1154" t="e">
        <f aca="false">IF(G196="","",Holiday(D196,E196))</f>
        <v>#VALUE!</v>
      </c>
      <c r="G196" s="1155" t="n">
        <v>41974</v>
      </c>
      <c r="H196" s="1156" t="n">
        <v>42004</v>
      </c>
      <c r="I196" s="1157" t="n">
        <f aca="false">I195</f>
        <v>0.0715</v>
      </c>
      <c r="J196" s="1158" t="n">
        <f aca="false">(1+I196/2)^(-2*(DATE(D197,E197,20)-$H$7)/365.25)</f>
        <v>0.34619733760977</v>
      </c>
      <c r="K196" s="1159"/>
      <c r="L196" s="1158"/>
      <c r="M196" s="1082" t="n">
        <v>0</v>
      </c>
      <c r="N196" s="1110" t="n">
        <f aca="false">M196</f>
        <v>0</v>
      </c>
      <c r="O196" s="1174" t="n">
        <f aca="false">N196</f>
        <v>0</v>
      </c>
      <c r="P196" s="1175" t="n">
        <f aca="false">M196</f>
        <v>0</v>
      </c>
      <c r="Q196" s="1110" t="n">
        <f aca="false">P196</f>
        <v>0</v>
      </c>
      <c r="R196" s="1174" t="n">
        <f aca="false">Q196</f>
        <v>0</v>
      </c>
      <c r="S196" s="1110" t="n">
        <f aca="false">R196</f>
        <v>0</v>
      </c>
      <c r="T196" s="1110" t="n">
        <f aca="false">S196</f>
        <v>0</v>
      </c>
      <c r="U196" s="1110" t="n">
        <f aca="false">T196</f>
        <v>0</v>
      </c>
      <c r="V196" s="1175" t="n">
        <f aca="false">U196</f>
        <v>0</v>
      </c>
      <c r="W196" s="1110" t="n">
        <f aca="false">V196</f>
        <v>0</v>
      </c>
      <c r="X196" s="1176" t="n">
        <f aca="false">W196</f>
        <v>0</v>
      </c>
      <c r="Y196" s="1086" t="n">
        <v>0</v>
      </c>
      <c r="Z196" s="1086" t="n">
        <v>0</v>
      </c>
      <c r="AA196" s="1087" t="n">
        <v>0</v>
      </c>
      <c r="AB196" s="1086" t="n">
        <v>0</v>
      </c>
      <c r="AC196" s="1086" t="n">
        <v>0</v>
      </c>
      <c r="AD196" s="1087" t="n">
        <v>0</v>
      </c>
      <c r="AE196" s="1086" t="n">
        <v>0</v>
      </c>
      <c r="AF196" s="1086" t="n">
        <v>0</v>
      </c>
      <c r="AG196" s="1087" t="n">
        <v>0</v>
      </c>
      <c r="AH196" s="1086" t="n">
        <v>0</v>
      </c>
      <c r="AI196" s="1086" t="n">
        <v>0</v>
      </c>
      <c r="AJ196" s="1087" t="n">
        <v>0</v>
      </c>
      <c r="AK196" s="1086" t="n">
        <v>0</v>
      </c>
      <c r="AL196" s="1086" t="n">
        <v>0</v>
      </c>
      <c r="AM196" s="1087" t="n">
        <v>0</v>
      </c>
      <c r="AN196" s="1086" t="n">
        <v>0</v>
      </c>
      <c r="AO196" s="1086" t="n">
        <v>0</v>
      </c>
      <c r="AP196" s="1087" t="n">
        <v>0</v>
      </c>
      <c r="AQ196" s="1086" t="n">
        <v>0</v>
      </c>
      <c r="AR196" s="1086" t="n">
        <v>0</v>
      </c>
      <c r="AS196" s="1087" t="n">
        <v>0</v>
      </c>
      <c r="AT196" s="1086" t="n">
        <v>0</v>
      </c>
      <c r="AU196" s="1086" t="n">
        <v>0</v>
      </c>
      <c r="AV196" s="1086" t="n">
        <v>0</v>
      </c>
      <c r="AW196" s="1172" t="n">
        <v>0</v>
      </c>
      <c r="AX196" s="807" t="e">
        <f aca="false">BB196-SUM(AY196:BA196)</f>
        <v>#VALUE!</v>
      </c>
      <c r="AY196" s="807" t="e">
        <f aca="false">IF(AND($E196=MONTH(Summary!$E$24),$D196=YEAR(Summary!$E$24)),Summary!$E$25,1)*IF(G196="",0,INT((H196-MOD(H196,7)-G196)/7)+1-IF(BA196,IF(WEEKDAY(F196)=7,1,0),0))</f>
        <v>#VALUE!</v>
      </c>
      <c r="AZ196" s="807" t="e">
        <f aca="false">IF(AND($E196=MONTH(Summary!$E$24),$D196=YEAR(Summary!$E$24)),Summary!$E$25,1)*IF(G196="",0,INT((H196-MOD(H196-1,7)-G196)/7)+1-IF(BA196,IF(WEEKDAY(F196)=1,1,0),0))</f>
        <v>#VALUE!</v>
      </c>
      <c r="BA196" s="807" t="n">
        <v>1</v>
      </c>
      <c r="BB196" s="807" t="n">
        <f aca="false">IF(AND($E196=MONTH(Summary!$E$24),$D196=YEAR(Summary!$E$24)),Summary!$E$25,1)*IF(G196="",0,H196-G196+1)</f>
        <v>31</v>
      </c>
      <c r="BC196" s="1089" t="n">
        <f aca="false">Summary!$E$19</f>
        <v>0.015</v>
      </c>
      <c r="BD196" s="1090" t="n">
        <v>15602.4</v>
      </c>
      <c r="BE196" s="1091" t="n">
        <v>2836.8</v>
      </c>
      <c r="BF196" s="1091" t="n">
        <v>3546</v>
      </c>
      <c r="BG196" s="842"/>
      <c r="BH196" s="1092" t="n">
        <v>1</v>
      </c>
      <c r="BI196" s="1092" t="n">
        <v>1</v>
      </c>
      <c r="BJ196" s="1092" t="n">
        <v>1</v>
      </c>
      <c r="BK196" s="1092" t="n">
        <v>1</v>
      </c>
      <c r="BL196" s="1093" t="n">
        <v>3120.48</v>
      </c>
      <c r="BM196" s="1091" t="n">
        <v>567.36</v>
      </c>
      <c r="BN196" s="1091" t="n">
        <v>709.2</v>
      </c>
      <c r="BO196" s="842"/>
      <c r="BP196" s="1092" t="n">
        <v>1</v>
      </c>
      <c r="BQ196" s="1094" t="n">
        <v>1</v>
      </c>
      <c r="BR196" s="1094" t="n">
        <v>1</v>
      </c>
      <c r="BS196" s="1095" t="n">
        <v>1</v>
      </c>
      <c r="BT196" s="1093" t="n">
        <f aca="false">SUM(BD196:BF196)</f>
        <v>21985.2</v>
      </c>
      <c r="BU196" s="1098" t="n">
        <f aca="false">SUM(BD196:BG196)</f>
        <v>21985.2</v>
      </c>
      <c r="BV196" s="1090" t="n">
        <f aca="false">SUM(BL196:BN196)</f>
        <v>4397.04</v>
      </c>
      <c r="BW196" s="1098" t="n">
        <f aca="false">SUM(BL196:BO196)</f>
        <v>4397.04</v>
      </c>
      <c r="BX196" s="852" t="n">
        <v>14.9623545516769</v>
      </c>
      <c r="BY196" s="1099" t="n">
        <v>0</v>
      </c>
      <c r="BZ196" s="852" t="n">
        <v>0</v>
      </c>
      <c r="CA196" s="852" t="n">
        <v>0</v>
      </c>
      <c r="CB196" s="852" t="n">
        <v>0</v>
      </c>
      <c r="CC196" s="852" t="n">
        <v>0</v>
      </c>
      <c r="CD196" s="852" t="n">
        <v>0</v>
      </c>
      <c r="CE196" s="1100" t="n">
        <v>0</v>
      </c>
      <c r="CF196" s="852" t="n">
        <v>0</v>
      </c>
      <c r="CG196" s="852" t="n">
        <v>0</v>
      </c>
      <c r="CH196" s="852" t="n">
        <v>0</v>
      </c>
      <c r="CI196" s="852" t="n">
        <v>0</v>
      </c>
      <c r="CJ196" s="1101" t="n">
        <v>0</v>
      </c>
      <c r="CK196" s="852" t="n">
        <v>0</v>
      </c>
      <c r="CL196" s="852" t="n">
        <v>0</v>
      </c>
      <c r="CM196" s="852" t="n">
        <v>0</v>
      </c>
      <c r="CN196" s="852" t="n">
        <v>0</v>
      </c>
      <c r="CO196" s="852" t="n">
        <v>0</v>
      </c>
      <c r="CP196" s="852" t="n">
        <v>0</v>
      </c>
      <c r="CQ196" s="1102" t="n">
        <v>0</v>
      </c>
      <c r="CR196" s="1103" t="n">
        <v>0</v>
      </c>
      <c r="CS196" s="1103" t="n">
        <v>0</v>
      </c>
      <c r="CT196" s="1103" t="n">
        <v>0</v>
      </c>
      <c r="CU196" s="1103" t="n">
        <v>0</v>
      </c>
      <c r="CV196" s="1103" t="n">
        <v>0</v>
      </c>
      <c r="CW196" s="1103" t="n">
        <v>0</v>
      </c>
      <c r="CX196" s="1104" t="n">
        <v>0</v>
      </c>
      <c r="CY196" s="1105" t="n">
        <v>7764.55168</v>
      </c>
      <c r="CZ196" s="1099" t="n">
        <v>0</v>
      </c>
      <c r="DA196" s="852" t="n">
        <v>0</v>
      </c>
      <c r="DB196" s="852" t="n">
        <v>0</v>
      </c>
      <c r="DC196" s="852" t="n">
        <v>0</v>
      </c>
      <c r="DD196" s="852" t="n">
        <v>0</v>
      </c>
      <c r="DE196" s="1113" t="n">
        <v>0</v>
      </c>
      <c r="DF196" s="1109" t="n">
        <v>0</v>
      </c>
      <c r="DG196" s="1110" t="n">
        <v>0</v>
      </c>
      <c r="DH196" s="1111" t="n">
        <v>0</v>
      </c>
      <c r="DI196" s="1112" t="n">
        <v>0</v>
      </c>
      <c r="DJ196" s="1112" t="n">
        <v>0</v>
      </c>
      <c r="DK196" s="1112" t="n">
        <v>0</v>
      </c>
      <c r="DL196" s="1113" t="n">
        <v>0</v>
      </c>
      <c r="DM196" s="1114" t="n">
        <v>0</v>
      </c>
      <c r="DN196" s="1114" t="n">
        <v>0</v>
      </c>
      <c r="DO196" s="1114" t="n">
        <v>0</v>
      </c>
      <c r="DP196" s="1114" t="n">
        <v>0</v>
      </c>
      <c r="DQ196" s="1114" t="n">
        <v>0</v>
      </c>
      <c r="DR196" s="1109" t="n">
        <v>0</v>
      </c>
      <c r="DS196" s="852" t="n">
        <v>0</v>
      </c>
      <c r="DT196" s="852" t="n">
        <v>0</v>
      </c>
      <c r="DU196" s="852" t="n">
        <v>0</v>
      </c>
      <c r="DV196" s="852" t="n">
        <v>0</v>
      </c>
      <c r="DW196" s="852" t="n">
        <v>0</v>
      </c>
      <c r="DX196" s="852" t="n">
        <v>0</v>
      </c>
      <c r="DY196" s="852" t="n">
        <v>0</v>
      </c>
      <c r="DZ196" s="852" t="n">
        <v>0</v>
      </c>
      <c r="EA196" s="852" t="n">
        <v>0</v>
      </c>
      <c r="EB196" s="1113" t="n">
        <v>0</v>
      </c>
      <c r="EC196" s="1115" t="n">
        <f aca="false">DS196*BD196</f>
        <v>0</v>
      </c>
      <c r="ED196" s="1115" t="n">
        <f aca="false">DT196*BE196</f>
        <v>0</v>
      </c>
      <c r="EE196" s="1115" t="n">
        <f aca="false">DU196*BF196</f>
        <v>0</v>
      </c>
      <c r="EF196" s="1115" t="n">
        <f aca="false">DV196*BG196</f>
        <v>0</v>
      </c>
      <c r="EG196" s="1115" t="n">
        <f aca="false">DS196*BD196+DT196*BE196+DU196*BF196+DV196*BG196</f>
        <v>0</v>
      </c>
      <c r="EH196" s="1116" t="n">
        <v>0</v>
      </c>
      <c r="EI196" s="1117" t="n">
        <v>0</v>
      </c>
      <c r="EJ196" s="1117" t="n">
        <v>0</v>
      </c>
      <c r="EK196" s="1117" t="n">
        <v>0</v>
      </c>
      <c r="EL196" s="1118" t="n">
        <f aca="false">IF(C196&gt;=Summary!$E$26,MAX(0,SUM(EH196:EK196)),0)</f>
        <v>0</v>
      </c>
      <c r="EM196" s="1115" t="n">
        <f aca="false">IF(C196&gt;=Summary!$E$26,DX196*BL196,0)</f>
        <v>0</v>
      </c>
      <c r="EN196" s="1115" t="n">
        <f aca="false">IF(C196&gt;=Summary!$E$26,DY196*BM196,0)</f>
        <v>0</v>
      </c>
      <c r="EO196" s="1115" t="n">
        <f aca="false">IF(C196&gt;=Summary!$E$26,DZ196*BN196,0)</f>
        <v>0</v>
      </c>
      <c r="EP196" s="1115" t="n">
        <f aca="false">IF(C196&gt;=Summary!$E$26,EA196*BO196,0)</f>
        <v>0</v>
      </c>
      <c r="EQ196" s="1115" t="n">
        <f aca="false">IF(C196&gt;=Summary!$E$26,DX196*BL196+DY196*BM196+DZ196*BN196+EA196*BO196,0)</f>
        <v>0</v>
      </c>
      <c r="ER196" s="1119" t="n">
        <v>0</v>
      </c>
      <c r="ES196" s="1120" t="n">
        <v>0</v>
      </c>
      <c r="ET196" s="1120" t="n">
        <v>0</v>
      </c>
      <c r="EU196" s="1120" t="n">
        <v>0</v>
      </c>
      <c r="EV196" s="1143" t="n">
        <f aca="false">IF(C196&gt;=Summary!$E$26,MAX(0,SUM(ER196:EU196)),0)</f>
        <v>0</v>
      </c>
      <c r="EW196" s="1115"/>
      <c r="EX196" s="1165" t="n">
        <f aca="false">(EQ196-EV196)+IF(EZ196="Yes",(EG196-EL196),0)</f>
        <v>0</v>
      </c>
      <c r="EY196" s="1166" t="str">
        <f aca="false">IF(EX196,EX196/EQ196,"")</f>
        <v/>
      </c>
      <c r="EZ196" s="1122" t="s">
        <v>37</v>
      </c>
      <c r="FA196" s="1096" t="n">
        <f aca="false">FA195</f>
        <v>45</v>
      </c>
      <c r="FB196" s="1167" t="e">
        <f aca="false">IF(EZ196="No",IF((OR(MONTH(C196)=5,MONTH(C196)=6,MONTH(C196)=7,MONTH(C196)=8,MONTH(C196)=9)),$FA196*12*AX196*(1-$BC196),$FA196*10*AX196*(1-$BC196)),0)</f>
        <v>#VALUE!</v>
      </c>
      <c r="FC196" s="1129" t="e">
        <f aca="false">IF(EZ196="No",IF((OR(MONTH(C196)=5,MONTH(C196)=6,MONTH(C196)=7,MONTH(C196)=8,MONTH(C196)=9)),0,$FA196*3*AX196*(1-$BC196)),0)</f>
        <v>#VALUE!</v>
      </c>
      <c r="FD196" s="1129" t="e">
        <f aca="false">IF(EZ196="No",IF((OR(MONTH(C196)=5,MONTH(C196)=6,MONTH(C196)=7,MONTH(C196)=8,MONTH(C196)=9)),$FA196*12*AY196*(1-$BC196),$FA196*10*AY196*(1-$BC196)),0)</f>
        <v>#VALUE!</v>
      </c>
      <c r="FE196" s="1129" t="e">
        <f aca="false">IF(EZ196="No",IF((OR(MONTH(C196)=5,MONTH(C196)=6,MONTH(C196)=7,MONTH(C196)=8,MONTH(C196)=9)),0,$FA196*3*AY196*(1-$BC196)),0)</f>
        <v>#VALUE!</v>
      </c>
      <c r="FF196" s="1129" t="e">
        <f aca="false">IF(EZ196="No",IF((OR(MONTH(C196)=5,MONTH(C196)=6,MONTH(C196)=7,MONTH(C196)=8,MONTH(C196)=9)),$FA196*12*(AZ196+BA196)*(1-$BC196),$FA196*10*(AZ196+BA196)*(1-$BC196)),0)</f>
        <v>#VALUE!</v>
      </c>
      <c r="FG196" s="1129" t="e">
        <f aca="false">IF(EZ196="No",IF((OR(MONTH(C196)=5,MONTH(C196)=6,MONTH(C196)=7,MONTH(C196)=8,MONTH(C196)=9)),0,$FA196*3*(AZ196+BA196)*(1-$BC196)),0)</f>
        <v>#VALUE!</v>
      </c>
      <c r="FH196" s="1170" t="e">
        <f aca="false">IF(EZ196="No",IF((OR(MONTH(C196)=5,MONTH(C196)=6,MONTH(C196)=7,MONTH(C196)=8,MONTH(C196)=9)),Summary!$O$15*12*(AX196+AY196+AZ196+BA196)*(1-$BC196),Summary!$O$15*13*(AX196+AY196+AZ196+BA196)*(1-$BC196)+IF(Summary!$O$16="Yes",(CALC!FA196+Summary!$O$15)*6*(AX196+AY196+AZ196+BA196)*(1-$BC196),0)),0)</f>
        <v>#VALUE!</v>
      </c>
      <c r="FI196" s="1126" t="n">
        <f aca="false">IF(MONTH(C196)=5,FI195*(IF(Summary!$E$70="no",(1+(Summary!$E$71*0.8)),1+HLOOKUP(YEAR(C196)-1,CCFMODEL!$I$127:$AF$128,2)*0.8)),+FI195)</f>
        <v>37.9684633655614</v>
      </c>
      <c r="FJ196" s="1127" t="n">
        <f aca="false">IF(MONTH(C196)=5,FJ195*(IF(Summary!$E$70="no",(1+(Summary!$E$71*0.8)),1+HLOOKUP(YEAR(CALC!C196)-1,CCFMODEL!$I$127:$AF$128,2)*0.8)),FJ195)</f>
        <v>33.1850349100576</v>
      </c>
      <c r="FK196" s="1128" t="e">
        <f aca="false">SUM(FB196:FG196)*FI196+FH196*FJ196</f>
        <v>#VALUE!</v>
      </c>
      <c r="FL196" s="1126" t="n">
        <f aca="false">IF(MONTH(C196)=5,FL195*(IF(Summary!$E$70="no",(1+(Summary!$E$71*0.8)),1+HLOOKUP(YEAR(CALC!C196)-1,CCFMODEL!$I$127:$AF$128,2)*0.8)),+FL195)</f>
        <v>79.8519351396453</v>
      </c>
      <c r="FM196" s="1127" t="n">
        <f aca="false">IF(MONTH(C196)=5,FM195*(IF(Summary!$E$70="no",(1+(Summary!$E$71*0.8)),1+HLOOKUP(YEAR(CALC!C196)-1,CCFMODEL!$I$127:$AF$128,2)*0.8)),+FM195)</f>
        <v>38.1108273076895</v>
      </c>
      <c r="FN196" s="1128" t="e">
        <f aca="false">IF((OR(MONTH(C196)=5,MONTH(C196)=6,MONTH(C196)=7,MONTH(C196)=8,MONTH(C196)=9)),SUM(FB196:FG196)/(1-BC196)*FL196,SUM(FB196:FG196)/(1-BC196)*FM196)</f>
        <v>#VALUE!</v>
      </c>
      <c r="FO196" s="1129" t="e">
        <f aca="false">FK196+FN196</f>
        <v>#VALUE!</v>
      </c>
      <c r="FP196" s="1169" t="e">
        <f aca="false">FB196</f>
        <v>#VALUE!</v>
      </c>
      <c r="FQ196" s="1129" t="e">
        <f aca="false">FC196</f>
        <v>#VALUE!</v>
      </c>
      <c r="FR196" s="1129" t="e">
        <f aca="false">FD196</f>
        <v>#VALUE!</v>
      </c>
      <c r="FS196" s="1129" t="e">
        <f aca="false">FE196</f>
        <v>#VALUE!</v>
      </c>
      <c r="FT196" s="1129" t="e">
        <f aca="false">FF196</f>
        <v>#VALUE!</v>
      </c>
      <c r="FU196" s="1129" t="e">
        <f aca="false">FG196</f>
        <v>#VALUE!</v>
      </c>
      <c r="FV196" s="1170" t="e">
        <f aca="false">FH196</f>
        <v>#VALUE!</v>
      </c>
      <c r="FW196" s="1115" t="n">
        <f aca="false">IF(ER196&gt;0,MIN(FB196-FP196,BL196),0)</f>
        <v>0</v>
      </c>
      <c r="FX196" s="1115" t="n">
        <f aca="false">IF(ES196&gt;0,MIN(FD196-FR196,BM196),0)</f>
        <v>0</v>
      </c>
      <c r="FY196" s="1115" t="n">
        <f aca="false">IF(ET196&gt;0,MIN(FF196-FT196,BN196),0)</f>
        <v>0</v>
      </c>
      <c r="FZ196" s="1143" t="n">
        <f aca="false">IF(EU196&gt;0,MIN(FH196-FV196,BO196),0)</f>
        <v>0</v>
      </c>
      <c r="GA196" s="1132" t="e">
        <f aca="false">(SUM(FP196:FV196)+SUM(GU196:HB196)/(1-Summary!$O$25))*CY196/1000</f>
        <v>#VALUE!</v>
      </c>
      <c r="GB196" s="1133" t="n">
        <f aca="false">IF($C196&lt;Summary!$M$81,+Summary!$O$81,VLOOKUP(C196,GasTable,19))</f>
        <v>4.13696404075553</v>
      </c>
      <c r="GC196" s="1134" t="n">
        <f aca="false">IF(H196&lt;=Summary!$N$84,MIN(GA196,Summary!$O$75*(H196-G196+1)),0)</f>
        <v>0</v>
      </c>
      <c r="GD196" s="1135" t="n">
        <f aca="false">IF(C196&lt;Summary!$N$84,IF(Summary!$O$75*(H196-G196+1)*0.8&gt;GC196,1,0),0)</f>
        <v>0</v>
      </c>
      <c r="GE196" s="1136" t="n">
        <v>0</v>
      </c>
      <c r="GF196" s="1134" t="e">
        <f aca="false">ABS(MIN(0,GC196-$GA196))</f>
        <v>#VALUE!</v>
      </c>
      <c r="GG196" s="1135" t="e">
        <f aca="false">GF196*(IF(Summary!$O$74=1,VLOOKUP($C196,GasTable,16)+Summary!$O$92+Summary!$O$93,VLOOKUP($C196,GasTable,19)+Summary!$O$92+Summary!$O$93))</f>
        <v>#VALUE!</v>
      </c>
      <c r="GH196" s="1137" t="n">
        <v>6412.29426317107</v>
      </c>
      <c r="GI196" s="1138" t="n">
        <v>0</v>
      </c>
      <c r="GJ196" s="1139" t="e">
        <f aca="false">+GB196*GC196+GE196+GG196+GH196-GI196</f>
        <v>#VALUE!</v>
      </c>
      <c r="GK196" s="1115" t="e">
        <f aca="false">SUM(FP196:FV196,GU196:GX196,GY196:HB196)</f>
        <v>#VALUE!</v>
      </c>
      <c r="GL196" s="1140" t="n">
        <v>0.52022496256</v>
      </c>
      <c r="GM196" s="1141" t="e">
        <f aca="false">IF(GK196&gt;GC196/(CY196/1000),GC196/(CY196/1000),+GK196)*GL196</f>
        <v>#VALUE!</v>
      </c>
      <c r="GN196" s="1115" t="n">
        <f aca="false">IF(SUM(GU196:HB196)=0,0,IF(Summary!$O$16="Yes",SUM(GX196:HB196),IF(Summary!$O$17="Yes",SUM(GY196:HB196),SUM(GU196:HB196))))</f>
        <v>12199.03785</v>
      </c>
      <c r="GO196" s="1142" t="n">
        <v>3.59924589309593</v>
      </c>
      <c r="GP196" s="1143" t="n">
        <f aca="false">GN196*GO196</f>
        <v>43907.3368813343</v>
      </c>
      <c r="GQ196" s="1115"/>
      <c r="GR196" s="1115"/>
      <c r="GS196" s="1115"/>
      <c r="GT196" s="1115"/>
      <c r="GU196" s="1150" t="n">
        <v>5646.1185</v>
      </c>
      <c r="GV196" s="1115" t="n">
        <v>1026.567</v>
      </c>
      <c r="GW196" s="1115" t="n">
        <v>1283.20875</v>
      </c>
      <c r="GX196" s="1115"/>
      <c r="GY196" s="1151" t="n">
        <v>3011.2632</v>
      </c>
      <c r="GZ196" s="1115" t="n">
        <v>547.5024</v>
      </c>
      <c r="HA196" s="1115" t="n">
        <v>684.378</v>
      </c>
      <c r="HB196" s="1141"/>
      <c r="HC196" s="1115" t="n">
        <v>12199.03785</v>
      </c>
      <c r="HD196" s="1115"/>
      <c r="HE196" s="1115" t="n">
        <v>20950.521525</v>
      </c>
      <c r="HF196" s="1115" t="n">
        <v>630048.524379981</v>
      </c>
      <c r="HG196" s="1115"/>
      <c r="HH196" s="1142" t="n">
        <v>51.3141266823745</v>
      </c>
      <c r="HI196" s="1115" t="n">
        <v>1075057.71559566</v>
      </c>
      <c r="HJ196" s="1150" t="e">
        <f aca="false">MAX(FB196-FP196-FW196,0)</f>
        <v>#VALUE!</v>
      </c>
      <c r="HK196" s="1115" t="e">
        <f aca="false">MAX(FD196-FR196-FX196,0)</f>
        <v>#VALUE!</v>
      </c>
      <c r="HL196" s="1115" t="e">
        <f aca="false">MAX(FF196-FT196-FY196,0)</f>
        <v>#VALUE!</v>
      </c>
      <c r="HM196" s="1141" t="e">
        <f aca="false">MAX(FH196-FV196-FZ196,0)</f>
        <v>#VALUE!</v>
      </c>
      <c r="HN196" s="1115" t="e">
        <f aca="false">SUM(HJ196:HM196)</f>
        <v>#VALUE!</v>
      </c>
      <c r="HO196" s="1142" t="n">
        <f aca="false">IF(ISERROR(+HP196/HN196),0,+HP196/HN196)</f>
        <v>0</v>
      </c>
      <c r="HP196" s="1143" t="e">
        <f aca="false">(HJ196*CE196+HK196*CF196+HL196*CG196+HM196*CH196)</f>
        <v>#VALUE!</v>
      </c>
      <c r="HQ196" s="1146"/>
      <c r="HR196" s="1150"/>
      <c r="HS196" s="1200"/>
      <c r="HT196" s="1141"/>
      <c r="HU196" s="1150"/>
      <c r="HV196" s="1200"/>
      <c r="HW196" s="1141"/>
      <c r="HX196" s="1200"/>
      <c r="HY196" s="1200"/>
      <c r="HZ196" s="0"/>
      <c r="IA196" s="1142"/>
      <c r="IB196" s="1142"/>
      <c r="IC196" s="1142"/>
      <c r="ID196" s="1142"/>
      <c r="IE196" s="1142"/>
      <c r="IF196" s="1142"/>
      <c r="IG196" s="1142"/>
      <c r="IH196" s="1142"/>
      <c r="II196" s="1142"/>
      <c r="IJ196" s="1142"/>
      <c r="IK196" s="1142"/>
      <c r="IL196" s="1190"/>
      <c r="IM196" s="222"/>
      <c r="IN196" s="222"/>
      <c r="IR196" s="844"/>
    </row>
    <row r="197" customFormat="false" ht="13.5" hidden="false" customHeight="false" outlineLevel="0" collapsed="false">
      <c r="A197" s="0" t="str">
        <f aca="false">+D197&amp;"Q"&amp;ROUNDUP(E197/3,0)</f>
        <v>2015Q1</v>
      </c>
      <c r="B197" s="0" t="n">
        <f aca="false">YEAR(C197)</f>
        <v>2015</v>
      </c>
      <c r="C197" s="1153" t="n">
        <f aca="false">EOMONTH(C196,0)+1</f>
        <v>42005</v>
      </c>
      <c r="D197" s="841" t="n">
        <f aca="false">+YEAR(C197)</f>
        <v>2015</v>
      </c>
      <c r="E197" s="807" t="n">
        <f aca="false">MONTH(C197)</f>
        <v>1</v>
      </c>
      <c r="F197" s="1154" t="e">
        <f aca="false">IF(G197="","",Holiday(D197,E197))</f>
        <v>#VALUE!</v>
      </c>
      <c r="G197" s="1155" t="n">
        <v>42005</v>
      </c>
      <c r="H197" s="1156" t="n">
        <v>42035</v>
      </c>
      <c r="I197" s="1157" t="n">
        <f aca="false">I196</f>
        <v>0.0715</v>
      </c>
      <c r="J197" s="1158" t="n">
        <f aca="false">(1+I197/2)^(-2*(DATE(D198,E198,20)-$H$7)/365.25)</f>
        <v>0.344139280878567</v>
      </c>
      <c r="K197" s="1159"/>
      <c r="L197" s="1158"/>
      <c r="M197" s="1082" t="n">
        <v>0</v>
      </c>
      <c r="N197" s="1110" t="n">
        <f aca="false">M197</f>
        <v>0</v>
      </c>
      <c r="O197" s="1174" t="n">
        <f aca="false">N197</f>
        <v>0</v>
      </c>
      <c r="P197" s="1175" t="n">
        <f aca="false">M197</f>
        <v>0</v>
      </c>
      <c r="Q197" s="1110" t="n">
        <f aca="false">P197</f>
        <v>0</v>
      </c>
      <c r="R197" s="1174" t="n">
        <f aca="false">Q197</f>
        <v>0</v>
      </c>
      <c r="S197" s="1110" t="n">
        <f aca="false">R197</f>
        <v>0</v>
      </c>
      <c r="T197" s="1110" t="n">
        <f aca="false">S197</f>
        <v>0</v>
      </c>
      <c r="U197" s="1110" t="n">
        <f aca="false">T197</f>
        <v>0</v>
      </c>
      <c r="V197" s="1175" t="n">
        <f aca="false">U197</f>
        <v>0</v>
      </c>
      <c r="W197" s="1110" t="n">
        <f aca="false">V197</f>
        <v>0</v>
      </c>
      <c r="X197" s="1176" t="n">
        <f aca="false">W197</f>
        <v>0</v>
      </c>
      <c r="Y197" s="1086" t="n">
        <v>0</v>
      </c>
      <c r="Z197" s="1086" t="n">
        <v>0</v>
      </c>
      <c r="AA197" s="1087" t="n">
        <v>0</v>
      </c>
      <c r="AB197" s="1086" t="n">
        <v>0</v>
      </c>
      <c r="AC197" s="1086" t="n">
        <v>0</v>
      </c>
      <c r="AD197" s="1087" t="n">
        <v>0</v>
      </c>
      <c r="AE197" s="1086" t="n">
        <v>0</v>
      </c>
      <c r="AF197" s="1086" t="n">
        <v>0</v>
      </c>
      <c r="AG197" s="1087" t="n">
        <v>0</v>
      </c>
      <c r="AH197" s="1086" t="n">
        <v>0</v>
      </c>
      <c r="AI197" s="1086" t="n">
        <v>0</v>
      </c>
      <c r="AJ197" s="1087" t="n">
        <v>0</v>
      </c>
      <c r="AK197" s="1086" t="n">
        <v>0</v>
      </c>
      <c r="AL197" s="1086" t="n">
        <v>0</v>
      </c>
      <c r="AM197" s="1087" t="n">
        <v>0</v>
      </c>
      <c r="AN197" s="1086" t="n">
        <v>0</v>
      </c>
      <c r="AO197" s="1086" t="n">
        <v>0</v>
      </c>
      <c r="AP197" s="1087" t="n">
        <v>0</v>
      </c>
      <c r="AQ197" s="1086" t="n">
        <v>0</v>
      </c>
      <c r="AR197" s="1086" t="n">
        <v>0</v>
      </c>
      <c r="AS197" s="1087" t="n">
        <v>0</v>
      </c>
      <c r="AT197" s="1086" t="n">
        <v>0</v>
      </c>
      <c r="AU197" s="1086" t="n">
        <v>0</v>
      </c>
      <c r="AV197" s="1086" t="n">
        <v>0</v>
      </c>
      <c r="AW197" s="1172" t="n">
        <v>0</v>
      </c>
      <c r="AX197" s="807" t="e">
        <f aca="false">BB197-SUM(AY197:BA197)</f>
        <v>#VALUE!</v>
      </c>
      <c r="AY197" s="807" t="e">
        <f aca="false">IF(AND($E197=MONTH(Summary!$E$24),$D197=YEAR(Summary!$E$24)),Summary!$E$25,1)*IF(G197="",0,INT((H197-MOD(H197,7)-G197)/7)+1-IF(BA197,IF(WEEKDAY(F197)=7,1,0),0))</f>
        <v>#VALUE!</v>
      </c>
      <c r="AZ197" s="807" t="e">
        <f aca="false">IF(AND($E197=MONTH(Summary!$E$24),$D197=YEAR(Summary!$E$24)),Summary!$E$25,1)*IF(G197="",0,INT((H197-MOD(H197-1,7)-G197)/7)+1-IF(BA197,IF(WEEKDAY(F197)=1,1,0),0))</f>
        <v>#VALUE!</v>
      </c>
      <c r="BA197" s="807" t="n">
        <v>1</v>
      </c>
      <c r="BB197" s="807" t="n">
        <f aca="false">IF(AND($E197=MONTH(Summary!$E$24),$D197=YEAR(Summary!$E$24)),Summary!$E$25,1)*IF(G197="",0,H197-G197+1)</f>
        <v>31</v>
      </c>
      <c r="BC197" s="1089" t="n">
        <f aca="false">Summary!$E$19</f>
        <v>0.015</v>
      </c>
      <c r="BD197" s="1090" t="n">
        <v>14893.2</v>
      </c>
      <c r="BE197" s="1091" t="n">
        <v>3546</v>
      </c>
      <c r="BF197" s="1091" t="n">
        <v>3546</v>
      </c>
      <c r="BG197" s="842"/>
      <c r="BH197" s="1092" t="n">
        <v>1</v>
      </c>
      <c r="BI197" s="1092" t="n">
        <v>1</v>
      </c>
      <c r="BJ197" s="1092" t="n">
        <v>1</v>
      </c>
      <c r="BK197" s="1092" t="n">
        <v>1</v>
      </c>
      <c r="BL197" s="1093" t="n">
        <v>2978.64</v>
      </c>
      <c r="BM197" s="1091" t="n">
        <v>709.2</v>
      </c>
      <c r="BN197" s="1091" t="n">
        <v>709.2</v>
      </c>
      <c r="BO197" s="842"/>
      <c r="BP197" s="1092" t="n">
        <v>1</v>
      </c>
      <c r="BQ197" s="1094" t="n">
        <v>1</v>
      </c>
      <c r="BR197" s="1094" t="n">
        <v>1</v>
      </c>
      <c r="BS197" s="1095" t="n">
        <v>1</v>
      </c>
      <c r="BT197" s="1093" t="n">
        <f aca="false">SUM(BD197:BF197)</f>
        <v>21985.2</v>
      </c>
      <c r="BU197" s="1098" t="n">
        <f aca="false">SUM(BD197:BG197)</f>
        <v>21985.2</v>
      </c>
      <c r="BV197" s="1090" t="n">
        <f aca="false">SUM(BL197:BN197)</f>
        <v>4397.04</v>
      </c>
      <c r="BW197" s="1098" t="n">
        <f aca="false">SUM(BL197:BO197)</f>
        <v>4397.04</v>
      </c>
      <c r="BX197" s="852" t="n">
        <v>15.047227926078</v>
      </c>
      <c r="BY197" s="1099" t="n">
        <v>0</v>
      </c>
      <c r="BZ197" s="852" t="n">
        <v>0</v>
      </c>
      <c r="CA197" s="852" t="n">
        <v>0</v>
      </c>
      <c r="CB197" s="852" t="n">
        <v>0</v>
      </c>
      <c r="CC197" s="852" t="n">
        <v>0</v>
      </c>
      <c r="CD197" s="852" t="n">
        <v>0</v>
      </c>
      <c r="CE197" s="1100" t="n">
        <v>0</v>
      </c>
      <c r="CF197" s="852" t="n">
        <v>0</v>
      </c>
      <c r="CG197" s="852" t="n">
        <v>0</v>
      </c>
      <c r="CH197" s="852" t="n">
        <v>0</v>
      </c>
      <c r="CI197" s="852" t="n">
        <v>0</v>
      </c>
      <c r="CJ197" s="1101" t="n">
        <v>0</v>
      </c>
      <c r="CK197" s="852" t="n">
        <v>0</v>
      </c>
      <c r="CL197" s="852" t="n">
        <v>0</v>
      </c>
      <c r="CM197" s="852" t="n">
        <v>0</v>
      </c>
      <c r="CN197" s="852" t="n">
        <v>0</v>
      </c>
      <c r="CO197" s="852" t="n">
        <v>0</v>
      </c>
      <c r="CP197" s="852" t="n">
        <v>0</v>
      </c>
      <c r="CQ197" s="1102" t="n">
        <v>0</v>
      </c>
      <c r="CR197" s="1103" t="n">
        <v>0</v>
      </c>
      <c r="CS197" s="1103" t="n">
        <v>0</v>
      </c>
      <c r="CT197" s="1103" t="n">
        <v>0</v>
      </c>
      <c r="CU197" s="1103" t="n">
        <v>0</v>
      </c>
      <c r="CV197" s="1103" t="n">
        <v>0</v>
      </c>
      <c r="CW197" s="1103" t="n">
        <v>0</v>
      </c>
      <c r="CX197" s="1104" t="n">
        <v>0</v>
      </c>
      <c r="CY197" s="1105" t="n">
        <v>7765.85456</v>
      </c>
      <c r="CZ197" s="1099" t="n">
        <v>0</v>
      </c>
      <c r="DA197" s="852" t="n">
        <v>0</v>
      </c>
      <c r="DB197" s="852" t="n">
        <v>0</v>
      </c>
      <c r="DC197" s="852" t="n">
        <v>0</v>
      </c>
      <c r="DD197" s="852" t="n">
        <v>0</v>
      </c>
      <c r="DE197" s="1113" t="n">
        <v>0</v>
      </c>
      <c r="DF197" s="1109" t="n">
        <v>0</v>
      </c>
      <c r="DG197" s="1110" t="n">
        <v>0</v>
      </c>
      <c r="DH197" s="1111" t="n">
        <v>0</v>
      </c>
      <c r="DI197" s="1112" t="n">
        <v>0</v>
      </c>
      <c r="DJ197" s="1112" t="n">
        <v>0</v>
      </c>
      <c r="DK197" s="1112" t="n">
        <v>0</v>
      </c>
      <c r="DL197" s="1113" t="n">
        <v>0</v>
      </c>
      <c r="DM197" s="1114" t="n">
        <v>0</v>
      </c>
      <c r="DN197" s="1114" t="n">
        <v>0</v>
      </c>
      <c r="DO197" s="1114" t="n">
        <v>0</v>
      </c>
      <c r="DP197" s="1114" t="n">
        <v>0</v>
      </c>
      <c r="DQ197" s="1114" t="n">
        <v>0</v>
      </c>
      <c r="DR197" s="1109" t="n">
        <v>0</v>
      </c>
      <c r="DS197" s="852" t="n">
        <v>0</v>
      </c>
      <c r="DT197" s="852" t="n">
        <v>0</v>
      </c>
      <c r="DU197" s="852" t="n">
        <v>0</v>
      </c>
      <c r="DV197" s="852" t="n">
        <v>0</v>
      </c>
      <c r="DW197" s="852" t="n">
        <v>0</v>
      </c>
      <c r="DX197" s="852" t="n">
        <v>0</v>
      </c>
      <c r="DY197" s="852" t="n">
        <v>0</v>
      </c>
      <c r="DZ197" s="852" t="n">
        <v>0</v>
      </c>
      <c r="EA197" s="852" t="n">
        <v>0</v>
      </c>
      <c r="EB197" s="1113" t="n">
        <v>0</v>
      </c>
      <c r="EC197" s="1115" t="n">
        <f aca="false">DS197*BD197</f>
        <v>0</v>
      </c>
      <c r="ED197" s="1115" t="n">
        <f aca="false">DT197*BE197</f>
        <v>0</v>
      </c>
      <c r="EE197" s="1115" t="n">
        <f aca="false">DU197*BF197</f>
        <v>0</v>
      </c>
      <c r="EF197" s="1115" t="n">
        <f aca="false">DV197*BG197</f>
        <v>0</v>
      </c>
      <c r="EG197" s="1115" t="n">
        <f aca="false">DS197*BD197+DT197*BE197+DU197*BF197+DV197*BG197</f>
        <v>0</v>
      </c>
      <c r="EH197" s="1116" t="n">
        <v>0</v>
      </c>
      <c r="EI197" s="1117" t="n">
        <v>0</v>
      </c>
      <c r="EJ197" s="1117" t="n">
        <v>0</v>
      </c>
      <c r="EK197" s="1117" t="n">
        <v>0</v>
      </c>
      <c r="EL197" s="1118" t="n">
        <f aca="false">IF(C197&gt;=Summary!$E$26,MAX(0,SUM(EH197:EK197)),0)</f>
        <v>0</v>
      </c>
      <c r="EM197" s="1115" t="n">
        <f aca="false">IF(C197&gt;=Summary!$E$26,DX197*BL197,0)</f>
        <v>0</v>
      </c>
      <c r="EN197" s="1115" t="n">
        <f aca="false">IF(C197&gt;=Summary!$E$26,DY197*BM197,0)</f>
        <v>0</v>
      </c>
      <c r="EO197" s="1115" t="n">
        <f aca="false">IF(C197&gt;=Summary!$E$26,DZ197*BN197,0)</f>
        <v>0</v>
      </c>
      <c r="EP197" s="1115" t="n">
        <f aca="false">IF(C197&gt;=Summary!$E$26,EA197*BO197,0)</f>
        <v>0</v>
      </c>
      <c r="EQ197" s="1115" t="n">
        <f aca="false">IF(C197&gt;=Summary!$E$26,DX197*BL197+DY197*BM197+DZ197*BN197+EA197*BO197,0)</f>
        <v>0</v>
      </c>
      <c r="ER197" s="1119" t="n">
        <v>0</v>
      </c>
      <c r="ES197" s="1120" t="n">
        <v>0</v>
      </c>
      <c r="ET197" s="1120" t="n">
        <v>0</v>
      </c>
      <c r="EU197" s="1120" t="n">
        <v>0</v>
      </c>
      <c r="EV197" s="1143" t="n">
        <f aca="false">IF(C197&gt;=Summary!$E$26,MAX(0,SUM(ER197:EU197)),0)</f>
        <v>0</v>
      </c>
      <c r="EW197" s="1115"/>
      <c r="EX197" s="1165" t="n">
        <f aca="false">(EQ197-EV197)+IF(EZ197="Yes",(EG197-EL197),0)</f>
        <v>0</v>
      </c>
      <c r="EY197" s="1166" t="str">
        <f aca="false">IF(EX197,EX197/EQ197,"")</f>
        <v/>
      </c>
      <c r="EZ197" s="1122" t="s">
        <v>37</v>
      </c>
      <c r="FA197" s="1096" t="n">
        <f aca="false">FA196</f>
        <v>45</v>
      </c>
      <c r="FB197" s="1167" t="e">
        <f aca="false">IF(EZ197="No",IF((OR(MONTH(C197)=5,MONTH(C197)=6,MONTH(C197)=7,MONTH(C197)=8,MONTH(C197)=9)),$FA197*12*AX197*(1-$BC197),$FA197*10*AX197*(1-$BC197)),0)</f>
        <v>#VALUE!</v>
      </c>
      <c r="FC197" s="1129" t="e">
        <f aca="false">IF(EZ197="No",IF((OR(MONTH(C197)=5,MONTH(C197)=6,MONTH(C197)=7,MONTH(C197)=8,MONTH(C197)=9)),0,$FA197*3*AX197*(1-$BC197)),0)</f>
        <v>#VALUE!</v>
      </c>
      <c r="FD197" s="1129" t="e">
        <f aca="false">IF(EZ197="No",IF((OR(MONTH(C197)=5,MONTH(C197)=6,MONTH(C197)=7,MONTH(C197)=8,MONTH(C197)=9)),$FA197*12*AY197*(1-$BC197),$FA197*10*AY197*(1-$BC197)),0)</f>
        <v>#VALUE!</v>
      </c>
      <c r="FE197" s="1129" t="e">
        <f aca="false">IF(EZ197="No",IF((OR(MONTH(C197)=5,MONTH(C197)=6,MONTH(C197)=7,MONTH(C197)=8,MONTH(C197)=9)),0,$FA197*3*AY197*(1-$BC197)),0)</f>
        <v>#VALUE!</v>
      </c>
      <c r="FF197" s="1129" t="e">
        <f aca="false">IF(EZ197="No",IF((OR(MONTH(C197)=5,MONTH(C197)=6,MONTH(C197)=7,MONTH(C197)=8,MONTH(C197)=9)),$FA197*12*(AZ197+BA197)*(1-$BC197),$FA197*10*(AZ197+BA197)*(1-$BC197)),0)</f>
        <v>#VALUE!</v>
      </c>
      <c r="FG197" s="1129" t="e">
        <f aca="false">IF(EZ197="No",IF((OR(MONTH(C197)=5,MONTH(C197)=6,MONTH(C197)=7,MONTH(C197)=8,MONTH(C197)=9)),0,$FA197*3*(AZ197+BA197)*(1-$BC197)),0)</f>
        <v>#VALUE!</v>
      </c>
      <c r="FH197" s="1170" t="e">
        <f aca="false">IF(EZ197="No",IF((OR(MONTH(C197)=5,MONTH(C197)=6,MONTH(C197)=7,MONTH(C197)=8,MONTH(C197)=9)),Summary!$O$15*12*(AX197+AY197+AZ197+BA197)*(1-$BC197),Summary!$O$15*13*(AX197+AY197+AZ197+BA197)*(1-$BC197)+IF(Summary!$O$16="Yes",(CALC!FA197+Summary!$O$15)*6*(AX197+AY197+AZ197+BA197)*(1-$BC197),0)),0)</f>
        <v>#VALUE!</v>
      </c>
      <c r="FI197" s="1126" t="n">
        <f aca="false">IF(MONTH(C197)=5,FI196*(IF(Summary!$E$70="no",(1+(Summary!$E$71*0.8)),1+HLOOKUP(YEAR(C197)-1,CCFMODEL!$I$127:$AF$128,2)*0.8)),+FI196)</f>
        <v>37.9684633655614</v>
      </c>
      <c r="FJ197" s="1127" t="n">
        <f aca="false">IF(MONTH(C197)=5,FJ196*(IF(Summary!$E$70="no",(1+(Summary!$E$71*0.8)),1+HLOOKUP(YEAR(CALC!C197)-1,CCFMODEL!$I$127:$AF$128,2)*0.8)),FJ196)</f>
        <v>33.1850349100576</v>
      </c>
      <c r="FK197" s="1128" t="e">
        <f aca="false">SUM(FB197:FG197)*FI197+FH197*FJ197</f>
        <v>#VALUE!</v>
      </c>
      <c r="FL197" s="1126" t="n">
        <f aca="false">IF(MONTH(C197)=5,FL196*(IF(Summary!$E$70="no",(1+(Summary!$E$71*0.8)),1+HLOOKUP(YEAR(CALC!C197)-1,CCFMODEL!$I$127:$AF$128,2)*0.8)),+FL196)</f>
        <v>79.8519351396453</v>
      </c>
      <c r="FM197" s="1127" t="n">
        <f aca="false">IF(MONTH(C197)=5,FM196*(IF(Summary!$E$70="no",(1+(Summary!$E$71*0.8)),1+HLOOKUP(YEAR(CALC!C197)-1,CCFMODEL!$I$127:$AF$128,2)*0.8)),+FM196)</f>
        <v>38.1108273076895</v>
      </c>
      <c r="FN197" s="1128" t="e">
        <f aca="false">IF((OR(MONTH(C197)=5,MONTH(C197)=6,MONTH(C197)=7,MONTH(C197)=8,MONTH(C197)=9)),SUM(FB197:FG197)/(1-BC197)*FL197,SUM(FB197:FG197)/(1-BC197)*FM197)</f>
        <v>#VALUE!</v>
      </c>
      <c r="FO197" s="1129" t="e">
        <f aca="false">FK197+FN197</f>
        <v>#VALUE!</v>
      </c>
      <c r="FP197" s="1169" t="e">
        <f aca="false">FB197</f>
        <v>#VALUE!</v>
      </c>
      <c r="FQ197" s="1129" t="e">
        <f aca="false">FC197</f>
        <v>#VALUE!</v>
      </c>
      <c r="FR197" s="1129" t="e">
        <f aca="false">FD197</f>
        <v>#VALUE!</v>
      </c>
      <c r="FS197" s="1129" t="e">
        <f aca="false">FE197</f>
        <v>#VALUE!</v>
      </c>
      <c r="FT197" s="1129" t="e">
        <f aca="false">FF197</f>
        <v>#VALUE!</v>
      </c>
      <c r="FU197" s="1129" t="e">
        <f aca="false">FG197</f>
        <v>#VALUE!</v>
      </c>
      <c r="FV197" s="1170" t="e">
        <f aca="false">FH197</f>
        <v>#VALUE!</v>
      </c>
      <c r="FW197" s="1115" t="n">
        <f aca="false">IF(ER197&gt;0,MIN(FB197-FP197,BL197),0)</f>
        <v>0</v>
      </c>
      <c r="FX197" s="1115" t="n">
        <f aca="false">IF(ES197&gt;0,MIN(FD197-FR197,BM197),0)</f>
        <v>0</v>
      </c>
      <c r="FY197" s="1115" t="n">
        <f aca="false">IF(ET197&gt;0,MIN(FF197-FT197,BN197),0)</f>
        <v>0</v>
      </c>
      <c r="FZ197" s="1143" t="n">
        <f aca="false">IF(EU197&gt;0,MIN(FH197-FV197,BO197),0)</f>
        <v>0</v>
      </c>
      <c r="GA197" s="1132" t="e">
        <f aca="false">(SUM(FP197:FV197)+SUM(GU197:HB197)/(1-Summary!$O$25))*CY197/1000</f>
        <v>#VALUE!</v>
      </c>
      <c r="GB197" s="1133" t="n">
        <f aca="false">IF($C197&lt;Summary!$M$81,+Summary!$O$81,VLOOKUP(C197,GasTable,19))</f>
        <v>3.91776204499126</v>
      </c>
      <c r="GC197" s="1134" t="n">
        <f aca="false">IF(H197&lt;=Summary!$N$84,MIN(GA197,Summary!$O$75*(H197-G197+1)),0)</f>
        <v>0</v>
      </c>
      <c r="GD197" s="1135" t="n">
        <f aca="false">IF(C197&lt;Summary!$N$84,IF(Summary!$O$75*(H197-G197+1)*0.8&gt;GC197,1,0),0)</f>
        <v>0</v>
      </c>
      <c r="GE197" s="1136" t="n">
        <v>0</v>
      </c>
      <c r="GF197" s="1134" t="e">
        <f aca="false">ABS(MIN(0,GC197-$GA197))</f>
        <v>#VALUE!</v>
      </c>
      <c r="GG197" s="1135" t="e">
        <f aca="false">GF197*(IF(Summary!$O$74=1,VLOOKUP($C197,GasTable,16)+Summary!$O$92+Summary!$O$93,VLOOKUP($C197,GasTable,19)+Summary!$O$92+Summary!$O$93))</f>
        <v>#VALUE!</v>
      </c>
      <c r="GH197" s="1137" t="n">
        <v>6072.53116973646</v>
      </c>
      <c r="GI197" s="1138" t="n">
        <v>0</v>
      </c>
      <c r="GJ197" s="1139" t="e">
        <f aca="false">+GB197*GC197+GE197+GG197+GH197-GI197</f>
        <v>#VALUE!</v>
      </c>
      <c r="GK197" s="1115" t="e">
        <f aca="false">SUM(FP197:FV197,GU197:GX197,GY197:HB197)</f>
        <v>#VALUE!</v>
      </c>
      <c r="GL197" s="1140" t="n">
        <v>0.52031225552</v>
      </c>
      <c r="GM197" s="1141" t="e">
        <f aca="false">IF(GK197&gt;GC197/(CY197/1000),GC197/(CY197/1000),+GK197)*GL197</f>
        <v>#VALUE!</v>
      </c>
      <c r="GN197" s="1115" t="n">
        <f aca="false">IF(SUM(GU197:HB197)=0,0,IF(Summary!$O$16="Yes",SUM(GX197:HB197),IF(Summary!$O$17="Yes",SUM(GY197:HB197),SUM(GU197:HB197))))</f>
        <v>12199.03785</v>
      </c>
      <c r="GO197" s="1142" t="n">
        <v>3.70722326988881</v>
      </c>
      <c r="GP197" s="1143" t="n">
        <f aca="false">GN197*GO197</f>
        <v>45224.5569877743</v>
      </c>
      <c r="GQ197" s="1115"/>
      <c r="GR197" s="1115"/>
      <c r="GS197" s="1115"/>
      <c r="GT197" s="1115"/>
      <c r="GU197" s="1150" t="n">
        <v>5389.47675</v>
      </c>
      <c r="GV197" s="1115" t="n">
        <v>1283.20875</v>
      </c>
      <c r="GW197" s="1115" t="n">
        <v>1283.20875</v>
      </c>
      <c r="GX197" s="1115"/>
      <c r="GY197" s="1151" t="n">
        <v>2874.3876</v>
      </c>
      <c r="GZ197" s="1115" t="n">
        <v>684.378</v>
      </c>
      <c r="HA197" s="1115" t="n">
        <v>684.378</v>
      </c>
      <c r="HB197" s="1141"/>
      <c r="HC197" s="1115" t="n">
        <v>12199.03785</v>
      </c>
      <c r="HD197" s="1115"/>
      <c r="HE197" s="1115" t="n">
        <v>20950.521525</v>
      </c>
      <c r="HF197" s="1115" t="n">
        <v>626792.959077343</v>
      </c>
      <c r="HG197" s="1115"/>
      <c r="HH197" s="1142" t="n">
        <v>50.9870712141693</v>
      </c>
      <c r="HI197" s="1115" t="n">
        <v>1068205.73296916</v>
      </c>
      <c r="HJ197" s="1150" t="e">
        <f aca="false">MAX(FB197-FP197-FW197,0)</f>
        <v>#VALUE!</v>
      </c>
      <c r="HK197" s="1115" t="e">
        <f aca="false">MAX(FD197-FR197-FX197,0)</f>
        <v>#VALUE!</v>
      </c>
      <c r="HL197" s="1115" t="e">
        <f aca="false">MAX(FF197-FT197-FY197,0)</f>
        <v>#VALUE!</v>
      </c>
      <c r="HM197" s="1141" t="e">
        <f aca="false">MAX(FH197-FV197-FZ197,0)</f>
        <v>#VALUE!</v>
      </c>
      <c r="HN197" s="1115" t="e">
        <f aca="false">SUM(HJ197:HM197)</f>
        <v>#VALUE!</v>
      </c>
      <c r="HO197" s="1142" t="n">
        <f aca="false">IF(ISERROR(+HP197/HN197),0,+HP197/HN197)</f>
        <v>0</v>
      </c>
      <c r="HP197" s="1143" t="e">
        <f aca="false">(HJ197*CE197+HK197*CF197+HL197*CG197+HM197*CH197)</f>
        <v>#VALUE!</v>
      </c>
      <c r="HQ197" s="1146"/>
      <c r="HR197" s="1150"/>
      <c r="HS197" s="1200"/>
      <c r="HT197" s="1141"/>
      <c r="HU197" s="1150"/>
      <c r="HV197" s="1200"/>
      <c r="HW197" s="1141"/>
      <c r="HX197" s="1200"/>
      <c r="HY197" s="1200"/>
      <c r="HZ197" s="0"/>
      <c r="IA197" s="1142"/>
      <c r="IB197" s="1142"/>
      <c r="IC197" s="1142"/>
      <c r="ID197" s="1142"/>
      <c r="IE197" s="1142"/>
      <c r="IF197" s="1142"/>
      <c r="IG197" s="1142"/>
      <c r="IH197" s="1142"/>
      <c r="II197" s="1142"/>
      <c r="IJ197" s="1142"/>
      <c r="IK197" s="1142"/>
      <c r="IL197" s="1190"/>
      <c r="IM197" s="222"/>
      <c r="IN197" s="222"/>
      <c r="IR197" s="844"/>
    </row>
    <row r="198" customFormat="false" ht="13.5" hidden="false" customHeight="false" outlineLevel="0" collapsed="false">
      <c r="A198" s="0" t="str">
        <f aca="false">+D198&amp;"Q"&amp;ROUNDUP(E198/3,0)</f>
        <v>2015Q1</v>
      </c>
      <c r="B198" s="0" t="n">
        <f aca="false">YEAR(C198)</f>
        <v>2015</v>
      </c>
      <c r="C198" s="1153" t="n">
        <f aca="false">EOMONTH(C197,0)+1</f>
        <v>42036</v>
      </c>
      <c r="D198" s="841" t="n">
        <f aca="false">+YEAR(C198)</f>
        <v>2015</v>
      </c>
      <c r="E198" s="807" t="n">
        <f aca="false">MONTH(C198)</f>
        <v>2</v>
      </c>
      <c r="F198" s="1154" t="e">
        <f aca="false">IF(G198="","",Holiday(D198,E198))</f>
        <v>#VALUE!</v>
      </c>
      <c r="G198" s="1155" t="n">
        <v>42036</v>
      </c>
      <c r="H198" s="1156" t="n">
        <v>42063</v>
      </c>
      <c r="I198" s="1157" t="n">
        <f aca="false">I197</f>
        <v>0.0715</v>
      </c>
      <c r="J198" s="1158" t="n">
        <f aca="false">(1+I198/2)^(-2*(DATE(D199,E199,20)-$H$7)/365.25)</f>
        <v>0.342290908876091</v>
      </c>
      <c r="K198" s="1159"/>
      <c r="L198" s="1158"/>
      <c r="M198" s="1082" t="n">
        <v>0</v>
      </c>
      <c r="N198" s="1110" t="n">
        <f aca="false">M198</f>
        <v>0</v>
      </c>
      <c r="O198" s="1174" t="n">
        <f aca="false">N198</f>
        <v>0</v>
      </c>
      <c r="P198" s="1175" t="n">
        <f aca="false">M198</f>
        <v>0</v>
      </c>
      <c r="Q198" s="1110" t="n">
        <f aca="false">P198</f>
        <v>0</v>
      </c>
      <c r="R198" s="1174" t="n">
        <f aca="false">Q198</f>
        <v>0</v>
      </c>
      <c r="S198" s="1110" t="n">
        <f aca="false">R198</f>
        <v>0</v>
      </c>
      <c r="T198" s="1110" t="n">
        <f aca="false">S198</f>
        <v>0</v>
      </c>
      <c r="U198" s="1110" t="n">
        <f aca="false">T198</f>
        <v>0</v>
      </c>
      <c r="V198" s="1175" t="n">
        <f aca="false">U198</f>
        <v>0</v>
      </c>
      <c r="W198" s="1110" t="n">
        <f aca="false">V198</f>
        <v>0</v>
      </c>
      <c r="X198" s="1176" t="n">
        <f aca="false">W198</f>
        <v>0</v>
      </c>
      <c r="Y198" s="1086" t="n">
        <v>0</v>
      </c>
      <c r="Z198" s="1086" t="n">
        <v>0</v>
      </c>
      <c r="AA198" s="1087" t="n">
        <v>0</v>
      </c>
      <c r="AB198" s="1086" t="n">
        <v>0</v>
      </c>
      <c r="AC198" s="1086" t="n">
        <v>0</v>
      </c>
      <c r="AD198" s="1087" t="n">
        <v>0</v>
      </c>
      <c r="AE198" s="1086" t="n">
        <v>0</v>
      </c>
      <c r="AF198" s="1086" t="n">
        <v>0</v>
      </c>
      <c r="AG198" s="1087" t="n">
        <v>0</v>
      </c>
      <c r="AH198" s="1086" t="n">
        <v>0</v>
      </c>
      <c r="AI198" s="1086" t="n">
        <v>0</v>
      </c>
      <c r="AJ198" s="1087" t="n">
        <v>0</v>
      </c>
      <c r="AK198" s="1086" t="n">
        <v>0</v>
      </c>
      <c r="AL198" s="1086" t="n">
        <v>0</v>
      </c>
      <c r="AM198" s="1087" t="n">
        <v>0</v>
      </c>
      <c r="AN198" s="1086" t="n">
        <v>0</v>
      </c>
      <c r="AO198" s="1086" t="n">
        <v>0</v>
      </c>
      <c r="AP198" s="1087" t="n">
        <v>0</v>
      </c>
      <c r="AQ198" s="1086" t="n">
        <v>0</v>
      </c>
      <c r="AR198" s="1086" t="n">
        <v>0</v>
      </c>
      <c r="AS198" s="1087" t="n">
        <v>0</v>
      </c>
      <c r="AT198" s="1086" t="n">
        <v>0</v>
      </c>
      <c r="AU198" s="1086" t="n">
        <v>0</v>
      </c>
      <c r="AV198" s="1086" t="n">
        <v>0</v>
      </c>
      <c r="AW198" s="1172" t="n">
        <v>0</v>
      </c>
      <c r="AX198" s="807" t="n">
        <f aca="false">BB198-SUM(AY198:BA198)</f>
        <v>20</v>
      </c>
      <c r="AY198" s="807" t="n">
        <f aca="false">IF(AND($E198=MONTH(Summary!$E$24),$D198=YEAR(Summary!$E$24)),Summary!$E$25,1)*IF(G198="",0,INT((H198-MOD(H198,7)-G198)/7)+1-IF(BA198,IF(WEEKDAY(F198)=7,1,0),0))</f>
        <v>4</v>
      </c>
      <c r="AZ198" s="807" t="n">
        <f aca="false">IF(AND($E198=MONTH(Summary!$E$24),$D198=YEAR(Summary!$E$24)),Summary!$E$25,1)*IF(G198="",0,INT((H198-MOD(H198-1,7)-G198)/7)+1-IF(BA198,IF(WEEKDAY(F198)=1,1,0),0))</f>
        <v>4</v>
      </c>
      <c r="BA198" s="807" t="n">
        <v>0</v>
      </c>
      <c r="BB198" s="807" t="n">
        <f aca="false">IF(AND($E198=MONTH(Summary!$E$24),$D198=YEAR(Summary!$E$24)),Summary!$E$25,1)*IF(G198="",0,H198-G198+1)</f>
        <v>28</v>
      </c>
      <c r="BC198" s="1089" t="n">
        <f aca="false">Summary!$E$19</f>
        <v>0.015</v>
      </c>
      <c r="BD198" s="1090" t="n">
        <v>14184</v>
      </c>
      <c r="BE198" s="1091" t="n">
        <v>2836.8</v>
      </c>
      <c r="BF198" s="1091" t="n">
        <v>2836.8</v>
      </c>
      <c r="BG198" s="842"/>
      <c r="BH198" s="1092" t="n">
        <v>1</v>
      </c>
      <c r="BI198" s="1092" t="n">
        <v>1</v>
      </c>
      <c r="BJ198" s="1092" t="n">
        <v>1</v>
      </c>
      <c r="BK198" s="1092" t="n">
        <v>1</v>
      </c>
      <c r="BL198" s="1093" t="n">
        <v>2836.8</v>
      </c>
      <c r="BM198" s="1091" t="n">
        <v>567.36</v>
      </c>
      <c r="BN198" s="1091" t="n">
        <v>567.36</v>
      </c>
      <c r="BO198" s="842"/>
      <c r="BP198" s="1092" t="n">
        <v>1</v>
      </c>
      <c r="BQ198" s="1094" t="n">
        <v>1</v>
      </c>
      <c r="BR198" s="1094" t="n">
        <v>1</v>
      </c>
      <c r="BS198" s="1095" t="n">
        <v>1</v>
      </c>
      <c r="BT198" s="1093" t="n">
        <f aca="false">SUM(BD198:BF198)</f>
        <v>19857.6</v>
      </c>
      <c r="BU198" s="1098" t="n">
        <f aca="false">SUM(BD198:BG198)</f>
        <v>19857.6</v>
      </c>
      <c r="BV198" s="1090" t="n">
        <f aca="false">SUM(BL198:BN198)</f>
        <v>3971.52</v>
      </c>
      <c r="BW198" s="1098" t="n">
        <f aca="false">SUM(BL198:BO198)</f>
        <v>3971.52</v>
      </c>
      <c r="BX198" s="852" t="n">
        <v>15.1321013004791</v>
      </c>
      <c r="BY198" s="1099" t="n">
        <v>0</v>
      </c>
      <c r="BZ198" s="852" t="n">
        <v>0</v>
      </c>
      <c r="CA198" s="852" t="n">
        <v>0</v>
      </c>
      <c r="CB198" s="852" t="n">
        <v>0</v>
      </c>
      <c r="CC198" s="852" t="n">
        <v>0</v>
      </c>
      <c r="CD198" s="852" t="n">
        <v>0</v>
      </c>
      <c r="CE198" s="1100" t="n">
        <v>0</v>
      </c>
      <c r="CF198" s="852" t="n">
        <v>0</v>
      </c>
      <c r="CG198" s="852" t="n">
        <v>0</v>
      </c>
      <c r="CH198" s="852" t="n">
        <v>0</v>
      </c>
      <c r="CI198" s="852" t="n">
        <v>0</v>
      </c>
      <c r="CJ198" s="1101" t="n">
        <v>0</v>
      </c>
      <c r="CK198" s="852" t="n">
        <v>0</v>
      </c>
      <c r="CL198" s="852" t="n">
        <v>0</v>
      </c>
      <c r="CM198" s="852" t="n">
        <v>0</v>
      </c>
      <c r="CN198" s="852" t="n">
        <v>0</v>
      </c>
      <c r="CO198" s="852" t="n">
        <v>0</v>
      </c>
      <c r="CP198" s="852" t="n">
        <v>0</v>
      </c>
      <c r="CQ198" s="1102" t="n">
        <v>0</v>
      </c>
      <c r="CR198" s="1103" t="n">
        <v>0</v>
      </c>
      <c r="CS198" s="1103" t="n">
        <v>0</v>
      </c>
      <c r="CT198" s="1103" t="n">
        <v>0</v>
      </c>
      <c r="CU198" s="1103" t="n">
        <v>0</v>
      </c>
      <c r="CV198" s="1103" t="n">
        <v>0</v>
      </c>
      <c r="CW198" s="1103" t="n">
        <v>0</v>
      </c>
      <c r="CX198" s="1104" t="n">
        <v>0</v>
      </c>
      <c r="CY198" s="1105" t="n">
        <v>7767.15744</v>
      </c>
      <c r="CZ198" s="1099" t="n">
        <v>0</v>
      </c>
      <c r="DA198" s="852" t="n">
        <v>0</v>
      </c>
      <c r="DB198" s="852" t="n">
        <v>0</v>
      </c>
      <c r="DC198" s="852" t="n">
        <v>0</v>
      </c>
      <c r="DD198" s="852" t="n">
        <v>0</v>
      </c>
      <c r="DE198" s="1113" t="n">
        <v>0</v>
      </c>
      <c r="DF198" s="1109" t="n">
        <v>0</v>
      </c>
      <c r="DG198" s="1110" t="n">
        <v>0</v>
      </c>
      <c r="DH198" s="1111" t="n">
        <v>0</v>
      </c>
      <c r="DI198" s="1112" t="n">
        <v>0</v>
      </c>
      <c r="DJ198" s="1112" t="n">
        <v>0</v>
      </c>
      <c r="DK198" s="1112" t="n">
        <v>0</v>
      </c>
      <c r="DL198" s="1113" t="n">
        <v>0</v>
      </c>
      <c r="DM198" s="1114" t="n">
        <v>0</v>
      </c>
      <c r="DN198" s="1114" t="n">
        <v>0</v>
      </c>
      <c r="DO198" s="1114" t="n">
        <v>0</v>
      </c>
      <c r="DP198" s="1114" t="n">
        <v>0</v>
      </c>
      <c r="DQ198" s="1114" t="n">
        <v>0</v>
      </c>
      <c r="DR198" s="1109" t="n">
        <v>0</v>
      </c>
      <c r="DS198" s="852" t="n">
        <v>0</v>
      </c>
      <c r="DT198" s="852" t="n">
        <v>0</v>
      </c>
      <c r="DU198" s="852" t="n">
        <v>0</v>
      </c>
      <c r="DV198" s="852" t="n">
        <v>0</v>
      </c>
      <c r="DW198" s="852" t="n">
        <v>0</v>
      </c>
      <c r="DX198" s="852" t="n">
        <v>0</v>
      </c>
      <c r="DY198" s="852" t="n">
        <v>0</v>
      </c>
      <c r="DZ198" s="852" t="n">
        <v>0</v>
      </c>
      <c r="EA198" s="852" t="n">
        <v>0</v>
      </c>
      <c r="EB198" s="1113" t="n">
        <v>0</v>
      </c>
      <c r="EC198" s="1115" t="n">
        <f aca="false">DS198*BD198</f>
        <v>0</v>
      </c>
      <c r="ED198" s="1115" t="n">
        <f aca="false">DT198*BE198</f>
        <v>0</v>
      </c>
      <c r="EE198" s="1115" t="n">
        <f aca="false">DU198*BF198</f>
        <v>0</v>
      </c>
      <c r="EF198" s="1115" t="n">
        <f aca="false">DV198*BG198</f>
        <v>0</v>
      </c>
      <c r="EG198" s="1115" t="n">
        <f aca="false">DS198*BD198+DT198*BE198+DU198*BF198+DV198*BG198</f>
        <v>0</v>
      </c>
      <c r="EH198" s="1116" t="n">
        <v>0</v>
      </c>
      <c r="EI198" s="1117" t="n">
        <v>0</v>
      </c>
      <c r="EJ198" s="1117" t="n">
        <v>0</v>
      </c>
      <c r="EK198" s="1117" t="n">
        <v>0</v>
      </c>
      <c r="EL198" s="1118" t="n">
        <f aca="false">IF(C198&gt;=Summary!$E$26,MAX(0,SUM(EH198:EK198)),0)</f>
        <v>0</v>
      </c>
      <c r="EM198" s="1115" t="n">
        <f aca="false">IF(C198&gt;=Summary!$E$26,DX198*BL198,0)</f>
        <v>0</v>
      </c>
      <c r="EN198" s="1115" t="n">
        <f aca="false">IF(C198&gt;=Summary!$E$26,DY198*BM198,0)</f>
        <v>0</v>
      </c>
      <c r="EO198" s="1115" t="n">
        <f aca="false">IF(C198&gt;=Summary!$E$26,DZ198*BN198,0)</f>
        <v>0</v>
      </c>
      <c r="EP198" s="1115" t="n">
        <f aca="false">IF(C198&gt;=Summary!$E$26,EA198*BO198,0)</f>
        <v>0</v>
      </c>
      <c r="EQ198" s="1115" t="n">
        <f aca="false">IF(C198&gt;=Summary!$E$26,DX198*BL198+DY198*BM198+DZ198*BN198+EA198*BO198,0)</f>
        <v>0</v>
      </c>
      <c r="ER198" s="1119" t="n">
        <v>0</v>
      </c>
      <c r="ES198" s="1120" t="n">
        <v>0</v>
      </c>
      <c r="ET198" s="1120" t="n">
        <v>0</v>
      </c>
      <c r="EU198" s="1120" t="n">
        <v>0</v>
      </c>
      <c r="EV198" s="1143" t="n">
        <f aca="false">IF(C198&gt;=Summary!$E$26,MAX(0,SUM(ER198:EU198)),0)</f>
        <v>0</v>
      </c>
      <c r="EW198" s="1115"/>
      <c r="EX198" s="1165" t="n">
        <f aca="false">(EQ198-EV198)+IF(EZ198="Yes",(EG198-EL198),0)</f>
        <v>0</v>
      </c>
      <c r="EY198" s="1166" t="str">
        <f aca="false">IF(EX198,EX198/EQ198,"")</f>
        <v/>
      </c>
      <c r="EZ198" s="1122" t="s">
        <v>37</v>
      </c>
      <c r="FA198" s="1096" t="n">
        <f aca="false">FA197</f>
        <v>45</v>
      </c>
      <c r="FB198" s="1167" t="n">
        <f aca="false">IF(EZ198="No",IF((OR(MONTH(C198)=5,MONTH(C198)=6,MONTH(C198)=7,MONTH(C198)=8,MONTH(C198)=9)),$FA198*12*AX198*(1-$BC198),$FA198*10*AX198*(1-$BC198)),0)</f>
        <v>8865</v>
      </c>
      <c r="FC198" s="1129" t="n">
        <f aca="false">IF(EZ198="No",IF((OR(MONTH(C198)=5,MONTH(C198)=6,MONTH(C198)=7,MONTH(C198)=8,MONTH(C198)=9)),0,$FA198*3*AX198*(1-$BC198)),0)</f>
        <v>2659.5</v>
      </c>
      <c r="FD198" s="1129" t="n">
        <f aca="false">IF(EZ198="No",IF((OR(MONTH(C198)=5,MONTH(C198)=6,MONTH(C198)=7,MONTH(C198)=8,MONTH(C198)=9)),$FA198*12*AY198*(1-$BC198),$FA198*10*AY198*(1-$BC198)),0)</f>
        <v>1773</v>
      </c>
      <c r="FE198" s="1129" t="n">
        <f aca="false">IF(EZ198="No",IF((OR(MONTH(C198)=5,MONTH(C198)=6,MONTH(C198)=7,MONTH(C198)=8,MONTH(C198)=9)),0,$FA198*3*AY198*(1-$BC198)),0)</f>
        <v>531.9</v>
      </c>
      <c r="FF198" s="1129" t="n">
        <f aca="false">IF(EZ198="No",IF((OR(MONTH(C198)=5,MONTH(C198)=6,MONTH(C198)=7,MONTH(C198)=8,MONTH(C198)=9)),$FA198*12*(AZ198+BA198)*(1-$BC198),$FA198*10*(AZ198+BA198)*(1-$BC198)),0)</f>
        <v>1773</v>
      </c>
      <c r="FG198" s="1129" t="n">
        <f aca="false">IF(EZ198="No",IF((OR(MONTH(C198)=5,MONTH(C198)=6,MONTH(C198)=7,MONTH(C198)=8,MONTH(C198)=9)),0,$FA198*3*(AZ198+BA198)*(1-$BC198)),0)</f>
        <v>531.9</v>
      </c>
      <c r="FH198" s="1170" t="n">
        <f aca="false">IF(EZ198="No",IF((OR(MONTH(C198)=5,MONTH(C198)=6,MONTH(C198)=7,MONTH(C198)=8,MONTH(C198)=9)),Summary!$O$15*12*(AX198+AY198+AZ198+BA198)*(1-$BC198),Summary!$O$15*13*(AX198+AY198+AZ198+BA198)*(1-$BC198)+IF(Summary!$O$16="Yes",(CALC!FA198+Summary!$O$15)*6*(AX198+AY198+AZ198+BA198)*(1-$BC198),0)),0)</f>
        <v>0</v>
      </c>
      <c r="FI198" s="1126" t="n">
        <f aca="false">IF(MONTH(C198)=5,FI197*(IF(Summary!$E$70="no",(1+(Summary!$E$71*0.8)),1+HLOOKUP(YEAR(C198)-1,CCFMODEL!$I$127:$AF$128,2)*0.8)),+FI197)</f>
        <v>37.9684633655614</v>
      </c>
      <c r="FJ198" s="1127" t="n">
        <f aca="false">IF(MONTH(C198)=5,FJ197*(IF(Summary!$E$70="no",(1+(Summary!$E$71*0.8)),1+HLOOKUP(YEAR(CALC!C198)-1,CCFMODEL!$I$127:$AF$128,2)*0.8)),FJ197)</f>
        <v>33.1850349100576</v>
      </c>
      <c r="FK198" s="1128" t="n">
        <f aca="false">SUM(FB198:FG198)*FI198+FH198*FJ198</f>
        <v>612594.578478978</v>
      </c>
      <c r="FL198" s="1126" t="n">
        <f aca="false">IF(MONTH(C198)=5,FL197*(IF(Summary!$E$70="no",(1+(Summary!$E$71*0.8)),1+HLOOKUP(YEAR(CALC!C198)-1,CCFMODEL!$I$127:$AF$128,2)*0.8)),+FL197)</f>
        <v>79.8519351396453</v>
      </c>
      <c r="FM198" s="1127" t="n">
        <f aca="false">IF(MONTH(C198)=5,FM197*(IF(Summary!$E$70="no",(1+(Summary!$E$71*0.8)),1+HLOOKUP(YEAR(CALC!C198)-1,CCFMODEL!$I$127:$AF$128,2)*0.8)),+FM197)</f>
        <v>38.1108273076895</v>
      </c>
      <c r="FN198" s="1128" t="n">
        <f aca="false">IF((OR(MONTH(C198)=5,MONTH(C198)=6,MONTH(C198)=7,MONTH(C198)=8,MONTH(C198)=9)),SUM(FB198:FG198)/(1-BC198)*FL198,SUM(FB198:FG198)/(1-BC198)*FM198)</f>
        <v>624255.351299955</v>
      </c>
      <c r="FO198" s="1129" t="n">
        <f aca="false">FK198+FN198</f>
        <v>1236849.92977893</v>
      </c>
      <c r="FP198" s="1169" t="n">
        <f aca="false">FB198</f>
        <v>8865</v>
      </c>
      <c r="FQ198" s="1129" t="n">
        <f aca="false">FC198</f>
        <v>2659.5</v>
      </c>
      <c r="FR198" s="1129" t="n">
        <f aca="false">FD198</f>
        <v>1773</v>
      </c>
      <c r="FS198" s="1129" t="n">
        <f aca="false">FE198</f>
        <v>531.9</v>
      </c>
      <c r="FT198" s="1129" t="n">
        <f aca="false">FF198</f>
        <v>1773</v>
      </c>
      <c r="FU198" s="1129" t="n">
        <f aca="false">FG198</f>
        <v>531.9</v>
      </c>
      <c r="FV198" s="1170" t="n">
        <f aca="false">FH198</f>
        <v>0</v>
      </c>
      <c r="FW198" s="1115" t="n">
        <f aca="false">IF(ER198&gt;0,MIN(FB198-FP198,BL198),0)</f>
        <v>0</v>
      </c>
      <c r="FX198" s="1115" t="n">
        <f aca="false">IF(ES198&gt;0,MIN(FD198-FR198,BM198),0)</f>
        <v>0</v>
      </c>
      <c r="FY198" s="1115" t="n">
        <f aca="false">IF(ET198&gt;0,MIN(FF198-FT198,BN198),0)</f>
        <v>0</v>
      </c>
      <c r="FZ198" s="1143" t="n">
        <f aca="false">IF(EU198&gt;0,MIN(FH198-FV198,BO198),0)</f>
        <v>0</v>
      </c>
      <c r="GA198" s="1132" t="n">
        <f aca="false">(SUM(FP198:FV198)+SUM(GU198:HB198)/(1-Summary!$O$25))*CY198/1000</f>
        <v>214003.983993005</v>
      </c>
      <c r="GB198" s="1133" t="n">
        <f aca="false">IF($C198&lt;Summary!$M$81,+Summary!$O$81,VLOOKUP(C198,GasTable,19))</f>
        <v>3.61851254141419</v>
      </c>
      <c r="GC198" s="1134" t="n">
        <f aca="false">IF(H198&lt;=Summary!$N$84,MIN(GA198,Summary!$O$75*(H198-G198+1)),0)</f>
        <v>0</v>
      </c>
      <c r="GD198" s="1135" t="n">
        <f aca="false">IF(C198&lt;Summary!$N$84,IF(Summary!$O$75*(H198-G198+1)*0.8&gt;GC198,1,0),0)</f>
        <v>0</v>
      </c>
      <c r="GE198" s="1136" t="n">
        <v>0</v>
      </c>
      <c r="GF198" s="1134" t="n">
        <f aca="false">ABS(MIN(0,GC198-$GA198))</f>
        <v>214003.983993005</v>
      </c>
      <c r="GG198" s="1135" t="n">
        <f aca="false">GF198*(IF(Summary!$O$74=1,VLOOKUP($C198,GasTable,16)+Summary!$O$92+Summary!$O$93,VLOOKUP($C198,GasTable,19)+Summary!$O$92+Summary!$O$93))</f>
        <v>785525.707557326</v>
      </c>
      <c r="GH198" s="1137" t="n">
        <v>5065.91755797987</v>
      </c>
      <c r="GI198" s="1138" t="n">
        <v>0</v>
      </c>
      <c r="GJ198" s="1139" t="n">
        <f aca="false">+GB198*GC198+GE198+GG198+GH198-GI198</f>
        <v>790591.625115306</v>
      </c>
      <c r="GK198" s="1115" t="n">
        <f aca="false">SUM(FP198:FV198,GU198:GX198,GY198:HB198)</f>
        <v>27152.7858</v>
      </c>
      <c r="GL198" s="1140" t="n">
        <v>0.52039954848</v>
      </c>
      <c r="GM198" s="1141" t="n">
        <f aca="false">IF(GK198&gt;GC198/(CY198/1000),GC198/(CY198/1000),+GK198)*GL198</f>
        <v>0</v>
      </c>
      <c r="GN198" s="1115" t="n">
        <f aca="false">IF(SUM(GU198:HB198)=0,0,IF(Summary!$O$16="Yes",SUM(GX198:HB198),IF(Summary!$O$17="Yes",SUM(GY198:HB198),SUM(GU198:HB198))))</f>
        <v>11018.4858</v>
      </c>
      <c r="GO198" s="1142" t="n">
        <v>3.70722326988881</v>
      </c>
      <c r="GP198" s="1143" t="n">
        <f aca="false">GN198*GO198</f>
        <v>40847.9869566994</v>
      </c>
      <c r="GQ198" s="1115"/>
      <c r="GR198" s="1115"/>
      <c r="GS198" s="1115"/>
      <c r="GT198" s="1115"/>
      <c r="GU198" s="1150" t="n">
        <v>5132.835</v>
      </c>
      <c r="GV198" s="1115" t="n">
        <v>1026.567</v>
      </c>
      <c r="GW198" s="1115" t="n">
        <v>1026.567</v>
      </c>
      <c r="GX198" s="1115"/>
      <c r="GY198" s="1151" t="n">
        <v>2737.512</v>
      </c>
      <c r="GZ198" s="1115" t="n">
        <v>547.5024</v>
      </c>
      <c r="HA198" s="1115" t="n">
        <v>547.5024</v>
      </c>
      <c r="HB198" s="1141"/>
      <c r="HC198" s="1115" t="n">
        <v>11018.4858</v>
      </c>
      <c r="HD198" s="1115"/>
      <c r="HE198" s="1115" t="n">
        <v>18923.0517</v>
      </c>
      <c r="HF198" s="1115" t="n">
        <v>474826.504858855</v>
      </c>
      <c r="HG198" s="1115"/>
      <c r="HH198" s="1142" t="n">
        <v>42.77189276678</v>
      </c>
      <c r="HI198" s="1115" t="n">
        <v>809374.738132634</v>
      </c>
      <c r="HJ198" s="1150" t="n">
        <f aca="false">MAX(FB198-FP198-FW198,0)</f>
        <v>0</v>
      </c>
      <c r="HK198" s="1115" t="n">
        <f aca="false">MAX(FD198-FR198-FX198,0)</f>
        <v>0</v>
      </c>
      <c r="HL198" s="1115" t="n">
        <f aca="false">MAX(FF198-FT198-FY198,0)</f>
        <v>0</v>
      </c>
      <c r="HM198" s="1141" t="n">
        <f aca="false">MAX(FH198-FV198-FZ198,0)</f>
        <v>0</v>
      </c>
      <c r="HN198" s="1115" t="n">
        <f aca="false">SUM(HJ198:HM198)</f>
        <v>0</v>
      </c>
      <c r="HO198" s="1142" t="n">
        <f aca="false">IF(ISERROR(+HP198/HN198),0,+HP198/HN198)</f>
        <v>0</v>
      </c>
      <c r="HP198" s="1143" t="n">
        <f aca="false">(HJ198*CE198+HK198*CF198+HL198*CG198+HM198*CH198)</f>
        <v>0</v>
      </c>
      <c r="HQ198" s="1146"/>
      <c r="HR198" s="1150"/>
      <c r="HS198" s="1200"/>
      <c r="HT198" s="1141"/>
      <c r="HU198" s="1150"/>
      <c r="HV198" s="1200"/>
      <c r="HW198" s="1141"/>
      <c r="HX198" s="1200"/>
      <c r="HY198" s="1200"/>
      <c r="HZ198" s="0"/>
      <c r="IA198" s="1142"/>
      <c r="IB198" s="1142"/>
      <c r="IC198" s="1142"/>
      <c r="ID198" s="1142"/>
      <c r="IE198" s="1142"/>
      <c r="IF198" s="1142"/>
      <c r="IG198" s="1142"/>
      <c r="IH198" s="1142"/>
      <c r="II198" s="1142"/>
      <c r="IJ198" s="1142"/>
      <c r="IK198" s="1142"/>
      <c r="IL198" s="1190"/>
      <c r="IM198" s="222"/>
      <c r="IN198" s="222"/>
      <c r="IR198" s="844"/>
    </row>
    <row r="199" customFormat="false" ht="13.5" hidden="false" customHeight="false" outlineLevel="0" collapsed="false">
      <c r="A199" s="0" t="str">
        <f aca="false">+D199&amp;"Q"&amp;ROUNDUP(E199/3,0)</f>
        <v>2015Q1</v>
      </c>
      <c r="B199" s="0" t="n">
        <f aca="false">YEAR(C199)</f>
        <v>2015</v>
      </c>
      <c r="C199" s="1153" t="n">
        <f aca="false">EOMONTH(C198,0)+1</f>
        <v>42064</v>
      </c>
      <c r="D199" s="841" t="n">
        <f aca="false">+YEAR(C199)</f>
        <v>2015</v>
      </c>
      <c r="E199" s="807" t="n">
        <f aca="false">MONTH(C199)</f>
        <v>3</v>
      </c>
      <c r="F199" s="1154" t="e">
        <f aca="false">IF(G199="","",Holiday(D199,E199))</f>
        <v>#VALUE!</v>
      </c>
      <c r="G199" s="1155" t="n">
        <v>42064</v>
      </c>
      <c r="H199" s="1156" t="n">
        <v>42094</v>
      </c>
      <c r="I199" s="1157" t="n">
        <f aca="false">I198</f>
        <v>0.0715</v>
      </c>
      <c r="J199" s="1158" t="n">
        <f aca="false">(1+I199/2)^(-2*(DATE(D200,E200,20)-$H$7)/365.25)</f>
        <v>0.340256074888326</v>
      </c>
      <c r="K199" s="1159"/>
      <c r="L199" s="1158"/>
      <c r="M199" s="1082" t="n">
        <v>0</v>
      </c>
      <c r="N199" s="1110" t="n">
        <f aca="false">M199</f>
        <v>0</v>
      </c>
      <c r="O199" s="1174" t="n">
        <f aca="false">N199</f>
        <v>0</v>
      </c>
      <c r="P199" s="1175" t="n">
        <f aca="false">M199</f>
        <v>0</v>
      </c>
      <c r="Q199" s="1110" t="n">
        <f aca="false">P199</f>
        <v>0</v>
      </c>
      <c r="R199" s="1174" t="n">
        <f aca="false">Q199</f>
        <v>0</v>
      </c>
      <c r="S199" s="1110" t="n">
        <f aca="false">R199</f>
        <v>0</v>
      </c>
      <c r="T199" s="1110" t="n">
        <f aca="false">S199</f>
        <v>0</v>
      </c>
      <c r="U199" s="1110" t="n">
        <f aca="false">T199</f>
        <v>0</v>
      </c>
      <c r="V199" s="1175" t="n">
        <f aca="false">U199</f>
        <v>0</v>
      </c>
      <c r="W199" s="1110" t="n">
        <f aca="false">V199</f>
        <v>0</v>
      </c>
      <c r="X199" s="1176" t="n">
        <f aca="false">W199</f>
        <v>0</v>
      </c>
      <c r="Y199" s="1086" t="n">
        <v>0</v>
      </c>
      <c r="Z199" s="1086" t="n">
        <v>0</v>
      </c>
      <c r="AA199" s="1087" t="n">
        <v>0</v>
      </c>
      <c r="AB199" s="1086" t="n">
        <v>0</v>
      </c>
      <c r="AC199" s="1086" t="n">
        <v>0</v>
      </c>
      <c r="AD199" s="1087" t="n">
        <v>0</v>
      </c>
      <c r="AE199" s="1086" t="n">
        <v>0</v>
      </c>
      <c r="AF199" s="1086" t="n">
        <v>0</v>
      </c>
      <c r="AG199" s="1087" t="n">
        <v>0</v>
      </c>
      <c r="AH199" s="1086" t="n">
        <v>0</v>
      </c>
      <c r="AI199" s="1086" t="n">
        <v>0</v>
      </c>
      <c r="AJ199" s="1087" t="n">
        <v>0</v>
      </c>
      <c r="AK199" s="1086" t="n">
        <v>0</v>
      </c>
      <c r="AL199" s="1086" t="n">
        <v>0</v>
      </c>
      <c r="AM199" s="1087" t="n">
        <v>0</v>
      </c>
      <c r="AN199" s="1086" t="n">
        <v>0</v>
      </c>
      <c r="AO199" s="1086" t="n">
        <v>0</v>
      </c>
      <c r="AP199" s="1087" t="n">
        <v>0</v>
      </c>
      <c r="AQ199" s="1086" t="n">
        <v>0</v>
      </c>
      <c r="AR199" s="1086" t="n">
        <v>0</v>
      </c>
      <c r="AS199" s="1087" t="n">
        <v>0</v>
      </c>
      <c r="AT199" s="1086" t="n">
        <v>0</v>
      </c>
      <c r="AU199" s="1086" t="n">
        <v>0</v>
      </c>
      <c r="AV199" s="1086" t="n">
        <v>0</v>
      </c>
      <c r="AW199" s="1172" t="n">
        <v>0</v>
      </c>
      <c r="AX199" s="807" t="n">
        <f aca="false">BB199-SUM(AY199:BA199)</f>
        <v>22</v>
      </c>
      <c r="AY199" s="807" t="n">
        <f aca="false">IF(AND($E199=MONTH(Summary!$E$24),$D199=YEAR(Summary!$E$24)),Summary!$E$25,1)*IF(G199="",0,INT((H199-MOD(H199,7)-G199)/7)+1-IF(BA199,IF(WEEKDAY(F199)=7,1,0),0))</f>
        <v>4</v>
      </c>
      <c r="AZ199" s="807" t="n">
        <f aca="false">IF(AND($E199=MONTH(Summary!$E$24),$D199=YEAR(Summary!$E$24)),Summary!$E$25,1)*IF(G199="",0,INT((H199-MOD(H199-1,7)-G199)/7)+1-IF(BA199,IF(WEEKDAY(F199)=1,1,0),0))</f>
        <v>5</v>
      </c>
      <c r="BA199" s="807" t="n">
        <v>0</v>
      </c>
      <c r="BB199" s="807" t="n">
        <f aca="false">IF(AND($E199=MONTH(Summary!$E$24),$D199=YEAR(Summary!$E$24)),Summary!$E$25,1)*IF(G199="",0,H199-G199+1)</f>
        <v>31</v>
      </c>
      <c r="BC199" s="1089" t="n">
        <f aca="false">Summary!$E$19</f>
        <v>0.015</v>
      </c>
      <c r="BD199" s="1090" t="n">
        <v>15602.4</v>
      </c>
      <c r="BE199" s="1091" t="n">
        <v>2836.8</v>
      </c>
      <c r="BF199" s="1091" t="n">
        <v>3546</v>
      </c>
      <c r="BG199" s="842"/>
      <c r="BH199" s="1092" t="n">
        <v>1</v>
      </c>
      <c r="BI199" s="1092" t="n">
        <v>1</v>
      </c>
      <c r="BJ199" s="1092" t="n">
        <v>1</v>
      </c>
      <c r="BK199" s="1092" t="n">
        <v>1</v>
      </c>
      <c r="BL199" s="1093" t="n">
        <v>3120.48</v>
      </c>
      <c r="BM199" s="1091" t="n">
        <v>567.36</v>
      </c>
      <c r="BN199" s="1091" t="n">
        <v>709.2</v>
      </c>
      <c r="BO199" s="842"/>
      <c r="BP199" s="1092" t="n">
        <v>1</v>
      </c>
      <c r="BQ199" s="1094" t="n">
        <v>1</v>
      </c>
      <c r="BR199" s="1094" t="n">
        <v>1</v>
      </c>
      <c r="BS199" s="1095" t="n">
        <v>1</v>
      </c>
      <c r="BT199" s="1093" t="n">
        <f aca="false">SUM(BD199:BF199)</f>
        <v>21985.2</v>
      </c>
      <c r="BU199" s="1098" t="n">
        <f aca="false">SUM(BD199:BG199)</f>
        <v>21985.2</v>
      </c>
      <c r="BV199" s="1090" t="n">
        <f aca="false">SUM(BL199:BN199)</f>
        <v>4397.04</v>
      </c>
      <c r="BW199" s="1098" t="n">
        <f aca="false">SUM(BL199:BO199)</f>
        <v>4397.04</v>
      </c>
      <c r="BX199" s="852" t="n">
        <v>15.2087611225188</v>
      </c>
      <c r="BY199" s="1099" t="n">
        <v>0</v>
      </c>
      <c r="BZ199" s="852" t="n">
        <v>0</v>
      </c>
      <c r="CA199" s="852" t="n">
        <v>0</v>
      </c>
      <c r="CB199" s="852" t="n">
        <v>0</v>
      </c>
      <c r="CC199" s="852" t="n">
        <v>0</v>
      </c>
      <c r="CD199" s="852" t="n">
        <v>0</v>
      </c>
      <c r="CE199" s="1100" t="n">
        <v>0</v>
      </c>
      <c r="CF199" s="852" t="n">
        <v>0</v>
      </c>
      <c r="CG199" s="852" t="n">
        <v>0</v>
      </c>
      <c r="CH199" s="852" t="n">
        <v>0</v>
      </c>
      <c r="CI199" s="852" t="n">
        <v>0</v>
      </c>
      <c r="CJ199" s="1101" t="n">
        <v>0</v>
      </c>
      <c r="CK199" s="852" t="n">
        <v>0</v>
      </c>
      <c r="CL199" s="852" t="n">
        <v>0</v>
      </c>
      <c r="CM199" s="852" t="n">
        <v>0</v>
      </c>
      <c r="CN199" s="852" t="n">
        <v>0</v>
      </c>
      <c r="CO199" s="852" t="n">
        <v>0</v>
      </c>
      <c r="CP199" s="852" t="n">
        <v>0</v>
      </c>
      <c r="CQ199" s="1102" t="n">
        <v>0</v>
      </c>
      <c r="CR199" s="1103" t="n">
        <v>0</v>
      </c>
      <c r="CS199" s="1103" t="n">
        <v>0</v>
      </c>
      <c r="CT199" s="1103" t="n">
        <v>0</v>
      </c>
      <c r="CU199" s="1103" t="n">
        <v>0</v>
      </c>
      <c r="CV199" s="1103" t="n">
        <v>0</v>
      </c>
      <c r="CW199" s="1103" t="n">
        <v>0</v>
      </c>
      <c r="CX199" s="1104" t="n">
        <v>0</v>
      </c>
      <c r="CY199" s="1105" t="n">
        <v>7768.46032</v>
      </c>
      <c r="CZ199" s="1099" t="n">
        <v>0</v>
      </c>
      <c r="DA199" s="852" t="n">
        <v>0</v>
      </c>
      <c r="DB199" s="852" t="n">
        <v>0</v>
      </c>
      <c r="DC199" s="852" t="n">
        <v>0</v>
      </c>
      <c r="DD199" s="852" t="n">
        <v>0</v>
      </c>
      <c r="DE199" s="1113" t="n">
        <v>0</v>
      </c>
      <c r="DF199" s="1109" t="n">
        <v>0</v>
      </c>
      <c r="DG199" s="1110" t="n">
        <v>0</v>
      </c>
      <c r="DH199" s="1111" t="n">
        <v>0</v>
      </c>
      <c r="DI199" s="1112" t="n">
        <v>0</v>
      </c>
      <c r="DJ199" s="1112" t="n">
        <v>0</v>
      </c>
      <c r="DK199" s="1112" t="n">
        <v>0</v>
      </c>
      <c r="DL199" s="1113" t="n">
        <v>0</v>
      </c>
      <c r="DM199" s="1114" t="n">
        <v>0</v>
      </c>
      <c r="DN199" s="1114" t="n">
        <v>0</v>
      </c>
      <c r="DO199" s="1114" t="n">
        <v>0</v>
      </c>
      <c r="DP199" s="1114" t="n">
        <v>0</v>
      </c>
      <c r="DQ199" s="1114" t="n">
        <v>0</v>
      </c>
      <c r="DR199" s="1109" t="n">
        <v>0</v>
      </c>
      <c r="DS199" s="852" t="n">
        <v>0</v>
      </c>
      <c r="DT199" s="852" t="n">
        <v>0</v>
      </c>
      <c r="DU199" s="852" t="n">
        <v>0</v>
      </c>
      <c r="DV199" s="852" t="n">
        <v>0</v>
      </c>
      <c r="DW199" s="852" t="n">
        <v>0</v>
      </c>
      <c r="DX199" s="852" t="n">
        <v>0</v>
      </c>
      <c r="DY199" s="852" t="n">
        <v>0</v>
      </c>
      <c r="DZ199" s="852" t="n">
        <v>0</v>
      </c>
      <c r="EA199" s="852" t="n">
        <v>0</v>
      </c>
      <c r="EB199" s="1113" t="n">
        <v>0</v>
      </c>
      <c r="EC199" s="1115" t="n">
        <f aca="false">DS199*BD199</f>
        <v>0</v>
      </c>
      <c r="ED199" s="1115" t="n">
        <f aca="false">DT199*BE199</f>
        <v>0</v>
      </c>
      <c r="EE199" s="1115" t="n">
        <f aca="false">DU199*BF199</f>
        <v>0</v>
      </c>
      <c r="EF199" s="1115" t="n">
        <f aca="false">DV199*BG199</f>
        <v>0</v>
      </c>
      <c r="EG199" s="1115" t="n">
        <f aca="false">DS199*BD199+DT199*BE199+DU199*BF199+DV199*BG199</f>
        <v>0</v>
      </c>
      <c r="EH199" s="1116" t="n">
        <v>0</v>
      </c>
      <c r="EI199" s="1117" t="n">
        <v>0</v>
      </c>
      <c r="EJ199" s="1117" t="n">
        <v>0</v>
      </c>
      <c r="EK199" s="1117" t="n">
        <v>0</v>
      </c>
      <c r="EL199" s="1118" t="n">
        <f aca="false">IF(C199&gt;=Summary!$E$26,MAX(0,SUM(EH199:EK199)),0)</f>
        <v>0</v>
      </c>
      <c r="EM199" s="1115" t="n">
        <f aca="false">IF(C199&gt;=Summary!$E$26,DX199*BL199,0)</f>
        <v>0</v>
      </c>
      <c r="EN199" s="1115" t="n">
        <f aca="false">IF(C199&gt;=Summary!$E$26,DY199*BM199,0)</f>
        <v>0</v>
      </c>
      <c r="EO199" s="1115" t="n">
        <f aca="false">IF(C199&gt;=Summary!$E$26,DZ199*BN199,0)</f>
        <v>0</v>
      </c>
      <c r="EP199" s="1115" t="n">
        <f aca="false">IF(C199&gt;=Summary!$E$26,EA199*BO199,0)</f>
        <v>0</v>
      </c>
      <c r="EQ199" s="1115" t="n">
        <f aca="false">IF(C199&gt;=Summary!$E$26,DX199*BL199+DY199*BM199+DZ199*BN199+EA199*BO199,0)</f>
        <v>0</v>
      </c>
      <c r="ER199" s="1119" t="n">
        <v>0</v>
      </c>
      <c r="ES199" s="1120" t="n">
        <v>0</v>
      </c>
      <c r="ET199" s="1120" t="n">
        <v>0</v>
      </c>
      <c r="EU199" s="1120" t="n">
        <v>0</v>
      </c>
      <c r="EV199" s="1143" t="n">
        <f aca="false">IF(C199&gt;=Summary!$E$26,MAX(0,SUM(ER199:EU199)),0)</f>
        <v>0</v>
      </c>
      <c r="EW199" s="1115"/>
      <c r="EX199" s="1165" t="n">
        <f aca="false">(EQ199-EV199)+IF(EZ199="Yes",(EG199-EL199),0)</f>
        <v>0</v>
      </c>
      <c r="EY199" s="1166" t="str">
        <f aca="false">IF(EX199,EX199/EQ199,"")</f>
        <v/>
      </c>
      <c r="EZ199" s="1122" t="s">
        <v>37</v>
      </c>
      <c r="FA199" s="1096" t="n">
        <f aca="false">FA198</f>
        <v>45</v>
      </c>
      <c r="FB199" s="1167" t="n">
        <f aca="false">IF(EZ199="No",IF((OR(MONTH(C199)=5,MONTH(C199)=6,MONTH(C199)=7,MONTH(C199)=8,MONTH(C199)=9)),$FA199*12*AX199*(1-$BC199),$FA199*10*AX199*(1-$BC199)),0)</f>
        <v>9751.5</v>
      </c>
      <c r="FC199" s="1129" t="n">
        <f aca="false">IF(EZ199="No",IF((OR(MONTH(C199)=5,MONTH(C199)=6,MONTH(C199)=7,MONTH(C199)=8,MONTH(C199)=9)),0,$FA199*3*AX199*(1-$BC199)),0)</f>
        <v>2925.45</v>
      </c>
      <c r="FD199" s="1129" t="n">
        <f aca="false">IF(EZ199="No",IF((OR(MONTH(C199)=5,MONTH(C199)=6,MONTH(C199)=7,MONTH(C199)=8,MONTH(C199)=9)),$FA199*12*AY199*(1-$BC199),$FA199*10*AY199*(1-$BC199)),0)</f>
        <v>1773</v>
      </c>
      <c r="FE199" s="1129" t="n">
        <f aca="false">IF(EZ199="No",IF((OR(MONTH(C199)=5,MONTH(C199)=6,MONTH(C199)=7,MONTH(C199)=8,MONTH(C199)=9)),0,$FA199*3*AY199*(1-$BC199)),0)</f>
        <v>531.9</v>
      </c>
      <c r="FF199" s="1129" t="n">
        <f aca="false">IF(EZ199="No",IF((OR(MONTH(C199)=5,MONTH(C199)=6,MONTH(C199)=7,MONTH(C199)=8,MONTH(C199)=9)),$FA199*12*(AZ199+BA199)*(1-$BC199),$FA199*10*(AZ199+BA199)*(1-$BC199)),0)</f>
        <v>2216.25</v>
      </c>
      <c r="FG199" s="1129" t="n">
        <f aca="false">IF(EZ199="No",IF((OR(MONTH(C199)=5,MONTH(C199)=6,MONTH(C199)=7,MONTH(C199)=8,MONTH(C199)=9)),0,$FA199*3*(AZ199+BA199)*(1-$BC199)),0)</f>
        <v>664.875</v>
      </c>
      <c r="FH199" s="1170" t="n">
        <f aca="false">IF(EZ199="No",IF((OR(MONTH(C199)=5,MONTH(C199)=6,MONTH(C199)=7,MONTH(C199)=8,MONTH(C199)=9)),Summary!$O$15*12*(AX199+AY199+AZ199+BA199)*(1-$BC199),Summary!$O$15*13*(AX199+AY199+AZ199+BA199)*(1-$BC199)+IF(Summary!$O$16="Yes",(CALC!FA199+Summary!$O$15)*6*(AX199+AY199+AZ199+BA199)*(1-$BC199),0)),0)</f>
        <v>0</v>
      </c>
      <c r="FI199" s="1126" t="n">
        <f aca="false">IF(MONTH(C199)=5,FI198*(IF(Summary!$E$70="no",(1+(Summary!$E$71*0.8)),1+HLOOKUP(YEAR(C199)-1,CCFMODEL!$I$127:$AF$128,2)*0.8)),+FI198)</f>
        <v>37.9684633655614</v>
      </c>
      <c r="FJ199" s="1127" t="n">
        <f aca="false">IF(MONTH(C199)=5,FJ198*(IF(Summary!$E$70="no",(1+(Summary!$E$71*0.8)),1+HLOOKUP(YEAR(CALC!C199)-1,CCFMODEL!$I$127:$AF$128,2)*0.8)),FJ198)</f>
        <v>33.1850349100576</v>
      </c>
      <c r="FK199" s="1128" t="n">
        <f aca="false">SUM(FB199:FG199)*FI199+FH199*FJ199</f>
        <v>678229.71188744</v>
      </c>
      <c r="FL199" s="1126" t="n">
        <f aca="false">IF(MONTH(C199)=5,FL198*(IF(Summary!$E$70="no",(1+(Summary!$E$71*0.8)),1+HLOOKUP(YEAR(CALC!C199)-1,CCFMODEL!$I$127:$AF$128,2)*0.8)),+FL198)</f>
        <v>79.8519351396453</v>
      </c>
      <c r="FM199" s="1127" t="n">
        <f aca="false">IF(MONTH(C199)=5,FM198*(IF(Summary!$E$70="no",(1+(Summary!$E$71*0.8)),1+HLOOKUP(YEAR(CALC!C199)-1,CCFMODEL!$I$127:$AF$128,2)*0.8)),+FM198)</f>
        <v>38.1108273076895</v>
      </c>
      <c r="FN199" s="1128" t="n">
        <f aca="false">IF((OR(MONTH(C199)=5,MONTH(C199)=6,MONTH(C199)=7,MONTH(C199)=8,MONTH(C199)=9)),SUM(FB199:FG199)/(1-BC199)*FL199,SUM(FB199:FG199)/(1-BC199)*FM199)</f>
        <v>691139.85322495</v>
      </c>
      <c r="FO199" s="1129" t="n">
        <f aca="false">FK199+FN199</f>
        <v>1369369.56511239</v>
      </c>
      <c r="FP199" s="1169" t="n">
        <f aca="false">FB199</f>
        <v>9751.5</v>
      </c>
      <c r="FQ199" s="1129" t="n">
        <f aca="false">FC199</f>
        <v>2925.45</v>
      </c>
      <c r="FR199" s="1129" t="n">
        <f aca="false">FD199</f>
        <v>1773</v>
      </c>
      <c r="FS199" s="1129" t="n">
        <f aca="false">FE199</f>
        <v>531.9</v>
      </c>
      <c r="FT199" s="1129" t="n">
        <f aca="false">FF199</f>
        <v>2216.25</v>
      </c>
      <c r="FU199" s="1129" t="n">
        <f aca="false">FG199</f>
        <v>664.875</v>
      </c>
      <c r="FV199" s="1170" t="n">
        <f aca="false">FH199</f>
        <v>0</v>
      </c>
      <c r="FW199" s="1115" t="n">
        <f aca="false">IF(ER199&gt;0,MIN(FB199-FP199,BL199),0)</f>
        <v>0</v>
      </c>
      <c r="FX199" s="1115" t="n">
        <f aca="false">IF(ES199&gt;0,MIN(FD199-FR199,BM199),0)</f>
        <v>0</v>
      </c>
      <c r="FY199" s="1115" t="n">
        <f aca="false">IF(ET199&gt;0,MIN(FF199-FT199,BN199),0)</f>
        <v>0</v>
      </c>
      <c r="FZ199" s="1143" t="n">
        <f aca="false">IF(EU199&gt;0,MIN(FH199-FV199,BO199),0)</f>
        <v>0</v>
      </c>
      <c r="GA199" s="1132" t="n">
        <f aca="false">(SUM(FP199:FV199)+SUM(GU199:HB199)/(1-Summary!$O$25))*CY199/1000</f>
        <v>236972.725935329</v>
      </c>
      <c r="GB199" s="1133" t="n">
        <f aca="false">IF($C199&lt;Summary!$M$81,+Summary!$O$81,VLOOKUP(C199,GasTable,19))</f>
        <v>3.42425832791002</v>
      </c>
      <c r="GC199" s="1134" t="n">
        <f aca="false">IF(H199&lt;=Summary!$N$84,MIN(GA199,Summary!$O$75*(H199-G199+1)),0)</f>
        <v>0</v>
      </c>
      <c r="GD199" s="1135" t="n">
        <f aca="false">IF(C199&lt;Summary!$N$84,IF(Summary!$O$75*(H199-G199+1)*0.8&gt;GC199,1,0),0)</f>
        <v>0</v>
      </c>
      <c r="GE199" s="1136" t="n">
        <v>0</v>
      </c>
      <c r="GF199" s="1134" t="n">
        <f aca="false">ABS(MIN(0,GC199-$GA199))</f>
        <v>236972.725935329</v>
      </c>
      <c r="GG199" s="1135" t="n">
        <f aca="false">GF199*(IF(Summary!$O$74=1,VLOOKUP($C199,GasTable,16)+Summary!$O$92+Summary!$O$93,VLOOKUP($C199,GasTable,19)+Summary!$O$92+Summary!$O$93))</f>
        <v>823802.109292819</v>
      </c>
      <c r="GH199" s="1137" t="n">
        <v>5307.60040826053</v>
      </c>
      <c r="GI199" s="1138" t="n">
        <v>0</v>
      </c>
      <c r="GJ199" s="1139" t="n">
        <f aca="false">+GB199*GC199+GE199+GG199+GH199-GI199</f>
        <v>829109.70970108</v>
      </c>
      <c r="GK199" s="1115" t="n">
        <f aca="false">SUM(FP199:FV199,GU199:GX199,GY199:HB199)</f>
        <v>30062.01285</v>
      </c>
      <c r="GL199" s="1140" t="n">
        <v>0.52048684144</v>
      </c>
      <c r="GM199" s="1141" t="n">
        <f aca="false">IF(GK199&gt;GC199/(CY199/1000),GC199/(CY199/1000),+GK199)*GL199</f>
        <v>0</v>
      </c>
      <c r="GN199" s="1115" t="n">
        <f aca="false">IF(SUM(GU199:HB199)=0,0,IF(Summary!$O$16="Yes",SUM(GX199:HB199),IF(Summary!$O$17="Yes",SUM(GY199:HB199),SUM(GU199:HB199))))</f>
        <v>12199.03785</v>
      </c>
      <c r="GO199" s="1142" t="n">
        <v>3.70722326988881</v>
      </c>
      <c r="GP199" s="1143" t="n">
        <f aca="false">GN199*GO199</f>
        <v>45224.5569877743</v>
      </c>
      <c r="GQ199" s="1115"/>
      <c r="GR199" s="1115"/>
      <c r="GS199" s="1115"/>
      <c r="GT199" s="1115"/>
      <c r="GU199" s="1150" t="n">
        <v>5646.1185</v>
      </c>
      <c r="GV199" s="1115" t="n">
        <v>1026.567</v>
      </c>
      <c r="GW199" s="1115" t="n">
        <v>1283.20875</v>
      </c>
      <c r="GX199" s="1115"/>
      <c r="GY199" s="1151" t="n">
        <v>3011.2632</v>
      </c>
      <c r="GZ199" s="1115" t="n">
        <v>547.5024</v>
      </c>
      <c r="HA199" s="1115" t="n">
        <v>684.378</v>
      </c>
      <c r="HB199" s="1141"/>
      <c r="HC199" s="1115" t="n">
        <v>12199.03785</v>
      </c>
      <c r="HD199" s="1115"/>
      <c r="HE199" s="1115" t="n">
        <v>20950.521525</v>
      </c>
      <c r="HF199" s="1115" t="n">
        <v>511767.377821127</v>
      </c>
      <c r="HG199" s="1115"/>
      <c r="HH199" s="1142" t="n">
        <v>41.2630136580071</v>
      </c>
      <c r="HI199" s="1115" t="n">
        <v>864481.655828447</v>
      </c>
      <c r="HJ199" s="1150" t="n">
        <f aca="false">MAX(FB199-FP199-FW199,0)</f>
        <v>0</v>
      </c>
      <c r="HK199" s="1115" t="n">
        <f aca="false">MAX(FD199-FR199-FX199,0)</f>
        <v>0</v>
      </c>
      <c r="HL199" s="1115" t="n">
        <f aca="false">MAX(FF199-FT199-FY199,0)</f>
        <v>0</v>
      </c>
      <c r="HM199" s="1141" t="n">
        <f aca="false">MAX(FH199-FV199-FZ199,0)</f>
        <v>0</v>
      </c>
      <c r="HN199" s="1115" t="n">
        <f aca="false">SUM(HJ199:HM199)</f>
        <v>0</v>
      </c>
      <c r="HO199" s="1142" t="n">
        <f aca="false">IF(ISERROR(+HP199/HN199),0,+HP199/HN199)</f>
        <v>0</v>
      </c>
      <c r="HP199" s="1143" t="n">
        <f aca="false">(HJ199*CE199+HK199*CF199+HL199*CG199+HM199*CH199)</f>
        <v>0</v>
      </c>
      <c r="HQ199" s="1146"/>
      <c r="HR199" s="1150"/>
      <c r="HS199" s="1200"/>
      <c r="HT199" s="1141"/>
      <c r="HU199" s="1150"/>
      <c r="HV199" s="1200"/>
      <c r="HW199" s="1141"/>
      <c r="HX199" s="1200"/>
      <c r="HY199" s="1200"/>
      <c r="HZ199" s="0"/>
      <c r="IA199" s="1142"/>
      <c r="IB199" s="1142"/>
      <c r="IC199" s="1142"/>
      <c r="ID199" s="1142"/>
      <c r="IE199" s="1142"/>
      <c r="IF199" s="1142"/>
      <c r="IG199" s="1142"/>
      <c r="IH199" s="1142"/>
      <c r="II199" s="1142"/>
      <c r="IJ199" s="1142"/>
      <c r="IK199" s="1142"/>
      <c r="IL199" s="1190"/>
      <c r="IM199" s="222"/>
      <c r="IN199" s="222"/>
      <c r="IR199" s="844"/>
    </row>
    <row r="200" customFormat="false" ht="13.5" hidden="false" customHeight="false" outlineLevel="0" collapsed="false">
      <c r="A200" s="0" t="str">
        <f aca="false">+D200&amp;"Q"&amp;ROUNDUP(E200/3,0)</f>
        <v>2015Q2</v>
      </c>
      <c r="B200" s="0" t="n">
        <f aca="false">YEAR(C200)</f>
        <v>2015</v>
      </c>
      <c r="C200" s="1153" t="n">
        <f aca="false">EOMONTH(C199,0)+1</f>
        <v>42095</v>
      </c>
      <c r="D200" s="841" t="n">
        <f aca="false">+YEAR(C200)</f>
        <v>2015</v>
      </c>
      <c r="E200" s="807" t="n">
        <f aca="false">MONTH(C200)</f>
        <v>4</v>
      </c>
      <c r="F200" s="1154" t="e">
        <f aca="false">IF(G200="","",Holiday(D200,E200))</f>
        <v>#VALUE!</v>
      </c>
      <c r="G200" s="1155" t="n">
        <v>42095</v>
      </c>
      <c r="H200" s="1156" t="n">
        <v>42124</v>
      </c>
      <c r="I200" s="1157" t="n">
        <f aca="false">I199</f>
        <v>0.0715</v>
      </c>
      <c r="J200" s="1158" t="n">
        <f aca="false">(1+I200/2)^(-2*(DATE(D201,E201,20)-$H$7)/365.25)</f>
        <v>0.338298398999322</v>
      </c>
      <c r="K200" s="1159"/>
      <c r="L200" s="1158"/>
      <c r="M200" s="1082" t="n">
        <v>0</v>
      </c>
      <c r="N200" s="1110" t="n">
        <f aca="false">M200</f>
        <v>0</v>
      </c>
      <c r="O200" s="1174" t="n">
        <f aca="false">N200</f>
        <v>0</v>
      </c>
      <c r="P200" s="1175" t="n">
        <f aca="false">M200</f>
        <v>0</v>
      </c>
      <c r="Q200" s="1110" t="n">
        <f aca="false">P200</f>
        <v>0</v>
      </c>
      <c r="R200" s="1174" t="n">
        <f aca="false">Q200</f>
        <v>0</v>
      </c>
      <c r="S200" s="1110" t="n">
        <f aca="false">R200</f>
        <v>0</v>
      </c>
      <c r="T200" s="1110" t="n">
        <f aca="false">S200</f>
        <v>0</v>
      </c>
      <c r="U200" s="1110" t="n">
        <f aca="false">T200</f>
        <v>0</v>
      </c>
      <c r="V200" s="1175" t="n">
        <f aca="false">U200</f>
        <v>0</v>
      </c>
      <c r="W200" s="1110" t="n">
        <f aca="false">V200</f>
        <v>0</v>
      </c>
      <c r="X200" s="1176" t="n">
        <f aca="false">W200</f>
        <v>0</v>
      </c>
      <c r="Y200" s="1086" t="n">
        <v>0</v>
      </c>
      <c r="Z200" s="1086" t="n">
        <v>0</v>
      </c>
      <c r="AA200" s="1087" t="n">
        <v>0</v>
      </c>
      <c r="AB200" s="1086" t="n">
        <v>0</v>
      </c>
      <c r="AC200" s="1086" t="n">
        <v>0</v>
      </c>
      <c r="AD200" s="1087" t="n">
        <v>0</v>
      </c>
      <c r="AE200" s="1086" t="n">
        <v>0</v>
      </c>
      <c r="AF200" s="1086" t="n">
        <v>0</v>
      </c>
      <c r="AG200" s="1087" t="n">
        <v>0</v>
      </c>
      <c r="AH200" s="1086" t="n">
        <v>0</v>
      </c>
      <c r="AI200" s="1086" t="n">
        <v>0</v>
      </c>
      <c r="AJ200" s="1087" t="n">
        <v>0</v>
      </c>
      <c r="AK200" s="1086" t="n">
        <v>0</v>
      </c>
      <c r="AL200" s="1086" t="n">
        <v>0</v>
      </c>
      <c r="AM200" s="1087" t="n">
        <v>0</v>
      </c>
      <c r="AN200" s="1086" t="n">
        <v>0</v>
      </c>
      <c r="AO200" s="1086" t="n">
        <v>0</v>
      </c>
      <c r="AP200" s="1087" t="n">
        <v>0</v>
      </c>
      <c r="AQ200" s="1086" t="n">
        <v>0</v>
      </c>
      <c r="AR200" s="1086" t="n">
        <v>0</v>
      </c>
      <c r="AS200" s="1087" t="n">
        <v>0</v>
      </c>
      <c r="AT200" s="1086" t="n">
        <v>0</v>
      </c>
      <c r="AU200" s="1086" t="n">
        <v>0</v>
      </c>
      <c r="AV200" s="1086" t="n">
        <v>0</v>
      </c>
      <c r="AW200" s="1172" t="n">
        <v>0</v>
      </c>
      <c r="AX200" s="807" t="n">
        <f aca="false">BB200-SUM(AY200:BA200)</f>
        <v>22</v>
      </c>
      <c r="AY200" s="807" t="n">
        <f aca="false">IF(AND($E200=MONTH(Summary!$E$24),$D200=YEAR(Summary!$E$24)),Summary!$E$25,1)*IF(G200="",0,INT((H200-MOD(H200,7)-G200)/7)+1-IF(BA200,IF(WEEKDAY(F200)=7,1,0),0))</f>
        <v>4</v>
      </c>
      <c r="AZ200" s="807" t="n">
        <f aca="false">IF(AND($E200=MONTH(Summary!$E$24),$D200=YEAR(Summary!$E$24)),Summary!$E$25,1)*IF(G200="",0,INT((H200-MOD(H200-1,7)-G200)/7)+1-IF(BA200,IF(WEEKDAY(F200)=1,1,0),0))</f>
        <v>4</v>
      </c>
      <c r="BA200" s="807" t="n">
        <v>0</v>
      </c>
      <c r="BB200" s="807" t="n">
        <f aca="false">IF(AND($E200=MONTH(Summary!$E$24),$D200=YEAR(Summary!$E$24)),Summary!$E$25,1)*IF(G200="",0,H200-G200+1)</f>
        <v>30</v>
      </c>
      <c r="BC200" s="1089" t="n">
        <f aca="false">Summary!$E$19</f>
        <v>0.015</v>
      </c>
      <c r="BD200" s="1090" t="n">
        <v>15602.4</v>
      </c>
      <c r="BE200" s="1091" t="n">
        <v>2836.8</v>
      </c>
      <c r="BF200" s="1091" t="n">
        <v>2836.8</v>
      </c>
      <c r="BG200" s="842"/>
      <c r="BH200" s="1092" t="n">
        <v>1</v>
      </c>
      <c r="BI200" s="1092" t="n">
        <v>1</v>
      </c>
      <c r="BJ200" s="1092" t="n">
        <v>1</v>
      </c>
      <c r="BK200" s="1092" t="n">
        <v>1</v>
      </c>
      <c r="BL200" s="1093" t="n">
        <v>3120.48</v>
      </c>
      <c r="BM200" s="1091" t="n">
        <v>567.36</v>
      </c>
      <c r="BN200" s="1091" t="n">
        <v>567.36</v>
      </c>
      <c r="BO200" s="842"/>
      <c r="BP200" s="1092" t="n">
        <v>1</v>
      </c>
      <c r="BQ200" s="1094" t="n">
        <v>1</v>
      </c>
      <c r="BR200" s="1094" t="n">
        <v>1</v>
      </c>
      <c r="BS200" s="1095" t="n">
        <v>1</v>
      </c>
      <c r="BT200" s="1093" t="n">
        <f aca="false">SUM(BD200:BF200)</f>
        <v>21276</v>
      </c>
      <c r="BU200" s="1098" t="n">
        <f aca="false">SUM(BD200:BG200)</f>
        <v>21276</v>
      </c>
      <c r="BV200" s="1090" t="n">
        <f aca="false">SUM(BL200:BN200)</f>
        <v>4255.2</v>
      </c>
      <c r="BW200" s="1098" t="n">
        <f aca="false">SUM(BL200:BO200)</f>
        <v>4255.2</v>
      </c>
      <c r="BX200" s="852" t="n">
        <v>15.2936344969199</v>
      </c>
      <c r="BY200" s="1099" t="n">
        <v>0</v>
      </c>
      <c r="BZ200" s="852" t="n">
        <v>0</v>
      </c>
      <c r="CA200" s="852" t="n">
        <v>0</v>
      </c>
      <c r="CB200" s="852" t="n">
        <v>0</v>
      </c>
      <c r="CC200" s="852" t="n">
        <v>0</v>
      </c>
      <c r="CD200" s="852" t="n">
        <v>0</v>
      </c>
      <c r="CE200" s="1100" t="n">
        <v>0</v>
      </c>
      <c r="CF200" s="852" t="n">
        <v>0</v>
      </c>
      <c r="CG200" s="852" t="n">
        <v>0</v>
      </c>
      <c r="CH200" s="852" t="n">
        <v>0</v>
      </c>
      <c r="CI200" s="852" t="n">
        <v>0</v>
      </c>
      <c r="CJ200" s="1101" t="n">
        <v>0</v>
      </c>
      <c r="CK200" s="852" t="n">
        <v>0</v>
      </c>
      <c r="CL200" s="852" t="n">
        <v>0</v>
      </c>
      <c r="CM200" s="852" t="n">
        <v>0</v>
      </c>
      <c r="CN200" s="852" t="n">
        <v>0</v>
      </c>
      <c r="CO200" s="852" t="n">
        <v>0</v>
      </c>
      <c r="CP200" s="852" t="n">
        <v>0</v>
      </c>
      <c r="CQ200" s="1102" t="n">
        <v>0</v>
      </c>
      <c r="CR200" s="1103" t="n">
        <v>0</v>
      </c>
      <c r="CS200" s="1103" t="n">
        <v>0</v>
      </c>
      <c r="CT200" s="1103" t="n">
        <v>0</v>
      </c>
      <c r="CU200" s="1103" t="n">
        <v>0</v>
      </c>
      <c r="CV200" s="1103" t="n">
        <v>0</v>
      </c>
      <c r="CW200" s="1103" t="n">
        <v>0</v>
      </c>
      <c r="CX200" s="1104" t="n">
        <v>0</v>
      </c>
      <c r="CY200" s="1105" t="n">
        <v>7769.7632</v>
      </c>
      <c r="CZ200" s="1099" t="n">
        <v>0</v>
      </c>
      <c r="DA200" s="852" t="n">
        <v>0</v>
      </c>
      <c r="DB200" s="852" t="n">
        <v>0</v>
      </c>
      <c r="DC200" s="852" t="n">
        <v>0</v>
      </c>
      <c r="DD200" s="852" t="n">
        <v>0</v>
      </c>
      <c r="DE200" s="1113" t="n">
        <v>0</v>
      </c>
      <c r="DF200" s="1109" t="n">
        <v>0</v>
      </c>
      <c r="DG200" s="1110" t="n">
        <v>0</v>
      </c>
      <c r="DH200" s="1111" t="n">
        <v>0</v>
      </c>
      <c r="DI200" s="1112" t="n">
        <v>0</v>
      </c>
      <c r="DJ200" s="1112" t="n">
        <v>0</v>
      </c>
      <c r="DK200" s="1112" t="n">
        <v>0</v>
      </c>
      <c r="DL200" s="1113" t="n">
        <v>0</v>
      </c>
      <c r="DM200" s="1114" t="n">
        <v>0</v>
      </c>
      <c r="DN200" s="1114" t="n">
        <v>0</v>
      </c>
      <c r="DO200" s="1114" t="n">
        <v>0</v>
      </c>
      <c r="DP200" s="1114" t="n">
        <v>0</v>
      </c>
      <c r="DQ200" s="1114" t="n">
        <v>0</v>
      </c>
      <c r="DR200" s="1109" t="n">
        <v>0</v>
      </c>
      <c r="DS200" s="852" t="n">
        <v>0</v>
      </c>
      <c r="DT200" s="852" t="n">
        <v>0</v>
      </c>
      <c r="DU200" s="852" t="n">
        <v>0</v>
      </c>
      <c r="DV200" s="852" t="n">
        <v>0</v>
      </c>
      <c r="DW200" s="852" t="n">
        <v>0</v>
      </c>
      <c r="DX200" s="852" t="n">
        <v>0</v>
      </c>
      <c r="DY200" s="852" t="n">
        <v>0</v>
      </c>
      <c r="DZ200" s="852" t="n">
        <v>0</v>
      </c>
      <c r="EA200" s="852" t="n">
        <v>0</v>
      </c>
      <c r="EB200" s="1113" t="n">
        <v>0</v>
      </c>
      <c r="EC200" s="1115" t="n">
        <f aca="false">DS200*BD200</f>
        <v>0</v>
      </c>
      <c r="ED200" s="1115" t="n">
        <f aca="false">DT200*BE200</f>
        <v>0</v>
      </c>
      <c r="EE200" s="1115" t="n">
        <f aca="false">DU200*BF200</f>
        <v>0</v>
      </c>
      <c r="EF200" s="1115" t="n">
        <f aca="false">DV200*BG200</f>
        <v>0</v>
      </c>
      <c r="EG200" s="1115" t="n">
        <f aca="false">DS200*BD200+DT200*BE200+DU200*BF200+DV200*BG200</f>
        <v>0</v>
      </c>
      <c r="EH200" s="1116" t="n">
        <v>0</v>
      </c>
      <c r="EI200" s="1117" t="n">
        <v>0</v>
      </c>
      <c r="EJ200" s="1117" t="n">
        <v>0</v>
      </c>
      <c r="EK200" s="1117" t="n">
        <v>0</v>
      </c>
      <c r="EL200" s="1118" t="n">
        <f aca="false">IF(C200&gt;=Summary!$E$26,MAX(0,SUM(EH200:EK200)),0)</f>
        <v>0</v>
      </c>
      <c r="EM200" s="1115" t="n">
        <f aca="false">IF(C200&gt;=Summary!$E$26,DX200*BL200,0)</f>
        <v>0</v>
      </c>
      <c r="EN200" s="1115" t="n">
        <f aca="false">IF(C200&gt;=Summary!$E$26,DY200*BM200,0)</f>
        <v>0</v>
      </c>
      <c r="EO200" s="1115" t="n">
        <f aca="false">IF(C200&gt;=Summary!$E$26,DZ200*BN200,0)</f>
        <v>0</v>
      </c>
      <c r="EP200" s="1115" t="n">
        <f aca="false">IF(C200&gt;=Summary!$E$26,EA200*BO200,0)</f>
        <v>0</v>
      </c>
      <c r="EQ200" s="1115" t="n">
        <f aca="false">IF(C200&gt;=Summary!$E$26,DX200*BL200+DY200*BM200+DZ200*BN200+EA200*BO200,0)</f>
        <v>0</v>
      </c>
      <c r="ER200" s="1119" t="n">
        <v>0</v>
      </c>
      <c r="ES200" s="1120" t="n">
        <v>0</v>
      </c>
      <c r="ET200" s="1120" t="n">
        <v>0</v>
      </c>
      <c r="EU200" s="1120" t="n">
        <v>0</v>
      </c>
      <c r="EV200" s="1143" t="n">
        <f aca="false">IF(C200&gt;=Summary!$E$26,MAX(0,SUM(ER200:EU200)),0)</f>
        <v>0</v>
      </c>
      <c r="EW200" s="1115"/>
      <c r="EX200" s="1165" t="n">
        <f aca="false">(EQ200-EV200)+IF(EZ200="Yes",(EG200-EL200),0)</f>
        <v>0</v>
      </c>
      <c r="EY200" s="1166" t="str">
        <f aca="false">IF(EX200,EX200/EQ200,"")</f>
        <v/>
      </c>
      <c r="EZ200" s="1122" t="s">
        <v>37</v>
      </c>
      <c r="FA200" s="1096" t="n">
        <f aca="false">FA199</f>
        <v>45</v>
      </c>
      <c r="FB200" s="1167" t="n">
        <f aca="false">IF(EZ200="No",IF((OR(MONTH(C200)=5,MONTH(C200)=6,MONTH(C200)=7,MONTH(C200)=8,MONTH(C200)=9)),$FA200*12*AX200*(1-$BC200),$FA200*10*AX200*(1-$BC200)),0)</f>
        <v>9751.5</v>
      </c>
      <c r="FC200" s="1129" t="n">
        <f aca="false">IF(EZ200="No",IF((OR(MONTH(C200)=5,MONTH(C200)=6,MONTH(C200)=7,MONTH(C200)=8,MONTH(C200)=9)),0,$FA200*3*AX200*(1-$BC200)),0)</f>
        <v>2925.45</v>
      </c>
      <c r="FD200" s="1129" t="n">
        <f aca="false">IF(EZ200="No",IF((OR(MONTH(C200)=5,MONTH(C200)=6,MONTH(C200)=7,MONTH(C200)=8,MONTH(C200)=9)),$FA200*12*AY200*(1-$BC200),$FA200*10*AY200*(1-$BC200)),0)</f>
        <v>1773</v>
      </c>
      <c r="FE200" s="1129" t="n">
        <f aca="false">IF(EZ200="No",IF((OR(MONTH(C200)=5,MONTH(C200)=6,MONTH(C200)=7,MONTH(C200)=8,MONTH(C200)=9)),0,$FA200*3*AY200*(1-$BC200)),0)</f>
        <v>531.9</v>
      </c>
      <c r="FF200" s="1129" t="n">
        <f aca="false">IF(EZ200="No",IF((OR(MONTH(C200)=5,MONTH(C200)=6,MONTH(C200)=7,MONTH(C200)=8,MONTH(C200)=9)),$FA200*12*(AZ200+BA200)*(1-$BC200),$FA200*10*(AZ200+BA200)*(1-$BC200)),0)</f>
        <v>1773</v>
      </c>
      <c r="FG200" s="1129" t="n">
        <f aca="false">IF(EZ200="No",IF((OR(MONTH(C200)=5,MONTH(C200)=6,MONTH(C200)=7,MONTH(C200)=8,MONTH(C200)=9)),0,$FA200*3*(AZ200+BA200)*(1-$BC200)),0)</f>
        <v>531.9</v>
      </c>
      <c r="FH200" s="1170" t="n">
        <f aca="false">IF(EZ200="No",IF((OR(MONTH(C200)=5,MONTH(C200)=6,MONTH(C200)=7,MONTH(C200)=8,MONTH(C200)=9)),Summary!$O$15*12*(AX200+AY200+AZ200+BA200)*(1-$BC200),Summary!$O$15*13*(AX200+AY200+AZ200+BA200)*(1-$BC200)+IF(Summary!$O$16="Yes",(CALC!FA200+Summary!$O$15)*6*(AX200+AY200+AZ200+BA200)*(1-$BC200),0)),0)</f>
        <v>0</v>
      </c>
      <c r="FI200" s="1126" t="n">
        <f aca="false">IF(MONTH(C200)=5,FI199*(IF(Summary!$E$70="no",(1+(Summary!$E$71*0.8)),1+HLOOKUP(YEAR(C200)-1,CCFMODEL!$I$127:$AF$128,2)*0.8)),+FI199)</f>
        <v>37.9684633655614</v>
      </c>
      <c r="FJ200" s="1127" t="n">
        <f aca="false">IF(MONTH(C200)=5,FJ199*(IF(Summary!$E$70="no",(1+(Summary!$E$71*0.8)),1+HLOOKUP(YEAR(CALC!C200)-1,CCFMODEL!$I$127:$AF$128,2)*0.8)),FJ199)</f>
        <v>33.1850349100576</v>
      </c>
      <c r="FK200" s="1128" t="n">
        <f aca="false">SUM(FB200:FG200)*FI200+FH200*FJ200</f>
        <v>656351.334084619</v>
      </c>
      <c r="FL200" s="1126" t="n">
        <f aca="false">IF(MONTH(C200)=5,FL199*(IF(Summary!$E$70="no",(1+(Summary!$E$71*0.8)),1+HLOOKUP(YEAR(CALC!C200)-1,CCFMODEL!$I$127:$AF$128,2)*0.8)),+FL199)</f>
        <v>79.8519351396453</v>
      </c>
      <c r="FM200" s="1127" t="n">
        <f aca="false">IF(MONTH(C200)=5,FM199*(IF(Summary!$E$70="no",(1+(Summary!$E$71*0.8)),1+HLOOKUP(YEAR(CALC!C200)-1,CCFMODEL!$I$127:$AF$128,2)*0.8)),+FM199)</f>
        <v>38.1108273076895</v>
      </c>
      <c r="FN200" s="1128" t="n">
        <f aca="false">IF((OR(MONTH(C200)=5,MONTH(C200)=6,MONTH(C200)=7,MONTH(C200)=8,MONTH(C200)=9)),SUM(FB200:FG200)/(1-BC200)*FL200,SUM(FB200:FG200)/(1-BC200)*FM200)</f>
        <v>668845.019249951</v>
      </c>
      <c r="FO200" s="1129" t="n">
        <f aca="false">FK200+FN200</f>
        <v>1325196.35333457</v>
      </c>
      <c r="FP200" s="1169" t="n">
        <f aca="false">FB200</f>
        <v>9751.5</v>
      </c>
      <c r="FQ200" s="1129" t="n">
        <f aca="false">FC200</f>
        <v>2925.45</v>
      </c>
      <c r="FR200" s="1129" t="n">
        <f aca="false">FD200</f>
        <v>1773</v>
      </c>
      <c r="FS200" s="1129" t="n">
        <f aca="false">FE200</f>
        <v>531.9</v>
      </c>
      <c r="FT200" s="1129" t="n">
        <f aca="false">FF200</f>
        <v>1773</v>
      </c>
      <c r="FU200" s="1129" t="n">
        <f aca="false">FG200</f>
        <v>531.9</v>
      </c>
      <c r="FV200" s="1170" t="n">
        <f aca="false">FH200</f>
        <v>0</v>
      </c>
      <c r="FW200" s="1115" t="n">
        <f aca="false">IF(ER200&gt;0,MIN(FB200-FP200,BL200),0)</f>
        <v>0</v>
      </c>
      <c r="FX200" s="1115" t="n">
        <f aca="false">IF(ES200&gt;0,MIN(FD200-FR200,BM200),0)</f>
        <v>0</v>
      </c>
      <c r="FY200" s="1115" t="n">
        <f aca="false">IF(ET200&gt;0,MIN(FF200-FT200,BN200),0)</f>
        <v>0</v>
      </c>
      <c r="FZ200" s="1143" t="n">
        <f aca="false">IF(EU200&gt;0,MIN(FH200-FV200,BO200),0)</f>
        <v>0</v>
      </c>
      <c r="GA200" s="1132" t="n">
        <f aca="false">(SUM(FP200:FV200)+SUM(GU200:HB200)/(1-Summary!$O$25))*CY200/1000</f>
        <v>229366.90605744</v>
      </c>
      <c r="GB200" s="1133" t="n">
        <f aca="false">IF($C200&lt;Summary!$M$81,+Summary!$O$81,VLOOKUP(C200,GasTable,19))</f>
        <v>3.32152813358933</v>
      </c>
      <c r="GC200" s="1134" t="n">
        <f aca="false">IF(H200&lt;=Summary!$N$84,MIN(GA200,Summary!$O$75*(H200-G200+1)),0)</f>
        <v>0</v>
      </c>
      <c r="GD200" s="1135" t="n">
        <f aca="false">IF(C200&lt;Summary!$N$84,IF(Summary!$O$75*(H200-G200+1)*0.8&gt;GC200,1,0),0)</f>
        <v>0</v>
      </c>
      <c r="GE200" s="1136" t="n">
        <v>0</v>
      </c>
      <c r="GF200" s="1134" t="n">
        <f aca="false">ABS(MIN(0,GC200-$GA200))</f>
        <v>229366.90605744</v>
      </c>
      <c r="GG200" s="1135" t="n">
        <f aca="false">GF200*(IF(Summary!$O$74=1,VLOOKUP($C200,GasTable,16)+Summary!$O$92+Summary!$O$93,VLOOKUP($C200,GasTable,19)+Summary!$O$92+Summary!$O$93))</f>
        <v>773798.647189721</v>
      </c>
      <c r="GH200" s="1137" t="n">
        <v>4982.292200384</v>
      </c>
      <c r="GI200" s="1138" t="n">
        <v>0</v>
      </c>
      <c r="GJ200" s="1139" t="n">
        <f aca="false">+GB200*GC200+GE200+GG200+GH200-GI200</f>
        <v>778780.939390105</v>
      </c>
      <c r="GK200" s="1115" t="n">
        <f aca="false">SUM(FP200:FV200,GU200:GX200,GY200:HB200)</f>
        <v>29092.2705</v>
      </c>
      <c r="GL200" s="1140" t="n">
        <v>0.5205741344</v>
      </c>
      <c r="GM200" s="1141" t="n">
        <f aca="false">IF(GK200&gt;GC200/(CY200/1000),GC200/(CY200/1000),+GK200)*GL200</f>
        <v>0</v>
      </c>
      <c r="GN200" s="1115" t="n">
        <f aca="false">IF(SUM(GU200:HB200)=0,0,IF(Summary!$O$16="Yes",SUM(GX200:HB200),IF(Summary!$O$17="Yes",SUM(GY200:HB200),SUM(GU200:HB200))))</f>
        <v>11805.5205</v>
      </c>
      <c r="GO200" s="1142" t="n">
        <v>3.70722326988881</v>
      </c>
      <c r="GP200" s="1143" t="n">
        <f aca="false">GN200*GO200</f>
        <v>43765.7003107493</v>
      </c>
      <c r="GQ200" s="1115"/>
      <c r="GR200" s="1115"/>
      <c r="GS200" s="1115"/>
      <c r="GT200" s="1115"/>
      <c r="GU200" s="1150" t="n">
        <v>5646.1185</v>
      </c>
      <c r="GV200" s="1115" t="n">
        <v>1026.567</v>
      </c>
      <c r="GW200" s="1115" t="n">
        <v>1026.567</v>
      </c>
      <c r="GX200" s="1115"/>
      <c r="GY200" s="1151" t="n">
        <v>3011.2632</v>
      </c>
      <c r="GZ200" s="1115" t="n">
        <v>547.5024</v>
      </c>
      <c r="HA200" s="1115" t="n">
        <v>547.5024</v>
      </c>
      <c r="HB200" s="1141"/>
      <c r="HC200" s="1115" t="n">
        <v>11805.5205</v>
      </c>
      <c r="HD200" s="1115"/>
      <c r="HE200" s="1115" t="n">
        <v>20274.69825</v>
      </c>
      <c r="HF200" s="1115" t="n">
        <v>470856.662144738</v>
      </c>
      <c r="HG200" s="1115"/>
      <c r="HH200" s="1142" t="n">
        <v>39.1637506424313</v>
      </c>
      <c r="HI200" s="1115" t="n">
        <v>794033.226613537</v>
      </c>
      <c r="HJ200" s="1150" t="n">
        <f aca="false">MAX(FB200-FP200-FW200,0)</f>
        <v>0</v>
      </c>
      <c r="HK200" s="1115" t="n">
        <f aca="false">MAX(FD200-FR200-FX200,0)</f>
        <v>0</v>
      </c>
      <c r="HL200" s="1115" t="n">
        <f aca="false">MAX(FF200-FT200-FY200,0)</f>
        <v>0</v>
      </c>
      <c r="HM200" s="1141" t="n">
        <f aca="false">MAX(FH200-FV200-FZ200,0)</f>
        <v>0</v>
      </c>
      <c r="HN200" s="1115" t="n">
        <f aca="false">SUM(HJ200:HM200)</f>
        <v>0</v>
      </c>
      <c r="HO200" s="1142" t="n">
        <f aca="false">IF(ISERROR(+HP200/HN200),0,+HP200/HN200)</f>
        <v>0</v>
      </c>
      <c r="HP200" s="1143" t="n">
        <f aca="false">(HJ200*CE200+HK200*CF200+HL200*CG200+HM200*CH200)</f>
        <v>0</v>
      </c>
      <c r="HQ200" s="1146"/>
      <c r="HR200" s="1150"/>
      <c r="HS200" s="1200"/>
      <c r="HT200" s="1141"/>
      <c r="HU200" s="1150"/>
      <c r="HV200" s="1200"/>
      <c r="HW200" s="1141"/>
      <c r="HX200" s="1200"/>
      <c r="HY200" s="1200"/>
      <c r="HZ200" s="0"/>
      <c r="IA200" s="1142"/>
      <c r="IB200" s="1142"/>
      <c r="IC200" s="1142"/>
      <c r="ID200" s="1142"/>
      <c r="IE200" s="1142"/>
      <c r="IF200" s="1142"/>
      <c r="IG200" s="1142"/>
      <c r="IH200" s="1142"/>
      <c r="II200" s="1142"/>
      <c r="IJ200" s="1142"/>
      <c r="IK200" s="1142"/>
      <c r="IL200" s="1190"/>
      <c r="IM200" s="222"/>
      <c r="IN200" s="222"/>
      <c r="IR200" s="844"/>
    </row>
    <row r="201" customFormat="false" ht="13.5" hidden="false" customHeight="false" outlineLevel="0" collapsed="false">
      <c r="A201" s="0" t="str">
        <f aca="false">+D201&amp;"Q"&amp;ROUNDUP(E201/3,0)</f>
        <v>2015Q2</v>
      </c>
      <c r="B201" s="0" t="n">
        <f aca="false">YEAR(C201)</f>
        <v>2015</v>
      </c>
      <c r="C201" s="1153" t="n">
        <f aca="false">EOMONTH(C200,0)+1</f>
        <v>42125</v>
      </c>
      <c r="D201" s="841" t="n">
        <f aca="false">+YEAR(C201)</f>
        <v>2015</v>
      </c>
      <c r="E201" s="807" t="n">
        <f aca="false">MONTH(C201)</f>
        <v>5</v>
      </c>
      <c r="F201" s="1154" t="e">
        <f aca="false">IF(G201="","",Holiday(D201,E201))</f>
        <v>#VALUE!</v>
      </c>
      <c r="G201" s="1155" t="n">
        <v>42125</v>
      </c>
      <c r="H201" s="1156" t="n">
        <v>42155</v>
      </c>
      <c r="I201" s="1157" t="n">
        <f aca="false">I200</f>
        <v>0.0715</v>
      </c>
      <c r="J201" s="1158" t="n">
        <f aca="false">(1+I201/2)^(-2*(DATE(D202,E202,20)-$H$7)/365.25)</f>
        <v>0.336287299485897</v>
      </c>
      <c r="K201" s="1159"/>
      <c r="L201" s="1158"/>
      <c r="M201" s="1082" t="n">
        <v>0</v>
      </c>
      <c r="N201" s="1110" t="n">
        <f aca="false">M201</f>
        <v>0</v>
      </c>
      <c r="O201" s="1174" t="n">
        <f aca="false">N201</f>
        <v>0</v>
      </c>
      <c r="P201" s="1175" t="n">
        <f aca="false">M201</f>
        <v>0</v>
      </c>
      <c r="Q201" s="1110" t="n">
        <f aca="false">P201</f>
        <v>0</v>
      </c>
      <c r="R201" s="1174" t="n">
        <f aca="false">Q201</f>
        <v>0</v>
      </c>
      <c r="S201" s="1110" t="n">
        <f aca="false">R201</f>
        <v>0</v>
      </c>
      <c r="T201" s="1110" t="n">
        <f aca="false">S201</f>
        <v>0</v>
      </c>
      <c r="U201" s="1110" t="n">
        <f aca="false">T201</f>
        <v>0</v>
      </c>
      <c r="V201" s="1175" t="n">
        <f aca="false">U201</f>
        <v>0</v>
      </c>
      <c r="W201" s="1110" t="n">
        <f aca="false">V201</f>
        <v>0</v>
      </c>
      <c r="X201" s="1176" t="n">
        <f aca="false">W201</f>
        <v>0</v>
      </c>
      <c r="Y201" s="1086" t="n">
        <v>0</v>
      </c>
      <c r="Z201" s="1086" t="n">
        <v>0</v>
      </c>
      <c r="AA201" s="1087" t="n">
        <v>0</v>
      </c>
      <c r="AB201" s="1086" t="n">
        <v>0</v>
      </c>
      <c r="AC201" s="1086" t="n">
        <v>0</v>
      </c>
      <c r="AD201" s="1087" t="n">
        <v>0</v>
      </c>
      <c r="AE201" s="1086" t="n">
        <v>0</v>
      </c>
      <c r="AF201" s="1086" t="n">
        <v>0</v>
      </c>
      <c r="AG201" s="1087" t="n">
        <v>0</v>
      </c>
      <c r="AH201" s="1086" t="n">
        <v>0</v>
      </c>
      <c r="AI201" s="1086" t="n">
        <v>0</v>
      </c>
      <c r="AJ201" s="1087" t="n">
        <v>0</v>
      </c>
      <c r="AK201" s="1086" t="n">
        <v>0</v>
      </c>
      <c r="AL201" s="1086" t="n">
        <v>0</v>
      </c>
      <c r="AM201" s="1087" t="n">
        <v>0</v>
      </c>
      <c r="AN201" s="1086" t="n">
        <v>0</v>
      </c>
      <c r="AO201" s="1086" t="n">
        <v>0</v>
      </c>
      <c r="AP201" s="1087" t="n">
        <v>0</v>
      </c>
      <c r="AQ201" s="1086" t="n">
        <v>0</v>
      </c>
      <c r="AR201" s="1086" t="n">
        <v>0</v>
      </c>
      <c r="AS201" s="1087" t="n">
        <v>0</v>
      </c>
      <c r="AT201" s="1086" t="n">
        <v>0</v>
      </c>
      <c r="AU201" s="1086" t="n">
        <v>0</v>
      </c>
      <c r="AV201" s="1086" t="n">
        <v>0</v>
      </c>
      <c r="AW201" s="1172" t="n">
        <v>0</v>
      </c>
      <c r="AX201" s="807" t="e">
        <f aca="false">BB201-SUM(AY201:BA201)</f>
        <v>#VALUE!</v>
      </c>
      <c r="AY201" s="807" t="e">
        <f aca="false">IF(AND($E201=MONTH(Summary!$E$24),$D201=YEAR(Summary!$E$24)),Summary!$E$25,1)*IF(G201="",0,INT((H201-MOD(H201,7)-G201)/7)+1-IF(BA201,IF(WEEKDAY(F201)=7,1,0),0))</f>
        <v>#VALUE!</v>
      </c>
      <c r="AZ201" s="807" t="e">
        <f aca="false">IF(AND($E201=MONTH(Summary!$E$24),$D201=YEAR(Summary!$E$24)),Summary!$E$25,1)*IF(G201="",0,INT((H201-MOD(H201-1,7)-G201)/7)+1-IF(BA201,IF(WEEKDAY(F201)=1,1,0),0))</f>
        <v>#VALUE!</v>
      </c>
      <c r="BA201" s="807" t="n">
        <v>1</v>
      </c>
      <c r="BB201" s="807" t="n">
        <f aca="false">IF(AND($E201=MONTH(Summary!$E$24),$D201=YEAR(Summary!$E$24)),Summary!$E$25,1)*IF(G201="",0,H201-G201+1)</f>
        <v>31</v>
      </c>
      <c r="BC201" s="1089" t="n">
        <f aca="false">Summary!$E$19</f>
        <v>0.015</v>
      </c>
      <c r="BD201" s="1090" t="n">
        <v>14184</v>
      </c>
      <c r="BE201" s="1091" t="n">
        <v>3546</v>
      </c>
      <c r="BF201" s="1091" t="n">
        <v>4255.2</v>
      </c>
      <c r="BG201" s="842"/>
      <c r="BH201" s="1092" t="n">
        <v>1</v>
      </c>
      <c r="BI201" s="1092" t="n">
        <v>1</v>
      </c>
      <c r="BJ201" s="1092" t="n">
        <v>1</v>
      </c>
      <c r="BK201" s="1092" t="n">
        <v>1</v>
      </c>
      <c r="BL201" s="1093" t="n">
        <v>2836.8</v>
      </c>
      <c r="BM201" s="1091" t="n">
        <v>709.2</v>
      </c>
      <c r="BN201" s="1091" t="n">
        <v>851.04</v>
      </c>
      <c r="BO201" s="842"/>
      <c r="BP201" s="1092" t="n">
        <v>1</v>
      </c>
      <c r="BQ201" s="1094" t="n">
        <v>1</v>
      </c>
      <c r="BR201" s="1094" t="n">
        <v>1</v>
      </c>
      <c r="BS201" s="1095" t="n">
        <v>1</v>
      </c>
      <c r="BT201" s="1093" t="n">
        <f aca="false">SUM(BD201:BF201)</f>
        <v>21985.2</v>
      </c>
      <c r="BU201" s="1098" t="n">
        <f aca="false">SUM(BD201:BG201)</f>
        <v>21985.2</v>
      </c>
      <c r="BV201" s="1090" t="n">
        <f aca="false">SUM(BL201:BN201)</f>
        <v>4397.04</v>
      </c>
      <c r="BW201" s="1098" t="n">
        <f aca="false">SUM(BL201:BO201)</f>
        <v>4397.04</v>
      </c>
      <c r="BX201" s="852" t="n">
        <v>15.3757700205339</v>
      </c>
      <c r="BY201" s="1099" t="n">
        <v>0</v>
      </c>
      <c r="BZ201" s="852" t="n">
        <v>0</v>
      </c>
      <c r="CA201" s="852" t="n">
        <v>0</v>
      </c>
      <c r="CB201" s="852" t="n">
        <v>0</v>
      </c>
      <c r="CC201" s="852" t="n">
        <v>0</v>
      </c>
      <c r="CD201" s="852" t="n">
        <v>0</v>
      </c>
      <c r="CE201" s="1100" t="n">
        <v>0</v>
      </c>
      <c r="CF201" s="852" t="n">
        <v>0</v>
      </c>
      <c r="CG201" s="852" t="n">
        <v>0</v>
      </c>
      <c r="CH201" s="852" t="n">
        <v>0</v>
      </c>
      <c r="CI201" s="852" t="n">
        <v>0</v>
      </c>
      <c r="CJ201" s="1101" t="n">
        <v>0</v>
      </c>
      <c r="CK201" s="852" t="n">
        <v>0</v>
      </c>
      <c r="CL201" s="852" t="n">
        <v>0</v>
      </c>
      <c r="CM201" s="852" t="n">
        <v>0</v>
      </c>
      <c r="CN201" s="852" t="n">
        <v>0</v>
      </c>
      <c r="CO201" s="852" t="n">
        <v>0</v>
      </c>
      <c r="CP201" s="852" t="n">
        <v>0</v>
      </c>
      <c r="CQ201" s="1102" t="n">
        <v>0</v>
      </c>
      <c r="CR201" s="1103" t="n">
        <v>0</v>
      </c>
      <c r="CS201" s="1103" t="n">
        <v>0</v>
      </c>
      <c r="CT201" s="1103" t="n">
        <v>0</v>
      </c>
      <c r="CU201" s="1103" t="n">
        <v>0</v>
      </c>
      <c r="CV201" s="1103" t="n">
        <v>0</v>
      </c>
      <c r="CW201" s="1103" t="n">
        <v>0</v>
      </c>
      <c r="CX201" s="1104" t="n">
        <v>0</v>
      </c>
      <c r="CY201" s="1105" t="n">
        <v>7771.06608</v>
      </c>
      <c r="CZ201" s="1099" t="n">
        <v>0</v>
      </c>
      <c r="DA201" s="852" t="n">
        <v>0</v>
      </c>
      <c r="DB201" s="852" t="n">
        <v>0</v>
      </c>
      <c r="DC201" s="852" t="n">
        <v>0</v>
      </c>
      <c r="DD201" s="852" t="n">
        <v>0</v>
      </c>
      <c r="DE201" s="1113" t="n">
        <v>0</v>
      </c>
      <c r="DF201" s="1109" t="n">
        <v>0</v>
      </c>
      <c r="DG201" s="1110" t="n">
        <v>0</v>
      </c>
      <c r="DH201" s="1111" t="n">
        <v>0</v>
      </c>
      <c r="DI201" s="1112" t="n">
        <v>0</v>
      </c>
      <c r="DJ201" s="1112" t="n">
        <v>0</v>
      </c>
      <c r="DK201" s="1112" t="n">
        <v>0</v>
      </c>
      <c r="DL201" s="1113" t="n">
        <v>0</v>
      </c>
      <c r="DM201" s="1114" t="n">
        <v>0</v>
      </c>
      <c r="DN201" s="1114" t="n">
        <v>0</v>
      </c>
      <c r="DO201" s="1114" t="n">
        <v>0</v>
      </c>
      <c r="DP201" s="1114" t="n">
        <v>0</v>
      </c>
      <c r="DQ201" s="1114" t="n">
        <v>0</v>
      </c>
      <c r="DR201" s="1109" t="n">
        <v>0</v>
      </c>
      <c r="DS201" s="852" t="n">
        <v>0</v>
      </c>
      <c r="DT201" s="852" t="n">
        <v>0</v>
      </c>
      <c r="DU201" s="852" t="n">
        <v>0</v>
      </c>
      <c r="DV201" s="852" t="n">
        <v>0</v>
      </c>
      <c r="DW201" s="852" t="n">
        <v>0</v>
      </c>
      <c r="DX201" s="852" t="n">
        <v>0</v>
      </c>
      <c r="DY201" s="852" t="n">
        <v>0</v>
      </c>
      <c r="DZ201" s="852" t="n">
        <v>0</v>
      </c>
      <c r="EA201" s="852" t="n">
        <v>0</v>
      </c>
      <c r="EB201" s="1113" t="n">
        <v>0</v>
      </c>
      <c r="EC201" s="1115" t="n">
        <f aca="false">DS201*BD201</f>
        <v>0</v>
      </c>
      <c r="ED201" s="1115" t="n">
        <f aca="false">DT201*BE201</f>
        <v>0</v>
      </c>
      <c r="EE201" s="1115" t="n">
        <f aca="false">DU201*BF201</f>
        <v>0</v>
      </c>
      <c r="EF201" s="1115" t="n">
        <f aca="false">DV201*BG201</f>
        <v>0</v>
      </c>
      <c r="EG201" s="1115" t="n">
        <f aca="false">DS201*BD201+DT201*BE201+DU201*BF201+DV201*BG201</f>
        <v>0</v>
      </c>
      <c r="EH201" s="1116" t="n">
        <v>0</v>
      </c>
      <c r="EI201" s="1117" t="n">
        <v>0</v>
      </c>
      <c r="EJ201" s="1117" t="n">
        <v>0</v>
      </c>
      <c r="EK201" s="1117" t="n">
        <v>0</v>
      </c>
      <c r="EL201" s="1118" t="n">
        <f aca="false">IF(C201&gt;=Summary!$E$26,MAX(0,SUM(EH201:EK201)),0)</f>
        <v>0</v>
      </c>
      <c r="EM201" s="1115" t="n">
        <f aca="false">IF(C201&gt;=Summary!$E$26,DX201*BL201,0)</f>
        <v>0</v>
      </c>
      <c r="EN201" s="1115" t="n">
        <f aca="false">IF(C201&gt;=Summary!$E$26,DY201*BM201,0)</f>
        <v>0</v>
      </c>
      <c r="EO201" s="1115" t="n">
        <f aca="false">IF(C201&gt;=Summary!$E$26,DZ201*BN201,0)</f>
        <v>0</v>
      </c>
      <c r="EP201" s="1115" t="n">
        <f aca="false">IF(C201&gt;=Summary!$E$26,EA201*BO201,0)</f>
        <v>0</v>
      </c>
      <c r="EQ201" s="1115" t="n">
        <f aca="false">IF(C201&gt;=Summary!$E$26,DX201*BL201+DY201*BM201+DZ201*BN201+EA201*BO201,0)</f>
        <v>0</v>
      </c>
      <c r="ER201" s="1119" t="n">
        <v>0</v>
      </c>
      <c r="ES201" s="1120" t="n">
        <v>0</v>
      </c>
      <c r="ET201" s="1120" t="n">
        <v>0</v>
      </c>
      <c r="EU201" s="1120" t="n">
        <v>0</v>
      </c>
      <c r="EV201" s="1143" t="n">
        <f aca="false">IF(C201&gt;=Summary!$E$26,MAX(0,SUM(ER201:EU201)),0)</f>
        <v>0</v>
      </c>
      <c r="EW201" s="1115"/>
      <c r="EX201" s="1165" t="n">
        <f aca="false">(EQ201-EV201)+IF(EZ201="Yes",(EG201-EL201),0)</f>
        <v>0</v>
      </c>
      <c r="EY201" s="1166" t="str">
        <f aca="false">IF(EX201,EX201/EQ201,"")</f>
        <v/>
      </c>
      <c r="EZ201" s="1122" t="s">
        <v>37</v>
      </c>
      <c r="FA201" s="1096" t="n">
        <f aca="false">FA200</f>
        <v>45</v>
      </c>
      <c r="FB201" s="1167" t="e">
        <f aca="false">IF(EZ201="No",IF((OR(MONTH(C201)=5,MONTH(C201)=6,MONTH(C201)=7,MONTH(C201)=8,MONTH(C201)=9)),$FA201*12*AX201*(1-$BC201),$FA201*10*AX201*(1-$BC201)),0)</f>
        <v>#VALUE!</v>
      </c>
      <c r="FC201" s="1129" t="n">
        <f aca="false">IF(EZ201="No",IF((OR(MONTH(C201)=5,MONTH(C201)=6,MONTH(C201)=7,MONTH(C201)=8,MONTH(C201)=9)),0,$FA201*3*AX201*(1-$BC201)),0)</f>
        <v>0</v>
      </c>
      <c r="FD201" s="1129" t="e">
        <f aca="false">IF(EZ201="No",IF((OR(MONTH(C201)=5,MONTH(C201)=6,MONTH(C201)=7,MONTH(C201)=8,MONTH(C201)=9)),$FA201*12*AY201*(1-$BC201),$FA201*10*AY201*(1-$BC201)),0)</f>
        <v>#VALUE!</v>
      </c>
      <c r="FE201" s="1129" t="n">
        <f aca="false">IF(EZ201="No",IF((OR(MONTH(C201)=5,MONTH(C201)=6,MONTH(C201)=7,MONTH(C201)=8,MONTH(C201)=9)),0,$FA201*3*AY201*(1-$BC201)),0)</f>
        <v>0</v>
      </c>
      <c r="FF201" s="1129" t="e">
        <f aca="false">IF(EZ201="No",IF((OR(MONTH(C201)=5,MONTH(C201)=6,MONTH(C201)=7,MONTH(C201)=8,MONTH(C201)=9)),$FA201*12*(AZ201+BA201)*(1-$BC201),$FA201*10*(AZ201+BA201)*(1-$BC201)),0)</f>
        <v>#VALUE!</v>
      </c>
      <c r="FG201" s="1129" t="n">
        <f aca="false">IF(EZ201="No",IF((OR(MONTH(C201)=5,MONTH(C201)=6,MONTH(C201)=7,MONTH(C201)=8,MONTH(C201)=9)),0,$FA201*3*(AZ201+BA201)*(1-$BC201)),0)</f>
        <v>0</v>
      </c>
      <c r="FH201" s="1170" t="e">
        <f aca="false">IF(EZ201="No",IF((OR(MONTH(C201)=5,MONTH(C201)=6,MONTH(C201)=7,MONTH(C201)=8,MONTH(C201)=9)),Summary!$O$15*12*(AX201+AY201+AZ201+BA201)*(1-$BC201),Summary!$O$15*13*(AX201+AY201+AZ201+BA201)*(1-$BC201)+IF(Summary!$O$16="Yes",(CALC!FA201+Summary!$O$15)*6*(AX201+AY201+AZ201+BA201)*(1-$BC201),0)),0)</f>
        <v>#VALUE!</v>
      </c>
      <c r="FI201" s="1126" t="n">
        <f aca="false">IF(MONTH(C201)=5,FI200*(IF(Summary!$E$70="no",(1+(Summary!$E$71*0.8)),1+HLOOKUP(YEAR(C201)-1,CCFMODEL!$I$127:$AF$128,2)*0.8)),+FI200)</f>
        <v>38.8797064863349</v>
      </c>
      <c r="FJ201" s="1127" t="n">
        <f aca="false">IF(MONTH(C201)=5,FJ200*(IF(Summary!$E$70="no",(1+(Summary!$E$71*0.8)),1+HLOOKUP(YEAR(CALC!C201)-1,CCFMODEL!$I$127:$AF$128,2)*0.8)),FJ200)</f>
        <v>33.981475747899</v>
      </c>
      <c r="FK201" s="1128" t="e">
        <f aca="false">SUM(FB201:FG201)*FI201+FH201*FJ201</f>
        <v>#VALUE!</v>
      </c>
      <c r="FL201" s="1126" t="n">
        <f aca="false">IF(MONTH(C201)=5,FL200*(IF(Summary!$E$70="no",(1+(Summary!$E$71*0.8)),1+HLOOKUP(YEAR(CALC!C201)-1,CCFMODEL!$I$127:$AF$128,2)*0.8)),+FL200)</f>
        <v>81.7683815829968</v>
      </c>
      <c r="FM201" s="1127" t="n">
        <f aca="false">IF(MONTH(C201)=5,FM200*(IF(Summary!$E$70="no",(1+(Summary!$E$71*0.8)),1+HLOOKUP(YEAR(CALC!C201)-1,CCFMODEL!$I$127:$AF$128,2)*0.8)),+FM200)</f>
        <v>39.0254871630741</v>
      </c>
      <c r="FN201" s="1128" t="e">
        <f aca="false">IF((OR(MONTH(C201)=5,MONTH(C201)=6,MONTH(C201)=7,MONTH(C201)=8,MONTH(C201)=9)),SUM(FB201:FG201)/(1-BC201)*FL201,SUM(FB201:FG201)/(1-BC201)*FM201)</f>
        <v>#VALUE!</v>
      </c>
      <c r="FO201" s="1129" t="e">
        <f aca="false">FK201+FN201</f>
        <v>#VALUE!</v>
      </c>
      <c r="FP201" s="1169" t="e">
        <f aca="false">FB201</f>
        <v>#VALUE!</v>
      </c>
      <c r="FQ201" s="1129" t="n">
        <f aca="false">FC201</f>
        <v>0</v>
      </c>
      <c r="FR201" s="1129" t="e">
        <f aca="false">FD201</f>
        <v>#VALUE!</v>
      </c>
      <c r="FS201" s="1129" t="n">
        <f aca="false">FE201</f>
        <v>0</v>
      </c>
      <c r="FT201" s="1129" t="e">
        <f aca="false">FF201</f>
        <v>#VALUE!</v>
      </c>
      <c r="FU201" s="1129" t="n">
        <f aca="false">FG201</f>
        <v>0</v>
      </c>
      <c r="FV201" s="1170" t="e">
        <f aca="false">FH201</f>
        <v>#VALUE!</v>
      </c>
      <c r="FW201" s="1115" t="n">
        <f aca="false">IF(ER201&gt;0,MIN(FB201-FP201,BL201),0)</f>
        <v>0</v>
      </c>
      <c r="FX201" s="1115" t="n">
        <f aca="false">IF(ES201&gt;0,MIN(FD201-FR201,BM201),0)</f>
        <v>0</v>
      </c>
      <c r="FY201" s="1115" t="n">
        <f aca="false">IF(ET201&gt;0,MIN(FF201-FT201,BN201),0)</f>
        <v>0</v>
      </c>
      <c r="FZ201" s="1143" t="n">
        <f aca="false">IF(EU201&gt;0,MIN(FH201-FV201,BO201),0)</f>
        <v>0</v>
      </c>
      <c r="GA201" s="1132" t="e">
        <f aca="false">(SUM(FP201:FV201)+SUM(GU201:HB201)/(1-Summary!$O$25))*CY201/1000</f>
        <v>#VALUE!</v>
      </c>
      <c r="GB201" s="1133" t="n">
        <f aca="false">IF($C201&lt;Summary!$M$81,+Summary!$O$81,VLOOKUP(C201,GasTable,19))</f>
        <v>3.29647819586819</v>
      </c>
      <c r="GC201" s="1134" t="n">
        <f aca="false">IF(H201&lt;=Summary!$N$84,MIN(GA201,Summary!$O$75*(H201-G201+1)),0)</f>
        <v>0</v>
      </c>
      <c r="GD201" s="1135" t="n">
        <f aca="false">IF(C201&lt;Summary!$N$84,IF(Summary!$O$75*(H201-G201+1)*0.8&gt;GC201,1,0),0)</f>
        <v>0</v>
      </c>
      <c r="GE201" s="1136" t="n">
        <v>0</v>
      </c>
      <c r="GF201" s="1134" t="e">
        <f aca="false">ABS(MIN(0,GC201-$GA201))</f>
        <v>#VALUE!</v>
      </c>
      <c r="GG201" s="1135" t="e">
        <f aca="false">GF201*(IF(Summary!$O$74=1,VLOOKUP($C201,GasTable,16)+Summary!$O$92+Summary!$O$93,VLOOKUP($C201,GasTable,19)+Summary!$O$92+Summary!$O$93))</f>
        <v>#VALUE!</v>
      </c>
      <c r="GH201" s="1137" t="n">
        <v>5109.5412035957</v>
      </c>
      <c r="GI201" s="1138" t="n">
        <v>0</v>
      </c>
      <c r="GJ201" s="1139" t="e">
        <f aca="false">+GB201*GC201+GE201+GG201+GH201-GI201</f>
        <v>#VALUE!</v>
      </c>
      <c r="GK201" s="1115" t="e">
        <f aca="false">SUM(FP201:FV201,GU201:GX201,GY201:HB201)</f>
        <v>#VALUE!</v>
      </c>
      <c r="GL201" s="1140" t="n">
        <v>0.52066142736</v>
      </c>
      <c r="GM201" s="1141" t="e">
        <f aca="false">IF(GK201&gt;GC201/(CY201/1000),GC201/(CY201/1000),+GK201)*GL201</f>
        <v>#VALUE!</v>
      </c>
      <c r="GN201" s="1115" t="n">
        <f aca="false">IF(SUM(GU201:HB201)=0,0,IF(Summary!$O$16="Yes",SUM(GX201:HB201),IF(Summary!$O$17="Yes",SUM(GY201:HB201),SUM(GU201:HB201))))</f>
        <v>9547.0731</v>
      </c>
      <c r="GO201" s="1142" t="n">
        <v>3.70722326988881</v>
      </c>
      <c r="GP201" s="1143" t="n">
        <f aca="false">GN201*GO201</f>
        <v>35393.1315556495</v>
      </c>
      <c r="GQ201" s="1115"/>
      <c r="GR201" s="1115"/>
      <c r="GS201" s="1115"/>
      <c r="GT201" s="1115"/>
      <c r="GU201" s="1150" t="n">
        <v>3421.89</v>
      </c>
      <c r="GV201" s="1115" t="n">
        <v>855.4725</v>
      </c>
      <c r="GW201" s="1115" t="n">
        <v>1026.567</v>
      </c>
      <c r="GX201" s="1115"/>
      <c r="GY201" s="1151" t="n">
        <v>2737.512</v>
      </c>
      <c r="GZ201" s="1115" t="n">
        <v>684.378</v>
      </c>
      <c r="HA201" s="1115" t="n">
        <v>821.2536</v>
      </c>
      <c r="HB201" s="1141"/>
      <c r="HC201" s="1115" t="n">
        <v>9547.0731</v>
      </c>
      <c r="HD201" s="1115"/>
      <c r="HE201" s="1115" t="n">
        <v>22276.5039</v>
      </c>
      <c r="HF201" s="1115" t="n">
        <v>389614.769865618</v>
      </c>
      <c r="HG201" s="1115"/>
      <c r="HH201" s="1142" t="n">
        <v>41.3483362723436</v>
      </c>
      <c r="HI201" s="1115" t="n">
        <v>921096.374229374</v>
      </c>
      <c r="HJ201" s="1150" t="e">
        <f aca="false">MAX(FB201-FP201-FW201,0)</f>
        <v>#VALUE!</v>
      </c>
      <c r="HK201" s="1115" t="e">
        <f aca="false">MAX(FD201-FR201-FX201,0)</f>
        <v>#VALUE!</v>
      </c>
      <c r="HL201" s="1115" t="e">
        <f aca="false">MAX(FF201-FT201-FY201,0)</f>
        <v>#VALUE!</v>
      </c>
      <c r="HM201" s="1141" t="e">
        <f aca="false">MAX(FH201-FV201-FZ201,0)</f>
        <v>#VALUE!</v>
      </c>
      <c r="HN201" s="1115" t="e">
        <f aca="false">SUM(HJ201:HM201)</f>
        <v>#VALUE!</v>
      </c>
      <c r="HO201" s="1142" t="n">
        <f aca="false">IF(ISERROR(+HP201/HN201),0,+HP201/HN201)</f>
        <v>0</v>
      </c>
      <c r="HP201" s="1143" t="e">
        <f aca="false">(HJ201*CE201+HK201*CF201+HL201*CG201+HM201*CH201)</f>
        <v>#VALUE!</v>
      </c>
      <c r="HQ201" s="1146"/>
      <c r="HR201" s="1150"/>
      <c r="HS201" s="1200"/>
      <c r="HT201" s="1141"/>
      <c r="HU201" s="1150"/>
      <c r="HV201" s="1200"/>
      <c r="HW201" s="1141"/>
      <c r="HX201" s="1200"/>
      <c r="HY201" s="1200"/>
      <c r="HZ201" s="0"/>
      <c r="IA201" s="1142"/>
      <c r="IB201" s="1142"/>
      <c r="IC201" s="1142"/>
      <c r="ID201" s="1142"/>
      <c r="IE201" s="1142"/>
      <c r="IF201" s="1142"/>
      <c r="IG201" s="1142"/>
      <c r="IH201" s="1142"/>
      <c r="II201" s="1142"/>
      <c r="IJ201" s="1142"/>
      <c r="IK201" s="1142"/>
      <c r="IL201" s="1190"/>
      <c r="IM201" s="222"/>
      <c r="IN201" s="222"/>
      <c r="IR201" s="844"/>
    </row>
    <row r="202" customFormat="false" ht="13.5" hidden="false" customHeight="false" outlineLevel="0" collapsed="false">
      <c r="A202" s="0" t="str">
        <f aca="false">+D202&amp;"Q"&amp;ROUNDUP(E202/3,0)</f>
        <v>2015Q2</v>
      </c>
      <c r="B202" s="0" t="n">
        <f aca="false">YEAR(C202)</f>
        <v>2015</v>
      </c>
      <c r="C202" s="1153" t="n">
        <f aca="false">EOMONTH(C201,0)+1</f>
        <v>42156</v>
      </c>
      <c r="D202" s="841" t="n">
        <f aca="false">+YEAR(C202)</f>
        <v>2015</v>
      </c>
      <c r="E202" s="807" t="n">
        <f aca="false">MONTH(C202)</f>
        <v>6</v>
      </c>
      <c r="F202" s="1154" t="e">
        <f aca="false">IF(G202="","",Holiday(D202,E202))</f>
        <v>#VALUE!</v>
      </c>
      <c r="G202" s="1155" t="n">
        <v>42156</v>
      </c>
      <c r="H202" s="1156" t="n">
        <v>42185</v>
      </c>
      <c r="I202" s="1157" t="n">
        <f aca="false">I201</f>
        <v>0.0715</v>
      </c>
      <c r="J202" s="1158" t="n">
        <f aca="false">(1+I202/2)^(-2*(DATE(D203,E203,20)-$H$7)/365.25)</f>
        <v>0.334352458092697</v>
      </c>
      <c r="K202" s="1159"/>
      <c r="L202" s="1158"/>
      <c r="M202" s="1082" t="n">
        <v>0</v>
      </c>
      <c r="N202" s="1110" t="n">
        <f aca="false">M202</f>
        <v>0</v>
      </c>
      <c r="O202" s="1174" t="n">
        <f aca="false">N202</f>
        <v>0</v>
      </c>
      <c r="P202" s="1175" t="n">
        <f aca="false">M202</f>
        <v>0</v>
      </c>
      <c r="Q202" s="1110" t="n">
        <f aca="false">P202</f>
        <v>0</v>
      </c>
      <c r="R202" s="1174" t="n">
        <f aca="false">Q202</f>
        <v>0</v>
      </c>
      <c r="S202" s="1110" t="n">
        <f aca="false">R202</f>
        <v>0</v>
      </c>
      <c r="T202" s="1110" t="n">
        <f aca="false">S202</f>
        <v>0</v>
      </c>
      <c r="U202" s="1110" t="n">
        <f aca="false">T202</f>
        <v>0</v>
      </c>
      <c r="V202" s="1175" t="n">
        <f aca="false">U202</f>
        <v>0</v>
      </c>
      <c r="W202" s="1110" t="n">
        <f aca="false">V202</f>
        <v>0</v>
      </c>
      <c r="X202" s="1176" t="n">
        <f aca="false">W202</f>
        <v>0</v>
      </c>
      <c r="Y202" s="1086" t="n">
        <v>0</v>
      </c>
      <c r="Z202" s="1086" t="n">
        <v>0</v>
      </c>
      <c r="AA202" s="1087" t="n">
        <v>0</v>
      </c>
      <c r="AB202" s="1086" t="n">
        <v>0</v>
      </c>
      <c r="AC202" s="1086" t="n">
        <v>0</v>
      </c>
      <c r="AD202" s="1087" t="n">
        <v>0</v>
      </c>
      <c r="AE202" s="1086" t="n">
        <v>0</v>
      </c>
      <c r="AF202" s="1086" t="n">
        <v>0</v>
      </c>
      <c r="AG202" s="1087" t="n">
        <v>0</v>
      </c>
      <c r="AH202" s="1086" t="n">
        <v>0</v>
      </c>
      <c r="AI202" s="1086" t="n">
        <v>0</v>
      </c>
      <c r="AJ202" s="1087" t="n">
        <v>0</v>
      </c>
      <c r="AK202" s="1086" t="n">
        <v>0</v>
      </c>
      <c r="AL202" s="1086" t="n">
        <v>0</v>
      </c>
      <c r="AM202" s="1087" t="n">
        <v>0</v>
      </c>
      <c r="AN202" s="1086" t="n">
        <v>0</v>
      </c>
      <c r="AO202" s="1086" t="n">
        <v>0</v>
      </c>
      <c r="AP202" s="1087" t="n">
        <v>0</v>
      </c>
      <c r="AQ202" s="1086" t="n">
        <v>0</v>
      </c>
      <c r="AR202" s="1086" t="n">
        <v>0</v>
      </c>
      <c r="AS202" s="1087" t="n">
        <v>0</v>
      </c>
      <c r="AT202" s="1086" t="n">
        <v>0</v>
      </c>
      <c r="AU202" s="1086" t="n">
        <v>0</v>
      </c>
      <c r="AV202" s="1086" t="n">
        <v>0</v>
      </c>
      <c r="AW202" s="1172" t="n">
        <v>0</v>
      </c>
      <c r="AX202" s="807" t="n">
        <f aca="false">BB202-SUM(AY202:BA202)</f>
        <v>22</v>
      </c>
      <c r="AY202" s="807" t="n">
        <f aca="false">IF(AND($E202=MONTH(Summary!$E$24),$D202=YEAR(Summary!$E$24)),Summary!$E$25,1)*IF(G202="",0,INT((H202-MOD(H202,7)-G202)/7)+1-IF(BA202,IF(WEEKDAY(F202)=7,1,0),0))</f>
        <v>4</v>
      </c>
      <c r="AZ202" s="807" t="n">
        <f aca="false">IF(AND($E202=MONTH(Summary!$E$24),$D202=YEAR(Summary!$E$24)),Summary!$E$25,1)*IF(G202="",0,INT((H202-MOD(H202-1,7)-G202)/7)+1-IF(BA202,IF(WEEKDAY(F202)=1,1,0),0))</f>
        <v>4</v>
      </c>
      <c r="BA202" s="807" t="n">
        <v>0</v>
      </c>
      <c r="BB202" s="807" t="n">
        <f aca="false">IF(AND($E202=MONTH(Summary!$E$24),$D202=YEAR(Summary!$E$24)),Summary!$E$25,1)*IF(G202="",0,H202-G202+1)</f>
        <v>30</v>
      </c>
      <c r="BC202" s="1089" t="n">
        <f aca="false">Summary!$E$19</f>
        <v>0.015</v>
      </c>
      <c r="BD202" s="1090" t="n">
        <v>15602.4</v>
      </c>
      <c r="BE202" s="1091" t="n">
        <v>2836.8</v>
      </c>
      <c r="BF202" s="1091" t="n">
        <v>2836.8</v>
      </c>
      <c r="BG202" s="842"/>
      <c r="BH202" s="1092" t="n">
        <v>1</v>
      </c>
      <c r="BI202" s="1092" t="n">
        <v>1</v>
      </c>
      <c r="BJ202" s="1092" t="n">
        <v>1</v>
      </c>
      <c r="BK202" s="1092" t="n">
        <v>1</v>
      </c>
      <c r="BL202" s="1093" t="n">
        <v>3120.48</v>
      </c>
      <c r="BM202" s="1091" t="n">
        <v>567.36</v>
      </c>
      <c r="BN202" s="1091" t="n">
        <v>567.36</v>
      </c>
      <c r="BO202" s="842"/>
      <c r="BP202" s="1092" t="n">
        <v>1</v>
      </c>
      <c r="BQ202" s="1094" t="n">
        <v>1</v>
      </c>
      <c r="BR202" s="1094" t="n">
        <v>1</v>
      </c>
      <c r="BS202" s="1095" t="n">
        <v>1</v>
      </c>
      <c r="BT202" s="1093" t="n">
        <f aca="false">SUM(BD202:BF202)</f>
        <v>21276</v>
      </c>
      <c r="BU202" s="1098" t="n">
        <f aca="false">SUM(BD202:BG202)</f>
        <v>21276</v>
      </c>
      <c r="BV202" s="1090" t="n">
        <f aca="false">SUM(BL202:BN202)</f>
        <v>4255.2</v>
      </c>
      <c r="BW202" s="1098" t="n">
        <f aca="false">SUM(BL202:BO202)</f>
        <v>4255.2</v>
      </c>
      <c r="BX202" s="852" t="n">
        <v>15.460643394935</v>
      </c>
      <c r="BY202" s="1099" t="n">
        <v>0</v>
      </c>
      <c r="BZ202" s="852" t="n">
        <v>0</v>
      </c>
      <c r="CA202" s="852" t="n">
        <v>0</v>
      </c>
      <c r="CB202" s="852" t="n">
        <v>0</v>
      </c>
      <c r="CC202" s="852" t="n">
        <v>0</v>
      </c>
      <c r="CD202" s="852" t="n">
        <v>0</v>
      </c>
      <c r="CE202" s="1100" t="n">
        <v>0</v>
      </c>
      <c r="CF202" s="852" t="n">
        <v>0</v>
      </c>
      <c r="CG202" s="852" t="n">
        <v>0</v>
      </c>
      <c r="CH202" s="852" t="n">
        <v>0</v>
      </c>
      <c r="CI202" s="852" t="n">
        <v>0</v>
      </c>
      <c r="CJ202" s="1101" t="n">
        <v>0</v>
      </c>
      <c r="CK202" s="852" t="n">
        <v>0</v>
      </c>
      <c r="CL202" s="852" t="n">
        <v>0</v>
      </c>
      <c r="CM202" s="852" t="n">
        <v>0</v>
      </c>
      <c r="CN202" s="852" t="n">
        <v>0</v>
      </c>
      <c r="CO202" s="852" t="n">
        <v>0</v>
      </c>
      <c r="CP202" s="852" t="n">
        <v>0</v>
      </c>
      <c r="CQ202" s="1102" t="n">
        <v>0</v>
      </c>
      <c r="CR202" s="1103" t="n">
        <v>0</v>
      </c>
      <c r="CS202" s="1103" t="n">
        <v>0</v>
      </c>
      <c r="CT202" s="1103" t="n">
        <v>0</v>
      </c>
      <c r="CU202" s="1103" t="n">
        <v>0</v>
      </c>
      <c r="CV202" s="1103" t="n">
        <v>0</v>
      </c>
      <c r="CW202" s="1103" t="n">
        <v>0</v>
      </c>
      <c r="CX202" s="1104" t="n">
        <v>0</v>
      </c>
      <c r="CY202" s="1105" t="n">
        <v>7772.36896</v>
      </c>
      <c r="CZ202" s="1099" t="n">
        <v>0</v>
      </c>
      <c r="DA202" s="852" t="n">
        <v>0</v>
      </c>
      <c r="DB202" s="852" t="n">
        <v>0</v>
      </c>
      <c r="DC202" s="852" t="n">
        <v>0</v>
      </c>
      <c r="DD202" s="852" t="n">
        <v>0</v>
      </c>
      <c r="DE202" s="1113" t="n">
        <v>0</v>
      </c>
      <c r="DF202" s="1109" t="n">
        <v>0</v>
      </c>
      <c r="DG202" s="1110" t="n">
        <v>0</v>
      </c>
      <c r="DH202" s="1111" t="n">
        <v>0</v>
      </c>
      <c r="DI202" s="1112" t="n">
        <v>0</v>
      </c>
      <c r="DJ202" s="1112" t="n">
        <v>0</v>
      </c>
      <c r="DK202" s="1112" t="n">
        <v>0</v>
      </c>
      <c r="DL202" s="1113" t="n">
        <v>0</v>
      </c>
      <c r="DM202" s="1114" t="n">
        <v>0</v>
      </c>
      <c r="DN202" s="1114" t="n">
        <v>0</v>
      </c>
      <c r="DO202" s="1114" t="n">
        <v>0</v>
      </c>
      <c r="DP202" s="1114" t="n">
        <v>0</v>
      </c>
      <c r="DQ202" s="1114" t="n">
        <v>0</v>
      </c>
      <c r="DR202" s="1109" t="n">
        <v>0</v>
      </c>
      <c r="DS202" s="852" t="n">
        <v>0</v>
      </c>
      <c r="DT202" s="852" t="n">
        <v>0</v>
      </c>
      <c r="DU202" s="852" t="n">
        <v>0</v>
      </c>
      <c r="DV202" s="852" t="n">
        <v>0</v>
      </c>
      <c r="DW202" s="852" t="n">
        <v>0</v>
      </c>
      <c r="DX202" s="852" t="n">
        <v>0</v>
      </c>
      <c r="DY202" s="852" t="n">
        <v>0</v>
      </c>
      <c r="DZ202" s="852" t="n">
        <v>0</v>
      </c>
      <c r="EA202" s="852" t="n">
        <v>0</v>
      </c>
      <c r="EB202" s="1113" t="n">
        <v>0</v>
      </c>
      <c r="EC202" s="1115" t="n">
        <f aca="false">DS202*BD202</f>
        <v>0</v>
      </c>
      <c r="ED202" s="1115" t="n">
        <f aca="false">DT202*BE202</f>
        <v>0</v>
      </c>
      <c r="EE202" s="1115" t="n">
        <f aca="false">DU202*BF202</f>
        <v>0</v>
      </c>
      <c r="EF202" s="1115" t="n">
        <f aca="false">DV202*BG202</f>
        <v>0</v>
      </c>
      <c r="EG202" s="1115" t="n">
        <f aca="false">DS202*BD202+DT202*BE202+DU202*BF202+DV202*BG202</f>
        <v>0</v>
      </c>
      <c r="EH202" s="1116" t="n">
        <v>0</v>
      </c>
      <c r="EI202" s="1117" t="n">
        <v>0</v>
      </c>
      <c r="EJ202" s="1117" t="n">
        <v>0</v>
      </c>
      <c r="EK202" s="1117" t="n">
        <v>0</v>
      </c>
      <c r="EL202" s="1118" t="n">
        <f aca="false">IF(C202&gt;=Summary!$E$26,MAX(0,SUM(EH202:EK202)),0)</f>
        <v>0</v>
      </c>
      <c r="EM202" s="1115" t="n">
        <f aca="false">IF(C202&gt;=Summary!$E$26,DX202*BL202,0)</f>
        <v>0</v>
      </c>
      <c r="EN202" s="1115" t="n">
        <f aca="false">IF(C202&gt;=Summary!$E$26,DY202*BM202,0)</f>
        <v>0</v>
      </c>
      <c r="EO202" s="1115" t="n">
        <f aca="false">IF(C202&gt;=Summary!$E$26,DZ202*BN202,0)</f>
        <v>0</v>
      </c>
      <c r="EP202" s="1115" t="n">
        <f aca="false">IF(C202&gt;=Summary!$E$26,EA202*BO202,0)</f>
        <v>0</v>
      </c>
      <c r="EQ202" s="1115" t="n">
        <f aca="false">IF(C202&gt;=Summary!$E$26,DX202*BL202+DY202*BM202+DZ202*BN202+EA202*BO202,0)</f>
        <v>0</v>
      </c>
      <c r="ER202" s="1119" t="n">
        <v>0</v>
      </c>
      <c r="ES202" s="1120" t="n">
        <v>0</v>
      </c>
      <c r="ET202" s="1120" t="n">
        <v>0</v>
      </c>
      <c r="EU202" s="1120" t="n">
        <v>0</v>
      </c>
      <c r="EV202" s="1143" t="n">
        <f aca="false">IF(C202&gt;=Summary!$E$26,MAX(0,SUM(ER202:EU202)),0)</f>
        <v>0</v>
      </c>
      <c r="EW202" s="1115"/>
      <c r="EX202" s="1165" t="n">
        <f aca="false">(EQ202-EV202)+IF(EZ202="Yes",(EG202-EL202),0)</f>
        <v>0</v>
      </c>
      <c r="EY202" s="1166" t="str">
        <f aca="false">IF(EX202,EX202/EQ202,"")</f>
        <v/>
      </c>
      <c r="EZ202" s="1122" t="s">
        <v>37</v>
      </c>
      <c r="FA202" s="1096" t="n">
        <f aca="false">FA201</f>
        <v>45</v>
      </c>
      <c r="FB202" s="1167" t="n">
        <f aca="false">IF(EZ202="No",IF((OR(MONTH(C202)=5,MONTH(C202)=6,MONTH(C202)=7,MONTH(C202)=8,MONTH(C202)=9)),$FA202*12*AX202*(1-$BC202),$FA202*10*AX202*(1-$BC202)),0)</f>
        <v>11701.8</v>
      </c>
      <c r="FC202" s="1129" t="n">
        <f aca="false">IF(EZ202="No",IF((OR(MONTH(C202)=5,MONTH(C202)=6,MONTH(C202)=7,MONTH(C202)=8,MONTH(C202)=9)),0,$FA202*3*AX202*(1-$BC202)),0)</f>
        <v>0</v>
      </c>
      <c r="FD202" s="1129" t="n">
        <f aca="false">IF(EZ202="No",IF((OR(MONTH(C202)=5,MONTH(C202)=6,MONTH(C202)=7,MONTH(C202)=8,MONTH(C202)=9)),$FA202*12*AY202*(1-$BC202),$FA202*10*AY202*(1-$BC202)),0)</f>
        <v>2127.6</v>
      </c>
      <c r="FE202" s="1129" t="n">
        <f aca="false">IF(EZ202="No",IF((OR(MONTH(C202)=5,MONTH(C202)=6,MONTH(C202)=7,MONTH(C202)=8,MONTH(C202)=9)),0,$FA202*3*AY202*(1-$BC202)),0)</f>
        <v>0</v>
      </c>
      <c r="FF202" s="1129" t="n">
        <f aca="false">IF(EZ202="No",IF((OR(MONTH(C202)=5,MONTH(C202)=6,MONTH(C202)=7,MONTH(C202)=8,MONTH(C202)=9)),$FA202*12*(AZ202+BA202)*(1-$BC202),$FA202*10*(AZ202+BA202)*(1-$BC202)),0)</f>
        <v>2127.6</v>
      </c>
      <c r="FG202" s="1129" t="n">
        <f aca="false">IF(EZ202="No",IF((OR(MONTH(C202)=5,MONTH(C202)=6,MONTH(C202)=7,MONTH(C202)=8,MONTH(C202)=9)),0,$FA202*3*(AZ202+BA202)*(1-$BC202)),0)</f>
        <v>0</v>
      </c>
      <c r="FH202" s="1170" t="n">
        <f aca="false">IF(EZ202="No",IF((OR(MONTH(C202)=5,MONTH(C202)=6,MONTH(C202)=7,MONTH(C202)=8,MONTH(C202)=9)),Summary!$O$15*12*(AX202+AY202+AZ202+BA202)*(1-$BC202),Summary!$O$15*13*(AX202+AY202+AZ202+BA202)*(1-$BC202)+IF(Summary!$O$16="Yes",(CALC!FA202+Summary!$O$15)*6*(AX202+AY202+AZ202+BA202)*(1-$BC202),0)),0)</f>
        <v>0</v>
      </c>
      <c r="FI202" s="1126" t="n">
        <f aca="false">IF(MONTH(C202)=5,FI201*(IF(Summary!$E$70="no",(1+(Summary!$E$71*0.8)),1+HLOOKUP(YEAR(C202)-1,CCFMODEL!$I$127:$AF$128,2)*0.8)),+FI201)</f>
        <v>38.8797064863349</v>
      </c>
      <c r="FJ202" s="1127" t="n">
        <f aca="false">IF(MONTH(C202)=5,FJ201*(IF(Summary!$E$70="no",(1+(Summary!$E$71*0.8)),1+HLOOKUP(YEAR(CALC!C202)-1,CCFMODEL!$I$127:$AF$128,2)*0.8)),FJ201)</f>
        <v>33.981475747899</v>
      </c>
      <c r="FK202" s="1128" t="n">
        <f aca="false">SUM(FB202:FG202)*FI202+FH202*FJ202</f>
        <v>620403.476402446</v>
      </c>
      <c r="FL202" s="1126" t="n">
        <f aca="false">IF(MONTH(C202)=5,FL201*(IF(Summary!$E$70="no",(1+(Summary!$E$71*0.8)),1+HLOOKUP(YEAR(CALC!C202)-1,CCFMODEL!$I$127:$AF$128,2)*0.8)),+FL201)</f>
        <v>81.7683815829968</v>
      </c>
      <c r="FM202" s="1127" t="n">
        <f aca="false">IF(MONTH(C202)=5,FM201*(IF(Summary!$E$70="no",(1+(Summary!$E$71*0.8)),1+HLOOKUP(YEAR(CALC!C202)-1,CCFMODEL!$I$127:$AF$128,2)*0.8)),+FM201)</f>
        <v>39.0254871630741</v>
      </c>
      <c r="FN202" s="1128" t="n">
        <f aca="false">IF((OR(MONTH(C202)=5,MONTH(C202)=6,MONTH(C202)=7,MONTH(C202)=8,MONTH(C202)=9)),SUM(FB202:FG202)/(1-BC202)*FL202,SUM(FB202:FG202)/(1-BC202)*FM202)</f>
        <v>1324647.78164455</v>
      </c>
      <c r="FO202" s="1129" t="n">
        <f aca="false">FK202+FN202</f>
        <v>1945051.25804699</v>
      </c>
      <c r="FP202" s="1169" t="n">
        <f aca="false">FB202</f>
        <v>11701.8</v>
      </c>
      <c r="FQ202" s="1129" t="n">
        <f aca="false">FC202</f>
        <v>0</v>
      </c>
      <c r="FR202" s="1129" t="n">
        <f aca="false">FD202</f>
        <v>2127.6</v>
      </c>
      <c r="FS202" s="1129" t="n">
        <f aca="false">FE202</f>
        <v>0</v>
      </c>
      <c r="FT202" s="1129" t="n">
        <f aca="false">FF202</f>
        <v>2127.6</v>
      </c>
      <c r="FU202" s="1129" t="n">
        <f aca="false">FG202</f>
        <v>0</v>
      </c>
      <c r="FV202" s="1170" t="n">
        <f aca="false">FH202</f>
        <v>0</v>
      </c>
      <c r="FW202" s="1115" t="n">
        <f aca="false">IF(ER202&gt;0,MIN(FB202-FP202,BL202),0)</f>
        <v>0</v>
      </c>
      <c r="FX202" s="1115" t="n">
        <f aca="false">IF(ES202&gt;0,MIN(FD202-FR202,BM202),0)</f>
        <v>0</v>
      </c>
      <c r="FY202" s="1115" t="n">
        <f aca="false">IF(ET202&gt;0,MIN(FF202-FT202,BN202),0)</f>
        <v>0</v>
      </c>
      <c r="FZ202" s="1143" t="n">
        <f aca="false">IF(EU202&gt;0,MIN(FH202-FV202,BO202),0)</f>
        <v>0</v>
      </c>
      <c r="GA202" s="1132" t="n">
        <f aca="false">(SUM(FP202:FV202)+SUM(GU202:HB202)/(1-Summary!$O$25))*CY202/1000</f>
        <v>198437.906391552</v>
      </c>
      <c r="GB202" s="1133" t="n">
        <f aca="false">IF($C202&lt;Summary!$M$81,+Summary!$O$81,VLOOKUP(C202,GasTable,19))</f>
        <v>3.33629774935247</v>
      </c>
      <c r="GC202" s="1134" t="n">
        <f aca="false">IF(H202&lt;=Summary!$N$84,MIN(GA202,Summary!$O$75*(H202-G202+1)),0)</f>
        <v>0</v>
      </c>
      <c r="GD202" s="1135" t="n">
        <f aca="false">IF(C202&lt;Summary!$N$84,IF(Summary!$O$75*(H202-G202+1)*0.8&gt;GC202,1,0),0)</f>
        <v>0</v>
      </c>
      <c r="GE202" s="1136" t="n">
        <v>0</v>
      </c>
      <c r="GF202" s="1134" t="n">
        <f aca="false">ABS(MIN(0,GC202-$GA202))</f>
        <v>198437.906391552</v>
      </c>
      <c r="GG202" s="1135" t="n">
        <f aca="false">GF202*(IF(Summary!$O$74=1,VLOOKUP($C202,GasTable,16)+Summary!$O$92+Summary!$O$93,VLOOKUP($C202,GasTable,19)+Summary!$O$92+Summary!$O$93))</f>
        <v>672386.55540335</v>
      </c>
      <c r="GH202" s="1137" t="n">
        <v>5004.4466240287</v>
      </c>
      <c r="GI202" s="1138" t="n">
        <v>0</v>
      </c>
      <c r="GJ202" s="1139" t="n">
        <f aca="false">+GB202*GC202+GE202+GG202+GH202-GI202</f>
        <v>677391.002027379</v>
      </c>
      <c r="GK202" s="1115" t="n">
        <f aca="false">SUM(FP202:FV202,GU202:GX202,GY202:HB202)</f>
        <v>25196.103</v>
      </c>
      <c r="GL202" s="1140" t="n">
        <v>0.52074872032</v>
      </c>
      <c r="GM202" s="1141" t="n">
        <f aca="false">IF(GK202&gt;GC202/(CY202/1000),GC202/(CY202/1000),+GK202)*GL202</f>
        <v>0</v>
      </c>
      <c r="GN202" s="1115" t="n">
        <f aca="false">IF(SUM(GU202:HB202)=0,0,IF(Summary!$O$16="Yes",SUM(GX202:HB202),IF(Summary!$O$17="Yes",SUM(GY202:HB202),SUM(GU202:HB202))))</f>
        <v>9239.103</v>
      </c>
      <c r="GO202" s="1142" t="n">
        <v>3.70722326988881</v>
      </c>
      <c r="GP202" s="1143" t="n">
        <f aca="false">GN202*GO202</f>
        <v>34251.4176344995</v>
      </c>
      <c r="GQ202" s="1115"/>
      <c r="GR202" s="1115"/>
      <c r="GS202" s="1115"/>
      <c r="GT202" s="1115"/>
      <c r="GU202" s="1150" t="n">
        <v>3764.079</v>
      </c>
      <c r="GV202" s="1115" t="n">
        <v>684.378</v>
      </c>
      <c r="GW202" s="1115" t="n">
        <v>684.378</v>
      </c>
      <c r="GX202" s="1115"/>
      <c r="GY202" s="1151" t="n">
        <v>3011.2632</v>
      </c>
      <c r="GZ202" s="1115" t="n">
        <v>547.5024</v>
      </c>
      <c r="HA202" s="1115" t="n">
        <v>547.5024</v>
      </c>
      <c r="HB202" s="1141"/>
      <c r="HC202" s="1115" t="n">
        <v>9239.103</v>
      </c>
      <c r="HD202" s="1115"/>
      <c r="HE202" s="1115" t="n">
        <v>21557.907</v>
      </c>
      <c r="HF202" s="1115" t="n">
        <v>389686.255894699</v>
      </c>
      <c r="HG202" s="1115"/>
      <c r="HH202" s="1142" t="n">
        <v>43.6336375973778</v>
      </c>
      <c r="HI202" s="1115" t="n">
        <v>940649.901395973</v>
      </c>
      <c r="HJ202" s="1150" t="n">
        <f aca="false">MAX(FB202-FP202-FW202,0)</f>
        <v>0</v>
      </c>
      <c r="HK202" s="1115" t="n">
        <f aca="false">MAX(FD202-FR202-FX202,0)</f>
        <v>0</v>
      </c>
      <c r="HL202" s="1115" t="n">
        <f aca="false">MAX(FF202-FT202-FY202,0)</f>
        <v>0</v>
      </c>
      <c r="HM202" s="1141" t="n">
        <f aca="false">MAX(FH202-FV202-FZ202,0)</f>
        <v>0</v>
      </c>
      <c r="HN202" s="1115" t="n">
        <f aca="false">SUM(HJ202:HM202)</f>
        <v>0</v>
      </c>
      <c r="HO202" s="1142" t="n">
        <f aca="false">IF(ISERROR(+HP202/HN202),0,+HP202/HN202)</f>
        <v>0</v>
      </c>
      <c r="HP202" s="1143" t="n">
        <f aca="false">(HJ202*CE202+HK202*CF202+HL202*CG202+HM202*CH202)</f>
        <v>0</v>
      </c>
      <c r="HQ202" s="1146"/>
      <c r="HR202" s="1150"/>
      <c r="HS202" s="1200"/>
      <c r="HT202" s="1141"/>
      <c r="HU202" s="1150"/>
      <c r="HV202" s="1200"/>
      <c r="HW202" s="1141"/>
      <c r="HX202" s="1200"/>
      <c r="HY202" s="1200"/>
      <c r="HZ202" s="0"/>
      <c r="IA202" s="1142"/>
      <c r="IB202" s="1142"/>
      <c r="IC202" s="1142"/>
      <c r="ID202" s="1142"/>
      <c r="IE202" s="1142"/>
      <c r="IF202" s="1142"/>
      <c r="IG202" s="1142"/>
      <c r="IH202" s="1142"/>
      <c r="II202" s="1142"/>
      <c r="IJ202" s="1142"/>
      <c r="IK202" s="1142"/>
      <c r="IL202" s="1190"/>
      <c r="IM202" s="222"/>
      <c r="IN202" s="222"/>
      <c r="IR202" s="844"/>
    </row>
    <row r="203" customFormat="false" ht="13.5" hidden="false" customHeight="false" outlineLevel="0" collapsed="false">
      <c r="A203" s="0" t="str">
        <f aca="false">+D203&amp;"Q"&amp;ROUNDUP(E203/3,0)</f>
        <v>2015Q3</v>
      </c>
      <c r="B203" s="0" t="n">
        <f aca="false">YEAR(C203)</f>
        <v>2015</v>
      </c>
      <c r="C203" s="1153" t="n">
        <f aca="false">EOMONTH(C202,0)+1</f>
        <v>42186</v>
      </c>
      <c r="D203" s="841" t="n">
        <f aca="false">+YEAR(C203)</f>
        <v>2015</v>
      </c>
      <c r="E203" s="807" t="n">
        <f aca="false">MONTH(C203)</f>
        <v>7</v>
      </c>
      <c r="F203" s="1154" t="e">
        <f aca="false">IF(G203="","",Holiday(D203,E203))</f>
        <v>#VALUE!</v>
      </c>
      <c r="G203" s="1155" t="n">
        <v>42186</v>
      </c>
      <c r="H203" s="1156" t="n">
        <v>42216</v>
      </c>
      <c r="I203" s="1157" t="n">
        <f aca="false">I202</f>
        <v>0.0715</v>
      </c>
      <c r="J203" s="1158" t="n">
        <f aca="false">(1+I203/2)^(-2*(DATE(D204,E204,20)-$H$7)/365.25)</f>
        <v>0.332364816212713</v>
      </c>
      <c r="K203" s="1159"/>
      <c r="L203" s="1158"/>
      <c r="M203" s="1082" t="n">
        <v>0</v>
      </c>
      <c r="N203" s="1110" t="n">
        <f aca="false">M203</f>
        <v>0</v>
      </c>
      <c r="O203" s="1174" t="n">
        <f aca="false">N203</f>
        <v>0</v>
      </c>
      <c r="P203" s="1175" t="n">
        <f aca="false">M203</f>
        <v>0</v>
      </c>
      <c r="Q203" s="1110" t="n">
        <f aca="false">P203</f>
        <v>0</v>
      </c>
      <c r="R203" s="1174" t="n">
        <f aca="false">Q203</f>
        <v>0</v>
      </c>
      <c r="S203" s="1110" t="n">
        <f aca="false">R203</f>
        <v>0</v>
      </c>
      <c r="T203" s="1110" t="n">
        <f aca="false">S203</f>
        <v>0</v>
      </c>
      <c r="U203" s="1110" t="n">
        <f aca="false">T203</f>
        <v>0</v>
      </c>
      <c r="V203" s="1175" t="n">
        <f aca="false">U203</f>
        <v>0</v>
      </c>
      <c r="W203" s="1110" t="n">
        <f aca="false">V203</f>
        <v>0</v>
      </c>
      <c r="X203" s="1176" t="n">
        <f aca="false">W203</f>
        <v>0</v>
      </c>
      <c r="Y203" s="1086" t="n">
        <v>0</v>
      </c>
      <c r="Z203" s="1086" t="n">
        <v>0</v>
      </c>
      <c r="AA203" s="1087" t="n">
        <v>0</v>
      </c>
      <c r="AB203" s="1086" t="n">
        <v>0</v>
      </c>
      <c r="AC203" s="1086" t="n">
        <v>0</v>
      </c>
      <c r="AD203" s="1087" t="n">
        <v>0</v>
      </c>
      <c r="AE203" s="1086" t="n">
        <v>0</v>
      </c>
      <c r="AF203" s="1086" t="n">
        <v>0</v>
      </c>
      <c r="AG203" s="1087" t="n">
        <v>0</v>
      </c>
      <c r="AH203" s="1086" t="n">
        <v>0</v>
      </c>
      <c r="AI203" s="1086" t="n">
        <v>0</v>
      </c>
      <c r="AJ203" s="1087" t="n">
        <v>0</v>
      </c>
      <c r="AK203" s="1086" t="n">
        <v>0</v>
      </c>
      <c r="AL203" s="1086" t="n">
        <v>0</v>
      </c>
      <c r="AM203" s="1087" t="n">
        <v>0</v>
      </c>
      <c r="AN203" s="1086" t="n">
        <v>0</v>
      </c>
      <c r="AO203" s="1086" t="n">
        <v>0</v>
      </c>
      <c r="AP203" s="1087" t="n">
        <v>0</v>
      </c>
      <c r="AQ203" s="1086" t="n">
        <v>0</v>
      </c>
      <c r="AR203" s="1086" t="n">
        <v>0</v>
      </c>
      <c r="AS203" s="1087" t="n">
        <v>0</v>
      </c>
      <c r="AT203" s="1086" t="n">
        <v>0</v>
      </c>
      <c r="AU203" s="1086" t="n">
        <v>0</v>
      </c>
      <c r="AV203" s="1086" t="n">
        <v>0</v>
      </c>
      <c r="AW203" s="1172" t="n">
        <v>0</v>
      </c>
      <c r="AX203" s="807" t="e">
        <f aca="false">BB203-SUM(AY203:BA203)</f>
        <v>#VALUE!</v>
      </c>
      <c r="AY203" s="807" t="e">
        <f aca="false">IF(AND($E203=MONTH(Summary!$E$24),$D203=YEAR(Summary!$E$24)),Summary!$E$25,1)*IF(G203="",0,INT((H203-MOD(H203,7)-G203)/7)+1-IF(BA203,IF(WEEKDAY(F203)=7,1,0),0))</f>
        <v>#VALUE!</v>
      </c>
      <c r="AZ203" s="807" t="e">
        <f aca="false">IF(AND($E203=MONTH(Summary!$E$24),$D203=YEAR(Summary!$E$24)),Summary!$E$25,1)*IF(G203="",0,INT((H203-MOD(H203-1,7)-G203)/7)+1-IF(BA203,IF(WEEKDAY(F203)=1,1,0),0))</f>
        <v>#VALUE!</v>
      </c>
      <c r="BA203" s="807" t="n">
        <v>1</v>
      </c>
      <c r="BB203" s="807" t="n">
        <f aca="false">IF(AND($E203=MONTH(Summary!$E$24),$D203=YEAR(Summary!$E$24)),Summary!$E$25,1)*IF(G203="",0,H203-G203+1)</f>
        <v>31</v>
      </c>
      <c r="BC203" s="1089" t="n">
        <f aca="false">Summary!$E$19</f>
        <v>0.015</v>
      </c>
      <c r="BD203" s="1090" t="n">
        <v>16311.6</v>
      </c>
      <c r="BE203" s="1091" t="n">
        <v>2127.6</v>
      </c>
      <c r="BF203" s="1091" t="n">
        <v>3546</v>
      </c>
      <c r="BG203" s="842"/>
      <c r="BH203" s="1092" t="n">
        <v>1</v>
      </c>
      <c r="BI203" s="1092" t="n">
        <v>1</v>
      </c>
      <c r="BJ203" s="1092" t="n">
        <v>1</v>
      </c>
      <c r="BK203" s="1092" t="n">
        <v>1</v>
      </c>
      <c r="BL203" s="1093" t="n">
        <v>3262.32</v>
      </c>
      <c r="BM203" s="1091" t="n">
        <v>425.52</v>
      </c>
      <c r="BN203" s="1091" t="n">
        <v>709.2</v>
      </c>
      <c r="BO203" s="842"/>
      <c r="BP203" s="1092" t="n">
        <v>1</v>
      </c>
      <c r="BQ203" s="1094" t="n">
        <v>1</v>
      </c>
      <c r="BR203" s="1094" t="n">
        <v>1</v>
      </c>
      <c r="BS203" s="1095" t="n">
        <v>1</v>
      </c>
      <c r="BT203" s="1093" t="n">
        <f aca="false">SUM(BD203:BF203)</f>
        <v>21985.2</v>
      </c>
      <c r="BU203" s="1098" t="n">
        <f aca="false">SUM(BD203:BG203)</f>
        <v>21985.2</v>
      </c>
      <c r="BV203" s="1090" t="n">
        <f aca="false">SUM(BL203:BN203)</f>
        <v>4397.04</v>
      </c>
      <c r="BW203" s="1098" t="n">
        <f aca="false">SUM(BL203:BO203)</f>
        <v>4397.04</v>
      </c>
      <c r="BX203" s="852" t="n">
        <v>15.5427789185489</v>
      </c>
      <c r="BY203" s="1099" t="n">
        <v>0</v>
      </c>
      <c r="BZ203" s="852" t="n">
        <v>0</v>
      </c>
      <c r="CA203" s="852" t="n">
        <v>0</v>
      </c>
      <c r="CB203" s="852" t="n">
        <v>0</v>
      </c>
      <c r="CC203" s="852" t="n">
        <v>0</v>
      </c>
      <c r="CD203" s="852" t="n">
        <v>0</v>
      </c>
      <c r="CE203" s="1100" t="n">
        <v>0</v>
      </c>
      <c r="CF203" s="852" t="n">
        <v>0</v>
      </c>
      <c r="CG203" s="852" t="n">
        <v>0</v>
      </c>
      <c r="CH203" s="852" t="n">
        <v>0</v>
      </c>
      <c r="CI203" s="852" t="n">
        <v>0</v>
      </c>
      <c r="CJ203" s="1101" t="n">
        <v>0</v>
      </c>
      <c r="CK203" s="852" t="n">
        <v>0</v>
      </c>
      <c r="CL203" s="852" t="n">
        <v>0</v>
      </c>
      <c r="CM203" s="852" t="n">
        <v>0</v>
      </c>
      <c r="CN203" s="852" t="n">
        <v>0</v>
      </c>
      <c r="CO203" s="852" t="n">
        <v>0</v>
      </c>
      <c r="CP203" s="852" t="n">
        <v>0</v>
      </c>
      <c r="CQ203" s="1102" t="n">
        <v>0</v>
      </c>
      <c r="CR203" s="1103" t="n">
        <v>0</v>
      </c>
      <c r="CS203" s="1103" t="n">
        <v>0</v>
      </c>
      <c r="CT203" s="1103" t="n">
        <v>0</v>
      </c>
      <c r="CU203" s="1103" t="n">
        <v>0</v>
      </c>
      <c r="CV203" s="1103" t="n">
        <v>0</v>
      </c>
      <c r="CW203" s="1103" t="n">
        <v>0</v>
      </c>
      <c r="CX203" s="1104" t="n">
        <v>0</v>
      </c>
      <c r="CY203" s="1105" t="n">
        <v>7773.67184</v>
      </c>
      <c r="CZ203" s="1099" t="n">
        <v>0</v>
      </c>
      <c r="DA203" s="852" t="n">
        <v>0</v>
      </c>
      <c r="DB203" s="852" t="n">
        <v>0</v>
      </c>
      <c r="DC203" s="852" t="n">
        <v>0</v>
      </c>
      <c r="DD203" s="852" t="n">
        <v>0</v>
      </c>
      <c r="DE203" s="1113" t="n">
        <v>0</v>
      </c>
      <c r="DF203" s="1109" t="n">
        <v>0</v>
      </c>
      <c r="DG203" s="1110" t="n">
        <v>0</v>
      </c>
      <c r="DH203" s="1111" t="n">
        <v>0</v>
      </c>
      <c r="DI203" s="1112" t="n">
        <v>0</v>
      </c>
      <c r="DJ203" s="1112" t="n">
        <v>0</v>
      </c>
      <c r="DK203" s="1112" t="n">
        <v>0</v>
      </c>
      <c r="DL203" s="1113" t="n">
        <v>0</v>
      </c>
      <c r="DM203" s="1114" t="n">
        <v>0</v>
      </c>
      <c r="DN203" s="1114" t="n">
        <v>0</v>
      </c>
      <c r="DO203" s="1114" t="n">
        <v>0</v>
      </c>
      <c r="DP203" s="1114" t="n">
        <v>0</v>
      </c>
      <c r="DQ203" s="1114" t="n">
        <v>0</v>
      </c>
      <c r="DR203" s="1109" t="n">
        <v>0</v>
      </c>
      <c r="DS203" s="852" t="n">
        <v>0</v>
      </c>
      <c r="DT203" s="852" t="n">
        <v>0</v>
      </c>
      <c r="DU203" s="852" t="n">
        <v>0</v>
      </c>
      <c r="DV203" s="852" t="n">
        <v>0</v>
      </c>
      <c r="DW203" s="852" t="n">
        <v>0</v>
      </c>
      <c r="DX203" s="852" t="n">
        <v>0</v>
      </c>
      <c r="DY203" s="852" t="n">
        <v>0</v>
      </c>
      <c r="DZ203" s="852" t="n">
        <v>0</v>
      </c>
      <c r="EA203" s="852" t="n">
        <v>0</v>
      </c>
      <c r="EB203" s="1113" t="n">
        <v>0</v>
      </c>
      <c r="EC203" s="1115" t="n">
        <f aca="false">DS203*BD203</f>
        <v>0</v>
      </c>
      <c r="ED203" s="1115" t="n">
        <f aca="false">DT203*BE203</f>
        <v>0</v>
      </c>
      <c r="EE203" s="1115" t="n">
        <f aca="false">DU203*BF203</f>
        <v>0</v>
      </c>
      <c r="EF203" s="1115" t="n">
        <f aca="false">DV203*BG203</f>
        <v>0</v>
      </c>
      <c r="EG203" s="1115" t="n">
        <f aca="false">DS203*BD203+DT203*BE203+DU203*BF203+DV203*BG203</f>
        <v>0</v>
      </c>
      <c r="EH203" s="1116" t="n">
        <v>0</v>
      </c>
      <c r="EI203" s="1117" t="n">
        <v>0</v>
      </c>
      <c r="EJ203" s="1117" t="n">
        <v>0</v>
      </c>
      <c r="EK203" s="1117" t="n">
        <v>0</v>
      </c>
      <c r="EL203" s="1118" t="n">
        <f aca="false">IF(C203&gt;=Summary!$E$26,MAX(0,SUM(EH203:EK203)),0)</f>
        <v>0</v>
      </c>
      <c r="EM203" s="1115" t="n">
        <f aca="false">IF(C203&gt;=Summary!$E$26,DX203*BL203,0)</f>
        <v>0</v>
      </c>
      <c r="EN203" s="1115" t="n">
        <f aca="false">IF(C203&gt;=Summary!$E$26,DY203*BM203,0)</f>
        <v>0</v>
      </c>
      <c r="EO203" s="1115" t="n">
        <f aca="false">IF(C203&gt;=Summary!$E$26,DZ203*BN203,0)</f>
        <v>0</v>
      </c>
      <c r="EP203" s="1115" t="n">
        <f aca="false">IF(C203&gt;=Summary!$E$26,EA203*BO203,0)</f>
        <v>0</v>
      </c>
      <c r="EQ203" s="1115" t="n">
        <f aca="false">IF(C203&gt;=Summary!$E$26,DX203*BL203+DY203*BM203+DZ203*BN203+EA203*BO203,0)</f>
        <v>0</v>
      </c>
      <c r="ER203" s="1119" t="n">
        <v>0</v>
      </c>
      <c r="ES203" s="1120" t="n">
        <v>0</v>
      </c>
      <c r="ET203" s="1120" t="n">
        <v>0</v>
      </c>
      <c r="EU203" s="1120" t="n">
        <v>0</v>
      </c>
      <c r="EV203" s="1143" t="n">
        <f aca="false">IF(C203&gt;=Summary!$E$26,MAX(0,SUM(ER203:EU203)),0)</f>
        <v>0</v>
      </c>
      <c r="EW203" s="1115"/>
      <c r="EX203" s="1165" t="n">
        <f aca="false">(EQ203-EV203)+IF(EZ203="Yes",(EG203-EL203),0)</f>
        <v>0</v>
      </c>
      <c r="EY203" s="1166" t="str">
        <f aca="false">IF(EX203,EX203/EQ203,"")</f>
        <v/>
      </c>
      <c r="EZ203" s="1122" t="s">
        <v>37</v>
      </c>
      <c r="FA203" s="1096" t="n">
        <f aca="false">FA202</f>
        <v>45</v>
      </c>
      <c r="FB203" s="1167" t="e">
        <f aca="false">IF(EZ203="No",IF((OR(MONTH(C203)=5,MONTH(C203)=6,MONTH(C203)=7,MONTH(C203)=8,MONTH(C203)=9)),$FA203*12*AX203*(1-$BC203),$FA203*10*AX203*(1-$BC203)),0)</f>
        <v>#VALUE!</v>
      </c>
      <c r="FC203" s="1129" t="n">
        <f aca="false">IF(EZ203="No",IF((OR(MONTH(C203)=5,MONTH(C203)=6,MONTH(C203)=7,MONTH(C203)=8,MONTH(C203)=9)),0,$FA203*3*AX203*(1-$BC203)),0)</f>
        <v>0</v>
      </c>
      <c r="FD203" s="1129" t="e">
        <f aca="false">IF(EZ203="No",IF((OR(MONTH(C203)=5,MONTH(C203)=6,MONTH(C203)=7,MONTH(C203)=8,MONTH(C203)=9)),$FA203*12*AY203*(1-$BC203),$FA203*10*AY203*(1-$BC203)),0)</f>
        <v>#VALUE!</v>
      </c>
      <c r="FE203" s="1129" t="n">
        <f aca="false">IF(EZ203="No",IF((OR(MONTH(C203)=5,MONTH(C203)=6,MONTH(C203)=7,MONTH(C203)=8,MONTH(C203)=9)),0,$FA203*3*AY203*(1-$BC203)),0)</f>
        <v>0</v>
      </c>
      <c r="FF203" s="1129" t="e">
        <f aca="false">IF(EZ203="No",IF((OR(MONTH(C203)=5,MONTH(C203)=6,MONTH(C203)=7,MONTH(C203)=8,MONTH(C203)=9)),$FA203*12*(AZ203+BA203)*(1-$BC203),$FA203*10*(AZ203+BA203)*(1-$BC203)),0)</f>
        <v>#VALUE!</v>
      </c>
      <c r="FG203" s="1129" t="n">
        <f aca="false">IF(EZ203="No",IF((OR(MONTH(C203)=5,MONTH(C203)=6,MONTH(C203)=7,MONTH(C203)=8,MONTH(C203)=9)),0,$FA203*3*(AZ203+BA203)*(1-$BC203)),0)</f>
        <v>0</v>
      </c>
      <c r="FH203" s="1170" t="e">
        <f aca="false">IF(EZ203="No",IF((OR(MONTH(C203)=5,MONTH(C203)=6,MONTH(C203)=7,MONTH(C203)=8,MONTH(C203)=9)),Summary!$O$15*12*(AX203+AY203+AZ203+BA203)*(1-$BC203),Summary!$O$15*13*(AX203+AY203+AZ203+BA203)*(1-$BC203)+IF(Summary!$O$16="Yes",(CALC!FA203+Summary!$O$15)*6*(AX203+AY203+AZ203+BA203)*(1-$BC203),0)),0)</f>
        <v>#VALUE!</v>
      </c>
      <c r="FI203" s="1126" t="n">
        <f aca="false">IF(MONTH(C203)=5,FI202*(IF(Summary!$E$70="no",(1+(Summary!$E$71*0.8)),1+HLOOKUP(YEAR(C203)-1,CCFMODEL!$I$127:$AF$128,2)*0.8)),+FI202)</f>
        <v>38.8797064863349</v>
      </c>
      <c r="FJ203" s="1127" t="n">
        <f aca="false">IF(MONTH(C203)=5,FJ202*(IF(Summary!$E$70="no",(1+(Summary!$E$71*0.8)),1+HLOOKUP(YEAR(CALC!C203)-1,CCFMODEL!$I$127:$AF$128,2)*0.8)),FJ202)</f>
        <v>33.981475747899</v>
      </c>
      <c r="FK203" s="1128" t="e">
        <f aca="false">SUM(FB203:FG203)*FI203+FH203*FJ203</f>
        <v>#VALUE!</v>
      </c>
      <c r="FL203" s="1126" t="n">
        <f aca="false">IF(MONTH(C203)=5,FL202*(IF(Summary!$E$70="no",(1+(Summary!$E$71*0.8)),1+HLOOKUP(YEAR(CALC!C203)-1,CCFMODEL!$I$127:$AF$128,2)*0.8)),+FL202)</f>
        <v>81.7683815829968</v>
      </c>
      <c r="FM203" s="1127" t="n">
        <f aca="false">IF(MONTH(C203)=5,FM202*(IF(Summary!$E$70="no",(1+(Summary!$E$71*0.8)),1+HLOOKUP(YEAR(CALC!C203)-1,CCFMODEL!$I$127:$AF$128,2)*0.8)),+FM202)</f>
        <v>39.0254871630741</v>
      </c>
      <c r="FN203" s="1128" t="e">
        <f aca="false">IF((OR(MONTH(C203)=5,MONTH(C203)=6,MONTH(C203)=7,MONTH(C203)=8,MONTH(C203)=9)),SUM(FB203:FG203)/(1-BC203)*FL203,SUM(FB203:FG203)/(1-BC203)*FM203)</f>
        <v>#VALUE!</v>
      </c>
      <c r="FO203" s="1129" t="e">
        <f aca="false">FK203+FN203</f>
        <v>#VALUE!</v>
      </c>
      <c r="FP203" s="1169" t="e">
        <f aca="false">FB203</f>
        <v>#VALUE!</v>
      </c>
      <c r="FQ203" s="1129" t="n">
        <f aca="false">FC203</f>
        <v>0</v>
      </c>
      <c r="FR203" s="1129" t="e">
        <f aca="false">FD203</f>
        <v>#VALUE!</v>
      </c>
      <c r="FS203" s="1129" t="n">
        <f aca="false">FE203</f>
        <v>0</v>
      </c>
      <c r="FT203" s="1129" t="e">
        <f aca="false">FF203</f>
        <v>#VALUE!</v>
      </c>
      <c r="FU203" s="1129" t="n">
        <f aca="false">FG203</f>
        <v>0</v>
      </c>
      <c r="FV203" s="1170" t="e">
        <f aca="false">FH203</f>
        <v>#VALUE!</v>
      </c>
      <c r="FW203" s="1115" t="n">
        <f aca="false">IF(ER203&gt;0,MIN(FB203-FP203,BL203),0)</f>
        <v>0</v>
      </c>
      <c r="FX203" s="1115" t="n">
        <f aca="false">IF(ES203&gt;0,MIN(FD203-FR203,BM203),0)</f>
        <v>0</v>
      </c>
      <c r="FY203" s="1115" t="n">
        <f aca="false">IF(ET203&gt;0,MIN(FF203-FT203,BN203),0)</f>
        <v>0</v>
      </c>
      <c r="FZ203" s="1143" t="n">
        <f aca="false">IF(EU203&gt;0,MIN(FH203-FV203,BO203),0)</f>
        <v>0</v>
      </c>
      <c r="GA203" s="1132" t="e">
        <f aca="false">(SUM(FP203:FV203)+SUM(GU203:HB203)/(1-Summary!$O$25))*CY203/1000</f>
        <v>#VALUE!</v>
      </c>
      <c r="GB203" s="1133" t="n">
        <f aca="false">IF($C203&lt;Summary!$M$81,+Summary!$O$81,VLOOKUP(C203,GasTable,19))</f>
        <v>3.42736563425316</v>
      </c>
      <c r="GC203" s="1134" t="n">
        <f aca="false">IF(H203&lt;=Summary!$N$84,MIN(GA203,Summary!$O$75*(H203-G203+1)),0)</f>
        <v>0</v>
      </c>
      <c r="GD203" s="1135" t="n">
        <f aca="false">IF(C203&lt;Summary!$N$84,IF(Summary!$O$75*(H203-G203+1)*0.8&gt;GC203,1,0),0)</f>
        <v>0</v>
      </c>
      <c r="GE203" s="1136" t="n">
        <v>0</v>
      </c>
      <c r="GF203" s="1134" t="e">
        <f aca="false">ABS(MIN(0,GC203-$GA203))</f>
        <v>#VALUE!</v>
      </c>
      <c r="GG203" s="1135" t="e">
        <f aca="false">GF203*(IF(Summary!$O$74=1,VLOOKUP($C203,GasTable,16)+Summary!$O$92+Summary!$O$93,VLOOKUP($C203,GasTable,19)+Summary!$O$92+Summary!$O$93))</f>
        <v>#VALUE!</v>
      </c>
      <c r="GH203" s="1137" t="n">
        <v>5312.4167330924</v>
      </c>
      <c r="GI203" s="1138" t="n">
        <v>0</v>
      </c>
      <c r="GJ203" s="1139" t="e">
        <f aca="false">+GB203*GC203+GE203+GG203+GH203-GI203</f>
        <v>#VALUE!</v>
      </c>
      <c r="GK203" s="1115" t="e">
        <f aca="false">SUM(FP203:FV203,GU203:GX203,GY203:HB203)</f>
        <v>#VALUE!</v>
      </c>
      <c r="GL203" s="1140" t="n">
        <v>0.52083601328</v>
      </c>
      <c r="GM203" s="1141" t="e">
        <f aca="false">IF(GK203&gt;GC203/(CY203/1000),GC203/(CY203/1000),+GK203)*GL203</f>
        <v>#VALUE!</v>
      </c>
      <c r="GN203" s="1115" t="n">
        <f aca="false">IF(SUM(GU203:HB203)=0,0,IF(Summary!$O$16="Yes",SUM(GX203:HB203),IF(Summary!$O$17="Yes",SUM(GY203:HB203),SUM(GU203:HB203))))</f>
        <v>9547.0731</v>
      </c>
      <c r="GO203" s="1142" t="n">
        <v>3.70722326988881</v>
      </c>
      <c r="GP203" s="1143" t="n">
        <f aca="false">GN203*GO203</f>
        <v>35393.1315556495</v>
      </c>
      <c r="GQ203" s="1115"/>
      <c r="GR203" s="1115"/>
      <c r="GS203" s="1115"/>
      <c r="GT203" s="1115"/>
      <c r="GU203" s="1150" t="n">
        <v>3935.1735</v>
      </c>
      <c r="GV203" s="1115" t="n">
        <v>513.2835</v>
      </c>
      <c r="GW203" s="1115" t="n">
        <v>855.4725</v>
      </c>
      <c r="GX203" s="1115"/>
      <c r="GY203" s="1151" t="n">
        <v>3148.1388</v>
      </c>
      <c r="GZ203" s="1115" t="n">
        <v>410.6268</v>
      </c>
      <c r="HA203" s="1115" t="n">
        <v>684.378</v>
      </c>
      <c r="HB203" s="1141"/>
      <c r="HC203" s="1115" t="n">
        <v>9547.0731</v>
      </c>
      <c r="HD203" s="1115"/>
      <c r="HE203" s="1115" t="n">
        <v>22276.5039</v>
      </c>
      <c r="HF203" s="1115" t="n">
        <v>532099.861511199</v>
      </c>
      <c r="HG203" s="1115"/>
      <c r="HH203" s="1142" t="n">
        <v>59.0212746279005</v>
      </c>
      <c r="HI203" s="1115" t="n">
        <v>1314787.6544314</v>
      </c>
      <c r="HJ203" s="1150" t="e">
        <f aca="false">MAX(FB203-FP203-FW203,0)</f>
        <v>#VALUE!</v>
      </c>
      <c r="HK203" s="1115" t="e">
        <f aca="false">MAX(FD203-FR203-FX203,0)</f>
        <v>#VALUE!</v>
      </c>
      <c r="HL203" s="1115" t="e">
        <f aca="false">MAX(FF203-FT203-FY203,0)</f>
        <v>#VALUE!</v>
      </c>
      <c r="HM203" s="1141" t="e">
        <f aca="false">MAX(FH203-FV203-FZ203,0)</f>
        <v>#VALUE!</v>
      </c>
      <c r="HN203" s="1115" t="e">
        <f aca="false">SUM(HJ203:HM203)</f>
        <v>#VALUE!</v>
      </c>
      <c r="HO203" s="1142" t="n">
        <f aca="false">IF(ISERROR(+HP203/HN203),0,+HP203/HN203)</f>
        <v>0</v>
      </c>
      <c r="HP203" s="1143" t="e">
        <f aca="false">(HJ203*CE203+HK203*CF203+HL203*CG203+HM203*CH203)</f>
        <v>#VALUE!</v>
      </c>
      <c r="HQ203" s="1146"/>
      <c r="HR203" s="1150"/>
      <c r="HS203" s="1200"/>
      <c r="HT203" s="1141"/>
      <c r="HU203" s="1150"/>
      <c r="HV203" s="1200"/>
      <c r="HW203" s="1141"/>
      <c r="HX203" s="1200"/>
      <c r="HY203" s="1200"/>
      <c r="HZ203" s="0"/>
      <c r="IA203" s="1142"/>
      <c r="IB203" s="1142"/>
      <c r="IC203" s="1142"/>
      <c r="ID203" s="1142"/>
      <c r="IE203" s="1142"/>
      <c r="IF203" s="1142"/>
      <c r="IG203" s="1142"/>
      <c r="IH203" s="1142"/>
      <c r="II203" s="1142"/>
      <c r="IJ203" s="1142"/>
      <c r="IK203" s="1142"/>
      <c r="IL203" s="1190"/>
      <c r="IM203" s="222"/>
      <c r="IN203" s="222"/>
      <c r="IR203" s="844"/>
    </row>
    <row r="204" customFormat="false" ht="13.5" hidden="false" customHeight="false" outlineLevel="0" collapsed="false">
      <c r="A204" s="0" t="str">
        <f aca="false">+D204&amp;"Q"&amp;ROUNDUP(E204/3,0)</f>
        <v>2015Q3</v>
      </c>
      <c r="B204" s="0" t="n">
        <f aca="false">YEAR(C204)</f>
        <v>2015</v>
      </c>
      <c r="C204" s="1153" t="n">
        <f aca="false">EOMONTH(C203,0)+1</f>
        <v>42217</v>
      </c>
      <c r="D204" s="841" t="n">
        <f aca="false">+YEAR(C204)</f>
        <v>2015</v>
      </c>
      <c r="E204" s="807" t="n">
        <f aca="false">MONTH(C204)</f>
        <v>8</v>
      </c>
      <c r="F204" s="1154" t="e">
        <f aca="false">IF(G204="","",Holiday(D204,E204))</f>
        <v>#VALUE!</v>
      </c>
      <c r="G204" s="1155" t="n">
        <v>42217</v>
      </c>
      <c r="H204" s="1156" t="n">
        <v>42247</v>
      </c>
      <c r="I204" s="1157" t="n">
        <f aca="false">I203</f>
        <v>0.0715</v>
      </c>
      <c r="J204" s="1158" t="n">
        <f aca="false">(1+I204/2)^(-2*(DATE(D205,E205,20)-$H$7)/365.25)</f>
        <v>0.330388990367418</v>
      </c>
      <c r="K204" s="1159"/>
      <c r="L204" s="1158"/>
      <c r="M204" s="1082" t="n">
        <v>0</v>
      </c>
      <c r="N204" s="1110" t="n">
        <f aca="false">M204</f>
        <v>0</v>
      </c>
      <c r="O204" s="1174" t="n">
        <f aca="false">N204</f>
        <v>0</v>
      </c>
      <c r="P204" s="1175" t="n">
        <f aca="false">M204</f>
        <v>0</v>
      </c>
      <c r="Q204" s="1110" t="n">
        <f aca="false">P204</f>
        <v>0</v>
      </c>
      <c r="R204" s="1174" t="n">
        <f aca="false">Q204</f>
        <v>0</v>
      </c>
      <c r="S204" s="1110" t="n">
        <f aca="false">R204</f>
        <v>0</v>
      </c>
      <c r="T204" s="1110" t="n">
        <f aca="false">S204</f>
        <v>0</v>
      </c>
      <c r="U204" s="1110" t="n">
        <f aca="false">T204</f>
        <v>0</v>
      </c>
      <c r="V204" s="1175" t="n">
        <f aca="false">U204</f>
        <v>0</v>
      </c>
      <c r="W204" s="1110" t="n">
        <f aca="false">V204</f>
        <v>0</v>
      </c>
      <c r="X204" s="1176" t="n">
        <f aca="false">W204</f>
        <v>0</v>
      </c>
      <c r="Y204" s="1086" t="n">
        <v>0</v>
      </c>
      <c r="Z204" s="1086" t="n">
        <v>0</v>
      </c>
      <c r="AA204" s="1087" t="n">
        <v>0</v>
      </c>
      <c r="AB204" s="1086" t="n">
        <v>0</v>
      </c>
      <c r="AC204" s="1086" t="n">
        <v>0</v>
      </c>
      <c r="AD204" s="1087" t="n">
        <v>0</v>
      </c>
      <c r="AE204" s="1086" t="n">
        <v>0</v>
      </c>
      <c r="AF204" s="1086" t="n">
        <v>0</v>
      </c>
      <c r="AG204" s="1087" t="n">
        <v>0</v>
      </c>
      <c r="AH204" s="1086" t="n">
        <v>0</v>
      </c>
      <c r="AI204" s="1086" t="n">
        <v>0</v>
      </c>
      <c r="AJ204" s="1087" t="n">
        <v>0</v>
      </c>
      <c r="AK204" s="1086" t="n">
        <v>0</v>
      </c>
      <c r="AL204" s="1086" t="n">
        <v>0</v>
      </c>
      <c r="AM204" s="1087" t="n">
        <v>0</v>
      </c>
      <c r="AN204" s="1086" t="n">
        <v>0</v>
      </c>
      <c r="AO204" s="1086" t="n">
        <v>0</v>
      </c>
      <c r="AP204" s="1087" t="n">
        <v>0</v>
      </c>
      <c r="AQ204" s="1086" t="n">
        <v>0</v>
      </c>
      <c r="AR204" s="1086" t="n">
        <v>0</v>
      </c>
      <c r="AS204" s="1087" t="n">
        <v>0</v>
      </c>
      <c r="AT204" s="1086" t="n">
        <v>0</v>
      </c>
      <c r="AU204" s="1086" t="n">
        <v>0</v>
      </c>
      <c r="AV204" s="1086" t="n">
        <v>0</v>
      </c>
      <c r="AW204" s="1172" t="n">
        <v>0</v>
      </c>
      <c r="AX204" s="807" t="n">
        <f aca="false">BB204-SUM(AY204:BA204)</f>
        <v>21</v>
      </c>
      <c r="AY204" s="807" t="n">
        <f aca="false">IF(AND($E204=MONTH(Summary!$E$24),$D204=YEAR(Summary!$E$24)),Summary!$E$25,1)*IF(G204="",0,INT((H204-MOD(H204,7)-G204)/7)+1-IF(BA204,IF(WEEKDAY(F204)=7,1,0),0))</f>
        <v>5</v>
      </c>
      <c r="AZ204" s="807" t="n">
        <f aca="false">IF(AND($E204=MONTH(Summary!$E$24),$D204=YEAR(Summary!$E$24)),Summary!$E$25,1)*IF(G204="",0,INT((H204-MOD(H204-1,7)-G204)/7)+1-IF(BA204,IF(WEEKDAY(F204)=1,1,0),0))</f>
        <v>5</v>
      </c>
      <c r="BA204" s="807" t="n">
        <v>0</v>
      </c>
      <c r="BB204" s="807" t="n">
        <f aca="false">IF(AND($E204=MONTH(Summary!$E$24),$D204=YEAR(Summary!$E$24)),Summary!$E$25,1)*IF(G204="",0,H204-G204+1)</f>
        <v>31</v>
      </c>
      <c r="BC204" s="1089" t="n">
        <f aca="false">Summary!$E$19</f>
        <v>0.015</v>
      </c>
      <c r="BD204" s="1090" t="n">
        <v>14893.2</v>
      </c>
      <c r="BE204" s="1091" t="n">
        <v>3546</v>
      </c>
      <c r="BF204" s="1091" t="n">
        <v>3546</v>
      </c>
      <c r="BG204" s="842"/>
      <c r="BH204" s="1092" t="n">
        <v>1</v>
      </c>
      <c r="BI204" s="1092" t="n">
        <v>1</v>
      </c>
      <c r="BJ204" s="1092" t="n">
        <v>1</v>
      </c>
      <c r="BK204" s="1092" t="n">
        <v>1</v>
      </c>
      <c r="BL204" s="1093" t="n">
        <v>2978.64</v>
      </c>
      <c r="BM204" s="1091" t="n">
        <v>709.2</v>
      </c>
      <c r="BN204" s="1091" t="n">
        <v>709.2</v>
      </c>
      <c r="BO204" s="842"/>
      <c r="BP204" s="1092" t="n">
        <v>1</v>
      </c>
      <c r="BQ204" s="1094" t="n">
        <v>1</v>
      </c>
      <c r="BR204" s="1094" t="n">
        <v>1</v>
      </c>
      <c r="BS204" s="1095" t="n">
        <v>1</v>
      </c>
      <c r="BT204" s="1093" t="n">
        <f aca="false">SUM(BD204:BF204)</f>
        <v>21985.2</v>
      </c>
      <c r="BU204" s="1098" t="n">
        <f aca="false">SUM(BD204:BG204)</f>
        <v>21985.2</v>
      </c>
      <c r="BV204" s="1090" t="n">
        <f aca="false">SUM(BL204:BN204)</f>
        <v>4397.04</v>
      </c>
      <c r="BW204" s="1098" t="n">
        <f aca="false">SUM(BL204:BO204)</f>
        <v>4397.04</v>
      </c>
      <c r="BX204" s="852" t="n">
        <v>15.62765229295</v>
      </c>
      <c r="BY204" s="1099" t="n">
        <v>0</v>
      </c>
      <c r="BZ204" s="852" t="n">
        <v>0</v>
      </c>
      <c r="CA204" s="852" t="n">
        <v>0</v>
      </c>
      <c r="CB204" s="852" t="n">
        <v>0</v>
      </c>
      <c r="CC204" s="852" t="n">
        <v>0</v>
      </c>
      <c r="CD204" s="852" t="n">
        <v>0</v>
      </c>
      <c r="CE204" s="1100" t="n">
        <v>0</v>
      </c>
      <c r="CF204" s="852" t="n">
        <v>0</v>
      </c>
      <c r="CG204" s="852" t="n">
        <v>0</v>
      </c>
      <c r="CH204" s="852" t="n">
        <v>0</v>
      </c>
      <c r="CI204" s="852" t="n">
        <v>0</v>
      </c>
      <c r="CJ204" s="1101" t="n">
        <v>0</v>
      </c>
      <c r="CK204" s="852" t="n">
        <v>0</v>
      </c>
      <c r="CL204" s="852" t="n">
        <v>0</v>
      </c>
      <c r="CM204" s="852" t="n">
        <v>0</v>
      </c>
      <c r="CN204" s="852" t="n">
        <v>0</v>
      </c>
      <c r="CO204" s="852" t="n">
        <v>0</v>
      </c>
      <c r="CP204" s="852" t="n">
        <v>0</v>
      </c>
      <c r="CQ204" s="1102" t="n">
        <v>0</v>
      </c>
      <c r="CR204" s="1103" t="n">
        <v>0</v>
      </c>
      <c r="CS204" s="1103" t="n">
        <v>0</v>
      </c>
      <c r="CT204" s="1103" t="n">
        <v>0</v>
      </c>
      <c r="CU204" s="1103" t="n">
        <v>0</v>
      </c>
      <c r="CV204" s="1103" t="n">
        <v>0</v>
      </c>
      <c r="CW204" s="1103" t="n">
        <v>0</v>
      </c>
      <c r="CX204" s="1104" t="n">
        <v>0</v>
      </c>
      <c r="CY204" s="1105" t="n">
        <v>7774.97472</v>
      </c>
      <c r="CZ204" s="1099" t="n">
        <v>0</v>
      </c>
      <c r="DA204" s="852" t="n">
        <v>0</v>
      </c>
      <c r="DB204" s="852" t="n">
        <v>0</v>
      </c>
      <c r="DC204" s="852" t="n">
        <v>0</v>
      </c>
      <c r="DD204" s="852" t="n">
        <v>0</v>
      </c>
      <c r="DE204" s="1113" t="n">
        <v>0</v>
      </c>
      <c r="DF204" s="1109" t="n">
        <v>0</v>
      </c>
      <c r="DG204" s="1110" t="n">
        <v>0</v>
      </c>
      <c r="DH204" s="1111" t="n">
        <v>0</v>
      </c>
      <c r="DI204" s="1112" t="n">
        <v>0</v>
      </c>
      <c r="DJ204" s="1112" t="n">
        <v>0</v>
      </c>
      <c r="DK204" s="1112" t="n">
        <v>0</v>
      </c>
      <c r="DL204" s="1113" t="n">
        <v>0</v>
      </c>
      <c r="DM204" s="1114" t="n">
        <v>0</v>
      </c>
      <c r="DN204" s="1114" t="n">
        <v>0</v>
      </c>
      <c r="DO204" s="1114" t="n">
        <v>0</v>
      </c>
      <c r="DP204" s="1114" t="n">
        <v>0</v>
      </c>
      <c r="DQ204" s="1114" t="n">
        <v>0</v>
      </c>
      <c r="DR204" s="1109" t="n">
        <v>0</v>
      </c>
      <c r="DS204" s="852" t="n">
        <v>0</v>
      </c>
      <c r="DT204" s="852" t="n">
        <v>0</v>
      </c>
      <c r="DU204" s="852" t="n">
        <v>0</v>
      </c>
      <c r="DV204" s="852" t="n">
        <v>0</v>
      </c>
      <c r="DW204" s="852" t="n">
        <v>0</v>
      </c>
      <c r="DX204" s="852" t="n">
        <v>0</v>
      </c>
      <c r="DY204" s="852" t="n">
        <v>0</v>
      </c>
      <c r="DZ204" s="852" t="n">
        <v>0</v>
      </c>
      <c r="EA204" s="852" t="n">
        <v>0</v>
      </c>
      <c r="EB204" s="1113" t="n">
        <v>0</v>
      </c>
      <c r="EC204" s="1115" t="n">
        <f aca="false">DS204*BD204</f>
        <v>0</v>
      </c>
      <c r="ED204" s="1115" t="n">
        <f aca="false">DT204*BE204</f>
        <v>0</v>
      </c>
      <c r="EE204" s="1115" t="n">
        <f aca="false">DU204*BF204</f>
        <v>0</v>
      </c>
      <c r="EF204" s="1115" t="n">
        <f aca="false">DV204*BG204</f>
        <v>0</v>
      </c>
      <c r="EG204" s="1115" t="n">
        <f aca="false">DS204*BD204+DT204*BE204+DU204*BF204+DV204*BG204</f>
        <v>0</v>
      </c>
      <c r="EH204" s="1116" t="n">
        <v>0</v>
      </c>
      <c r="EI204" s="1117" t="n">
        <v>0</v>
      </c>
      <c r="EJ204" s="1117" t="n">
        <v>0</v>
      </c>
      <c r="EK204" s="1117" t="n">
        <v>0</v>
      </c>
      <c r="EL204" s="1118" t="n">
        <f aca="false">IF(C204&gt;=Summary!$E$26,MAX(0,SUM(EH204:EK204)),0)</f>
        <v>0</v>
      </c>
      <c r="EM204" s="1115" t="n">
        <f aca="false">IF(C204&gt;=Summary!$E$26,DX204*BL204,0)</f>
        <v>0</v>
      </c>
      <c r="EN204" s="1115" t="n">
        <f aca="false">IF(C204&gt;=Summary!$E$26,DY204*BM204,0)</f>
        <v>0</v>
      </c>
      <c r="EO204" s="1115" t="n">
        <f aca="false">IF(C204&gt;=Summary!$E$26,DZ204*BN204,0)</f>
        <v>0</v>
      </c>
      <c r="EP204" s="1115" t="n">
        <f aca="false">IF(C204&gt;=Summary!$E$26,EA204*BO204,0)</f>
        <v>0</v>
      </c>
      <c r="EQ204" s="1115" t="n">
        <f aca="false">IF(C204&gt;=Summary!$E$26,DX204*BL204+DY204*BM204+DZ204*BN204+EA204*BO204,0)</f>
        <v>0</v>
      </c>
      <c r="ER204" s="1119" t="n">
        <v>0</v>
      </c>
      <c r="ES204" s="1120" t="n">
        <v>0</v>
      </c>
      <c r="ET204" s="1120" t="n">
        <v>0</v>
      </c>
      <c r="EU204" s="1120" t="n">
        <v>0</v>
      </c>
      <c r="EV204" s="1143" t="n">
        <f aca="false">IF(C204&gt;=Summary!$E$26,MAX(0,SUM(ER204:EU204)),0)</f>
        <v>0</v>
      </c>
      <c r="EW204" s="1115"/>
      <c r="EX204" s="1165" t="n">
        <f aca="false">(EQ204-EV204)+IF(EZ204="Yes",(EG204-EL204),0)</f>
        <v>0</v>
      </c>
      <c r="EY204" s="1166" t="str">
        <f aca="false">IF(EX204,EX204/EQ204,"")</f>
        <v/>
      </c>
      <c r="EZ204" s="1122" t="s">
        <v>37</v>
      </c>
      <c r="FA204" s="1096" t="n">
        <f aca="false">FA203</f>
        <v>45</v>
      </c>
      <c r="FB204" s="1167" t="n">
        <f aca="false">IF(EZ204="No",IF((OR(MONTH(C204)=5,MONTH(C204)=6,MONTH(C204)=7,MONTH(C204)=8,MONTH(C204)=9)),$FA204*12*AX204*(1-$BC204),$FA204*10*AX204*(1-$BC204)),0)</f>
        <v>11169.9</v>
      </c>
      <c r="FC204" s="1129" t="n">
        <f aca="false">IF(EZ204="No",IF((OR(MONTH(C204)=5,MONTH(C204)=6,MONTH(C204)=7,MONTH(C204)=8,MONTH(C204)=9)),0,$FA204*3*AX204*(1-$BC204)),0)</f>
        <v>0</v>
      </c>
      <c r="FD204" s="1129" t="n">
        <f aca="false">IF(EZ204="No",IF((OR(MONTH(C204)=5,MONTH(C204)=6,MONTH(C204)=7,MONTH(C204)=8,MONTH(C204)=9)),$FA204*12*AY204*(1-$BC204),$FA204*10*AY204*(1-$BC204)),0)</f>
        <v>2659.5</v>
      </c>
      <c r="FE204" s="1129" t="n">
        <f aca="false">IF(EZ204="No",IF((OR(MONTH(C204)=5,MONTH(C204)=6,MONTH(C204)=7,MONTH(C204)=8,MONTH(C204)=9)),0,$FA204*3*AY204*(1-$BC204)),0)</f>
        <v>0</v>
      </c>
      <c r="FF204" s="1129" t="n">
        <f aca="false">IF(EZ204="No",IF((OR(MONTH(C204)=5,MONTH(C204)=6,MONTH(C204)=7,MONTH(C204)=8,MONTH(C204)=9)),$FA204*12*(AZ204+BA204)*(1-$BC204),$FA204*10*(AZ204+BA204)*(1-$BC204)),0)</f>
        <v>2659.5</v>
      </c>
      <c r="FG204" s="1129" t="n">
        <f aca="false">IF(EZ204="No",IF((OR(MONTH(C204)=5,MONTH(C204)=6,MONTH(C204)=7,MONTH(C204)=8,MONTH(C204)=9)),0,$FA204*3*(AZ204+BA204)*(1-$BC204)),0)</f>
        <v>0</v>
      </c>
      <c r="FH204" s="1170" t="n">
        <f aca="false">IF(EZ204="No",IF((OR(MONTH(C204)=5,MONTH(C204)=6,MONTH(C204)=7,MONTH(C204)=8,MONTH(C204)=9)),Summary!$O$15*12*(AX204+AY204+AZ204+BA204)*(1-$BC204),Summary!$O$15*13*(AX204+AY204+AZ204+BA204)*(1-$BC204)+IF(Summary!$O$16="Yes",(CALC!FA204+Summary!$O$15)*6*(AX204+AY204+AZ204+BA204)*(1-$BC204),0)),0)</f>
        <v>0</v>
      </c>
      <c r="FI204" s="1126" t="n">
        <f aca="false">IF(MONTH(C204)=5,FI203*(IF(Summary!$E$70="no",(1+(Summary!$E$71*0.8)),1+HLOOKUP(YEAR(C204)-1,CCFMODEL!$I$127:$AF$128,2)*0.8)),+FI203)</f>
        <v>38.8797064863349</v>
      </c>
      <c r="FJ204" s="1127" t="n">
        <f aca="false">IF(MONTH(C204)=5,FJ203*(IF(Summary!$E$70="no",(1+(Summary!$E$71*0.8)),1+HLOOKUP(YEAR(CALC!C204)-1,CCFMODEL!$I$127:$AF$128,2)*0.8)),FJ203)</f>
        <v>33.981475747899</v>
      </c>
      <c r="FK204" s="1128" t="n">
        <f aca="false">SUM(FB204:FG204)*FI204+FH204*FJ204</f>
        <v>641083.592282528</v>
      </c>
      <c r="FL204" s="1126" t="n">
        <f aca="false">IF(MONTH(C204)=5,FL203*(IF(Summary!$E$70="no",(1+(Summary!$E$71*0.8)),1+HLOOKUP(YEAR(CALC!C204)-1,CCFMODEL!$I$127:$AF$128,2)*0.8)),+FL203)</f>
        <v>81.7683815829968</v>
      </c>
      <c r="FM204" s="1127" t="n">
        <f aca="false">IF(MONTH(C204)=5,FM203*(IF(Summary!$E$70="no",(1+(Summary!$E$71*0.8)),1+HLOOKUP(YEAR(CALC!C204)-1,CCFMODEL!$I$127:$AF$128,2)*0.8)),+FM203)</f>
        <v>39.0254871630741</v>
      </c>
      <c r="FN204" s="1128" t="n">
        <f aca="false">IF((OR(MONTH(C204)=5,MONTH(C204)=6,MONTH(C204)=7,MONTH(C204)=8,MONTH(C204)=9)),SUM(FB204:FG204)/(1-BC204)*FL204,SUM(FB204:FG204)/(1-BC204)*FM204)</f>
        <v>1368802.70769937</v>
      </c>
      <c r="FO204" s="1129" t="n">
        <f aca="false">FK204+FN204</f>
        <v>2009886.29998189</v>
      </c>
      <c r="FP204" s="1169" t="n">
        <f aca="false">FB204</f>
        <v>11169.9</v>
      </c>
      <c r="FQ204" s="1129" t="n">
        <f aca="false">FC204</f>
        <v>0</v>
      </c>
      <c r="FR204" s="1129" t="n">
        <f aca="false">FD204</f>
        <v>2659.5</v>
      </c>
      <c r="FS204" s="1129" t="n">
        <f aca="false">FE204</f>
        <v>0</v>
      </c>
      <c r="FT204" s="1129" t="n">
        <f aca="false">FF204</f>
        <v>2659.5</v>
      </c>
      <c r="FU204" s="1129" t="n">
        <f aca="false">FG204</f>
        <v>0</v>
      </c>
      <c r="FV204" s="1170" t="n">
        <f aca="false">FH204</f>
        <v>0</v>
      </c>
      <c r="FW204" s="1115" t="n">
        <f aca="false">IF(ER204&gt;0,MIN(FB204-FP204,BL204),0)</f>
        <v>0</v>
      </c>
      <c r="FX204" s="1115" t="n">
        <f aca="false">IF(ES204&gt;0,MIN(FD204-FR204,BM204),0)</f>
        <v>0</v>
      </c>
      <c r="FY204" s="1115" t="n">
        <f aca="false">IF(ET204&gt;0,MIN(FF204-FT204,BN204),0)</f>
        <v>0</v>
      </c>
      <c r="FZ204" s="1143" t="n">
        <f aca="false">IF(EU204&gt;0,MIN(FH204-FV204,BO204),0)</f>
        <v>0</v>
      </c>
      <c r="GA204" s="1132" t="n">
        <f aca="false">(SUM(FP204:FV204)+SUM(GU204:HB204)/(1-Summary!$O$25))*CY204/1000</f>
        <v>205121.249056973</v>
      </c>
      <c r="GB204" s="1133" t="n">
        <f aca="false">IF($C204&lt;Summary!$M$81,+Summary!$O$81,VLOOKUP(C204,GasTable,19))</f>
        <v>3.55670094455456</v>
      </c>
      <c r="GC204" s="1134" t="n">
        <f aca="false">IF(H204&lt;=Summary!$N$84,MIN(GA204,Summary!$O$75*(H204-G204+1)),0)</f>
        <v>0</v>
      </c>
      <c r="GD204" s="1135" t="n">
        <f aca="false">IF(C204&lt;Summary!$N$84,IF(Summary!$O$75*(H204-G204+1)*0.8&gt;GC204,1,0),0)</f>
        <v>0</v>
      </c>
      <c r="GE204" s="1136" t="n">
        <v>0</v>
      </c>
      <c r="GF204" s="1134" t="n">
        <f aca="false">ABS(MIN(0,GC204-$GA204))</f>
        <v>205121.249056973</v>
      </c>
      <c r="GG204" s="1135" t="n">
        <f aca="false">GF204*(IF(Summary!$O$74=1,VLOOKUP($C204,GasTable,16)+Summary!$O$92+Summary!$O$93,VLOOKUP($C204,GasTable,19)+Summary!$O$92+Summary!$O$93))</f>
        <v>740241.757345015</v>
      </c>
      <c r="GH204" s="1137" t="n">
        <v>5512.88646405957</v>
      </c>
      <c r="GI204" s="1138" t="n">
        <v>0</v>
      </c>
      <c r="GJ204" s="1139" t="n">
        <f aca="false">+GB204*GC204+GE204+GG204+GH204-GI204</f>
        <v>745754.643809075</v>
      </c>
      <c r="GK204" s="1115" t="n">
        <f aca="false">SUM(FP204:FV204,GU204:GX204,GY204:HB204)</f>
        <v>26035.9731</v>
      </c>
      <c r="GL204" s="1140" t="n">
        <v>0.52092330624</v>
      </c>
      <c r="GM204" s="1141" t="n">
        <f aca="false">IF(GK204&gt;GC204/(CY204/1000),GC204/(CY204/1000),+GK204)*GL204</f>
        <v>0</v>
      </c>
      <c r="GN204" s="1115" t="n">
        <f aca="false">IF(SUM(GU204:HB204)=0,0,IF(Summary!$O$16="Yes",SUM(GX204:HB204),IF(Summary!$O$17="Yes",SUM(GY204:HB204),SUM(GU204:HB204))))</f>
        <v>9547.0731</v>
      </c>
      <c r="GO204" s="1142" t="n">
        <v>3.70722326988881</v>
      </c>
      <c r="GP204" s="1143" t="n">
        <f aca="false">GN204*GO204</f>
        <v>35393.1315556495</v>
      </c>
      <c r="GQ204" s="1115"/>
      <c r="GR204" s="1115"/>
      <c r="GS204" s="1115"/>
      <c r="GT204" s="1115"/>
      <c r="GU204" s="1150" t="n">
        <v>3592.9845</v>
      </c>
      <c r="GV204" s="1115" t="n">
        <v>855.4725</v>
      </c>
      <c r="GW204" s="1115" t="n">
        <v>855.4725</v>
      </c>
      <c r="GX204" s="1115"/>
      <c r="GY204" s="1151" t="n">
        <v>2874.3876</v>
      </c>
      <c r="GZ204" s="1115" t="n">
        <v>684.378</v>
      </c>
      <c r="HA204" s="1115" t="n">
        <v>684.378</v>
      </c>
      <c r="HB204" s="1141"/>
      <c r="HC204" s="1115" t="n">
        <v>9547.0731</v>
      </c>
      <c r="HD204" s="1115"/>
      <c r="HE204" s="1115" t="n">
        <v>22276.5039</v>
      </c>
      <c r="HF204" s="1115" t="n">
        <v>662003.653041981</v>
      </c>
      <c r="HG204" s="1115"/>
      <c r="HH204" s="1142" t="n">
        <v>73.0093857651104</v>
      </c>
      <c r="HI204" s="1115" t="n">
        <v>1626393.86673309</v>
      </c>
      <c r="HJ204" s="1150" t="n">
        <f aca="false">MAX(FB204-FP204-FW204,0)</f>
        <v>0</v>
      </c>
      <c r="HK204" s="1115" t="n">
        <f aca="false">MAX(FD204-FR204-FX204,0)</f>
        <v>0</v>
      </c>
      <c r="HL204" s="1115" t="n">
        <f aca="false">MAX(FF204-FT204-FY204,0)</f>
        <v>0</v>
      </c>
      <c r="HM204" s="1141" t="n">
        <f aca="false">MAX(FH204-FV204-FZ204,0)</f>
        <v>0</v>
      </c>
      <c r="HN204" s="1115" t="n">
        <f aca="false">SUM(HJ204:HM204)</f>
        <v>0</v>
      </c>
      <c r="HO204" s="1142" t="n">
        <f aca="false">IF(ISERROR(+HP204/HN204),0,+HP204/HN204)</f>
        <v>0</v>
      </c>
      <c r="HP204" s="1143" t="n">
        <f aca="false">(HJ204*CE204+HK204*CF204+HL204*CG204+HM204*CH204)</f>
        <v>0</v>
      </c>
      <c r="HQ204" s="1146"/>
      <c r="HR204" s="1150"/>
      <c r="HS204" s="1200"/>
      <c r="HT204" s="1141"/>
      <c r="HU204" s="1150"/>
      <c r="HV204" s="1200"/>
      <c r="HW204" s="1141"/>
      <c r="HX204" s="1200"/>
      <c r="HY204" s="1200"/>
      <c r="HZ204" s="0"/>
      <c r="IA204" s="1142"/>
      <c r="IB204" s="1142"/>
      <c r="IC204" s="1142"/>
      <c r="ID204" s="1142"/>
      <c r="IE204" s="1142"/>
      <c r="IF204" s="1142"/>
      <c r="IG204" s="1142"/>
      <c r="IH204" s="1142"/>
      <c r="II204" s="1142"/>
      <c r="IJ204" s="1142"/>
      <c r="IK204" s="1142"/>
      <c r="IL204" s="1190"/>
      <c r="IM204" s="222"/>
      <c r="IN204" s="222"/>
      <c r="IR204" s="844"/>
    </row>
    <row r="205" customFormat="false" ht="13.5" hidden="false" customHeight="false" outlineLevel="0" collapsed="false">
      <c r="A205" s="0" t="str">
        <f aca="false">+D205&amp;"Q"&amp;ROUNDUP(E205/3,0)</f>
        <v>2015Q3</v>
      </c>
      <c r="B205" s="0" t="n">
        <f aca="false">YEAR(C205)</f>
        <v>2015</v>
      </c>
      <c r="C205" s="1153" t="n">
        <f aca="false">EOMONTH(C204,0)+1</f>
        <v>42248</v>
      </c>
      <c r="D205" s="841" t="n">
        <f aca="false">+YEAR(C205)</f>
        <v>2015</v>
      </c>
      <c r="E205" s="807" t="n">
        <f aca="false">MONTH(C205)</f>
        <v>9</v>
      </c>
      <c r="F205" s="1154" t="e">
        <f aca="false">IF(G205="","",Holiday(D205,E205))</f>
        <v>#VALUE!</v>
      </c>
      <c r="G205" s="1155" t="n">
        <v>42248</v>
      </c>
      <c r="H205" s="1156" t="n">
        <v>42277</v>
      </c>
      <c r="I205" s="1157" t="n">
        <f aca="false">I204</f>
        <v>0.0715</v>
      </c>
      <c r="J205" s="1158" t="n">
        <f aca="false">(1+I205/2)^(-2*(DATE(D206,E206,20)-$H$7)/365.25)</f>
        <v>0.328488085113494</v>
      </c>
      <c r="K205" s="1159"/>
      <c r="L205" s="1158"/>
      <c r="M205" s="1082" t="n">
        <v>0</v>
      </c>
      <c r="N205" s="1110" t="n">
        <f aca="false">M205</f>
        <v>0</v>
      </c>
      <c r="O205" s="1174" t="n">
        <f aca="false">N205</f>
        <v>0</v>
      </c>
      <c r="P205" s="1175" t="n">
        <f aca="false">M205</f>
        <v>0</v>
      </c>
      <c r="Q205" s="1110" t="n">
        <f aca="false">P205</f>
        <v>0</v>
      </c>
      <c r="R205" s="1174" t="n">
        <f aca="false">Q205</f>
        <v>0</v>
      </c>
      <c r="S205" s="1110" t="n">
        <f aca="false">R205</f>
        <v>0</v>
      </c>
      <c r="T205" s="1110" t="n">
        <f aca="false">S205</f>
        <v>0</v>
      </c>
      <c r="U205" s="1110" t="n">
        <f aca="false">T205</f>
        <v>0</v>
      </c>
      <c r="V205" s="1175" t="n">
        <f aca="false">U205</f>
        <v>0</v>
      </c>
      <c r="W205" s="1110" t="n">
        <f aca="false">V205</f>
        <v>0</v>
      </c>
      <c r="X205" s="1176" t="n">
        <f aca="false">W205</f>
        <v>0</v>
      </c>
      <c r="Y205" s="1086" t="n">
        <v>0</v>
      </c>
      <c r="Z205" s="1086" t="n">
        <v>0</v>
      </c>
      <c r="AA205" s="1087" t="n">
        <v>0</v>
      </c>
      <c r="AB205" s="1086" t="n">
        <v>0</v>
      </c>
      <c r="AC205" s="1086" t="n">
        <v>0</v>
      </c>
      <c r="AD205" s="1087" t="n">
        <v>0</v>
      </c>
      <c r="AE205" s="1086" t="n">
        <v>0</v>
      </c>
      <c r="AF205" s="1086" t="n">
        <v>0</v>
      </c>
      <c r="AG205" s="1087" t="n">
        <v>0</v>
      </c>
      <c r="AH205" s="1086" t="n">
        <v>0</v>
      </c>
      <c r="AI205" s="1086" t="n">
        <v>0</v>
      </c>
      <c r="AJ205" s="1087" t="n">
        <v>0</v>
      </c>
      <c r="AK205" s="1086" t="n">
        <v>0</v>
      </c>
      <c r="AL205" s="1086" t="n">
        <v>0</v>
      </c>
      <c r="AM205" s="1087" t="n">
        <v>0</v>
      </c>
      <c r="AN205" s="1086" t="n">
        <v>0</v>
      </c>
      <c r="AO205" s="1086" t="n">
        <v>0</v>
      </c>
      <c r="AP205" s="1087" t="n">
        <v>0</v>
      </c>
      <c r="AQ205" s="1086" t="n">
        <v>0</v>
      </c>
      <c r="AR205" s="1086" t="n">
        <v>0</v>
      </c>
      <c r="AS205" s="1087" t="n">
        <v>0</v>
      </c>
      <c r="AT205" s="1086" t="n">
        <v>0</v>
      </c>
      <c r="AU205" s="1086" t="n">
        <v>0</v>
      </c>
      <c r="AV205" s="1086" t="n">
        <v>0</v>
      </c>
      <c r="AW205" s="1172" t="n">
        <v>0</v>
      </c>
      <c r="AX205" s="807" t="e">
        <f aca="false">BB205-SUM(AY205:BA205)</f>
        <v>#VALUE!</v>
      </c>
      <c r="AY205" s="807" t="e">
        <f aca="false">IF(AND($E205=MONTH(Summary!$E$24),$D205=YEAR(Summary!$E$24)),Summary!$E$25,1)*IF(G205="",0,INT((H205-MOD(H205,7)-G205)/7)+1-IF(BA205,IF(WEEKDAY(F205)=7,1,0),0))</f>
        <v>#VALUE!</v>
      </c>
      <c r="AZ205" s="807" t="e">
        <f aca="false">IF(AND($E205=MONTH(Summary!$E$24),$D205=YEAR(Summary!$E$24)),Summary!$E$25,1)*IF(G205="",0,INT((H205-MOD(H205-1,7)-G205)/7)+1-IF(BA205,IF(WEEKDAY(F205)=1,1,0),0))</f>
        <v>#VALUE!</v>
      </c>
      <c r="BA205" s="807" t="n">
        <v>1</v>
      </c>
      <c r="BB205" s="807" t="n">
        <f aca="false">IF(AND($E205=MONTH(Summary!$E$24),$D205=YEAR(Summary!$E$24)),Summary!$E$25,1)*IF(G205="",0,H205-G205+1)</f>
        <v>30</v>
      </c>
      <c r="BC205" s="1089" t="n">
        <f aca="false">Summary!$E$19</f>
        <v>0.015</v>
      </c>
      <c r="BD205" s="1090" t="n">
        <v>14893.2</v>
      </c>
      <c r="BE205" s="1091" t="n">
        <v>2836.8</v>
      </c>
      <c r="BF205" s="1091" t="n">
        <v>3546</v>
      </c>
      <c r="BG205" s="842"/>
      <c r="BH205" s="1092" t="n">
        <v>1</v>
      </c>
      <c r="BI205" s="1092" t="n">
        <v>1</v>
      </c>
      <c r="BJ205" s="1092" t="n">
        <v>1</v>
      </c>
      <c r="BK205" s="1092" t="n">
        <v>1</v>
      </c>
      <c r="BL205" s="1093" t="n">
        <v>2978.64</v>
      </c>
      <c r="BM205" s="1091" t="n">
        <v>567.36</v>
      </c>
      <c r="BN205" s="1091" t="n">
        <v>709.2</v>
      </c>
      <c r="BO205" s="842"/>
      <c r="BP205" s="1092" t="n">
        <v>1</v>
      </c>
      <c r="BQ205" s="1094" t="n">
        <v>1</v>
      </c>
      <c r="BR205" s="1094" t="n">
        <v>1</v>
      </c>
      <c r="BS205" s="1095" t="n">
        <v>1</v>
      </c>
      <c r="BT205" s="1093" t="n">
        <f aca="false">SUM(BD205:BF205)</f>
        <v>21276</v>
      </c>
      <c r="BU205" s="1098" t="n">
        <f aca="false">SUM(BD205:BG205)</f>
        <v>21276</v>
      </c>
      <c r="BV205" s="1090" t="n">
        <f aca="false">SUM(BL205:BN205)</f>
        <v>4255.2</v>
      </c>
      <c r="BW205" s="1098" t="n">
        <f aca="false">SUM(BL205:BO205)</f>
        <v>4255.2</v>
      </c>
      <c r="BX205" s="852" t="n">
        <v>15.7125256673511</v>
      </c>
      <c r="BY205" s="1099" t="n">
        <v>0</v>
      </c>
      <c r="BZ205" s="852" t="n">
        <v>0</v>
      </c>
      <c r="CA205" s="852" t="n">
        <v>0</v>
      </c>
      <c r="CB205" s="852" t="n">
        <v>0</v>
      </c>
      <c r="CC205" s="852" t="n">
        <v>0</v>
      </c>
      <c r="CD205" s="852" t="n">
        <v>0</v>
      </c>
      <c r="CE205" s="1100" t="n">
        <v>0</v>
      </c>
      <c r="CF205" s="852" t="n">
        <v>0</v>
      </c>
      <c r="CG205" s="852" t="n">
        <v>0</v>
      </c>
      <c r="CH205" s="852" t="n">
        <v>0</v>
      </c>
      <c r="CI205" s="852" t="n">
        <v>0</v>
      </c>
      <c r="CJ205" s="1101" t="n">
        <v>0</v>
      </c>
      <c r="CK205" s="852" t="n">
        <v>0</v>
      </c>
      <c r="CL205" s="852" t="n">
        <v>0</v>
      </c>
      <c r="CM205" s="852" t="n">
        <v>0</v>
      </c>
      <c r="CN205" s="852" t="n">
        <v>0</v>
      </c>
      <c r="CO205" s="852" t="n">
        <v>0</v>
      </c>
      <c r="CP205" s="852" t="n">
        <v>0</v>
      </c>
      <c r="CQ205" s="1102" t="n">
        <v>0</v>
      </c>
      <c r="CR205" s="1103" t="n">
        <v>0</v>
      </c>
      <c r="CS205" s="1103" t="n">
        <v>0</v>
      </c>
      <c r="CT205" s="1103" t="n">
        <v>0</v>
      </c>
      <c r="CU205" s="1103" t="n">
        <v>0</v>
      </c>
      <c r="CV205" s="1103" t="n">
        <v>0</v>
      </c>
      <c r="CW205" s="1103" t="n">
        <v>0</v>
      </c>
      <c r="CX205" s="1104" t="n">
        <v>0</v>
      </c>
      <c r="CY205" s="1105" t="n">
        <v>7776.2776</v>
      </c>
      <c r="CZ205" s="1099" t="n">
        <v>0</v>
      </c>
      <c r="DA205" s="852" t="n">
        <v>0</v>
      </c>
      <c r="DB205" s="852" t="n">
        <v>0</v>
      </c>
      <c r="DC205" s="852" t="n">
        <v>0</v>
      </c>
      <c r="DD205" s="852" t="n">
        <v>0</v>
      </c>
      <c r="DE205" s="1113" t="n">
        <v>0</v>
      </c>
      <c r="DF205" s="1109" t="n">
        <v>0</v>
      </c>
      <c r="DG205" s="1110" t="n">
        <v>0</v>
      </c>
      <c r="DH205" s="1111" t="n">
        <v>0</v>
      </c>
      <c r="DI205" s="1112" t="n">
        <v>0</v>
      </c>
      <c r="DJ205" s="1112" t="n">
        <v>0</v>
      </c>
      <c r="DK205" s="1112" t="n">
        <v>0</v>
      </c>
      <c r="DL205" s="1113" t="n">
        <v>0</v>
      </c>
      <c r="DM205" s="1114" t="n">
        <v>0</v>
      </c>
      <c r="DN205" s="1114" t="n">
        <v>0</v>
      </c>
      <c r="DO205" s="1114" t="n">
        <v>0</v>
      </c>
      <c r="DP205" s="1114" t="n">
        <v>0</v>
      </c>
      <c r="DQ205" s="1114" t="n">
        <v>0</v>
      </c>
      <c r="DR205" s="1109" t="n">
        <v>0</v>
      </c>
      <c r="DS205" s="852" t="n">
        <v>0</v>
      </c>
      <c r="DT205" s="852" t="n">
        <v>0</v>
      </c>
      <c r="DU205" s="852" t="n">
        <v>0</v>
      </c>
      <c r="DV205" s="852" t="n">
        <v>0</v>
      </c>
      <c r="DW205" s="852" t="n">
        <v>0</v>
      </c>
      <c r="DX205" s="852" t="n">
        <v>0</v>
      </c>
      <c r="DY205" s="852" t="n">
        <v>0</v>
      </c>
      <c r="DZ205" s="852" t="n">
        <v>0</v>
      </c>
      <c r="EA205" s="852" t="n">
        <v>0</v>
      </c>
      <c r="EB205" s="1113" t="n">
        <v>0</v>
      </c>
      <c r="EC205" s="1115" t="n">
        <f aca="false">DS205*BD205</f>
        <v>0</v>
      </c>
      <c r="ED205" s="1115" t="n">
        <f aca="false">DT205*BE205</f>
        <v>0</v>
      </c>
      <c r="EE205" s="1115" t="n">
        <f aca="false">DU205*BF205</f>
        <v>0</v>
      </c>
      <c r="EF205" s="1115" t="n">
        <f aca="false">DV205*BG205</f>
        <v>0</v>
      </c>
      <c r="EG205" s="1115" t="n">
        <f aca="false">DS205*BD205+DT205*BE205+DU205*BF205+DV205*BG205</f>
        <v>0</v>
      </c>
      <c r="EH205" s="1116" t="n">
        <v>0</v>
      </c>
      <c r="EI205" s="1117" t="n">
        <v>0</v>
      </c>
      <c r="EJ205" s="1117" t="n">
        <v>0</v>
      </c>
      <c r="EK205" s="1117" t="n">
        <v>0</v>
      </c>
      <c r="EL205" s="1118" t="n">
        <f aca="false">IF(C205&gt;=Summary!$E$26,MAX(0,SUM(EH205:EK205)),0)</f>
        <v>0</v>
      </c>
      <c r="EM205" s="1115" t="n">
        <f aca="false">IF(C205&gt;=Summary!$E$26,DX205*BL205,0)</f>
        <v>0</v>
      </c>
      <c r="EN205" s="1115" t="n">
        <f aca="false">IF(C205&gt;=Summary!$E$26,DY205*BM205,0)</f>
        <v>0</v>
      </c>
      <c r="EO205" s="1115" t="n">
        <f aca="false">IF(C205&gt;=Summary!$E$26,DZ205*BN205,0)</f>
        <v>0</v>
      </c>
      <c r="EP205" s="1115" t="n">
        <f aca="false">IF(C205&gt;=Summary!$E$26,EA205*BO205,0)</f>
        <v>0</v>
      </c>
      <c r="EQ205" s="1115" t="n">
        <f aca="false">IF(C205&gt;=Summary!$E$26,DX205*BL205+DY205*BM205+DZ205*BN205+EA205*BO205,0)</f>
        <v>0</v>
      </c>
      <c r="ER205" s="1119" t="n">
        <v>0</v>
      </c>
      <c r="ES205" s="1120" t="n">
        <v>0</v>
      </c>
      <c r="ET205" s="1120" t="n">
        <v>0</v>
      </c>
      <c r="EU205" s="1120" t="n">
        <v>0</v>
      </c>
      <c r="EV205" s="1143" t="n">
        <f aca="false">IF(C205&gt;=Summary!$E$26,MAX(0,SUM(ER205:EU205)),0)</f>
        <v>0</v>
      </c>
      <c r="EW205" s="1115"/>
      <c r="EX205" s="1165" t="n">
        <f aca="false">(EQ205-EV205)+IF(EZ205="Yes",(EG205-EL205),0)</f>
        <v>0</v>
      </c>
      <c r="EY205" s="1166" t="str">
        <f aca="false">IF(EX205,EX205/EQ205,"")</f>
        <v/>
      </c>
      <c r="EZ205" s="1122" t="s">
        <v>37</v>
      </c>
      <c r="FA205" s="1096" t="n">
        <f aca="false">FA204</f>
        <v>45</v>
      </c>
      <c r="FB205" s="1167" t="e">
        <f aca="false">IF(EZ205="No",IF((OR(MONTH(C205)=5,MONTH(C205)=6,MONTH(C205)=7,MONTH(C205)=8,MONTH(C205)=9)),$FA205*12*AX205*(1-$BC205),$FA205*10*AX205*(1-$BC205)),0)</f>
        <v>#VALUE!</v>
      </c>
      <c r="FC205" s="1129" t="n">
        <f aca="false">IF(EZ205="No",IF((OR(MONTH(C205)=5,MONTH(C205)=6,MONTH(C205)=7,MONTH(C205)=8,MONTH(C205)=9)),0,$FA205*3*AX205*(1-$BC205)),0)</f>
        <v>0</v>
      </c>
      <c r="FD205" s="1129" t="e">
        <f aca="false">IF(EZ205="No",IF((OR(MONTH(C205)=5,MONTH(C205)=6,MONTH(C205)=7,MONTH(C205)=8,MONTH(C205)=9)),$FA205*12*AY205*(1-$BC205),$FA205*10*AY205*(1-$BC205)),0)</f>
        <v>#VALUE!</v>
      </c>
      <c r="FE205" s="1129" t="n">
        <f aca="false">IF(EZ205="No",IF((OR(MONTH(C205)=5,MONTH(C205)=6,MONTH(C205)=7,MONTH(C205)=8,MONTH(C205)=9)),0,$FA205*3*AY205*(1-$BC205)),0)</f>
        <v>0</v>
      </c>
      <c r="FF205" s="1129" t="e">
        <f aca="false">IF(EZ205="No",IF((OR(MONTH(C205)=5,MONTH(C205)=6,MONTH(C205)=7,MONTH(C205)=8,MONTH(C205)=9)),$FA205*12*(AZ205+BA205)*(1-$BC205),$FA205*10*(AZ205+BA205)*(1-$BC205)),0)</f>
        <v>#VALUE!</v>
      </c>
      <c r="FG205" s="1129" t="n">
        <f aca="false">IF(EZ205="No",IF((OR(MONTH(C205)=5,MONTH(C205)=6,MONTH(C205)=7,MONTH(C205)=8,MONTH(C205)=9)),0,$FA205*3*(AZ205+BA205)*(1-$BC205)),0)</f>
        <v>0</v>
      </c>
      <c r="FH205" s="1170" t="e">
        <f aca="false">IF(EZ205="No",IF((OR(MONTH(C205)=5,MONTH(C205)=6,MONTH(C205)=7,MONTH(C205)=8,MONTH(C205)=9)),Summary!$O$15*12*(AX205+AY205+AZ205+BA205)*(1-$BC205),Summary!$O$15*13*(AX205+AY205+AZ205+BA205)*(1-$BC205)+IF(Summary!$O$16="Yes",(CALC!FA205+Summary!$O$15)*6*(AX205+AY205+AZ205+BA205)*(1-$BC205),0)),0)</f>
        <v>#VALUE!</v>
      </c>
      <c r="FI205" s="1126" t="n">
        <f aca="false">IF(MONTH(C205)=5,FI204*(IF(Summary!$E$70="no",(1+(Summary!$E$71*0.8)),1+HLOOKUP(YEAR(C205)-1,CCFMODEL!$I$127:$AF$128,2)*0.8)),+FI204)</f>
        <v>38.8797064863349</v>
      </c>
      <c r="FJ205" s="1127" t="n">
        <f aca="false">IF(MONTH(C205)=5,FJ204*(IF(Summary!$E$70="no",(1+(Summary!$E$71*0.8)),1+HLOOKUP(YEAR(CALC!C205)-1,CCFMODEL!$I$127:$AF$128,2)*0.8)),FJ204)</f>
        <v>33.981475747899</v>
      </c>
      <c r="FK205" s="1128" t="e">
        <f aca="false">SUM(FB205:FG205)*FI205+FH205*FJ205</f>
        <v>#VALUE!</v>
      </c>
      <c r="FL205" s="1126" t="n">
        <f aca="false">IF(MONTH(C205)=5,FL204*(IF(Summary!$E$70="no",(1+(Summary!$E$71*0.8)),1+HLOOKUP(YEAR(CALC!C205)-1,CCFMODEL!$I$127:$AF$128,2)*0.8)),+FL204)</f>
        <v>81.7683815829968</v>
      </c>
      <c r="FM205" s="1127" t="n">
        <f aca="false">IF(MONTH(C205)=5,FM204*(IF(Summary!$E$70="no",(1+(Summary!$E$71*0.8)),1+HLOOKUP(YEAR(CALC!C205)-1,CCFMODEL!$I$127:$AF$128,2)*0.8)),+FM204)</f>
        <v>39.0254871630741</v>
      </c>
      <c r="FN205" s="1128" t="e">
        <f aca="false">IF((OR(MONTH(C205)=5,MONTH(C205)=6,MONTH(C205)=7,MONTH(C205)=8,MONTH(C205)=9)),SUM(FB205:FG205)/(1-BC205)*FL205,SUM(FB205:FG205)/(1-BC205)*FM205)</f>
        <v>#VALUE!</v>
      </c>
      <c r="FO205" s="1129" t="e">
        <f aca="false">FK205+FN205</f>
        <v>#VALUE!</v>
      </c>
      <c r="FP205" s="1169" t="e">
        <f aca="false">FB205</f>
        <v>#VALUE!</v>
      </c>
      <c r="FQ205" s="1129" t="n">
        <f aca="false">FC205</f>
        <v>0</v>
      </c>
      <c r="FR205" s="1129" t="e">
        <f aca="false">FD205</f>
        <v>#VALUE!</v>
      </c>
      <c r="FS205" s="1129" t="n">
        <f aca="false">FE205</f>
        <v>0</v>
      </c>
      <c r="FT205" s="1129" t="e">
        <f aca="false">FF205</f>
        <v>#VALUE!</v>
      </c>
      <c r="FU205" s="1129" t="n">
        <f aca="false">FG205</f>
        <v>0</v>
      </c>
      <c r="FV205" s="1170" t="e">
        <f aca="false">FH205</f>
        <v>#VALUE!</v>
      </c>
      <c r="FW205" s="1115" t="n">
        <f aca="false">IF(ER205&gt;0,MIN(FB205-FP205,BL205),0)</f>
        <v>0</v>
      </c>
      <c r="FX205" s="1115" t="n">
        <f aca="false">IF(ES205&gt;0,MIN(FD205-FR205,BM205),0)</f>
        <v>0</v>
      </c>
      <c r="FY205" s="1115" t="n">
        <f aca="false">IF(ET205&gt;0,MIN(FF205-FT205,BN205),0)</f>
        <v>0</v>
      </c>
      <c r="FZ205" s="1143" t="n">
        <f aca="false">IF(EU205&gt;0,MIN(FH205-FV205,BO205),0)</f>
        <v>0</v>
      </c>
      <c r="GA205" s="1132" t="e">
        <f aca="false">(SUM(FP205:FV205)+SUM(GU205:HB205)/(1-Summary!$O$25))*CY205/1000</f>
        <v>#VALUE!</v>
      </c>
      <c r="GB205" s="1133" t="n">
        <f aca="false">IF($C205&lt;Summary!$M$81,+Summary!$O$81,VLOOKUP(C205,GasTable,19))</f>
        <v>3.71068731830176</v>
      </c>
      <c r="GC205" s="1134" t="n">
        <f aca="false">IF(H205&lt;=Summary!$N$84,MIN(GA205,Summary!$O$75*(H205-G205+1)),0)</f>
        <v>0</v>
      </c>
      <c r="GD205" s="1135" t="n">
        <f aca="false">IF(C205&lt;Summary!$N$84,IF(Summary!$O$75*(H205-G205+1)*0.8&gt;GC205,1,0),0)</f>
        <v>0</v>
      </c>
      <c r="GE205" s="1136" t="n">
        <v>0</v>
      </c>
      <c r="GF205" s="1134" t="e">
        <f aca="false">ABS(MIN(0,GC205-$GA205))</f>
        <v>#VALUE!</v>
      </c>
      <c r="GG205" s="1135" t="e">
        <f aca="false">GF205*(IF(Summary!$O$74=1,VLOOKUP($C205,GasTable,16)+Summary!$O$92+Summary!$O$93,VLOOKUP($C205,GasTable,19)+Summary!$O$92+Summary!$O$93))</f>
        <v>#VALUE!</v>
      </c>
      <c r="GH205" s="1137" t="n">
        <v>5566.03097745265</v>
      </c>
      <c r="GI205" s="1138" t="n">
        <v>0</v>
      </c>
      <c r="GJ205" s="1139" t="e">
        <f aca="false">+GB205*GC205+GE205+GG205+GH205-GI205</f>
        <v>#VALUE!</v>
      </c>
      <c r="GK205" s="1115" t="e">
        <f aca="false">SUM(FP205:FV205,GU205:GX205,GY205:HB205)</f>
        <v>#VALUE!</v>
      </c>
      <c r="GL205" s="1140" t="n">
        <v>0.5210105992</v>
      </c>
      <c r="GM205" s="1141" t="e">
        <f aca="false">IF(GK205&gt;GC205/(CY205/1000),GC205/(CY205/1000),+GK205)*GL205</f>
        <v>#VALUE!</v>
      </c>
      <c r="GN205" s="1115" t="n">
        <f aca="false">IF(SUM(GU205:HB205)=0,0,IF(Summary!$O$16="Yes",SUM(GX205:HB205),IF(Summary!$O$17="Yes",SUM(GY205:HB205),SUM(GU205:HB205))))</f>
        <v>9239.103</v>
      </c>
      <c r="GO205" s="1142" t="n">
        <v>3.70722326988881</v>
      </c>
      <c r="GP205" s="1143" t="n">
        <f aca="false">GN205*GO205</f>
        <v>34251.4176344995</v>
      </c>
      <c r="GQ205" s="1115"/>
      <c r="GR205" s="1115"/>
      <c r="GS205" s="1115"/>
      <c r="GT205" s="1115"/>
      <c r="GU205" s="1150" t="n">
        <v>3592.9845</v>
      </c>
      <c r="GV205" s="1115" t="n">
        <v>684.378</v>
      </c>
      <c r="GW205" s="1115" t="n">
        <v>855.4725</v>
      </c>
      <c r="GX205" s="1115"/>
      <c r="GY205" s="1151" t="n">
        <v>2874.3876</v>
      </c>
      <c r="GZ205" s="1115" t="n">
        <v>547.5024</v>
      </c>
      <c r="HA205" s="1115" t="n">
        <v>684.378</v>
      </c>
      <c r="HB205" s="1141"/>
      <c r="HC205" s="1115" t="n">
        <v>9239.103</v>
      </c>
      <c r="HD205" s="1115"/>
      <c r="HE205" s="1115" t="n">
        <v>21557.907</v>
      </c>
      <c r="HF205" s="1115" t="n">
        <v>565537.887088161</v>
      </c>
      <c r="HG205" s="1115"/>
      <c r="HH205" s="1142" t="n">
        <v>63.5338077577801</v>
      </c>
      <c r="HI205" s="1115" t="n">
        <v>1369655.9189981</v>
      </c>
      <c r="HJ205" s="1150" t="e">
        <f aca="false">MAX(FB205-FP205-FW205,0)</f>
        <v>#VALUE!</v>
      </c>
      <c r="HK205" s="1115" t="e">
        <f aca="false">MAX(FD205-FR205-FX205,0)</f>
        <v>#VALUE!</v>
      </c>
      <c r="HL205" s="1115" t="e">
        <f aca="false">MAX(FF205-FT205-FY205,0)</f>
        <v>#VALUE!</v>
      </c>
      <c r="HM205" s="1141" t="e">
        <f aca="false">MAX(FH205-FV205-FZ205,0)</f>
        <v>#VALUE!</v>
      </c>
      <c r="HN205" s="1115" t="e">
        <f aca="false">SUM(HJ205:HM205)</f>
        <v>#VALUE!</v>
      </c>
      <c r="HO205" s="1142" t="n">
        <f aca="false">IF(ISERROR(+HP205/HN205),0,+HP205/HN205)</f>
        <v>0</v>
      </c>
      <c r="HP205" s="1143" t="e">
        <f aca="false">(HJ205*CE205+HK205*CF205+HL205*CG205+HM205*CH205)</f>
        <v>#VALUE!</v>
      </c>
      <c r="HQ205" s="1146"/>
      <c r="HR205" s="1150"/>
      <c r="HS205" s="1200"/>
      <c r="HT205" s="1141"/>
      <c r="HU205" s="1150"/>
      <c r="HV205" s="1200"/>
      <c r="HW205" s="1141"/>
      <c r="HX205" s="1200"/>
      <c r="HY205" s="1200"/>
      <c r="HZ205" s="0"/>
      <c r="IA205" s="1142"/>
      <c r="IB205" s="1142"/>
      <c r="IC205" s="1142"/>
      <c r="ID205" s="1142"/>
      <c r="IE205" s="1142"/>
      <c r="IF205" s="1142"/>
      <c r="IG205" s="1142"/>
      <c r="IH205" s="1142"/>
      <c r="II205" s="1142"/>
      <c r="IJ205" s="1142"/>
      <c r="IK205" s="1142"/>
      <c r="IL205" s="1190"/>
      <c r="IM205" s="222"/>
      <c r="IN205" s="222"/>
      <c r="IR205" s="844"/>
    </row>
    <row r="206" customFormat="false" ht="13.5" hidden="false" customHeight="false" outlineLevel="0" collapsed="false">
      <c r="A206" s="0" t="str">
        <f aca="false">+D206&amp;"Q"&amp;ROUNDUP(E206/3,0)</f>
        <v>2015Q4</v>
      </c>
      <c r="B206" s="0" t="n">
        <f aca="false">YEAR(C206)</f>
        <v>2015</v>
      </c>
      <c r="C206" s="1153" t="n">
        <f aca="false">EOMONTH(C205,0)+1</f>
        <v>42278</v>
      </c>
      <c r="D206" s="841" t="n">
        <f aca="false">+YEAR(C206)</f>
        <v>2015</v>
      </c>
      <c r="E206" s="807" t="n">
        <f aca="false">MONTH(C206)</f>
        <v>10</v>
      </c>
      <c r="F206" s="1154" t="e">
        <f aca="false">IF(G206="","",Holiday(D206,E206))</f>
        <v>#VALUE!</v>
      </c>
      <c r="G206" s="1155" t="n">
        <v>42278</v>
      </c>
      <c r="H206" s="1156" t="n">
        <v>42308</v>
      </c>
      <c r="I206" s="1157" t="n">
        <f aca="false">I205</f>
        <v>0.0715</v>
      </c>
      <c r="J206" s="1158" t="n">
        <f aca="false">(1+I206/2)^(-2*(DATE(D207,E207,20)-$H$7)/365.25)</f>
        <v>0.326535305466616</v>
      </c>
      <c r="K206" s="1159"/>
      <c r="L206" s="1158"/>
      <c r="M206" s="1082" t="n">
        <v>0</v>
      </c>
      <c r="N206" s="1110" t="n">
        <f aca="false">M206</f>
        <v>0</v>
      </c>
      <c r="O206" s="1174" t="n">
        <f aca="false">N206</f>
        <v>0</v>
      </c>
      <c r="P206" s="1175" t="n">
        <f aca="false">M206</f>
        <v>0</v>
      </c>
      <c r="Q206" s="1110" t="n">
        <f aca="false">P206</f>
        <v>0</v>
      </c>
      <c r="R206" s="1174" t="n">
        <f aca="false">Q206</f>
        <v>0</v>
      </c>
      <c r="S206" s="1110" t="n">
        <f aca="false">R206</f>
        <v>0</v>
      </c>
      <c r="T206" s="1110" t="n">
        <f aca="false">S206</f>
        <v>0</v>
      </c>
      <c r="U206" s="1110" t="n">
        <f aca="false">T206</f>
        <v>0</v>
      </c>
      <c r="V206" s="1175" t="n">
        <f aca="false">U206</f>
        <v>0</v>
      </c>
      <c r="W206" s="1110" t="n">
        <f aca="false">V206</f>
        <v>0</v>
      </c>
      <c r="X206" s="1176" t="n">
        <f aca="false">W206</f>
        <v>0</v>
      </c>
      <c r="Y206" s="1086" t="n">
        <v>0</v>
      </c>
      <c r="Z206" s="1086" t="n">
        <v>0</v>
      </c>
      <c r="AA206" s="1087" t="n">
        <v>0</v>
      </c>
      <c r="AB206" s="1086" t="n">
        <v>0</v>
      </c>
      <c r="AC206" s="1086" t="n">
        <v>0</v>
      </c>
      <c r="AD206" s="1087" t="n">
        <v>0</v>
      </c>
      <c r="AE206" s="1086" t="n">
        <v>0</v>
      </c>
      <c r="AF206" s="1086" t="n">
        <v>0</v>
      </c>
      <c r="AG206" s="1087" t="n">
        <v>0</v>
      </c>
      <c r="AH206" s="1086" t="n">
        <v>0</v>
      </c>
      <c r="AI206" s="1086" t="n">
        <v>0</v>
      </c>
      <c r="AJ206" s="1087" t="n">
        <v>0</v>
      </c>
      <c r="AK206" s="1086" t="n">
        <v>0</v>
      </c>
      <c r="AL206" s="1086" t="n">
        <v>0</v>
      </c>
      <c r="AM206" s="1087" t="n">
        <v>0</v>
      </c>
      <c r="AN206" s="1086" t="n">
        <v>0</v>
      </c>
      <c r="AO206" s="1086" t="n">
        <v>0</v>
      </c>
      <c r="AP206" s="1087" t="n">
        <v>0</v>
      </c>
      <c r="AQ206" s="1086" t="n">
        <v>0</v>
      </c>
      <c r="AR206" s="1086" t="n">
        <v>0</v>
      </c>
      <c r="AS206" s="1087" t="n">
        <v>0</v>
      </c>
      <c r="AT206" s="1086" t="n">
        <v>0</v>
      </c>
      <c r="AU206" s="1086" t="n">
        <v>0</v>
      </c>
      <c r="AV206" s="1086" t="n">
        <v>0</v>
      </c>
      <c r="AW206" s="1172" t="n">
        <v>0</v>
      </c>
      <c r="AX206" s="807" t="n">
        <f aca="false">BB206-SUM(AY206:BA206)</f>
        <v>22</v>
      </c>
      <c r="AY206" s="807" t="n">
        <f aca="false">IF(AND($E206=MONTH(Summary!$E$24),$D206=YEAR(Summary!$E$24)),Summary!$E$25,1)*IF(G206="",0,INT((H206-MOD(H206,7)-G206)/7)+1-IF(BA206,IF(WEEKDAY(F206)=7,1,0),0))</f>
        <v>5</v>
      </c>
      <c r="AZ206" s="807" t="n">
        <f aca="false">IF(AND($E206=MONTH(Summary!$E$24),$D206=YEAR(Summary!$E$24)),Summary!$E$25,1)*IF(G206="",0,INT((H206-MOD(H206-1,7)-G206)/7)+1-IF(BA206,IF(WEEKDAY(F206)=1,1,0),0))</f>
        <v>4</v>
      </c>
      <c r="BA206" s="807" t="n">
        <v>0</v>
      </c>
      <c r="BB206" s="807" t="n">
        <f aca="false">IF(AND($E206=MONTH(Summary!$E$24),$D206=YEAR(Summary!$E$24)),Summary!$E$25,1)*IF(G206="",0,H206-G206+1)</f>
        <v>31</v>
      </c>
      <c r="BC206" s="1089" t="n">
        <f aca="false">Summary!$E$19</f>
        <v>0.015</v>
      </c>
      <c r="BD206" s="1090" t="n">
        <v>15602.4</v>
      </c>
      <c r="BE206" s="1091" t="n">
        <v>3546</v>
      </c>
      <c r="BF206" s="1091" t="n">
        <v>2836.8</v>
      </c>
      <c r="BG206" s="842"/>
      <c r="BH206" s="1092" t="n">
        <v>1</v>
      </c>
      <c r="BI206" s="1092" t="n">
        <v>1</v>
      </c>
      <c r="BJ206" s="1092" t="n">
        <v>1</v>
      </c>
      <c r="BK206" s="1092" t="n">
        <v>1</v>
      </c>
      <c r="BL206" s="1093" t="n">
        <v>3120.48</v>
      </c>
      <c r="BM206" s="1091" t="n">
        <v>709.2</v>
      </c>
      <c r="BN206" s="1091" t="n">
        <v>567.36</v>
      </c>
      <c r="BO206" s="842"/>
      <c r="BP206" s="1092" t="n">
        <v>1</v>
      </c>
      <c r="BQ206" s="1094" t="n">
        <v>1</v>
      </c>
      <c r="BR206" s="1094" t="n">
        <v>1</v>
      </c>
      <c r="BS206" s="1095" t="n">
        <v>1</v>
      </c>
      <c r="BT206" s="1093" t="n">
        <f aca="false">SUM(BD206:BF206)</f>
        <v>21985.2</v>
      </c>
      <c r="BU206" s="1098" t="n">
        <f aca="false">SUM(BD206:BG206)</f>
        <v>21985.2</v>
      </c>
      <c r="BV206" s="1090" t="n">
        <f aca="false">SUM(BL206:BN206)</f>
        <v>4397.04</v>
      </c>
      <c r="BW206" s="1098" t="n">
        <f aca="false">SUM(BL206:BO206)</f>
        <v>4397.04</v>
      </c>
      <c r="BX206" s="852" t="n">
        <v>15.7946611909651</v>
      </c>
      <c r="BY206" s="1099" t="n">
        <v>0</v>
      </c>
      <c r="BZ206" s="852" t="n">
        <v>0</v>
      </c>
      <c r="CA206" s="852" t="n">
        <v>0</v>
      </c>
      <c r="CB206" s="852" t="n">
        <v>0</v>
      </c>
      <c r="CC206" s="852" t="n">
        <v>0</v>
      </c>
      <c r="CD206" s="852" t="n">
        <v>0</v>
      </c>
      <c r="CE206" s="1100" t="n">
        <v>0</v>
      </c>
      <c r="CF206" s="852" t="n">
        <v>0</v>
      </c>
      <c r="CG206" s="852" t="n">
        <v>0</v>
      </c>
      <c r="CH206" s="852" t="n">
        <v>0</v>
      </c>
      <c r="CI206" s="852" t="n">
        <v>0</v>
      </c>
      <c r="CJ206" s="1101" t="n">
        <v>0</v>
      </c>
      <c r="CK206" s="852" t="n">
        <v>0</v>
      </c>
      <c r="CL206" s="852" t="n">
        <v>0</v>
      </c>
      <c r="CM206" s="852" t="n">
        <v>0</v>
      </c>
      <c r="CN206" s="852" t="n">
        <v>0</v>
      </c>
      <c r="CO206" s="852" t="n">
        <v>0</v>
      </c>
      <c r="CP206" s="852" t="n">
        <v>0</v>
      </c>
      <c r="CQ206" s="1102" t="n">
        <v>0</v>
      </c>
      <c r="CR206" s="1103" t="n">
        <v>0</v>
      </c>
      <c r="CS206" s="1103" t="n">
        <v>0</v>
      </c>
      <c r="CT206" s="1103" t="n">
        <v>0</v>
      </c>
      <c r="CU206" s="1103" t="n">
        <v>0</v>
      </c>
      <c r="CV206" s="1103" t="n">
        <v>0</v>
      </c>
      <c r="CW206" s="1103" t="n">
        <v>0</v>
      </c>
      <c r="CX206" s="1104" t="n">
        <v>0</v>
      </c>
      <c r="CY206" s="1105" t="n">
        <v>7777.58048</v>
      </c>
      <c r="CZ206" s="1099" t="n">
        <v>0</v>
      </c>
      <c r="DA206" s="852" t="n">
        <v>0</v>
      </c>
      <c r="DB206" s="852" t="n">
        <v>0</v>
      </c>
      <c r="DC206" s="852" t="n">
        <v>0</v>
      </c>
      <c r="DD206" s="852" t="n">
        <v>0</v>
      </c>
      <c r="DE206" s="1113" t="n">
        <v>0</v>
      </c>
      <c r="DF206" s="1109" t="n">
        <v>0</v>
      </c>
      <c r="DG206" s="1110" t="n">
        <v>0</v>
      </c>
      <c r="DH206" s="1111" t="n">
        <v>0</v>
      </c>
      <c r="DI206" s="1112" t="n">
        <v>0</v>
      </c>
      <c r="DJ206" s="1112" t="n">
        <v>0</v>
      </c>
      <c r="DK206" s="1112" t="n">
        <v>0</v>
      </c>
      <c r="DL206" s="1113" t="n">
        <v>0</v>
      </c>
      <c r="DM206" s="1114" t="n">
        <v>0</v>
      </c>
      <c r="DN206" s="1114" t="n">
        <v>0</v>
      </c>
      <c r="DO206" s="1114" t="n">
        <v>0</v>
      </c>
      <c r="DP206" s="1114" t="n">
        <v>0</v>
      </c>
      <c r="DQ206" s="1114" t="n">
        <v>0</v>
      </c>
      <c r="DR206" s="1109" t="n">
        <v>0</v>
      </c>
      <c r="DS206" s="852" t="n">
        <v>0</v>
      </c>
      <c r="DT206" s="852" t="n">
        <v>0</v>
      </c>
      <c r="DU206" s="852" t="n">
        <v>0</v>
      </c>
      <c r="DV206" s="852" t="n">
        <v>0</v>
      </c>
      <c r="DW206" s="852" t="n">
        <v>0</v>
      </c>
      <c r="DX206" s="852" t="n">
        <v>0</v>
      </c>
      <c r="DY206" s="852" t="n">
        <v>0</v>
      </c>
      <c r="DZ206" s="852" t="n">
        <v>0</v>
      </c>
      <c r="EA206" s="852" t="n">
        <v>0</v>
      </c>
      <c r="EB206" s="1113" t="n">
        <v>0</v>
      </c>
      <c r="EC206" s="1115" t="n">
        <f aca="false">DS206*BD206</f>
        <v>0</v>
      </c>
      <c r="ED206" s="1115" t="n">
        <f aca="false">DT206*BE206</f>
        <v>0</v>
      </c>
      <c r="EE206" s="1115" t="n">
        <f aca="false">DU206*BF206</f>
        <v>0</v>
      </c>
      <c r="EF206" s="1115" t="n">
        <f aca="false">DV206*BG206</f>
        <v>0</v>
      </c>
      <c r="EG206" s="1115" t="n">
        <f aca="false">DS206*BD206+DT206*BE206+DU206*BF206+DV206*BG206</f>
        <v>0</v>
      </c>
      <c r="EH206" s="1116" t="n">
        <v>0</v>
      </c>
      <c r="EI206" s="1117" t="n">
        <v>0</v>
      </c>
      <c r="EJ206" s="1117" t="n">
        <v>0</v>
      </c>
      <c r="EK206" s="1117" t="n">
        <v>0</v>
      </c>
      <c r="EL206" s="1118" t="n">
        <f aca="false">IF(C206&gt;=Summary!$E$26,MAX(0,SUM(EH206:EK206)),0)</f>
        <v>0</v>
      </c>
      <c r="EM206" s="1115" t="n">
        <f aca="false">IF(C206&gt;=Summary!$E$26,DX206*BL206,0)</f>
        <v>0</v>
      </c>
      <c r="EN206" s="1115" t="n">
        <f aca="false">IF(C206&gt;=Summary!$E$26,DY206*BM206,0)</f>
        <v>0</v>
      </c>
      <c r="EO206" s="1115" t="n">
        <f aca="false">IF(C206&gt;=Summary!$E$26,DZ206*BN206,0)</f>
        <v>0</v>
      </c>
      <c r="EP206" s="1115" t="n">
        <f aca="false">IF(C206&gt;=Summary!$E$26,EA206*BO206,0)</f>
        <v>0</v>
      </c>
      <c r="EQ206" s="1115" t="n">
        <f aca="false">IF(C206&gt;=Summary!$E$26,DX206*BL206+DY206*BM206+DZ206*BN206+EA206*BO206,0)</f>
        <v>0</v>
      </c>
      <c r="ER206" s="1119" t="n">
        <v>0</v>
      </c>
      <c r="ES206" s="1120" t="n">
        <v>0</v>
      </c>
      <c r="ET206" s="1120" t="n">
        <v>0</v>
      </c>
      <c r="EU206" s="1120" t="n">
        <v>0</v>
      </c>
      <c r="EV206" s="1143" t="n">
        <f aca="false">IF(C206&gt;=Summary!$E$26,MAX(0,SUM(ER206:EU206)),0)</f>
        <v>0</v>
      </c>
      <c r="EW206" s="1115"/>
      <c r="EX206" s="1165" t="n">
        <f aca="false">(EQ206-EV206)+IF(EZ206="Yes",(EG206-EL206),0)</f>
        <v>0</v>
      </c>
      <c r="EY206" s="1166" t="str">
        <f aca="false">IF(EX206,EX206/EQ206,"")</f>
        <v/>
      </c>
      <c r="EZ206" s="1122" t="s">
        <v>37</v>
      </c>
      <c r="FA206" s="1096" t="n">
        <f aca="false">FA205</f>
        <v>45</v>
      </c>
      <c r="FB206" s="1167" t="n">
        <f aca="false">IF(EZ206="No",IF((OR(MONTH(C206)=5,MONTH(C206)=6,MONTH(C206)=7,MONTH(C206)=8,MONTH(C206)=9)),$FA206*12*AX206*(1-$BC206),$FA206*10*AX206*(1-$BC206)),0)</f>
        <v>9751.5</v>
      </c>
      <c r="FC206" s="1129" t="n">
        <f aca="false">IF(EZ206="No",IF((OR(MONTH(C206)=5,MONTH(C206)=6,MONTH(C206)=7,MONTH(C206)=8,MONTH(C206)=9)),0,$FA206*3*AX206*(1-$BC206)),0)</f>
        <v>2925.45</v>
      </c>
      <c r="FD206" s="1129" t="n">
        <f aca="false">IF(EZ206="No",IF((OR(MONTH(C206)=5,MONTH(C206)=6,MONTH(C206)=7,MONTH(C206)=8,MONTH(C206)=9)),$FA206*12*AY206*(1-$BC206),$FA206*10*AY206*(1-$BC206)),0)</f>
        <v>2216.25</v>
      </c>
      <c r="FE206" s="1129" t="n">
        <f aca="false">IF(EZ206="No",IF((OR(MONTH(C206)=5,MONTH(C206)=6,MONTH(C206)=7,MONTH(C206)=8,MONTH(C206)=9)),0,$FA206*3*AY206*(1-$BC206)),0)</f>
        <v>664.875</v>
      </c>
      <c r="FF206" s="1129" t="n">
        <f aca="false">IF(EZ206="No",IF((OR(MONTH(C206)=5,MONTH(C206)=6,MONTH(C206)=7,MONTH(C206)=8,MONTH(C206)=9)),$FA206*12*(AZ206+BA206)*(1-$BC206),$FA206*10*(AZ206+BA206)*(1-$BC206)),0)</f>
        <v>1773</v>
      </c>
      <c r="FG206" s="1129" t="n">
        <f aca="false">IF(EZ206="No",IF((OR(MONTH(C206)=5,MONTH(C206)=6,MONTH(C206)=7,MONTH(C206)=8,MONTH(C206)=9)),0,$FA206*3*(AZ206+BA206)*(1-$BC206)),0)</f>
        <v>531.9</v>
      </c>
      <c r="FH206" s="1170" t="n">
        <f aca="false">IF(EZ206="No",IF((OR(MONTH(C206)=5,MONTH(C206)=6,MONTH(C206)=7,MONTH(C206)=8,MONTH(C206)=9)),Summary!$O$15*12*(AX206+AY206+AZ206+BA206)*(1-$BC206),Summary!$O$15*13*(AX206+AY206+AZ206+BA206)*(1-$BC206)+IF(Summary!$O$16="Yes",(CALC!FA206+Summary!$O$15)*6*(AX206+AY206+AZ206+BA206)*(1-$BC206),0)),0)</f>
        <v>0</v>
      </c>
      <c r="FI206" s="1126" t="n">
        <f aca="false">IF(MONTH(C206)=5,FI205*(IF(Summary!$E$70="no",(1+(Summary!$E$71*0.8)),1+HLOOKUP(YEAR(C206)-1,CCFMODEL!$I$127:$AF$128,2)*0.8)),+FI205)</f>
        <v>38.8797064863349</v>
      </c>
      <c r="FJ206" s="1127" t="n">
        <f aca="false">IF(MONTH(C206)=5,FJ205*(IF(Summary!$E$70="no",(1+(Summary!$E$71*0.8)),1+HLOOKUP(YEAR(CALC!C206)-1,CCFMODEL!$I$127:$AF$128,2)*0.8)),FJ205)</f>
        <v>33.981475747899</v>
      </c>
      <c r="FK206" s="1128" t="n">
        <f aca="false">SUM(FB206:FG206)*FI206+FH206*FJ206</f>
        <v>694507.224972739</v>
      </c>
      <c r="FL206" s="1126" t="n">
        <f aca="false">IF(MONTH(C206)=5,FL205*(IF(Summary!$E$70="no",(1+(Summary!$E$71*0.8)),1+HLOOKUP(YEAR(CALC!C206)-1,CCFMODEL!$I$127:$AF$128,2)*0.8)),+FL205)</f>
        <v>81.7683815829968</v>
      </c>
      <c r="FM206" s="1127" t="n">
        <f aca="false">IF(MONTH(C206)=5,FM205*(IF(Summary!$E$70="no",(1+(Summary!$E$71*0.8)),1+HLOOKUP(YEAR(CALC!C206)-1,CCFMODEL!$I$127:$AF$128,2)*0.8)),+FM205)</f>
        <v>39.0254871630741</v>
      </c>
      <c r="FN206" s="1128" t="n">
        <f aca="false">IF((OR(MONTH(C206)=5,MONTH(C206)=6,MONTH(C206)=7,MONTH(C206)=8,MONTH(C206)=9)),SUM(FB206:FG206)/(1-BC206)*FL206,SUM(FB206:FG206)/(1-BC206)*FM206)</f>
        <v>707727.209702349</v>
      </c>
      <c r="FO206" s="1129" t="n">
        <f aca="false">FK206+FN206</f>
        <v>1402234.43467509</v>
      </c>
      <c r="FP206" s="1169" t="n">
        <f aca="false">FB206</f>
        <v>9751.5</v>
      </c>
      <c r="FQ206" s="1129" t="n">
        <f aca="false">FC206</f>
        <v>2925.45</v>
      </c>
      <c r="FR206" s="1129" t="n">
        <f aca="false">FD206</f>
        <v>2216.25</v>
      </c>
      <c r="FS206" s="1129" t="n">
        <f aca="false">FE206</f>
        <v>664.875</v>
      </c>
      <c r="FT206" s="1129" t="n">
        <f aca="false">FF206</f>
        <v>1773</v>
      </c>
      <c r="FU206" s="1129" t="n">
        <f aca="false">FG206</f>
        <v>531.9</v>
      </c>
      <c r="FV206" s="1170" t="n">
        <f aca="false">FH206</f>
        <v>0</v>
      </c>
      <c r="FW206" s="1115" t="n">
        <f aca="false">IF(ER206&gt;0,MIN(FB206-FP206,BL206),0)</f>
        <v>0</v>
      </c>
      <c r="FX206" s="1115" t="n">
        <f aca="false">IF(ES206&gt;0,MIN(FD206-FR206,BM206),0)</f>
        <v>0</v>
      </c>
      <c r="FY206" s="1115" t="n">
        <f aca="false">IF(ET206&gt;0,MIN(FF206-FT206,BN206),0)</f>
        <v>0</v>
      </c>
      <c r="FZ206" s="1143" t="n">
        <f aca="false">IF(EU206&gt;0,MIN(FH206-FV206,BO206),0)</f>
        <v>0</v>
      </c>
      <c r="GA206" s="1132" t="n">
        <f aca="false">(SUM(FP206:FV206)+SUM(GU206:HB206)/(1-Summary!$O$25))*CY206/1000</f>
        <v>237250.931536843</v>
      </c>
      <c r="GB206" s="1133" t="n">
        <f aca="false">IF($C206&lt;Summary!$M$81,+Summary!$O$81,VLOOKUP(C206,GasTable,19))</f>
        <v>3.87558809866347</v>
      </c>
      <c r="GC206" s="1134" t="n">
        <f aca="false">IF(H206&lt;=Summary!$N$84,MIN(GA206,Summary!$O$75*(H206-G206+1)),0)</f>
        <v>0</v>
      </c>
      <c r="GD206" s="1135" t="n">
        <f aca="false">IF(C206&lt;Summary!$N$84,IF(Summary!$O$75*(H206-G206+1)*0.8&gt;GC206,1,0),0)</f>
        <v>0</v>
      </c>
      <c r="GE206" s="1136" t="n">
        <v>0</v>
      </c>
      <c r="GF206" s="1134" t="n">
        <f aca="false">ABS(MIN(0,GC206-$GA206))</f>
        <v>237250.931536843</v>
      </c>
      <c r="GG206" s="1135" t="n">
        <f aca="false">GF206*(IF(Summary!$O$74=1,VLOOKUP($C206,GasTable,16)+Summary!$O$92+Summary!$O$93,VLOOKUP($C206,GasTable,19)+Summary!$O$92+Summary!$O$93))</f>
        <v>931847.66019408</v>
      </c>
      <c r="GH206" s="1137" t="n">
        <v>6007.16155292837</v>
      </c>
      <c r="GI206" s="1138" t="n">
        <v>0</v>
      </c>
      <c r="GJ206" s="1139" t="n">
        <f aca="false">+GB206*GC206+GE206+GG206+GH206-GI206</f>
        <v>937854.821747008</v>
      </c>
      <c r="GK206" s="1115" t="n">
        <f aca="false">SUM(FP206:FV206,GU206:GX206,GY206:HB206)</f>
        <v>30062.01285</v>
      </c>
      <c r="GL206" s="1140" t="n">
        <v>0.52109789216</v>
      </c>
      <c r="GM206" s="1141" t="n">
        <f aca="false">IF(GK206&gt;GC206/(CY206/1000),GC206/(CY206/1000),+GK206)*GL206</f>
        <v>0</v>
      </c>
      <c r="GN206" s="1115" t="n">
        <f aca="false">IF(SUM(GU206:HB206)=0,0,IF(Summary!$O$16="Yes",SUM(GX206:HB206),IF(Summary!$O$17="Yes",SUM(GY206:HB206),SUM(GU206:HB206))))</f>
        <v>12199.03785</v>
      </c>
      <c r="GO206" s="1142" t="n">
        <v>3.70722326988881</v>
      </c>
      <c r="GP206" s="1143" t="n">
        <f aca="false">GN206*GO206</f>
        <v>45224.5569877743</v>
      </c>
      <c r="GQ206" s="1115"/>
      <c r="GR206" s="1115"/>
      <c r="GS206" s="1115"/>
      <c r="GT206" s="1115"/>
      <c r="GU206" s="1150" t="n">
        <v>5646.1185</v>
      </c>
      <c r="GV206" s="1115" t="n">
        <v>1283.20875</v>
      </c>
      <c r="GW206" s="1115" t="n">
        <v>1026.567</v>
      </c>
      <c r="GX206" s="1115"/>
      <c r="GY206" s="1151" t="n">
        <v>3011.2632</v>
      </c>
      <c r="GZ206" s="1115" t="n">
        <v>684.378</v>
      </c>
      <c r="HA206" s="1115" t="n">
        <v>547.5024</v>
      </c>
      <c r="HB206" s="1141"/>
      <c r="HC206" s="1115" t="n">
        <v>12199.03785</v>
      </c>
      <c r="HD206" s="1115"/>
      <c r="HE206" s="1115" t="n">
        <v>20950.521525</v>
      </c>
      <c r="HF206" s="1115" t="n">
        <v>688841.460847012</v>
      </c>
      <c r="HG206" s="1115"/>
      <c r="HH206" s="1142" t="n">
        <v>55.5737623520709</v>
      </c>
      <c r="HI206" s="1115" t="n">
        <v>1164299.3043823</v>
      </c>
      <c r="HJ206" s="1150" t="n">
        <f aca="false">MAX(FB206-FP206-FW206,0)</f>
        <v>0</v>
      </c>
      <c r="HK206" s="1115" t="n">
        <f aca="false">MAX(FD206-FR206-FX206,0)</f>
        <v>0</v>
      </c>
      <c r="HL206" s="1115" t="n">
        <f aca="false">MAX(FF206-FT206-FY206,0)</f>
        <v>0</v>
      </c>
      <c r="HM206" s="1141" t="n">
        <f aca="false">MAX(FH206-FV206-FZ206,0)</f>
        <v>0</v>
      </c>
      <c r="HN206" s="1115" t="n">
        <f aca="false">SUM(HJ206:HM206)</f>
        <v>0</v>
      </c>
      <c r="HO206" s="1142" t="n">
        <f aca="false">IF(ISERROR(+HP206/HN206),0,+HP206/HN206)</f>
        <v>0</v>
      </c>
      <c r="HP206" s="1143" t="n">
        <f aca="false">(HJ206*CE206+HK206*CF206+HL206*CG206+HM206*CH206)</f>
        <v>0</v>
      </c>
      <c r="HQ206" s="1146"/>
      <c r="HR206" s="1150"/>
      <c r="HS206" s="1200"/>
      <c r="HT206" s="1141"/>
      <c r="HU206" s="1150"/>
      <c r="HV206" s="1200"/>
      <c r="HW206" s="1141"/>
      <c r="HX206" s="1200"/>
      <c r="HY206" s="1200"/>
      <c r="HZ206" s="0"/>
      <c r="IA206" s="1142"/>
      <c r="IB206" s="1142"/>
      <c r="IC206" s="1142"/>
      <c r="ID206" s="1142"/>
      <c r="IE206" s="1142"/>
      <c r="IF206" s="1142"/>
      <c r="IG206" s="1142"/>
      <c r="IH206" s="1142"/>
      <c r="II206" s="1142"/>
      <c r="IJ206" s="1142"/>
      <c r="IK206" s="1142"/>
      <c r="IL206" s="1190"/>
      <c r="IM206" s="222"/>
      <c r="IN206" s="222"/>
      <c r="IR206" s="844"/>
    </row>
    <row r="207" customFormat="false" ht="13.5" hidden="false" customHeight="false" outlineLevel="0" collapsed="false">
      <c r="A207" s="0" t="str">
        <f aca="false">+D207&amp;"Q"&amp;ROUNDUP(E207/3,0)</f>
        <v>2015Q4</v>
      </c>
      <c r="B207" s="0" t="n">
        <f aca="false">YEAR(C207)</f>
        <v>2015</v>
      </c>
      <c r="C207" s="1153" t="n">
        <f aca="false">EOMONTH(C206,0)+1</f>
        <v>42309</v>
      </c>
      <c r="D207" s="841" t="n">
        <f aca="false">+YEAR(C207)</f>
        <v>2015</v>
      </c>
      <c r="E207" s="807" t="n">
        <f aca="false">MONTH(C207)</f>
        <v>11</v>
      </c>
      <c r="F207" s="1154" t="e">
        <f aca="false">IF(G207="","",Holiday(D207,E207))</f>
        <v>#VALUE!</v>
      </c>
      <c r="G207" s="1155" t="n">
        <v>42309</v>
      </c>
      <c r="H207" s="1156" t="n">
        <v>42338</v>
      </c>
      <c r="I207" s="1157" t="n">
        <f aca="false">I206</f>
        <v>0.0715</v>
      </c>
      <c r="J207" s="1158" t="n">
        <f aca="false">(1+I207/2)^(-2*(DATE(D208,E208,20)-$H$7)/365.25)</f>
        <v>0.324656572531045</v>
      </c>
      <c r="K207" s="1159"/>
      <c r="L207" s="1158"/>
      <c r="M207" s="1082" t="n">
        <v>0</v>
      </c>
      <c r="N207" s="1110" t="n">
        <f aca="false">M207</f>
        <v>0</v>
      </c>
      <c r="O207" s="1174" t="n">
        <f aca="false">N207</f>
        <v>0</v>
      </c>
      <c r="P207" s="1175" t="n">
        <f aca="false">M207</f>
        <v>0</v>
      </c>
      <c r="Q207" s="1110" t="n">
        <f aca="false">P207</f>
        <v>0</v>
      </c>
      <c r="R207" s="1174" t="n">
        <f aca="false">Q207</f>
        <v>0</v>
      </c>
      <c r="S207" s="1110" t="n">
        <f aca="false">R207</f>
        <v>0</v>
      </c>
      <c r="T207" s="1110" t="n">
        <f aca="false">S207</f>
        <v>0</v>
      </c>
      <c r="U207" s="1110" t="n">
        <f aca="false">T207</f>
        <v>0</v>
      </c>
      <c r="V207" s="1175" t="n">
        <f aca="false">U207</f>
        <v>0</v>
      </c>
      <c r="W207" s="1110" t="n">
        <f aca="false">V207</f>
        <v>0</v>
      </c>
      <c r="X207" s="1176" t="n">
        <f aca="false">W207</f>
        <v>0</v>
      </c>
      <c r="Y207" s="1086" t="n">
        <v>0</v>
      </c>
      <c r="Z207" s="1086" t="n">
        <v>0</v>
      </c>
      <c r="AA207" s="1087" t="n">
        <v>0</v>
      </c>
      <c r="AB207" s="1086" t="n">
        <v>0</v>
      </c>
      <c r="AC207" s="1086" t="n">
        <v>0</v>
      </c>
      <c r="AD207" s="1087" t="n">
        <v>0</v>
      </c>
      <c r="AE207" s="1086" t="n">
        <v>0</v>
      </c>
      <c r="AF207" s="1086" t="n">
        <v>0</v>
      </c>
      <c r="AG207" s="1087" t="n">
        <v>0</v>
      </c>
      <c r="AH207" s="1086" t="n">
        <v>0</v>
      </c>
      <c r="AI207" s="1086" t="n">
        <v>0</v>
      </c>
      <c r="AJ207" s="1087" t="n">
        <v>0</v>
      </c>
      <c r="AK207" s="1086" t="n">
        <v>0</v>
      </c>
      <c r="AL207" s="1086" t="n">
        <v>0</v>
      </c>
      <c r="AM207" s="1087" t="n">
        <v>0</v>
      </c>
      <c r="AN207" s="1086" t="n">
        <v>0</v>
      </c>
      <c r="AO207" s="1086" t="n">
        <v>0</v>
      </c>
      <c r="AP207" s="1087" t="n">
        <v>0</v>
      </c>
      <c r="AQ207" s="1086" t="n">
        <v>0</v>
      </c>
      <c r="AR207" s="1086" t="n">
        <v>0</v>
      </c>
      <c r="AS207" s="1087" t="n">
        <v>0</v>
      </c>
      <c r="AT207" s="1086" t="n">
        <v>0</v>
      </c>
      <c r="AU207" s="1086" t="n">
        <v>0</v>
      </c>
      <c r="AV207" s="1086" t="n">
        <v>0</v>
      </c>
      <c r="AW207" s="1172" t="n">
        <v>0</v>
      </c>
      <c r="AX207" s="807" t="e">
        <f aca="false">BB207-SUM(AY207:BA207)</f>
        <v>#VALUE!</v>
      </c>
      <c r="AY207" s="807" t="e">
        <f aca="false">IF(AND($E207=MONTH(Summary!$E$24),$D207=YEAR(Summary!$E$24)),Summary!$E$25,1)*IF(G207="",0,INT((H207-MOD(H207,7)-G207)/7)+1-IF(BA207,IF(WEEKDAY(F207)=7,1,0),0))</f>
        <v>#VALUE!</v>
      </c>
      <c r="AZ207" s="807" t="e">
        <f aca="false">IF(AND($E207=MONTH(Summary!$E$24),$D207=YEAR(Summary!$E$24)),Summary!$E$25,1)*IF(G207="",0,INT((H207-MOD(H207-1,7)-G207)/7)+1-IF(BA207,IF(WEEKDAY(F207)=1,1,0),0))</f>
        <v>#VALUE!</v>
      </c>
      <c r="BA207" s="807" t="n">
        <v>1</v>
      </c>
      <c r="BB207" s="807" t="n">
        <f aca="false">IF(AND($E207=MONTH(Summary!$E$24),$D207=YEAR(Summary!$E$24)),Summary!$E$25,1)*IF(G207="",0,H207-G207+1)</f>
        <v>30</v>
      </c>
      <c r="BC207" s="1089" t="n">
        <f aca="false">Summary!$E$19</f>
        <v>0.015</v>
      </c>
      <c r="BD207" s="1090" t="n">
        <v>14184</v>
      </c>
      <c r="BE207" s="1091" t="n">
        <v>2836.8</v>
      </c>
      <c r="BF207" s="1091" t="n">
        <v>4255.2</v>
      </c>
      <c r="BG207" s="842"/>
      <c r="BH207" s="1092" t="n">
        <v>1</v>
      </c>
      <c r="BI207" s="1092" t="n">
        <v>1</v>
      </c>
      <c r="BJ207" s="1092" t="n">
        <v>1</v>
      </c>
      <c r="BK207" s="1092" t="n">
        <v>1</v>
      </c>
      <c r="BL207" s="1093" t="n">
        <v>2836.8</v>
      </c>
      <c r="BM207" s="1091" t="n">
        <v>567.36</v>
      </c>
      <c r="BN207" s="1091" t="n">
        <v>851.04</v>
      </c>
      <c r="BO207" s="842"/>
      <c r="BP207" s="1092" t="n">
        <v>1</v>
      </c>
      <c r="BQ207" s="1094" t="n">
        <v>1</v>
      </c>
      <c r="BR207" s="1094" t="n">
        <v>1</v>
      </c>
      <c r="BS207" s="1095" t="n">
        <v>1</v>
      </c>
      <c r="BT207" s="1093" t="n">
        <f aca="false">SUM(BD207:BF207)</f>
        <v>21276</v>
      </c>
      <c r="BU207" s="1098" t="n">
        <f aca="false">SUM(BD207:BG207)</f>
        <v>21276</v>
      </c>
      <c r="BV207" s="1090" t="n">
        <f aca="false">SUM(BL207:BN207)</f>
        <v>4255.2</v>
      </c>
      <c r="BW207" s="1098" t="n">
        <f aca="false">SUM(BL207:BO207)</f>
        <v>4255.2</v>
      </c>
      <c r="BX207" s="852" t="n">
        <v>15.8795345653662</v>
      </c>
      <c r="BY207" s="1099" t="n">
        <v>0</v>
      </c>
      <c r="BZ207" s="852" t="n">
        <v>0</v>
      </c>
      <c r="CA207" s="852" t="n">
        <v>0</v>
      </c>
      <c r="CB207" s="852" t="n">
        <v>0</v>
      </c>
      <c r="CC207" s="852" t="n">
        <v>0</v>
      </c>
      <c r="CD207" s="852" t="n">
        <v>0</v>
      </c>
      <c r="CE207" s="1100" t="n">
        <v>0</v>
      </c>
      <c r="CF207" s="852" t="n">
        <v>0</v>
      </c>
      <c r="CG207" s="852" t="n">
        <v>0</v>
      </c>
      <c r="CH207" s="852" t="n">
        <v>0</v>
      </c>
      <c r="CI207" s="852" t="n">
        <v>0</v>
      </c>
      <c r="CJ207" s="1101" t="n">
        <v>0</v>
      </c>
      <c r="CK207" s="852" t="n">
        <v>0</v>
      </c>
      <c r="CL207" s="852" t="n">
        <v>0</v>
      </c>
      <c r="CM207" s="852" t="n">
        <v>0</v>
      </c>
      <c r="CN207" s="852" t="n">
        <v>0</v>
      </c>
      <c r="CO207" s="852" t="n">
        <v>0</v>
      </c>
      <c r="CP207" s="852" t="n">
        <v>0</v>
      </c>
      <c r="CQ207" s="1102" t="n">
        <v>0</v>
      </c>
      <c r="CR207" s="1103" t="n">
        <v>0</v>
      </c>
      <c r="CS207" s="1103" t="n">
        <v>0</v>
      </c>
      <c r="CT207" s="1103" t="n">
        <v>0</v>
      </c>
      <c r="CU207" s="1103" t="n">
        <v>0</v>
      </c>
      <c r="CV207" s="1103" t="n">
        <v>0</v>
      </c>
      <c r="CW207" s="1103" t="n">
        <v>0</v>
      </c>
      <c r="CX207" s="1104" t="n">
        <v>0</v>
      </c>
      <c r="CY207" s="1105" t="n">
        <v>7778.88336</v>
      </c>
      <c r="CZ207" s="1099" t="n">
        <v>0</v>
      </c>
      <c r="DA207" s="852" t="n">
        <v>0</v>
      </c>
      <c r="DB207" s="852" t="n">
        <v>0</v>
      </c>
      <c r="DC207" s="852" t="n">
        <v>0</v>
      </c>
      <c r="DD207" s="852" t="n">
        <v>0</v>
      </c>
      <c r="DE207" s="1113" t="n">
        <v>0</v>
      </c>
      <c r="DF207" s="1109" t="n">
        <v>0</v>
      </c>
      <c r="DG207" s="1110" t="n">
        <v>0</v>
      </c>
      <c r="DH207" s="1111" t="n">
        <v>0</v>
      </c>
      <c r="DI207" s="1112" t="n">
        <v>0</v>
      </c>
      <c r="DJ207" s="1112" t="n">
        <v>0</v>
      </c>
      <c r="DK207" s="1112" t="n">
        <v>0</v>
      </c>
      <c r="DL207" s="1113" t="n">
        <v>0</v>
      </c>
      <c r="DM207" s="1114" t="n">
        <v>0</v>
      </c>
      <c r="DN207" s="1114" t="n">
        <v>0</v>
      </c>
      <c r="DO207" s="1114" t="n">
        <v>0</v>
      </c>
      <c r="DP207" s="1114" t="n">
        <v>0</v>
      </c>
      <c r="DQ207" s="1114" t="n">
        <v>0</v>
      </c>
      <c r="DR207" s="1109" t="n">
        <v>0</v>
      </c>
      <c r="DS207" s="852" t="n">
        <v>0</v>
      </c>
      <c r="DT207" s="852" t="n">
        <v>0</v>
      </c>
      <c r="DU207" s="852" t="n">
        <v>0</v>
      </c>
      <c r="DV207" s="852" t="n">
        <v>0</v>
      </c>
      <c r="DW207" s="852" t="n">
        <v>0</v>
      </c>
      <c r="DX207" s="852" t="n">
        <v>0</v>
      </c>
      <c r="DY207" s="852" t="n">
        <v>0</v>
      </c>
      <c r="DZ207" s="852" t="n">
        <v>0</v>
      </c>
      <c r="EA207" s="852" t="n">
        <v>0</v>
      </c>
      <c r="EB207" s="1113" t="n">
        <v>0</v>
      </c>
      <c r="EC207" s="1115" t="n">
        <f aca="false">DS207*BD207</f>
        <v>0</v>
      </c>
      <c r="ED207" s="1115" t="n">
        <f aca="false">DT207*BE207</f>
        <v>0</v>
      </c>
      <c r="EE207" s="1115" t="n">
        <f aca="false">DU207*BF207</f>
        <v>0</v>
      </c>
      <c r="EF207" s="1115" t="n">
        <f aca="false">DV207*BG207</f>
        <v>0</v>
      </c>
      <c r="EG207" s="1115" t="n">
        <f aca="false">DS207*BD207+DT207*BE207+DU207*BF207+DV207*BG207</f>
        <v>0</v>
      </c>
      <c r="EH207" s="1116" t="n">
        <v>0</v>
      </c>
      <c r="EI207" s="1117" t="n">
        <v>0</v>
      </c>
      <c r="EJ207" s="1117" t="n">
        <v>0</v>
      </c>
      <c r="EK207" s="1117" t="n">
        <v>0</v>
      </c>
      <c r="EL207" s="1118" t="n">
        <f aca="false">IF(C207&gt;=Summary!$E$26,MAX(0,SUM(EH207:EK207)),0)</f>
        <v>0</v>
      </c>
      <c r="EM207" s="1115" t="n">
        <f aca="false">IF(C207&gt;=Summary!$E$26,DX207*BL207,0)</f>
        <v>0</v>
      </c>
      <c r="EN207" s="1115" t="n">
        <f aca="false">IF(C207&gt;=Summary!$E$26,DY207*BM207,0)</f>
        <v>0</v>
      </c>
      <c r="EO207" s="1115" t="n">
        <f aca="false">IF(C207&gt;=Summary!$E$26,DZ207*BN207,0)</f>
        <v>0</v>
      </c>
      <c r="EP207" s="1115" t="n">
        <f aca="false">IF(C207&gt;=Summary!$E$26,EA207*BO207,0)</f>
        <v>0</v>
      </c>
      <c r="EQ207" s="1115" t="n">
        <f aca="false">IF(C207&gt;=Summary!$E$26,DX207*BL207+DY207*BM207+DZ207*BN207+EA207*BO207,0)</f>
        <v>0</v>
      </c>
      <c r="ER207" s="1119" t="n">
        <v>0</v>
      </c>
      <c r="ES207" s="1120" t="n">
        <v>0</v>
      </c>
      <c r="ET207" s="1120" t="n">
        <v>0</v>
      </c>
      <c r="EU207" s="1120" t="n">
        <v>0</v>
      </c>
      <c r="EV207" s="1143" t="n">
        <f aca="false">IF(C207&gt;=Summary!$E$26,MAX(0,SUM(ER207:EU207)),0)</f>
        <v>0</v>
      </c>
      <c r="EW207" s="1115"/>
      <c r="EX207" s="1165" t="n">
        <f aca="false">(EQ207-EV207)+IF(EZ207="Yes",(EG207-EL207),0)</f>
        <v>0</v>
      </c>
      <c r="EY207" s="1166" t="str">
        <f aca="false">IF(EX207,EX207/EQ207,"")</f>
        <v/>
      </c>
      <c r="EZ207" s="1122" t="s">
        <v>37</v>
      </c>
      <c r="FA207" s="1096" t="n">
        <f aca="false">FA206</f>
        <v>45</v>
      </c>
      <c r="FB207" s="1167" t="e">
        <f aca="false">IF(EZ207="No",IF((OR(MONTH(C207)=5,MONTH(C207)=6,MONTH(C207)=7,MONTH(C207)=8,MONTH(C207)=9)),$FA207*12*AX207*(1-$BC207),$FA207*10*AX207*(1-$BC207)),0)</f>
        <v>#VALUE!</v>
      </c>
      <c r="FC207" s="1129" t="e">
        <f aca="false">IF(EZ207="No",IF((OR(MONTH(C207)=5,MONTH(C207)=6,MONTH(C207)=7,MONTH(C207)=8,MONTH(C207)=9)),0,$FA207*3*AX207*(1-$BC207)),0)</f>
        <v>#VALUE!</v>
      </c>
      <c r="FD207" s="1129" t="e">
        <f aca="false">IF(EZ207="No",IF((OR(MONTH(C207)=5,MONTH(C207)=6,MONTH(C207)=7,MONTH(C207)=8,MONTH(C207)=9)),$FA207*12*AY207*(1-$BC207),$FA207*10*AY207*(1-$BC207)),0)</f>
        <v>#VALUE!</v>
      </c>
      <c r="FE207" s="1129" t="e">
        <f aca="false">IF(EZ207="No",IF((OR(MONTH(C207)=5,MONTH(C207)=6,MONTH(C207)=7,MONTH(C207)=8,MONTH(C207)=9)),0,$FA207*3*AY207*(1-$BC207)),0)</f>
        <v>#VALUE!</v>
      </c>
      <c r="FF207" s="1129" t="e">
        <f aca="false">IF(EZ207="No",IF((OR(MONTH(C207)=5,MONTH(C207)=6,MONTH(C207)=7,MONTH(C207)=8,MONTH(C207)=9)),$FA207*12*(AZ207+BA207)*(1-$BC207),$FA207*10*(AZ207+BA207)*(1-$BC207)),0)</f>
        <v>#VALUE!</v>
      </c>
      <c r="FG207" s="1129" t="e">
        <f aca="false">IF(EZ207="No",IF((OR(MONTH(C207)=5,MONTH(C207)=6,MONTH(C207)=7,MONTH(C207)=8,MONTH(C207)=9)),0,$FA207*3*(AZ207+BA207)*(1-$BC207)),0)</f>
        <v>#VALUE!</v>
      </c>
      <c r="FH207" s="1170" t="e">
        <f aca="false">IF(EZ207="No",IF((OR(MONTH(C207)=5,MONTH(C207)=6,MONTH(C207)=7,MONTH(C207)=8,MONTH(C207)=9)),Summary!$O$15*12*(AX207+AY207+AZ207+BA207)*(1-$BC207),Summary!$O$15*13*(AX207+AY207+AZ207+BA207)*(1-$BC207)+IF(Summary!$O$16="Yes",(CALC!FA207+Summary!$O$15)*6*(AX207+AY207+AZ207+BA207)*(1-$BC207),0)),0)</f>
        <v>#VALUE!</v>
      </c>
      <c r="FI207" s="1126" t="n">
        <f aca="false">IF(MONTH(C207)=5,FI206*(IF(Summary!$E$70="no",(1+(Summary!$E$71*0.8)),1+HLOOKUP(YEAR(C207)-1,CCFMODEL!$I$127:$AF$128,2)*0.8)),+FI206)</f>
        <v>38.8797064863349</v>
      </c>
      <c r="FJ207" s="1127" t="n">
        <f aca="false">IF(MONTH(C207)=5,FJ206*(IF(Summary!$E$70="no",(1+(Summary!$E$71*0.8)),1+HLOOKUP(YEAR(CALC!C207)-1,CCFMODEL!$I$127:$AF$128,2)*0.8)),FJ206)</f>
        <v>33.981475747899</v>
      </c>
      <c r="FK207" s="1128" t="e">
        <f aca="false">SUM(FB207:FG207)*FI207+FH207*FJ207</f>
        <v>#VALUE!</v>
      </c>
      <c r="FL207" s="1126" t="n">
        <f aca="false">IF(MONTH(C207)=5,FL206*(IF(Summary!$E$70="no",(1+(Summary!$E$71*0.8)),1+HLOOKUP(YEAR(CALC!C207)-1,CCFMODEL!$I$127:$AF$128,2)*0.8)),+FL206)</f>
        <v>81.7683815829968</v>
      </c>
      <c r="FM207" s="1127" t="n">
        <f aca="false">IF(MONTH(C207)=5,FM206*(IF(Summary!$E$70="no",(1+(Summary!$E$71*0.8)),1+HLOOKUP(YEAR(CALC!C207)-1,CCFMODEL!$I$127:$AF$128,2)*0.8)),+FM206)</f>
        <v>39.0254871630741</v>
      </c>
      <c r="FN207" s="1128" t="e">
        <f aca="false">IF((OR(MONTH(C207)=5,MONTH(C207)=6,MONTH(C207)=7,MONTH(C207)=8,MONTH(C207)=9)),SUM(FB207:FG207)/(1-BC207)*FL207,SUM(FB207:FG207)/(1-BC207)*FM207)</f>
        <v>#VALUE!</v>
      </c>
      <c r="FO207" s="1129" t="e">
        <f aca="false">FK207+FN207</f>
        <v>#VALUE!</v>
      </c>
      <c r="FP207" s="1169" t="e">
        <f aca="false">FB207</f>
        <v>#VALUE!</v>
      </c>
      <c r="FQ207" s="1129" t="e">
        <f aca="false">FC207</f>
        <v>#VALUE!</v>
      </c>
      <c r="FR207" s="1129" t="e">
        <f aca="false">FD207</f>
        <v>#VALUE!</v>
      </c>
      <c r="FS207" s="1129" t="e">
        <f aca="false">FE207</f>
        <v>#VALUE!</v>
      </c>
      <c r="FT207" s="1129" t="e">
        <f aca="false">FF207</f>
        <v>#VALUE!</v>
      </c>
      <c r="FU207" s="1129" t="e">
        <f aca="false">FG207</f>
        <v>#VALUE!</v>
      </c>
      <c r="FV207" s="1170" t="e">
        <f aca="false">FH207</f>
        <v>#VALUE!</v>
      </c>
      <c r="FW207" s="1115" t="n">
        <f aca="false">IF(ER207&gt;0,MIN(FB207-FP207,BL207),0)</f>
        <v>0</v>
      </c>
      <c r="FX207" s="1115" t="n">
        <f aca="false">IF(ES207&gt;0,MIN(FD207-FR207,BM207),0)</f>
        <v>0</v>
      </c>
      <c r="FY207" s="1115" t="n">
        <f aca="false">IF(ET207&gt;0,MIN(FF207-FT207,BN207),0)</f>
        <v>0</v>
      </c>
      <c r="FZ207" s="1143" t="n">
        <f aca="false">IF(EU207&gt;0,MIN(FH207-FV207,BO207),0)</f>
        <v>0</v>
      </c>
      <c r="GA207" s="1132" t="e">
        <f aca="false">(SUM(FP207:FV207)+SUM(GU207:HB207)/(1-Summary!$O$25))*CY207/1000</f>
        <v>#VALUE!</v>
      </c>
      <c r="GB207" s="1133" t="n">
        <f aca="false">IF($C207&lt;Summary!$M$81,+Summary!$O$81,VLOOKUP(C207,GasTable,19))</f>
        <v>4.03819676409547</v>
      </c>
      <c r="GC207" s="1134" t="n">
        <f aca="false">IF(H207&lt;=Summary!$N$84,MIN(GA207,Summary!$O$75*(H207-G207+1)),0)</f>
        <v>0</v>
      </c>
      <c r="GD207" s="1135" t="n">
        <f aca="false">IF(C207&lt;Summary!$N$84,IF(Summary!$O$75*(H207-G207+1)*0.8&gt;GC207,1,0),0)</f>
        <v>0</v>
      </c>
      <c r="GE207" s="1136" t="n">
        <v>0</v>
      </c>
      <c r="GF207" s="1134" t="e">
        <f aca="false">ABS(MIN(0,GC207-$GA207))</f>
        <v>#VALUE!</v>
      </c>
      <c r="GG207" s="1135" t="e">
        <f aca="false">GF207*(IF(Summary!$O$74=1,VLOOKUP($C207,GasTable,16)+Summary!$O$92+Summary!$O$93,VLOOKUP($C207,GasTable,19)+Summary!$O$92+Summary!$O$93))</f>
        <v>#VALUE!</v>
      </c>
      <c r="GH207" s="1137" t="n">
        <v>6057.2951461432</v>
      </c>
      <c r="GI207" s="1138" t="n">
        <v>0</v>
      </c>
      <c r="GJ207" s="1139" t="e">
        <f aca="false">+GB207*GC207+GE207+GG207+GH207-GI207</f>
        <v>#VALUE!</v>
      </c>
      <c r="GK207" s="1115" t="e">
        <f aca="false">SUM(FP207:FV207,GU207:GX207,GY207:HB207)</f>
        <v>#VALUE!</v>
      </c>
      <c r="GL207" s="1140" t="n">
        <v>0.52118518512</v>
      </c>
      <c r="GM207" s="1141" t="e">
        <f aca="false">IF(GK207&gt;GC207/(CY207/1000),GC207/(CY207/1000),+GK207)*GL207</f>
        <v>#VALUE!</v>
      </c>
      <c r="GN207" s="1115" t="n">
        <f aca="false">IF(SUM(GU207:HB207)=0,0,IF(Summary!$O$16="Yes",SUM(GX207:HB207),IF(Summary!$O$17="Yes",SUM(GY207:HB207),SUM(GU207:HB207))))</f>
        <v>11805.5205</v>
      </c>
      <c r="GO207" s="1142" t="n">
        <v>3.70722326988881</v>
      </c>
      <c r="GP207" s="1143" t="n">
        <f aca="false">GN207*GO207</f>
        <v>43765.7003107493</v>
      </c>
      <c r="GQ207" s="1115"/>
      <c r="GR207" s="1115"/>
      <c r="GS207" s="1115"/>
      <c r="GT207" s="1115"/>
      <c r="GU207" s="1150" t="n">
        <v>5132.835</v>
      </c>
      <c r="GV207" s="1115" t="n">
        <v>1026.567</v>
      </c>
      <c r="GW207" s="1115" t="n">
        <v>1539.8505</v>
      </c>
      <c r="GX207" s="1115"/>
      <c r="GY207" s="1151" t="n">
        <v>2737.512</v>
      </c>
      <c r="GZ207" s="1115" t="n">
        <v>547.5024</v>
      </c>
      <c r="HA207" s="1115" t="n">
        <v>821.2536</v>
      </c>
      <c r="HB207" s="1141"/>
      <c r="HC207" s="1115" t="n">
        <v>11805.5205</v>
      </c>
      <c r="HD207" s="1115"/>
      <c r="HE207" s="1115" t="n">
        <v>20274.69825</v>
      </c>
      <c r="HF207" s="1115" t="n">
        <v>643555.762748559</v>
      </c>
      <c r="HG207" s="1115"/>
      <c r="HH207" s="1142" t="n">
        <v>54.1922158141202</v>
      </c>
      <c r="HI207" s="1115" t="n">
        <v>1098730.82313016</v>
      </c>
      <c r="HJ207" s="1150" t="e">
        <f aca="false">MAX(FB207-FP207-FW207,0)</f>
        <v>#VALUE!</v>
      </c>
      <c r="HK207" s="1115" t="e">
        <f aca="false">MAX(FD207-FR207-FX207,0)</f>
        <v>#VALUE!</v>
      </c>
      <c r="HL207" s="1115" t="e">
        <f aca="false">MAX(FF207-FT207-FY207,0)</f>
        <v>#VALUE!</v>
      </c>
      <c r="HM207" s="1141" t="e">
        <f aca="false">MAX(FH207-FV207-FZ207,0)</f>
        <v>#VALUE!</v>
      </c>
      <c r="HN207" s="1115" t="e">
        <f aca="false">SUM(HJ207:HM207)</f>
        <v>#VALUE!</v>
      </c>
      <c r="HO207" s="1142" t="n">
        <f aca="false">IF(ISERROR(+HP207/HN207),0,+HP207/HN207)</f>
        <v>0</v>
      </c>
      <c r="HP207" s="1143" t="e">
        <f aca="false">(HJ207*CE207+HK207*CF207+HL207*CG207+HM207*CH207)</f>
        <v>#VALUE!</v>
      </c>
      <c r="HQ207" s="1146"/>
      <c r="HR207" s="1150"/>
      <c r="HS207" s="1200"/>
      <c r="HT207" s="1141"/>
      <c r="HU207" s="1150"/>
      <c r="HV207" s="1200"/>
      <c r="HW207" s="1141"/>
      <c r="HX207" s="1200"/>
      <c r="HY207" s="1200"/>
      <c r="HZ207" s="0"/>
      <c r="IA207" s="1142"/>
      <c r="IB207" s="1142"/>
      <c r="IC207" s="1142"/>
      <c r="ID207" s="1142"/>
      <c r="IE207" s="1142"/>
      <c r="IF207" s="1142"/>
      <c r="IG207" s="1142"/>
      <c r="IH207" s="1142"/>
      <c r="II207" s="1142"/>
      <c r="IJ207" s="1142"/>
      <c r="IK207" s="1142"/>
      <c r="IL207" s="1190"/>
      <c r="IM207" s="222"/>
      <c r="IN207" s="222"/>
      <c r="IR207" s="844"/>
    </row>
    <row r="208" customFormat="false" ht="13.5" hidden="false" customHeight="false" outlineLevel="0" collapsed="false">
      <c r="A208" s="0" t="str">
        <f aca="false">+D208&amp;"Q"&amp;ROUNDUP(E208/3,0)</f>
        <v>2015Q4</v>
      </c>
      <c r="B208" s="0" t="n">
        <f aca="false">YEAR(C208)</f>
        <v>2015</v>
      </c>
      <c r="C208" s="1153" t="n">
        <f aca="false">EOMONTH(C207,0)+1</f>
        <v>42339</v>
      </c>
      <c r="D208" s="841" t="n">
        <f aca="false">+YEAR(C208)</f>
        <v>2015</v>
      </c>
      <c r="E208" s="807" t="n">
        <f aca="false">MONTH(C208)</f>
        <v>12</v>
      </c>
      <c r="F208" s="1154" t="e">
        <f aca="false">IF(G208="","",Holiday(D208,E208))</f>
        <v>#VALUE!</v>
      </c>
      <c r="G208" s="1155" t="n">
        <v>42339</v>
      </c>
      <c r="H208" s="1156" t="n">
        <v>42369</v>
      </c>
      <c r="I208" s="1157" t="n">
        <f aca="false">I207</f>
        <v>0.0715</v>
      </c>
      <c r="J208" s="1158" t="n">
        <f aca="false">(1+I208/2)^(-2*(DATE(D209,E209,20)-$H$7)/365.25)</f>
        <v>0.322726570269792</v>
      </c>
      <c r="K208" s="1159"/>
      <c r="L208" s="1158"/>
      <c r="M208" s="1082" t="n">
        <v>0</v>
      </c>
      <c r="N208" s="1110" t="n">
        <f aca="false">M208</f>
        <v>0</v>
      </c>
      <c r="O208" s="1174" t="n">
        <f aca="false">N208</f>
        <v>0</v>
      </c>
      <c r="P208" s="1175" t="n">
        <f aca="false">M208</f>
        <v>0</v>
      </c>
      <c r="Q208" s="1110" t="n">
        <f aca="false">P208</f>
        <v>0</v>
      </c>
      <c r="R208" s="1174" t="n">
        <f aca="false">Q208</f>
        <v>0</v>
      </c>
      <c r="S208" s="1110" t="n">
        <f aca="false">R208</f>
        <v>0</v>
      </c>
      <c r="T208" s="1110" t="n">
        <f aca="false">S208</f>
        <v>0</v>
      </c>
      <c r="U208" s="1110" t="n">
        <f aca="false">T208</f>
        <v>0</v>
      </c>
      <c r="V208" s="1175" t="n">
        <f aca="false">U208</f>
        <v>0</v>
      </c>
      <c r="W208" s="1110" t="n">
        <f aca="false">V208</f>
        <v>0</v>
      </c>
      <c r="X208" s="1176" t="n">
        <f aca="false">W208</f>
        <v>0</v>
      </c>
      <c r="Y208" s="1086" t="n">
        <v>0</v>
      </c>
      <c r="Z208" s="1086" t="n">
        <v>0</v>
      </c>
      <c r="AA208" s="1087" t="n">
        <v>0</v>
      </c>
      <c r="AB208" s="1086" t="n">
        <v>0</v>
      </c>
      <c r="AC208" s="1086" t="n">
        <v>0</v>
      </c>
      <c r="AD208" s="1087" t="n">
        <v>0</v>
      </c>
      <c r="AE208" s="1086" t="n">
        <v>0</v>
      </c>
      <c r="AF208" s="1086" t="n">
        <v>0</v>
      </c>
      <c r="AG208" s="1087" t="n">
        <v>0</v>
      </c>
      <c r="AH208" s="1086" t="n">
        <v>0</v>
      </c>
      <c r="AI208" s="1086" t="n">
        <v>0</v>
      </c>
      <c r="AJ208" s="1087" t="n">
        <v>0</v>
      </c>
      <c r="AK208" s="1086" t="n">
        <v>0</v>
      </c>
      <c r="AL208" s="1086" t="n">
        <v>0</v>
      </c>
      <c r="AM208" s="1087" t="n">
        <v>0</v>
      </c>
      <c r="AN208" s="1086" t="n">
        <v>0</v>
      </c>
      <c r="AO208" s="1086" t="n">
        <v>0</v>
      </c>
      <c r="AP208" s="1087" t="n">
        <v>0</v>
      </c>
      <c r="AQ208" s="1086" t="n">
        <v>0</v>
      </c>
      <c r="AR208" s="1086" t="n">
        <v>0</v>
      </c>
      <c r="AS208" s="1087" t="n">
        <v>0</v>
      </c>
      <c r="AT208" s="1086" t="n">
        <v>0</v>
      </c>
      <c r="AU208" s="1086" t="n">
        <v>0</v>
      </c>
      <c r="AV208" s="1086" t="n">
        <v>0</v>
      </c>
      <c r="AW208" s="1172" t="n">
        <v>0</v>
      </c>
      <c r="AX208" s="807" t="e">
        <f aca="false">BB208-SUM(AY208:BA208)</f>
        <v>#VALUE!</v>
      </c>
      <c r="AY208" s="807" t="e">
        <f aca="false">IF(AND($E208=MONTH(Summary!$E$24),$D208=YEAR(Summary!$E$24)),Summary!$E$25,1)*IF(G208="",0,INT((H208-MOD(H208,7)-G208)/7)+1-IF(BA208,IF(WEEKDAY(F208)=7,1,0),0))</f>
        <v>#VALUE!</v>
      </c>
      <c r="AZ208" s="807" t="e">
        <f aca="false">IF(AND($E208=MONTH(Summary!$E$24),$D208=YEAR(Summary!$E$24)),Summary!$E$25,1)*IF(G208="",0,INT((H208-MOD(H208-1,7)-G208)/7)+1-IF(BA208,IF(WEEKDAY(F208)=1,1,0),0))</f>
        <v>#VALUE!</v>
      </c>
      <c r="BA208" s="807" t="n">
        <v>1</v>
      </c>
      <c r="BB208" s="807" t="n">
        <f aca="false">IF(AND($E208=MONTH(Summary!$E$24),$D208=YEAR(Summary!$E$24)),Summary!$E$25,1)*IF(G208="",0,H208-G208+1)</f>
        <v>31</v>
      </c>
      <c r="BC208" s="1089" t="n">
        <f aca="false">Summary!$E$19</f>
        <v>0.015</v>
      </c>
      <c r="BD208" s="1090" t="n">
        <v>15602.4</v>
      </c>
      <c r="BE208" s="1091" t="n">
        <v>2836.8</v>
      </c>
      <c r="BF208" s="1091" t="n">
        <v>3546</v>
      </c>
      <c r="BG208" s="842"/>
      <c r="BH208" s="1092" t="n">
        <v>1</v>
      </c>
      <c r="BI208" s="1092" t="n">
        <v>1</v>
      </c>
      <c r="BJ208" s="1092" t="n">
        <v>1</v>
      </c>
      <c r="BK208" s="1092" t="n">
        <v>1</v>
      </c>
      <c r="BL208" s="1093" t="n">
        <v>3120.48</v>
      </c>
      <c r="BM208" s="1091" t="n">
        <v>567.36</v>
      </c>
      <c r="BN208" s="1091" t="n">
        <v>709.2</v>
      </c>
      <c r="BO208" s="842"/>
      <c r="BP208" s="1092" t="n">
        <v>1</v>
      </c>
      <c r="BQ208" s="1094" t="n">
        <v>1</v>
      </c>
      <c r="BR208" s="1094" t="n">
        <v>1</v>
      </c>
      <c r="BS208" s="1095" t="n">
        <v>1</v>
      </c>
      <c r="BT208" s="1093" t="n">
        <f aca="false">SUM(BD208:BF208)</f>
        <v>21985.2</v>
      </c>
      <c r="BU208" s="1098" t="n">
        <f aca="false">SUM(BD208:BG208)</f>
        <v>21985.2</v>
      </c>
      <c r="BV208" s="1090" t="n">
        <f aca="false">SUM(BL208:BN208)</f>
        <v>4397.04</v>
      </c>
      <c r="BW208" s="1098" t="n">
        <f aca="false">SUM(BL208:BO208)</f>
        <v>4397.04</v>
      </c>
      <c r="BX208" s="852" t="n">
        <v>15.9616700889802</v>
      </c>
      <c r="BY208" s="1099" t="n">
        <v>0</v>
      </c>
      <c r="BZ208" s="852" t="n">
        <v>0</v>
      </c>
      <c r="CA208" s="852" t="n">
        <v>0</v>
      </c>
      <c r="CB208" s="852" t="n">
        <v>0</v>
      </c>
      <c r="CC208" s="852" t="n">
        <v>0</v>
      </c>
      <c r="CD208" s="852" t="n">
        <v>0</v>
      </c>
      <c r="CE208" s="1100" t="n">
        <v>0</v>
      </c>
      <c r="CF208" s="852" t="n">
        <v>0</v>
      </c>
      <c r="CG208" s="852" t="n">
        <v>0</v>
      </c>
      <c r="CH208" s="852" t="n">
        <v>0</v>
      </c>
      <c r="CI208" s="852" t="n">
        <v>0</v>
      </c>
      <c r="CJ208" s="1101" t="n">
        <v>0</v>
      </c>
      <c r="CK208" s="852" t="n">
        <v>0</v>
      </c>
      <c r="CL208" s="852" t="n">
        <v>0</v>
      </c>
      <c r="CM208" s="852" t="n">
        <v>0</v>
      </c>
      <c r="CN208" s="852" t="n">
        <v>0</v>
      </c>
      <c r="CO208" s="852" t="n">
        <v>0</v>
      </c>
      <c r="CP208" s="852" t="n">
        <v>0</v>
      </c>
      <c r="CQ208" s="1102" t="n">
        <v>0</v>
      </c>
      <c r="CR208" s="1103" t="n">
        <v>0</v>
      </c>
      <c r="CS208" s="1103" t="n">
        <v>0</v>
      </c>
      <c r="CT208" s="1103" t="n">
        <v>0</v>
      </c>
      <c r="CU208" s="1103" t="n">
        <v>0</v>
      </c>
      <c r="CV208" s="1103" t="n">
        <v>0</v>
      </c>
      <c r="CW208" s="1103" t="n">
        <v>0</v>
      </c>
      <c r="CX208" s="1104" t="n">
        <v>0</v>
      </c>
      <c r="CY208" s="1105" t="n">
        <v>7664</v>
      </c>
      <c r="CZ208" s="1099" t="n">
        <v>0</v>
      </c>
      <c r="DA208" s="852" t="n">
        <v>0</v>
      </c>
      <c r="DB208" s="852" t="n">
        <v>0</v>
      </c>
      <c r="DC208" s="852" t="n">
        <v>0</v>
      </c>
      <c r="DD208" s="852" t="n">
        <v>0</v>
      </c>
      <c r="DE208" s="1113" t="n">
        <v>0</v>
      </c>
      <c r="DF208" s="1109" t="n">
        <v>0</v>
      </c>
      <c r="DG208" s="1110" t="n">
        <v>0</v>
      </c>
      <c r="DH208" s="1111" t="n">
        <v>0</v>
      </c>
      <c r="DI208" s="1112" t="n">
        <v>0</v>
      </c>
      <c r="DJ208" s="1112" t="n">
        <v>0</v>
      </c>
      <c r="DK208" s="1112" t="n">
        <v>0</v>
      </c>
      <c r="DL208" s="1113" t="n">
        <v>0</v>
      </c>
      <c r="DM208" s="1114" t="n">
        <v>0</v>
      </c>
      <c r="DN208" s="1114" t="n">
        <v>0</v>
      </c>
      <c r="DO208" s="1114" t="n">
        <v>0</v>
      </c>
      <c r="DP208" s="1114" t="n">
        <v>0</v>
      </c>
      <c r="DQ208" s="1114" t="n">
        <v>0</v>
      </c>
      <c r="DR208" s="1109" t="n">
        <v>0</v>
      </c>
      <c r="DS208" s="852" t="n">
        <v>0</v>
      </c>
      <c r="DT208" s="852" t="n">
        <v>0</v>
      </c>
      <c r="DU208" s="852" t="n">
        <v>0</v>
      </c>
      <c r="DV208" s="852" t="n">
        <v>0</v>
      </c>
      <c r="DW208" s="852" t="n">
        <v>0</v>
      </c>
      <c r="DX208" s="852" t="n">
        <v>0</v>
      </c>
      <c r="DY208" s="852" t="n">
        <v>0</v>
      </c>
      <c r="DZ208" s="852" t="n">
        <v>0</v>
      </c>
      <c r="EA208" s="852" t="n">
        <v>0</v>
      </c>
      <c r="EB208" s="1113" t="n">
        <v>0</v>
      </c>
      <c r="EC208" s="1115" t="n">
        <f aca="false">DS208*BD208</f>
        <v>0</v>
      </c>
      <c r="ED208" s="1115" t="n">
        <f aca="false">DT208*BE208</f>
        <v>0</v>
      </c>
      <c r="EE208" s="1115" t="n">
        <f aca="false">DU208*BF208</f>
        <v>0</v>
      </c>
      <c r="EF208" s="1115" t="n">
        <f aca="false">DV208*BG208</f>
        <v>0</v>
      </c>
      <c r="EG208" s="1115" t="n">
        <f aca="false">DS208*BD208+DT208*BE208+DU208*BF208+DV208*BG208</f>
        <v>0</v>
      </c>
      <c r="EH208" s="1116" t="n">
        <v>0</v>
      </c>
      <c r="EI208" s="1117" t="n">
        <v>0</v>
      </c>
      <c r="EJ208" s="1117" t="n">
        <v>0</v>
      </c>
      <c r="EK208" s="1117" t="n">
        <v>0</v>
      </c>
      <c r="EL208" s="1118" t="n">
        <f aca="false">IF(C208&gt;=Summary!$E$26,MAX(0,SUM(EH208:EK208)),0)</f>
        <v>0</v>
      </c>
      <c r="EM208" s="1115" t="n">
        <f aca="false">IF(C208&gt;=Summary!$E$26,DX208*BL208,0)</f>
        <v>0</v>
      </c>
      <c r="EN208" s="1115" t="n">
        <f aca="false">IF(C208&gt;=Summary!$E$26,DY208*BM208,0)</f>
        <v>0</v>
      </c>
      <c r="EO208" s="1115" t="n">
        <f aca="false">IF(C208&gt;=Summary!$E$26,DZ208*BN208,0)</f>
        <v>0</v>
      </c>
      <c r="EP208" s="1115" t="n">
        <f aca="false">IF(C208&gt;=Summary!$E$26,EA208*BO208,0)</f>
        <v>0</v>
      </c>
      <c r="EQ208" s="1115" t="n">
        <f aca="false">IF(C208&gt;=Summary!$E$26,DX208*BL208+DY208*BM208+DZ208*BN208+EA208*BO208,0)</f>
        <v>0</v>
      </c>
      <c r="ER208" s="1119" t="n">
        <v>0</v>
      </c>
      <c r="ES208" s="1120" t="n">
        <v>0</v>
      </c>
      <c r="ET208" s="1120" t="n">
        <v>0</v>
      </c>
      <c r="EU208" s="1120" t="n">
        <v>0</v>
      </c>
      <c r="EV208" s="1143" t="n">
        <f aca="false">IF(C208&gt;=Summary!$E$26,MAX(0,SUM(ER208:EU208)),0)</f>
        <v>0</v>
      </c>
      <c r="EW208" s="1115"/>
      <c r="EX208" s="1165" t="n">
        <f aca="false">(EQ208-EV208)+IF(EZ208="Yes",(EG208-EL208),0)</f>
        <v>0</v>
      </c>
      <c r="EY208" s="1166" t="str">
        <f aca="false">IF(EX208,EX208/EQ208,"")</f>
        <v/>
      </c>
      <c r="EZ208" s="1122" t="s">
        <v>37</v>
      </c>
      <c r="FA208" s="1096" t="n">
        <f aca="false">FA207</f>
        <v>45</v>
      </c>
      <c r="FB208" s="1167" t="e">
        <f aca="false">IF(EZ208="No",IF((OR(MONTH(C208)=5,MONTH(C208)=6,MONTH(C208)=7,MONTH(C208)=8,MONTH(C208)=9)),$FA208*12*AX208*(1-$BC208),$FA208*10*AX208*(1-$BC208)),0)</f>
        <v>#VALUE!</v>
      </c>
      <c r="FC208" s="1129" t="e">
        <f aca="false">IF(EZ208="No",IF((OR(MONTH(C208)=5,MONTH(C208)=6,MONTH(C208)=7,MONTH(C208)=8,MONTH(C208)=9)),0,$FA208*3*AX208*(1-$BC208)),0)</f>
        <v>#VALUE!</v>
      </c>
      <c r="FD208" s="1129" t="e">
        <f aca="false">IF(EZ208="No",IF((OR(MONTH(C208)=5,MONTH(C208)=6,MONTH(C208)=7,MONTH(C208)=8,MONTH(C208)=9)),$FA208*12*AY208*(1-$BC208),$FA208*10*AY208*(1-$BC208)),0)</f>
        <v>#VALUE!</v>
      </c>
      <c r="FE208" s="1129" t="e">
        <f aca="false">IF(EZ208="No",IF((OR(MONTH(C208)=5,MONTH(C208)=6,MONTH(C208)=7,MONTH(C208)=8,MONTH(C208)=9)),0,$FA208*3*AY208*(1-$BC208)),0)</f>
        <v>#VALUE!</v>
      </c>
      <c r="FF208" s="1129" t="e">
        <f aca="false">IF(EZ208="No",IF((OR(MONTH(C208)=5,MONTH(C208)=6,MONTH(C208)=7,MONTH(C208)=8,MONTH(C208)=9)),$FA208*12*(AZ208+BA208)*(1-$BC208),$FA208*10*(AZ208+BA208)*(1-$BC208)),0)</f>
        <v>#VALUE!</v>
      </c>
      <c r="FG208" s="1129" t="e">
        <f aca="false">IF(EZ208="No",IF((OR(MONTH(C208)=5,MONTH(C208)=6,MONTH(C208)=7,MONTH(C208)=8,MONTH(C208)=9)),0,$FA208*3*(AZ208+BA208)*(1-$BC208)),0)</f>
        <v>#VALUE!</v>
      </c>
      <c r="FH208" s="1170" t="e">
        <f aca="false">IF(EZ208="No",IF((OR(MONTH(C208)=5,MONTH(C208)=6,MONTH(C208)=7,MONTH(C208)=8,MONTH(C208)=9)),Summary!$O$15*12*(AX208+AY208+AZ208+BA208)*(1-$BC208),Summary!$O$15*13*(AX208+AY208+AZ208+BA208)*(1-$BC208)+IF(Summary!$O$16="Yes",(CALC!FA208+Summary!$O$15)*6*(AX208+AY208+AZ208+BA208)*(1-$BC208),0)),0)</f>
        <v>#VALUE!</v>
      </c>
      <c r="FI208" s="1126" t="n">
        <f aca="false">IF(MONTH(C208)=5,FI207*(IF(Summary!$E$70="no",(1+(Summary!$E$71*0.8)),1+HLOOKUP(YEAR(C208)-1,CCFMODEL!$I$127:$AF$128,2)*0.8)),+FI207)</f>
        <v>38.8797064863349</v>
      </c>
      <c r="FJ208" s="1127" t="n">
        <f aca="false">IF(MONTH(C208)=5,FJ207*(IF(Summary!$E$70="no",(1+(Summary!$E$71*0.8)),1+HLOOKUP(YEAR(CALC!C208)-1,CCFMODEL!$I$127:$AF$128,2)*0.8)),FJ207)</f>
        <v>33.981475747899</v>
      </c>
      <c r="FK208" s="1128" t="e">
        <f aca="false">SUM(FB208:FG208)*FI208+FH208*FJ208</f>
        <v>#VALUE!</v>
      </c>
      <c r="FL208" s="1126" t="n">
        <f aca="false">IF(MONTH(C208)=5,FL207*(IF(Summary!$E$70="no",(1+(Summary!$E$71*0.8)),1+HLOOKUP(YEAR(CALC!C208)-1,CCFMODEL!$I$127:$AF$128,2)*0.8)),+FL207)</f>
        <v>81.7683815829968</v>
      </c>
      <c r="FM208" s="1127" t="n">
        <f aca="false">IF(MONTH(C208)=5,FM207*(IF(Summary!$E$70="no",(1+(Summary!$E$71*0.8)),1+HLOOKUP(YEAR(CALC!C208)-1,CCFMODEL!$I$127:$AF$128,2)*0.8)),+FM207)</f>
        <v>39.0254871630741</v>
      </c>
      <c r="FN208" s="1128" t="e">
        <f aca="false">IF((OR(MONTH(C208)=5,MONTH(C208)=6,MONTH(C208)=7,MONTH(C208)=8,MONTH(C208)=9)),SUM(FB208:FG208)/(1-BC208)*FL208,SUM(FB208:FG208)/(1-BC208)*FM208)</f>
        <v>#VALUE!</v>
      </c>
      <c r="FO208" s="1129" t="e">
        <f aca="false">FK208+FN208</f>
        <v>#VALUE!</v>
      </c>
      <c r="FP208" s="1169" t="e">
        <f aca="false">FB208</f>
        <v>#VALUE!</v>
      </c>
      <c r="FQ208" s="1129" t="e">
        <f aca="false">FC208</f>
        <v>#VALUE!</v>
      </c>
      <c r="FR208" s="1129" t="e">
        <f aca="false">FD208</f>
        <v>#VALUE!</v>
      </c>
      <c r="FS208" s="1129" t="e">
        <f aca="false">FE208</f>
        <v>#VALUE!</v>
      </c>
      <c r="FT208" s="1129" t="e">
        <f aca="false">FF208</f>
        <v>#VALUE!</v>
      </c>
      <c r="FU208" s="1129" t="e">
        <f aca="false">FG208</f>
        <v>#VALUE!</v>
      </c>
      <c r="FV208" s="1170" t="e">
        <f aca="false">FH208</f>
        <v>#VALUE!</v>
      </c>
      <c r="FW208" s="1115" t="n">
        <f aca="false">IF(ER208&gt;0,MIN(FB208-FP208,BL208),0)</f>
        <v>0</v>
      </c>
      <c r="FX208" s="1115" t="n">
        <f aca="false">IF(ES208&gt;0,MIN(FD208-FR208,BM208),0)</f>
        <v>0</v>
      </c>
      <c r="FY208" s="1115" t="n">
        <f aca="false">IF(ET208&gt;0,MIN(FF208-FT208,BN208),0)</f>
        <v>0</v>
      </c>
      <c r="FZ208" s="1143" t="n">
        <f aca="false">IF(EU208&gt;0,MIN(FH208-FV208,BO208),0)</f>
        <v>0</v>
      </c>
      <c r="GA208" s="1132" t="e">
        <f aca="false">(SUM(FP208:FV208)+SUM(GU208:HB208)/(1-Summary!$O$25))*CY208/1000</f>
        <v>#VALUE!</v>
      </c>
      <c r="GB208" s="1133" t="n">
        <f aca="false">IF($C208&lt;Summary!$M$81,+Summary!$O$81,VLOOKUP(C208,GasTable,19))</f>
        <v>4.2099618724691</v>
      </c>
      <c r="GC208" s="1134" t="n">
        <f aca="false">IF(H208&lt;=Summary!$N$84,MIN(GA208,Summary!$O$75*(H208-G208+1)),0)</f>
        <v>0</v>
      </c>
      <c r="GD208" s="1135" t="n">
        <f aca="false">IF(C208&lt;Summary!$N$84,IF(Summary!$O$75*(H208-G208+1)*0.8&gt;GC208,1,0),0)</f>
        <v>0</v>
      </c>
      <c r="GE208" s="1136" t="n">
        <v>0</v>
      </c>
      <c r="GF208" s="1134" t="e">
        <f aca="false">ABS(MIN(0,GC208-$GA208))</f>
        <v>#VALUE!</v>
      </c>
      <c r="GG208" s="1135" t="e">
        <f aca="false">GF208*(IF(Summary!$O$74=1,VLOOKUP($C208,GasTable,16)+Summary!$O$92+Summary!$O$93,VLOOKUP($C208,GasTable,19)+Summary!$O$92+Summary!$O$93))</f>
        <v>#VALUE!</v>
      </c>
      <c r="GH208" s="1137" t="n">
        <v>6525.44090232711</v>
      </c>
      <c r="GI208" s="1138" t="n">
        <v>0</v>
      </c>
      <c r="GJ208" s="1139" t="e">
        <f aca="false">+GB208*GC208+GE208+GG208+GH208-GI208</f>
        <v>#VALUE!</v>
      </c>
      <c r="GK208" s="1115" t="e">
        <f aca="false">SUM(FP208:FV208,GU208:GX208,GY208:HB208)</f>
        <v>#VALUE!</v>
      </c>
      <c r="GL208" s="1140" t="n">
        <v>0.513488</v>
      </c>
      <c r="GM208" s="1141" t="e">
        <f aca="false">IF(GK208&gt;GC208/(CY208/1000),GC208/(CY208/1000),+GK208)*GL208</f>
        <v>#VALUE!</v>
      </c>
      <c r="GN208" s="1115" t="n">
        <f aca="false">IF(SUM(GU208:HB208)=0,0,IF(Summary!$O$16="Yes",SUM(GX208:HB208),IF(Summary!$O$17="Yes",SUM(GY208:HB208),SUM(GU208:HB208))))</f>
        <v>12199.03785</v>
      </c>
      <c r="GO208" s="1142" t="n">
        <v>3.70722326988881</v>
      </c>
      <c r="GP208" s="1143" t="n">
        <f aca="false">GN208*GO208</f>
        <v>45224.5569877743</v>
      </c>
      <c r="GQ208" s="1115"/>
      <c r="GR208" s="1115"/>
      <c r="GS208" s="1115"/>
      <c r="GT208" s="1115"/>
      <c r="GU208" s="1150" t="n">
        <v>5646.1185</v>
      </c>
      <c r="GV208" s="1115" t="n">
        <v>1026.567</v>
      </c>
      <c r="GW208" s="1115" t="n">
        <v>1283.20875</v>
      </c>
      <c r="GX208" s="1115"/>
      <c r="GY208" s="1151" t="n">
        <v>3011.2632</v>
      </c>
      <c r="GZ208" s="1115" t="n">
        <v>547.5024</v>
      </c>
      <c r="HA208" s="1115" t="n">
        <v>684.378</v>
      </c>
      <c r="HB208" s="1141"/>
      <c r="HC208" s="1115" t="n">
        <v>12199.03785</v>
      </c>
      <c r="HD208" s="1115"/>
      <c r="HE208" s="1115" t="n">
        <v>20950.521525</v>
      </c>
      <c r="HF208" s="1115" t="n">
        <v>655650.462838151</v>
      </c>
      <c r="HG208" s="1115"/>
      <c r="HH208" s="1142" t="n">
        <v>53.3992694333233</v>
      </c>
      <c r="HI208" s="1115" t="n">
        <v>1118742.54368211</v>
      </c>
      <c r="HJ208" s="1150" t="e">
        <f aca="false">MAX(FB208-FP208-FW208,0)</f>
        <v>#VALUE!</v>
      </c>
      <c r="HK208" s="1115" t="e">
        <f aca="false">MAX(FD208-FR208-FX208,0)</f>
        <v>#VALUE!</v>
      </c>
      <c r="HL208" s="1115" t="e">
        <f aca="false">MAX(FF208-FT208-FY208,0)</f>
        <v>#VALUE!</v>
      </c>
      <c r="HM208" s="1141" t="e">
        <f aca="false">MAX(FH208-FV208-FZ208,0)</f>
        <v>#VALUE!</v>
      </c>
      <c r="HN208" s="1115" t="e">
        <f aca="false">SUM(HJ208:HM208)</f>
        <v>#VALUE!</v>
      </c>
      <c r="HO208" s="1142" t="n">
        <f aca="false">IF(ISERROR(+HP208/HN208),0,+HP208/HN208)</f>
        <v>0</v>
      </c>
      <c r="HP208" s="1143" t="e">
        <f aca="false">(HJ208*CE208+HK208*CF208+HL208*CG208+HM208*CH208)</f>
        <v>#VALUE!</v>
      </c>
      <c r="HQ208" s="1146"/>
      <c r="HR208" s="1150"/>
      <c r="HS208" s="1200"/>
      <c r="HT208" s="1141"/>
      <c r="HU208" s="1150"/>
      <c r="HV208" s="1200"/>
      <c r="HW208" s="1141"/>
      <c r="HX208" s="1200"/>
      <c r="HY208" s="1200"/>
      <c r="HZ208" s="0"/>
      <c r="IA208" s="1142"/>
      <c r="IB208" s="1142"/>
      <c r="IC208" s="1142"/>
      <c r="ID208" s="1142"/>
      <c r="IE208" s="1142"/>
      <c r="IF208" s="1142"/>
      <c r="IG208" s="1142"/>
      <c r="IH208" s="1142"/>
      <c r="II208" s="1142"/>
      <c r="IJ208" s="1142"/>
      <c r="IK208" s="1142"/>
      <c r="IL208" s="1190"/>
      <c r="IM208" s="222"/>
      <c r="IN208" s="222"/>
      <c r="IR208" s="844"/>
    </row>
    <row r="209" customFormat="false" ht="13.5" hidden="false" customHeight="false" outlineLevel="0" collapsed="false">
      <c r="A209" s="0" t="str">
        <f aca="false">+D209&amp;"Q"&amp;ROUNDUP(E209/3,0)</f>
        <v>2016Q1</v>
      </c>
      <c r="B209" s="0" t="n">
        <f aca="false">YEAR(C209)</f>
        <v>2016</v>
      </c>
      <c r="C209" s="1153" t="n">
        <f aca="false">EOMONTH(C208,0)+1</f>
        <v>42370</v>
      </c>
      <c r="D209" s="841" t="n">
        <f aca="false">+YEAR(C209)</f>
        <v>2016</v>
      </c>
      <c r="E209" s="807" t="n">
        <f aca="false">MONTH(C209)</f>
        <v>1</v>
      </c>
      <c r="F209" s="1154" t="e">
        <f aca="false">IF(G209="","",Holiday(D209,E209))</f>
        <v>#VALUE!</v>
      </c>
      <c r="G209" s="1155" t="n">
        <v>42370</v>
      </c>
      <c r="H209" s="1156" t="n">
        <v>42400</v>
      </c>
      <c r="I209" s="1157" t="n">
        <f aca="false">I208</f>
        <v>0.0715</v>
      </c>
      <c r="J209" s="1158" t="n">
        <f aca="false">(1+I209/2)^(-2*(DATE(D210,E210,20)-$H$7)/365.25)</f>
        <v>0.320808041390085</v>
      </c>
      <c r="K209" s="1159"/>
      <c r="L209" s="1158"/>
      <c r="M209" s="1082" t="n">
        <v>0</v>
      </c>
      <c r="N209" s="1110" t="n">
        <f aca="false">M209</f>
        <v>0</v>
      </c>
      <c r="O209" s="1174" t="n">
        <f aca="false">N209</f>
        <v>0</v>
      </c>
      <c r="P209" s="1175" t="n">
        <f aca="false">M209</f>
        <v>0</v>
      </c>
      <c r="Q209" s="1110" t="n">
        <f aca="false">P209</f>
        <v>0</v>
      </c>
      <c r="R209" s="1174" t="n">
        <f aca="false">Q209</f>
        <v>0</v>
      </c>
      <c r="S209" s="1110" t="n">
        <f aca="false">R209</f>
        <v>0</v>
      </c>
      <c r="T209" s="1110" t="n">
        <f aca="false">S209</f>
        <v>0</v>
      </c>
      <c r="U209" s="1110" t="n">
        <f aca="false">T209</f>
        <v>0</v>
      </c>
      <c r="V209" s="1175" t="n">
        <f aca="false">U209</f>
        <v>0</v>
      </c>
      <c r="W209" s="1110" t="n">
        <f aca="false">V209</f>
        <v>0</v>
      </c>
      <c r="X209" s="1176" t="n">
        <f aca="false">W209</f>
        <v>0</v>
      </c>
      <c r="Y209" s="1086" t="n">
        <v>0</v>
      </c>
      <c r="Z209" s="1086" t="n">
        <v>0</v>
      </c>
      <c r="AA209" s="1087" t="n">
        <v>0</v>
      </c>
      <c r="AB209" s="1086" t="n">
        <v>0</v>
      </c>
      <c r="AC209" s="1086" t="n">
        <v>0</v>
      </c>
      <c r="AD209" s="1087" t="n">
        <v>0</v>
      </c>
      <c r="AE209" s="1086" t="n">
        <v>0</v>
      </c>
      <c r="AF209" s="1086" t="n">
        <v>0</v>
      </c>
      <c r="AG209" s="1087" t="n">
        <v>0</v>
      </c>
      <c r="AH209" s="1086" t="n">
        <v>0</v>
      </c>
      <c r="AI209" s="1086" t="n">
        <v>0</v>
      </c>
      <c r="AJ209" s="1087" t="n">
        <v>0</v>
      </c>
      <c r="AK209" s="1086" t="n">
        <v>0</v>
      </c>
      <c r="AL209" s="1086" t="n">
        <v>0</v>
      </c>
      <c r="AM209" s="1087" t="n">
        <v>0</v>
      </c>
      <c r="AN209" s="1086" t="n">
        <v>0</v>
      </c>
      <c r="AO209" s="1086" t="n">
        <v>0</v>
      </c>
      <c r="AP209" s="1087" t="n">
        <v>0</v>
      </c>
      <c r="AQ209" s="1086" t="n">
        <v>0</v>
      </c>
      <c r="AR209" s="1086" t="n">
        <v>0</v>
      </c>
      <c r="AS209" s="1087" t="n">
        <v>0</v>
      </c>
      <c r="AT209" s="1086" t="n">
        <v>0</v>
      </c>
      <c r="AU209" s="1086" t="n">
        <v>0</v>
      </c>
      <c r="AV209" s="1086" t="n">
        <v>0</v>
      </c>
      <c r="AW209" s="1172" t="n">
        <v>0</v>
      </c>
      <c r="AX209" s="807" t="e">
        <f aca="false">BB209-SUM(AY209:BA209)</f>
        <v>#VALUE!</v>
      </c>
      <c r="AY209" s="807" t="e">
        <f aca="false">IF(AND($E209=MONTH(Summary!$E$24),$D209=YEAR(Summary!$E$24)),Summary!$E$25,1)*IF(G209="",0,INT((H209-MOD(H209,7)-G209)/7)+1-IF(BA209,IF(WEEKDAY(F209)=7,1,0),0))</f>
        <v>#VALUE!</v>
      </c>
      <c r="AZ209" s="807" t="e">
        <f aca="false">IF(AND($E209=MONTH(Summary!$E$24),$D209=YEAR(Summary!$E$24)),Summary!$E$25,1)*IF(G209="",0,INT((H209-MOD(H209-1,7)-G209)/7)+1-IF(BA209,IF(WEEKDAY(F209)=1,1,0),0))</f>
        <v>#VALUE!</v>
      </c>
      <c r="BA209" s="807" t="n">
        <v>1</v>
      </c>
      <c r="BB209" s="807" t="n">
        <f aca="false">IF(AND($E209=MONTH(Summary!$E$24),$D209=YEAR(Summary!$E$24)),Summary!$E$25,1)*IF(G209="",0,H209-G209+1)</f>
        <v>31</v>
      </c>
      <c r="BC209" s="1089" t="n">
        <f aca="false">Summary!$E$19</f>
        <v>0.015</v>
      </c>
      <c r="BD209" s="1090" t="n">
        <v>14184</v>
      </c>
      <c r="BE209" s="1091" t="n">
        <v>3546</v>
      </c>
      <c r="BF209" s="1091" t="n">
        <v>4255.2</v>
      </c>
      <c r="BG209" s="842"/>
      <c r="BH209" s="1092" t="n">
        <v>1</v>
      </c>
      <c r="BI209" s="1092" t="n">
        <v>1</v>
      </c>
      <c r="BJ209" s="1092" t="n">
        <v>1</v>
      </c>
      <c r="BK209" s="1092" t="n">
        <v>1</v>
      </c>
      <c r="BL209" s="1093" t="n">
        <v>2836.8</v>
      </c>
      <c r="BM209" s="1091" t="n">
        <v>709.2</v>
      </c>
      <c r="BN209" s="1091" t="n">
        <v>851.04</v>
      </c>
      <c r="BO209" s="842"/>
      <c r="BP209" s="1092" t="n">
        <v>1</v>
      </c>
      <c r="BQ209" s="1094" t="n">
        <v>1</v>
      </c>
      <c r="BR209" s="1094" t="n">
        <v>1</v>
      </c>
      <c r="BS209" s="1095" t="n">
        <v>1</v>
      </c>
      <c r="BT209" s="1093" t="n">
        <f aca="false">SUM(BD209:BF209)</f>
        <v>21985.2</v>
      </c>
      <c r="BU209" s="1098" t="n">
        <f aca="false">SUM(BD209:BG209)</f>
        <v>21985.2</v>
      </c>
      <c r="BV209" s="1090" t="n">
        <f aca="false">SUM(BL209:BN209)</f>
        <v>4397.04</v>
      </c>
      <c r="BW209" s="1098" t="n">
        <f aca="false">SUM(BL209:BO209)</f>
        <v>4397.04</v>
      </c>
      <c r="BX209" s="852" t="n">
        <v>16.0465434633812</v>
      </c>
      <c r="BY209" s="1099" t="n">
        <v>0</v>
      </c>
      <c r="BZ209" s="852" t="n">
        <v>0</v>
      </c>
      <c r="CA209" s="852" t="n">
        <v>0</v>
      </c>
      <c r="CB209" s="852" t="n">
        <v>0</v>
      </c>
      <c r="CC209" s="852" t="n">
        <v>0</v>
      </c>
      <c r="CD209" s="852" t="n">
        <v>0</v>
      </c>
      <c r="CE209" s="1100" t="n">
        <v>0</v>
      </c>
      <c r="CF209" s="852" t="n">
        <v>0</v>
      </c>
      <c r="CG209" s="852" t="n">
        <v>0</v>
      </c>
      <c r="CH209" s="852" t="n">
        <v>0</v>
      </c>
      <c r="CI209" s="852" t="n">
        <v>0</v>
      </c>
      <c r="CJ209" s="1101" t="n">
        <v>0</v>
      </c>
      <c r="CK209" s="852" t="n">
        <v>0</v>
      </c>
      <c r="CL209" s="852" t="n">
        <v>0</v>
      </c>
      <c r="CM209" s="852" t="n">
        <v>0</v>
      </c>
      <c r="CN209" s="852" t="n">
        <v>0</v>
      </c>
      <c r="CO209" s="852" t="n">
        <v>0</v>
      </c>
      <c r="CP209" s="852" t="n">
        <v>0</v>
      </c>
      <c r="CQ209" s="1102" t="n">
        <v>0</v>
      </c>
      <c r="CR209" s="1103" t="n">
        <v>0</v>
      </c>
      <c r="CS209" s="1103" t="n">
        <v>0</v>
      </c>
      <c r="CT209" s="1103" t="n">
        <v>0</v>
      </c>
      <c r="CU209" s="1103" t="n">
        <v>0</v>
      </c>
      <c r="CV209" s="1103" t="n">
        <v>0</v>
      </c>
      <c r="CW209" s="1103" t="n">
        <v>0</v>
      </c>
      <c r="CX209" s="1104" t="n">
        <v>0</v>
      </c>
      <c r="CY209" s="1105" t="n">
        <v>7666.03096</v>
      </c>
      <c r="CZ209" s="1099" t="n">
        <v>0</v>
      </c>
      <c r="DA209" s="852" t="n">
        <v>0</v>
      </c>
      <c r="DB209" s="852" t="n">
        <v>0</v>
      </c>
      <c r="DC209" s="852" t="n">
        <v>0</v>
      </c>
      <c r="DD209" s="852" t="n">
        <v>0</v>
      </c>
      <c r="DE209" s="1113" t="n">
        <v>0</v>
      </c>
      <c r="DF209" s="1109" t="n">
        <v>0</v>
      </c>
      <c r="DG209" s="1110" t="n">
        <v>0</v>
      </c>
      <c r="DH209" s="1111" t="n">
        <v>0</v>
      </c>
      <c r="DI209" s="1112" t="n">
        <v>0</v>
      </c>
      <c r="DJ209" s="1112" t="n">
        <v>0</v>
      </c>
      <c r="DK209" s="1112" t="n">
        <v>0</v>
      </c>
      <c r="DL209" s="1113" t="n">
        <v>0</v>
      </c>
      <c r="DM209" s="1114" t="n">
        <v>0</v>
      </c>
      <c r="DN209" s="1114" t="n">
        <v>0</v>
      </c>
      <c r="DO209" s="1114" t="n">
        <v>0</v>
      </c>
      <c r="DP209" s="1114" t="n">
        <v>0</v>
      </c>
      <c r="DQ209" s="1114" t="n">
        <v>0</v>
      </c>
      <c r="DR209" s="1109" t="n">
        <v>0</v>
      </c>
      <c r="DS209" s="852" t="n">
        <v>0</v>
      </c>
      <c r="DT209" s="852" t="n">
        <v>0</v>
      </c>
      <c r="DU209" s="852" t="n">
        <v>0</v>
      </c>
      <c r="DV209" s="852" t="n">
        <v>0</v>
      </c>
      <c r="DW209" s="852" t="n">
        <v>0</v>
      </c>
      <c r="DX209" s="852" t="n">
        <v>0</v>
      </c>
      <c r="DY209" s="852" t="n">
        <v>0</v>
      </c>
      <c r="DZ209" s="852" t="n">
        <v>0</v>
      </c>
      <c r="EA209" s="852" t="n">
        <v>0</v>
      </c>
      <c r="EB209" s="1113" t="n">
        <v>0</v>
      </c>
      <c r="EC209" s="1115" t="n">
        <f aca="false">DS209*BD209</f>
        <v>0</v>
      </c>
      <c r="ED209" s="1115" t="n">
        <f aca="false">DT209*BE209</f>
        <v>0</v>
      </c>
      <c r="EE209" s="1115" t="n">
        <f aca="false">DU209*BF209</f>
        <v>0</v>
      </c>
      <c r="EF209" s="1115" t="n">
        <f aca="false">DV209*BG209</f>
        <v>0</v>
      </c>
      <c r="EG209" s="1115" t="n">
        <f aca="false">DS209*BD209+DT209*BE209+DU209*BF209+DV209*BG209</f>
        <v>0</v>
      </c>
      <c r="EH209" s="1116" t="n">
        <v>0</v>
      </c>
      <c r="EI209" s="1117" t="n">
        <v>0</v>
      </c>
      <c r="EJ209" s="1117" t="n">
        <v>0</v>
      </c>
      <c r="EK209" s="1117" t="n">
        <v>0</v>
      </c>
      <c r="EL209" s="1118" t="n">
        <f aca="false">IF(C209&gt;=Summary!$E$26,MAX(0,SUM(EH209:EK209)),0)</f>
        <v>0</v>
      </c>
      <c r="EM209" s="1115" t="n">
        <f aca="false">IF(C209&gt;=Summary!$E$26,DX209*BL209,0)</f>
        <v>0</v>
      </c>
      <c r="EN209" s="1115" t="n">
        <f aca="false">IF(C209&gt;=Summary!$E$26,DY209*BM209,0)</f>
        <v>0</v>
      </c>
      <c r="EO209" s="1115" t="n">
        <f aca="false">IF(C209&gt;=Summary!$E$26,DZ209*BN209,0)</f>
        <v>0</v>
      </c>
      <c r="EP209" s="1115" t="n">
        <f aca="false">IF(C209&gt;=Summary!$E$26,EA209*BO209,0)</f>
        <v>0</v>
      </c>
      <c r="EQ209" s="1115" t="n">
        <f aca="false">IF(C209&gt;=Summary!$E$26,DX209*BL209+DY209*BM209+DZ209*BN209+EA209*BO209,0)</f>
        <v>0</v>
      </c>
      <c r="ER209" s="1119" t="n">
        <v>0</v>
      </c>
      <c r="ES209" s="1120" t="n">
        <v>0</v>
      </c>
      <c r="ET209" s="1120" t="n">
        <v>0</v>
      </c>
      <c r="EU209" s="1120" t="n">
        <v>0</v>
      </c>
      <c r="EV209" s="1143" t="n">
        <f aca="false">IF(C209&gt;=Summary!$E$26,MAX(0,SUM(ER209:EU209)),0)</f>
        <v>0</v>
      </c>
      <c r="EW209" s="1115"/>
      <c r="EX209" s="1165" t="n">
        <f aca="false">(EQ209-EV209)+IF(EZ209="Yes",(EG209-EL209),0)</f>
        <v>0</v>
      </c>
      <c r="EY209" s="1166" t="str">
        <f aca="false">IF(EX209,EX209/EQ209,"")</f>
        <v/>
      </c>
      <c r="EZ209" s="1122" t="s">
        <v>37</v>
      </c>
      <c r="FA209" s="1096" t="n">
        <f aca="false">FA208</f>
        <v>45</v>
      </c>
      <c r="FB209" s="1167" t="e">
        <f aca="false">IF(EZ209="No",IF((OR(MONTH(C209)=5,MONTH(C209)=6,MONTH(C209)=7,MONTH(C209)=8,MONTH(C209)=9)),$FA209*12*AX209*(1-$BC209),$FA209*10*AX209*(1-$BC209)),0)</f>
        <v>#VALUE!</v>
      </c>
      <c r="FC209" s="1129" t="e">
        <f aca="false">IF(EZ209="No",IF((OR(MONTH(C209)=5,MONTH(C209)=6,MONTH(C209)=7,MONTH(C209)=8,MONTH(C209)=9)),0,$FA209*3*AX209*(1-$BC209)),0)</f>
        <v>#VALUE!</v>
      </c>
      <c r="FD209" s="1129" t="e">
        <f aca="false">IF(EZ209="No",IF((OR(MONTH(C209)=5,MONTH(C209)=6,MONTH(C209)=7,MONTH(C209)=8,MONTH(C209)=9)),$FA209*12*AY209*(1-$BC209),$FA209*10*AY209*(1-$BC209)),0)</f>
        <v>#VALUE!</v>
      </c>
      <c r="FE209" s="1129" t="e">
        <f aca="false">IF(EZ209="No",IF((OR(MONTH(C209)=5,MONTH(C209)=6,MONTH(C209)=7,MONTH(C209)=8,MONTH(C209)=9)),0,$FA209*3*AY209*(1-$BC209)),0)</f>
        <v>#VALUE!</v>
      </c>
      <c r="FF209" s="1129" t="e">
        <f aca="false">IF(EZ209="No",IF((OR(MONTH(C209)=5,MONTH(C209)=6,MONTH(C209)=7,MONTH(C209)=8,MONTH(C209)=9)),$FA209*12*(AZ209+BA209)*(1-$BC209),$FA209*10*(AZ209+BA209)*(1-$BC209)),0)</f>
        <v>#VALUE!</v>
      </c>
      <c r="FG209" s="1129" t="e">
        <f aca="false">IF(EZ209="No",IF((OR(MONTH(C209)=5,MONTH(C209)=6,MONTH(C209)=7,MONTH(C209)=8,MONTH(C209)=9)),0,$FA209*3*(AZ209+BA209)*(1-$BC209)),0)</f>
        <v>#VALUE!</v>
      </c>
      <c r="FH209" s="1170" t="e">
        <f aca="false">IF(EZ209="No",IF((OR(MONTH(C209)=5,MONTH(C209)=6,MONTH(C209)=7,MONTH(C209)=8,MONTH(C209)=9)),Summary!$O$15*12*(AX209+AY209+AZ209+BA209)*(1-$BC209),Summary!$O$15*13*(AX209+AY209+AZ209+BA209)*(1-$BC209)+IF(Summary!$O$16="Yes",(CALC!FA209+Summary!$O$15)*6*(AX209+AY209+AZ209+BA209)*(1-$BC209),0)),0)</f>
        <v>#VALUE!</v>
      </c>
      <c r="FI209" s="1126" t="n">
        <f aca="false">IF(MONTH(C209)=5,FI208*(IF(Summary!$E$70="no",(1+(Summary!$E$71*0.8)),1+HLOOKUP(YEAR(C209)-1,CCFMODEL!$I$127:$AF$128,2)*0.8)),+FI208)</f>
        <v>38.8797064863349</v>
      </c>
      <c r="FJ209" s="1127" t="n">
        <f aca="false">IF(MONTH(C209)=5,FJ208*(IF(Summary!$E$70="no",(1+(Summary!$E$71*0.8)),1+HLOOKUP(YEAR(CALC!C209)-1,CCFMODEL!$I$127:$AF$128,2)*0.8)),FJ208)</f>
        <v>33.981475747899</v>
      </c>
      <c r="FK209" s="1128" t="e">
        <f aca="false">SUM(FB209:FG209)*FI209+FH209*FJ209</f>
        <v>#VALUE!</v>
      </c>
      <c r="FL209" s="1126" t="n">
        <f aca="false">IF(MONTH(C209)=5,FL208*(IF(Summary!$E$70="no",(1+(Summary!$E$71*0.8)),1+HLOOKUP(YEAR(CALC!C209)-1,CCFMODEL!$I$127:$AF$128,2)*0.8)),+FL208)</f>
        <v>81.7683815829968</v>
      </c>
      <c r="FM209" s="1127" t="n">
        <f aca="false">IF(MONTH(C209)=5,FM208*(IF(Summary!$E$70="no",(1+(Summary!$E$71*0.8)),1+HLOOKUP(YEAR(CALC!C209)-1,CCFMODEL!$I$127:$AF$128,2)*0.8)),+FM208)</f>
        <v>39.0254871630741</v>
      </c>
      <c r="FN209" s="1128" t="e">
        <f aca="false">IF((OR(MONTH(C209)=5,MONTH(C209)=6,MONTH(C209)=7,MONTH(C209)=8,MONTH(C209)=9)),SUM(FB209:FG209)/(1-BC209)*FL209,SUM(FB209:FG209)/(1-BC209)*FM209)</f>
        <v>#VALUE!</v>
      </c>
      <c r="FO209" s="1129" t="e">
        <f aca="false">FK209+FN209</f>
        <v>#VALUE!</v>
      </c>
      <c r="FP209" s="1169" t="e">
        <f aca="false">FB209</f>
        <v>#VALUE!</v>
      </c>
      <c r="FQ209" s="1129" t="e">
        <f aca="false">FC209</f>
        <v>#VALUE!</v>
      </c>
      <c r="FR209" s="1129" t="e">
        <f aca="false">FD209</f>
        <v>#VALUE!</v>
      </c>
      <c r="FS209" s="1129" t="e">
        <f aca="false">FE209</f>
        <v>#VALUE!</v>
      </c>
      <c r="FT209" s="1129" t="e">
        <f aca="false">FF209</f>
        <v>#VALUE!</v>
      </c>
      <c r="FU209" s="1129" t="e">
        <f aca="false">FG209</f>
        <v>#VALUE!</v>
      </c>
      <c r="FV209" s="1170" t="e">
        <f aca="false">FH209</f>
        <v>#VALUE!</v>
      </c>
      <c r="FW209" s="1115" t="n">
        <f aca="false">IF(ER209&gt;0,MIN(FB209-FP209,BL209),0)</f>
        <v>0</v>
      </c>
      <c r="FX209" s="1115" t="n">
        <f aca="false">IF(ES209&gt;0,MIN(FD209-FR209,BM209),0)</f>
        <v>0</v>
      </c>
      <c r="FY209" s="1115" t="n">
        <f aca="false">IF(ET209&gt;0,MIN(FF209-FT209,BN209),0)</f>
        <v>0</v>
      </c>
      <c r="FZ209" s="1143" t="n">
        <f aca="false">IF(EU209&gt;0,MIN(FH209-FV209,BO209),0)</f>
        <v>0</v>
      </c>
      <c r="GA209" s="1132" t="e">
        <f aca="false">(SUM(FP209:FV209)+SUM(GU209:HB209)/(1-Summary!$O$25))*CY209/1000</f>
        <v>#VALUE!</v>
      </c>
      <c r="GB209" s="1133" t="n">
        <f aca="false">IF($C209&lt;Summary!$M$81,+Summary!$O$81,VLOOKUP(C209,GasTable,19))</f>
        <v>3.98888267639165</v>
      </c>
      <c r="GC209" s="1134" t="n">
        <f aca="false">IF(H209&lt;=Summary!$N$84,MIN(GA209,Summary!$O$75*(H209-G209+1)),0)</f>
        <v>0</v>
      </c>
      <c r="GD209" s="1135" t="n">
        <f aca="false">IF(C209&lt;Summary!$N$84,IF(Summary!$O$75*(H209-G209+1)*0.8&gt;GC209,1,0),0)</f>
        <v>0</v>
      </c>
      <c r="GE209" s="1136" t="n">
        <v>0</v>
      </c>
      <c r="GF209" s="1134" t="e">
        <f aca="false">ABS(MIN(0,GC209-$GA209))</f>
        <v>#VALUE!</v>
      </c>
      <c r="GG209" s="1135" t="e">
        <f aca="false">GF209*(IF(Summary!$O$74=1,VLOOKUP($C209,GasTable,16)+Summary!$O$92+Summary!$O$93,VLOOKUP($C209,GasTable,19)+Summary!$O$92+Summary!$O$93))</f>
        <v>#VALUE!</v>
      </c>
      <c r="GH209" s="1137" t="n">
        <v>6182.76814840706</v>
      </c>
      <c r="GI209" s="1138" t="n">
        <v>0</v>
      </c>
      <c r="GJ209" s="1139" t="e">
        <f aca="false">+GB209*GC209+GE209+GG209+GH209-GI209</f>
        <v>#VALUE!</v>
      </c>
      <c r="GK209" s="1115" t="e">
        <f aca="false">SUM(FP209:FV209,GU209:GX209,GY209:HB209)</f>
        <v>#VALUE!</v>
      </c>
      <c r="GL209" s="1140" t="n">
        <v>0.51362407432</v>
      </c>
      <c r="GM209" s="1141" t="e">
        <f aca="false">IF(GK209&gt;GC209/(CY209/1000),GC209/(CY209/1000),+GK209)*GL209</f>
        <v>#VALUE!</v>
      </c>
      <c r="GN209" s="1115" t="n">
        <f aca="false">IF(SUM(GU209:HB209)=0,0,IF(Summary!$O$16="Yes",SUM(GX209:HB209),IF(Summary!$O$17="Yes",SUM(GY209:HB209),SUM(GU209:HB209))))</f>
        <v>12199.03785</v>
      </c>
      <c r="GO209" s="1142" t="n">
        <v>3.81843996798547</v>
      </c>
      <c r="GP209" s="1143" t="n">
        <f aca="false">GN209*GO209</f>
        <v>46581.2936974075</v>
      </c>
      <c r="GQ209" s="1115"/>
      <c r="GR209" s="1115"/>
      <c r="GS209" s="1115"/>
      <c r="GT209" s="1115"/>
      <c r="GU209" s="1150" t="n">
        <v>5132.835</v>
      </c>
      <c r="GV209" s="1115" t="n">
        <v>1283.20875</v>
      </c>
      <c r="GW209" s="1115" t="n">
        <v>1539.8505</v>
      </c>
      <c r="GX209" s="1115"/>
      <c r="GY209" s="1151" t="n">
        <v>2737.512</v>
      </c>
      <c r="GZ209" s="1115" t="n">
        <v>684.378</v>
      </c>
      <c r="HA209" s="1115" t="n">
        <v>821.2536</v>
      </c>
      <c r="HB209" s="1141"/>
      <c r="HC209" s="1115" t="n">
        <v>12199.03785</v>
      </c>
      <c r="HD209" s="1115"/>
      <c r="HE209" s="1115" t="n">
        <v>20950.521525</v>
      </c>
      <c r="HF209" s="1115" t="n">
        <v>686796.279244305</v>
      </c>
      <c r="HG209" s="1115"/>
      <c r="HH209" s="1142" t="n">
        <v>55.8680985360828</v>
      </c>
      <c r="HI209" s="1115" t="n">
        <v>1170465.80094102</v>
      </c>
      <c r="HJ209" s="1150" t="e">
        <f aca="false">MAX(FB209-FP209-FW209,0)</f>
        <v>#VALUE!</v>
      </c>
      <c r="HK209" s="1115" t="e">
        <f aca="false">MAX(FD209-FR209-FX209,0)</f>
        <v>#VALUE!</v>
      </c>
      <c r="HL209" s="1115" t="e">
        <f aca="false">MAX(FF209-FT209-FY209,0)</f>
        <v>#VALUE!</v>
      </c>
      <c r="HM209" s="1141" t="e">
        <f aca="false">MAX(FH209-FV209-FZ209,0)</f>
        <v>#VALUE!</v>
      </c>
      <c r="HN209" s="1115" t="e">
        <f aca="false">SUM(HJ209:HM209)</f>
        <v>#VALUE!</v>
      </c>
      <c r="HO209" s="1142" t="n">
        <f aca="false">IF(ISERROR(+HP209/HN209),0,+HP209/HN209)</f>
        <v>0</v>
      </c>
      <c r="HP209" s="1143" t="e">
        <f aca="false">(HJ209*CE209+HK209*CF209+HL209*CG209+HM209*CH209)</f>
        <v>#VALUE!</v>
      </c>
      <c r="HQ209" s="1146"/>
      <c r="HR209" s="1150"/>
      <c r="HS209" s="1200"/>
      <c r="HT209" s="1141"/>
      <c r="HU209" s="1150"/>
      <c r="HV209" s="1200"/>
      <c r="HW209" s="1141"/>
      <c r="HX209" s="1200"/>
      <c r="HY209" s="1200"/>
      <c r="HZ209" s="0"/>
      <c r="IA209" s="1142"/>
      <c r="IB209" s="1142"/>
      <c r="IC209" s="1142"/>
      <c r="ID209" s="1142"/>
      <c r="IE209" s="1142"/>
      <c r="IF209" s="1142"/>
      <c r="IG209" s="1142"/>
      <c r="IH209" s="1142"/>
      <c r="II209" s="1142"/>
      <c r="IJ209" s="1142"/>
      <c r="IK209" s="1142"/>
      <c r="IL209" s="1190"/>
      <c r="IM209" s="222"/>
      <c r="IN209" s="222"/>
      <c r="IR209" s="844"/>
    </row>
    <row r="210" customFormat="false" ht="13.5" hidden="false" customHeight="false" outlineLevel="0" collapsed="false">
      <c r="A210" s="0" t="str">
        <f aca="false">+D210&amp;"Q"&amp;ROUNDUP(E210/3,0)</f>
        <v>2016Q1</v>
      </c>
      <c r="B210" s="0" t="n">
        <f aca="false">YEAR(C210)</f>
        <v>2016</v>
      </c>
      <c r="C210" s="1153" t="n">
        <f aca="false">EOMONTH(C209,0)+1</f>
        <v>42401</v>
      </c>
      <c r="D210" s="841" t="n">
        <f aca="false">+YEAR(C210)</f>
        <v>2016</v>
      </c>
      <c r="E210" s="807" t="n">
        <f aca="false">MONTH(C210)</f>
        <v>2</v>
      </c>
      <c r="F210" s="1154" t="e">
        <f aca="false">IF(G210="","",Holiday(D210,E210))</f>
        <v>#VALUE!</v>
      </c>
      <c r="G210" s="1155" t="n">
        <v>42401</v>
      </c>
      <c r="H210" s="1156" t="n">
        <v>42429</v>
      </c>
      <c r="I210" s="1157" t="n">
        <f aca="false">I209</f>
        <v>0.0715</v>
      </c>
      <c r="J210" s="1158" t="n">
        <f aca="false">(1+I210/2)^(-2*(DATE(D211,E211,20)-$H$7)/365.25)</f>
        <v>0.319023615073828</v>
      </c>
      <c r="K210" s="1159"/>
      <c r="L210" s="1158"/>
      <c r="M210" s="1082" t="n">
        <v>0</v>
      </c>
      <c r="N210" s="1110" t="n">
        <f aca="false">M210</f>
        <v>0</v>
      </c>
      <c r="O210" s="1174" t="n">
        <f aca="false">N210</f>
        <v>0</v>
      </c>
      <c r="P210" s="1175" t="n">
        <f aca="false">M210</f>
        <v>0</v>
      </c>
      <c r="Q210" s="1110" t="n">
        <f aca="false">P210</f>
        <v>0</v>
      </c>
      <c r="R210" s="1174" t="n">
        <f aca="false">Q210</f>
        <v>0</v>
      </c>
      <c r="S210" s="1110" t="n">
        <f aca="false">R210</f>
        <v>0</v>
      </c>
      <c r="T210" s="1110" t="n">
        <f aca="false">S210</f>
        <v>0</v>
      </c>
      <c r="U210" s="1110" t="n">
        <f aca="false">T210</f>
        <v>0</v>
      </c>
      <c r="V210" s="1175" t="n">
        <f aca="false">U210</f>
        <v>0</v>
      </c>
      <c r="W210" s="1110" t="n">
        <f aca="false">V210</f>
        <v>0</v>
      </c>
      <c r="X210" s="1176" t="n">
        <f aca="false">W210</f>
        <v>0</v>
      </c>
      <c r="Y210" s="1086" t="n">
        <v>0</v>
      </c>
      <c r="Z210" s="1086" t="n">
        <v>0</v>
      </c>
      <c r="AA210" s="1087" t="n">
        <v>0</v>
      </c>
      <c r="AB210" s="1086" t="n">
        <v>0</v>
      </c>
      <c r="AC210" s="1086" t="n">
        <v>0</v>
      </c>
      <c r="AD210" s="1087" t="n">
        <v>0</v>
      </c>
      <c r="AE210" s="1086" t="n">
        <v>0</v>
      </c>
      <c r="AF210" s="1086" t="n">
        <v>0</v>
      </c>
      <c r="AG210" s="1087" t="n">
        <v>0</v>
      </c>
      <c r="AH210" s="1086" t="n">
        <v>0</v>
      </c>
      <c r="AI210" s="1086" t="n">
        <v>0</v>
      </c>
      <c r="AJ210" s="1087" t="n">
        <v>0</v>
      </c>
      <c r="AK210" s="1086" t="n">
        <v>0</v>
      </c>
      <c r="AL210" s="1086" t="n">
        <v>0</v>
      </c>
      <c r="AM210" s="1087" t="n">
        <v>0</v>
      </c>
      <c r="AN210" s="1086" t="n">
        <v>0</v>
      </c>
      <c r="AO210" s="1086" t="n">
        <v>0</v>
      </c>
      <c r="AP210" s="1087" t="n">
        <v>0</v>
      </c>
      <c r="AQ210" s="1086" t="n">
        <v>0</v>
      </c>
      <c r="AR210" s="1086" t="n">
        <v>0</v>
      </c>
      <c r="AS210" s="1087" t="n">
        <v>0</v>
      </c>
      <c r="AT210" s="1086" t="n">
        <v>0</v>
      </c>
      <c r="AU210" s="1086" t="n">
        <v>0</v>
      </c>
      <c r="AV210" s="1086" t="n">
        <v>0</v>
      </c>
      <c r="AW210" s="1172" t="n">
        <v>0</v>
      </c>
      <c r="AX210" s="807" t="n">
        <f aca="false">BB210-SUM(AY210:BA210)</f>
        <v>21</v>
      </c>
      <c r="AY210" s="807" t="n">
        <f aca="false">IF(AND($E210=MONTH(Summary!$E$24),$D210=YEAR(Summary!$E$24)),Summary!$E$25,1)*IF(G210="",0,INT((H210-MOD(H210,7)-G210)/7)+1-IF(BA210,IF(WEEKDAY(F210)=7,1,0),0))</f>
        <v>4</v>
      </c>
      <c r="AZ210" s="807" t="n">
        <f aca="false">IF(AND($E210=MONTH(Summary!$E$24),$D210=YEAR(Summary!$E$24)),Summary!$E$25,1)*IF(G210="",0,INT((H210-MOD(H210-1,7)-G210)/7)+1-IF(BA210,IF(WEEKDAY(F210)=1,1,0),0))</f>
        <v>4</v>
      </c>
      <c r="BA210" s="807" t="n">
        <v>0</v>
      </c>
      <c r="BB210" s="807" t="n">
        <f aca="false">IF(AND($E210=MONTH(Summary!$E$24),$D210=YEAR(Summary!$E$24)),Summary!$E$25,1)*IF(G210="",0,H210-G210+1)</f>
        <v>29</v>
      </c>
      <c r="BC210" s="1089" t="n">
        <f aca="false">Summary!$E$19</f>
        <v>0.015</v>
      </c>
      <c r="BD210" s="1090" t="n">
        <v>14893.2</v>
      </c>
      <c r="BE210" s="1091" t="n">
        <v>2836.8</v>
      </c>
      <c r="BF210" s="1091" t="n">
        <v>2836.8</v>
      </c>
      <c r="BG210" s="842"/>
      <c r="BH210" s="1092" t="n">
        <v>1</v>
      </c>
      <c r="BI210" s="1092" t="n">
        <v>1</v>
      </c>
      <c r="BJ210" s="1092" t="n">
        <v>1</v>
      </c>
      <c r="BK210" s="1092" t="n">
        <v>1</v>
      </c>
      <c r="BL210" s="1093" t="n">
        <v>2978.64</v>
      </c>
      <c r="BM210" s="1091" t="n">
        <v>567.36</v>
      </c>
      <c r="BN210" s="1091" t="n">
        <v>567.36</v>
      </c>
      <c r="BO210" s="842"/>
      <c r="BP210" s="1092" t="n">
        <v>1</v>
      </c>
      <c r="BQ210" s="1094" t="n">
        <v>1</v>
      </c>
      <c r="BR210" s="1094" t="n">
        <v>1</v>
      </c>
      <c r="BS210" s="1095" t="n">
        <v>1</v>
      </c>
      <c r="BT210" s="1093" t="n">
        <f aca="false">SUM(BD210:BF210)</f>
        <v>20566.8</v>
      </c>
      <c r="BU210" s="1098" t="n">
        <f aca="false">SUM(BD210:BG210)</f>
        <v>20566.8</v>
      </c>
      <c r="BV210" s="1090" t="n">
        <f aca="false">SUM(BL210:BN210)</f>
        <v>4113.36</v>
      </c>
      <c r="BW210" s="1098" t="n">
        <f aca="false">SUM(BL210:BO210)</f>
        <v>4113.36</v>
      </c>
      <c r="BX210" s="852" t="n">
        <v>16.1314168377823</v>
      </c>
      <c r="BY210" s="1099" t="n">
        <v>0</v>
      </c>
      <c r="BZ210" s="852" t="n">
        <v>0</v>
      </c>
      <c r="CA210" s="852" t="n">
        <v>0</v>
      </c>
      <c r="CB210" s="852" t="n">
        <v>0</v>
      </c>
      <c r="CC210" s="852" t="n">
        <v>0</v>
      </c>
      <c r="CD210" s="852" t="n">
        <v>0</v>
      </c>
      <c r="CE210" s="1100" t="n">
        <v>0</v>
      </c>
      <c r="CF210" s="852" t="n">
        <v>0</v>
      </c>
      <c r="CG210" s="852" t="n">
        <v>0</v>
      </c>
      <c r="CH210" s="852" t="n">
        <v>0</v>
      </c>
      <c r="CI210" s="852" t="n">
        <v>0</v>
      </c>
      <c r="CJ210" s="1101" t="n">
        <v>0</v>
      </c>
      <c r="CK210" s="852" t="n">
        <v>0</v>
      </c>
      <c r="CL210" s="852" t="n">
        <v>0</v>
      </c>
      <c r="CM210" s="852" t="n">
        <v>0</v>
      </c>
      <c r="CN210" s="852" t="n">
        <v>0</v>
      </c>
      <c r="CO210" s="852" t="n">
        <v>0</v>
      </c>
      <c r="CP210" s="852" t="n">
        <v>0</v>
      </c>
      <c r="CQ210" s="1102" t="n">
        <v>0</v>
      </c>
      <c r="CR210" s="1103" t="n">
        <v>0</v>
      </c>
      <c r="CS210" s="1103" t="n">
        <v>0</v>
      </c>
      <c r="CT210" s="1103" t="n">
        <v>0</v>
      </c>
      <c r="CU210" s="1103" t="n">
        <v>0</v>
      </c>
      <c r="CV210" s="1103" t="n">
        <v>0</v>
      </c>
      <c r="CW210" s="1103" t="n">
        <v>0</v>
      </c>
      <c r="CX210" s="1104" t="n">
        <v>0</v>
      </c>
      <c r="CY210" s="1105" t="n">
        <v>7668.06192</v>
      </c>
      <c r="CZ210" s="1099" t="n">
        <v>0</v>
      </c>
      <c r="DA210" s="852" t="n">
        <v>0</v>
      </c>
      <c r="DB210" s="852" t="n">
        <v>0</v>
      </c>
      <c r="DC210" s="852" t="n">
        <v>0</v>
      </c>
      <c r="DD210" s="852" t="n">
        <v>0</v>
      </c>
      <c r="DE210" s="1113" t="n">
        <v>0</v>
      </c>
      <c r="DF210" s="1109" t="n">
        <v>0</v>
      </c>
      <c r="DG210" s="1110" t="n">
        <v>0</v>
      </c>
      <c r="DH210" s="1111" t="n">
        <v>0</v>
      </c>
      <c r="DI210" s="1112" t="n">
        <v>0</v>
      </c>
      <c r="DJ210" s="1112" t="n">
        <v>0</v>
      </c>
      <c r="DK210" s="1112" t="n">
        <v>0</v>
      </c>
      <c r="DL210" s="1113" t="n">
        <v>0</v>
      </c>
      <c r="DM210" s="1114" t="n">
        <v>0</v>
      </c>
      <c r="DN210" s="1114" t="n">
        <v>0</v>
      </c>
      <c r="DO210" s="1114" t="n">
        <v>0</v>
      </c>
      <c r="DP210" s="1114" t="n">
        <v>0</v>
      </c>
      <c r="DQ210" s="1114" t="n">
        <v>0</v>
      </c>
      <c r="DR210" s="1109" t="n">
        <v>0</v>
      </c>
      <c r="DS210" s="852" t="n">
        <v>0</v>
      </c>
      <c r="DT210" s="852" t="n">
        <v>0</v>
      </c>
      <c r="DU210" s="852" t="n">
        <v>0</v>
      </c>
      <c r="DV210" s="852" t="n">
        <v>0</v>
      </c>
      <c r="DW210" s="852" t="n">
        <v>0</v>
      </c>
      <c r="DX210" s="852" t="n">
        <v>0</v>
      </c>
      <c r="DY210" s="852" t="n">
        <v>0</v>
      </c>
      <c r="DZ210" s="852" t="n">
        <v>0</v>
      </c>
      <c r="EA210" s="852" t="n">
        <v>0</v>
      </c>
      <c r="EB210" s="1113" t="n">
        <v>0</v>
      </c>
      <c r="EC210" s="1115" t="n">
        <f aca="false">DS210*BD210</f>
        <v>0</v>
      </c>
      <c r="ED210" s="1115" t="n">
        <f aca="false">DT210*BE210</f>
        <v>0</v>
      </c>
      <c r="EE210" s="1115" t="n">
        <f aca="false">DU210*BF210</f>
        <v>0</v>
      </c>
      <c r="EF210" s="1115" t="n">
        <f aca="false">DV210*BG210</f>
        <v>0</v>
      </c>
      <c r="EG210" s="1115" t="n">
        <f aca="false">DS210*BD210+DT210*BE210+DU210*BF210+DV210*BG210</f>
        <v>0</v>
      </c>
      <c r="EH210" s="1116" t="n">
        <v>0</v>
      </c>
      <c r="EI210" s="1117" t="n">
        <v>0</v>
      </c>
      <c r="EJ210" s="1117" t="n">
        <v>0</v>
      </c>
      <c r="EK210" s="1117" t="n">
        <v>0</v>
      </c>
      <c r="EL210" s="1118" t="n">
        <f aca="false">IF(C210&gt;=Summary!$E$26,MAX(0,SUM(EH210:EK210)),0)</f>
        <v>0</v>
      </c>
      <c r="EM210" s="1115" t="n">
        <f aca="false">IF(C210&gt;=Summary!$E$26,DX210*BL210,0)</f>
        <v>0</v>
      </c>
      <c r="EN210" s="1115" t="n">
        <f aca="false">IF(C210&gt;=Summary!$E$26,DY210*BM210,0)</f>
        <v>0</v>
      </c>
      <c r="EO210" s="1115" t="n">
        <f aca="false">IF(C210&gt;=Summary!$E$26,DZ210*BN210,0)</f>
        <v>0</v>
      </c>
      <c r="EP210" s="1115" t="n">
        <f aca="false">IF(C210&gt;=Summary!$E$26,EA210*BO210,0)</f>
        <v>0</v>
      </c>
      <c r="EQ210" s="1115" t="n">
        <f aca="false">IF(C210&gt;=Summary!$E$26,DX210*BL210+DY210*BM210+DZ210*BN210+EA210*BO210,0)</f>
        <v>0</v>
      </c>
      <c r="ER210" s="1119" t="n">
        <v>0</v>
      </c>
      <c r="ES210" s="1120" t="n">
        <v>0</v>
      </c>
      <c r="ET210" s="1120" t="n">
        <v>0</v>
      </c>
      <c r="EU210" s="1120" t="n">
        <v>0</v>
      </c>
      <c r="EV210" s="1143" t="n">
        <f aca="false">IF(C210&gt;=Summary!$E$26,MAX(0,SUM(ER210:EU210)),0)</f>
        <v>0</v>
      </c>
      <c r="EW210" s="1115"/>
      <c r="EX210" s="1165" t="n">
        <f aca="false">(EQ210-EV210)+IF(EZ210="Yes",(EG210-EL210),0)</f>
        <v>0</v>
      </c>
      <c r="EY210" s="1166" t="str">
        <f aca="false">IF(EX210,EX210/EQ210,"")</f>
        <v/>
      </c>
      <c r="EZ210" s="1122" t="s">
        <v>37</v>
      </c>
      <c r="FA210" s="1096" t="n">
        <f aca="false">FA209</f>
        <v>45</v>
      </c>
      <c r="FB210" s="1167" t="n">
        <f aca="false">IF(EZ210="No",IF((OR(MONTH(C210)=5,MONTH(C210)=6,MONTH(C210)=7,MONTH(C210)=8,MONTH(C210)=9)),$FA210*12*AX210*(1-$BC210),$FA210*10*AX210*(1-$BC210)),0)</f>
        <v>9308.25</v>
      </c>
      <c r="FC210" s="1129" t="n">
        <f aca="false">IF(EZ210="No",IF((OR(MONTH(C210)=5,MONTH(C210)=6,MONTH(C210)=7,MONTH(C210)=8,MONTH(C210)=9)),0,$FA210*3*AX210*(1-$BC210)),0)</f>
        <v>2792.475</v>
      </c>
      <c r="FD210" s="1129" t="n">
        <f aca="false">IF(EZ210="No",IF((OR(MONTH(C210)=5,MONTH(C210)=6,MONTH(C210)=7,MONTH(C210)=8,MONTH(C210)=9)),$FA210*12*AY210*(1-$BC210),$FA210*10*AY210*(1-$BC210)),0)</f>
        <v>1773</v>
      </c>
      <c r="FE210" s="1129" t="n">
        <f aca="false">IF(EZ210="No",IF((OR(MONTH(C210)=5,MONTH(C210)=6,MONTH(C210)=7,MONTH(C210)=8,MONTH(C210)=9)),0,$FA210*3*AY210*(1-$BC210)),0)</f>
        <v>531.9</v>
      </c>
      <c r="FF210" s="1129" t="n">
        <f aca="false">IF(EZ210="No",IF((OR(MONTH(C210)=5,MONTH(C210)=6,MONTH(C210)=7,MONTH(C210)=8,MONTH(C210)=9)),$FA210*12*(AZ210+BA210)*(1-$BC210),$FA210*10*(AZ210+BA210)*(1-$BC210)),0)</f>
        <v>1773</v>
      </c>
      <c r="FG210" s="1129" t="n">
        <f aca="false">IF(EZ210="No",IF((OR(MONTH(C210)=5,MONTH(C210)=6,MONTH(C210)=7,MONTH(C210)=8,MONTH(C210)=9)),0,$FA210*3*(AZ210+BA210)*(1-$BC210)),0)</f>
        <v>531.9</v>
      </c>
      <c r="FH210" s="1170" t="n">
        <f aca="false">IF(EZ210="No",IF((OR(MONTH(C210)=5,MONTH(C210)=6,MONTH(C210)=7,MONTH(C210)=8,MONTH(C210)=9)),Summary!$O$15*12*(AX210+AY210+AZ210+BA210)*(1-$BC210),Summary!$O$15*13*(AX210+AY210+AZ210+BA210)*(1-$BC210)+IF(Summary!$O$16="Yes",(CALC!FA210+Summary!$O$15)*6*(AX210+AY210+AZ210+BA210)*(1-$BC210),0)),0)</f>
        <v>0</v>
      </c>
      <c r="FI210" s="1126" t="n">
        <f aca="false">IF(MONTH(C210)=5,FI209*(IF(Summary!$E$70="no",(1+(Summary!$E$71*0.8)),1+HLOOKUP(YEAR(C210)-1,CCFMODEL!$I$127:$AF$128,2)*0.8)),+FI209)</f>
        <v>38.8797064863349</v>
      </c>
      <c r="FJ210" s="1127" t="n">
        <f aca="false">IF(MONTH(C210)=5,FJ209*(IF(Summary!$E$70="no",(1+(Summary!$E$71*0.8)),1+HLOOKUP(YEAR(CALC!C210)-1,CCFMODEL!$I$127:$AF$128,2)*0.8)),FJ209)</f>
        <v>33.981475747899</v>
      </c>
      <c r="FK210" s="1128" t="n">
        <f aca="false">SUM(FB210:FG210)*FI210+FH210*FJ210</f>
        <v>649700.307232562</v>
      </c>
      <c r="FL210" s="1126" t="n">
        <f aca="false">IF(MONTH(C210)=5,FL209*(IF(Summary!$E$70="no",(1+(Summary!$E$71*0.8)),1+HLOOKUP(YEAR(CALC!C210)-1,CCFMODEL!$I$127:$AF$128,2)*0.8)),+FL209)</f>
        <v>81.7683815829968</v>
      </c>
      <c r="FM210" s="1127" t="n">
        <f aca="false">IF(MONTH(C210)=5,FM209*(IF(Summary!$E$70="no",(1+(Summary!$E$71*0.8)),1+HLOOKUP(YEAR(CALC!C210)-1,CCFMODEL!$I$127:$AF$128,2)*0.8)),+FM209)</f>
        <v>39.0254871630741</v>
      </c>
      <c r="FN210" s="1128" t="n">
        <f aca="false">IF((OR(MONTH(C210)=5,MONTH(C210)=6,MONTH(C210)=7,MONTH(C210)=8,MONTH(C210)=9)),SUM(FB210:FG210)/(1-BC210)*FL210,SUM(FB210:FG210)/(1-BC210)*FM210)</f>
        <v>662067.389721552</v>
      </c>
      <c r="FO210" s="1129" t="n">
        <f aca="false">FK210+FN210</f>
        <v>1311767.69695411</v>
      </c>
      <c r="FP210" s="1169" t="n">
        <f aca="false">FB210</f>
        <v>9308.25</v>
      </c>
      <c r="FQ210" s="1129" t="n">
        <f aca="false">FC210</f>
        <v>2792.475</v>
      </c>
      <c r="FR210" s="1129" t="n">
        <f aca="false">FD210</f>
        <v>1773</v>
      </c>
      <c r="FS210" s="1129" t="n">
        <f aca="false">FE210</f>
        <v>531.9</v>
      </c>
      <c r="FT210" s="1129" t="n">
        <f aca="false">FF210</f>
        <v>1773</v>
      </c>
      <c r="FU210" s="1129" t="n">
        <f aca="false">FG210</f>
        <v>531.9</v>
      </c>
      <c r="FV210" s="1170" t="n">
        <f aca="false">FH210</f>
        <v>0</v>
      </c>
      <c r="FW210" s="1115" t="n">
        <f aca="false">IF(ER210&gt;0,MIN(FB210-FP210,BL210),0)</f>
        <v>0</v>
      </c>
      <c r="FX210" s="1115" t="n">
        <f aca="false">IF(ES210&gt;0,MIN(FD210-FR210,BM210),0)</f>
        <v>0</v>
      </c>
      <c r="FY210" s="1115" t="n">
        <f aca="false">IF(ET210&gt;0,MIN(FF210-FT210,BN210),0)</f>
        <v>0</v>
      </c>
      <c r="FZ210" s="1143" t="n">
        <f aca="false">IF(EU210&gt;0,MIN(FH210-FV210,BO210),0)</f>
        <v>0</v>
      </c>
      <c r="GA210" s="1132" t="n">
        <f aca="false">(SUM(FP210:FV210)+SUM(GU210:HB210)/(1-Summary!$O$25))*CY210/1000</f>
        <v>218819.150556055</v>
      </c>
      <c r="GB210" s="1133" t="n">
        <f aca="false">IF($C210&lt;Summary!$M$81,+Summary!$O$81,VLOOKUP(C210,GasTable,19))</f>
        <v>3.68420078223133</v>
      </c>
      <c r="GC210" s="1134" t="n">
        <f aca="false">IF(H210&lt;=Summary!$N$84,MIN(GA210,Summary!$O$75*(H210-G210+1)),0)</f>
        <v>0</v>
      </c>
      <c r="GD210" s="1135" t="n">
        <f aca="false">IF(C210&lt;Summary!$N$84,IF(Summary!$O$75*(H210-G210+1)*0.8&gt;GC210,1,0),0)</f>
        <v>0</v>
      </c>
      <c r="GE210" s="1136" t="n">
        <v>0</v>
      </c>
      <c r="GF210" s="1134" t="n">
        <f aca="false">ABS(MIN(0,GC210-$GA210))</f>
        <v>218819.150556055</v>
      </c>
      <c r="GG210" s="1135" t="n">
        <f aca="false">GF210*(IF(Summary!$O$74=1,VLOOKUP($C210,GasTable,16)+Summary!$O$92+Summary!$O$93,VLOOKUP($C210,GasTable,19)+Summary!$O$92+Summary!$O$93))</f>
        <v>817574.163389784</v>
      </c>
      <c r="GH210" s="1137" t="n">
        <v>5342.09113423543</v>
      </c>
      <c r="GI210" s="1138" t="n">
        <v>0</v>
      </c>
      <c r="GJ210" s="1139" t="n">
        <f aca="false">+GB210*GC210+GE210+GG210+GH210-GI210</f>
        <v>822916.254524019</v>
      </c>
      <c r="GK210" s="1115" t="n">
        <f aca="false">SUM(FP210:FV210,GU210:GX210,GY210:HB210)</f>
        <v>28122.52815</v>
      </c>
      <c r="GL210" s="1140" t="n">
        <v>0.51376014864</v>
      </c>
      <c r="GM210" s="1141" t="n">
        <f aca="false">IF(GK210&gt;GC210/(CY210/1000),GC210/(CY210/1000),+GK210)*GL210</f>
        <v>0</v>
      </c>
      <c r="GN210" s="1115" t="n">
        <f aca="false">IF(SUM(GU210:HB210)=0,0,IF(Summary!$O$16="Yes",SUM(GX210:HB210),IF(Summary!$O$17="Yes",SUM(GY210:HB210),SUM(GU210:HB210))))</f>
        <v>11412.00315</v>
      </c>
      <c r="GO210" s="1142" t="n">
        <v>3.81843996798547</v>
      </c>
      <c r="GP210" s="1143" t="n">
        <f aca="false">GN210*GO210</f>
        <v>43576.0489427361</v>
      </c>
      <c r="GQ210" s="1115"/>
      <c r="GR210" s="1115"/>
      <c r="GS210" s="1115"/>
      <c r="GT210" s="1115"/>
      <c r="GU210" s="1150" t="n">
        <v>5389.47675</v>
      </c>
      <c r="GV210" s="1115" t="n">
        <v>1026.567</v>
      </c>
      <c r="GW210" s="1115" t="n">
        <v>1026.567</v>
      </c>
      <c r="GX210" s="1115"/>
      <c r="GY210" s="1151" t="n">
        <v>2874.3876</v>
      </c>
      <c r="GZ210" s="1115" t="n">
        <v>547.5024</v>
      </c>
      <c r="HA210" s="1115" t="n">
        <v>547.5024</v>
      </c>
      <c r="HB210" s="1141"/>
      <c r="HC210" s="1115" t="n">
        <v>11412.00315</v>
      </c>
      <c r="HD210" s="1115"/>
      <c r="HE210" s="1115" t="n">
        <v>19598.874975</v>
      </c>
      <c r="HF210" s="1115" t="n">
        <v>482291.920014489</v>
      </c>
      <c r="HG210" s="1115"/>
      <c r="HH210" s="1142" t="n">
        <v>41.9462881177629</v>
      </c>
      <c r="HI210" s="1115" t="n">
        <v>822100.056485363</v>
      </c>
      <c r="HJ210" s="1150" t="n">
        <f aca="false">MAX(FB210-FP210-FW210,0)</f>
        <v>0</v>
      </c>
      <c r="HK210" s="1115" t="n">
        <f aca="false">MAX(FD210-FR210-FX210,0)</f>
        <v>0</v>
      </c>
      <c r="HL210" s="1115" t="n">
        <f aca="false">MAX(FF210-FT210-FY210,0)</f>
        <v>0</v>
      </c>
      <c r="HM210" s="1141" t="n">
        <f aca="false">MAX(FH210-FV210-FZ210,0)</f>
        <v>0</v>
      </c>
      <c r="HN210" s="1115" t="n">
        <f aca="false">SUM(HJ210:HM210)</f>
        <v>0</v>
      </c>
      <c r="HO210" s="1142" t="n">
        <f aca="false">IF(ISERROR(+HP210/HN210),0,+HP210/HN210)</f>
        <v>0</v>
      </c>
      <c r="HP210" s="1143" t="n">
        <f aca="false">(HJ210*CE210+HK210*CF210+HL210*CG210+HM210*CH210)</f>
        <v>0</v>
      </c>
      <c r="HQ210" s="1146"/>
      <c r="HR210" s="1150"/>
      <c r="HS210" s="1200"/>
      <c r="HT210" s="1141"/>
      <c r="HU210" s="1150"/>
      <c r="HV210" s="1200"/>
      <c r="HW210" s="1141"/>
      <c r="HX210" s="1200"/>
      <c r="HY210" s="1200"/>
      <c r="HZ210" s="0"/>
      <c r="IA210" s="1142"/>
      <c r="IB210" s="1142"/>
      <c r="IC210" s="1142"/>
      <c r="ID210" s="1142"/>
      <c r="IE210" s="1142"/>
      <c r="IF210" s="1142"/>
      <c r="IG210" s="1142"/>
      <c r="IH210" s="1142"/>
      <c r="II210" s="1142"/>
      <c r="IJ210" s="1142"/>
      <c r="IK210" s="1142"/>
      <c r="IL210" s="1190"/>
      <c r="IM210" s="222"/>
      <c r="IN210" s="222"/>
      <c r="IR210" s="844"/>
    </row>
    <row r="211" customFormat="false" ht="13.5" hidden="false" customHeight="false" outlineLevel="0" collapsed="false">
      <c r="A211" s="0" t="str">
        <f aca="false">+D211&amp;"Q"&amp;ROUNDUP(E211/3,0)</f>
        <v>2016Q1</v>
      </c>
      <c r="B211" s="0" t="n">
        <f aca="false">YEAR(C211)</f>
        <v>2016</v>
      </c>
      <c r="C211" s="1153" t="n">
        <f aca="false">EOMONTH(C210,0)+1</f>
        <v>42430</v>
      </c>
      <c r="D211" s="841" t="n">
        <f aca="false">+YEAR(C211)</f>
        <v>2016</v>
      </c>
      <c r="E211" s="807" t="n">
        <f aca="false">MONTH(C211)</f>
        <v>3</v>
      </c>
      <c r="F211" s="1154" t="e">
        <f aca="false">IF(G211="","",Holiday(D211,E211))</f>
        <v>#VALUE!</v>
      </c>
      <c r="G211" s="1155" t="n">
        <v>42430</v>
      </c>
      <c r="H211" s="1156" t="n">
        <v>42460</v>
      </c>
      <c r="I211" s="1157" t="n">
        <f aca="false">I210</f>
        <v>0.0715</v>
      </c>
      <c r="J211" s="1158" t="n">
        <f aca="false">(1+I211/2)^(-2*(DATE(D212,E212,20)-$H$7)/365.25)</f>
        <v>0.317127099338183</v>
      </c>
      <c r="K211" s="1159"/>
      <c r="L211" s="1158"/>
      <c r="M211" s="1082" t="n">
        <v>0</v>
      </c>
      <c r="N211" s="1110" t="n">
        <f aca="false">M211</f>
        <v>0</v>
      </c>
      <c r="O211" s="1174" t="n">
        <f aca="false">N211</f>
        <v>0</v>
      </c>
      <c r="P211" s="1175" t="n">
        <f aca="false">M211</f>
        <v>0</v>
      </c>
      <c r="Q211" s="1110" t="n">
        <f aca="false">P211</f>
        <v>0</v>
      </c>
      <c r="R211" s="1174" t="n">
        <f aca="false">Q211</f>
        <v>0</v>
      </c>
      <c r="S211" s="1110" t="n">
        <f aca="false">R211</f>
        <v>0</v>
      </c>
      <c r="T211" s="1110" t="n">
        <f aca="false">S211</f>
        <v>0</v>
      </c>
      <c r="U211" s="1110" t="n">
        <f aca="false">T211</f>
        <v>0</v>
      </c>
      <c r="V211" s="1175" t="n">
        <f aca="false">U211</f>
        <v>0</v>
      </c>
      <c r="W211" s="1110" t="n">
        <f aca="false">V211</f>
        <v>0</v>
      </c>
      <c r="X211" s="1176" t="n">
        <f aca="false">W211</f>
        <v>0</v>
      </c>
      <c r="Y211" s="1086" t="n">
        <v>0</v>
      </c>
      <c r="Z211" s="1086" t="n">
        <v>0</v>
      </c>
      <c r="AA211" s="1087" t="n">
        <v>0</v>
      </c>
      <c r="AB211" s="1086" t="n">
        <v>0</v>
      </c>
      <c r="AC211" s="1086" t="n">
        <v>0</v>
      </c>
      <c r="AD211" s="1087" t="n">
        <v>0</v>
      </c>
      <c r="AE211" s="1086" t="n">
        <v>0</v>
      </c>
      <c r="AF211" s="1086" t="n">
        <v>0</v>
      </c>
      <c r="AG211" s="1087" t="n">
        <v>0</v>
      </c>
      <c r="AH211" s="1086" t="n">
        <v>0</v>
      </c>
      <c r="AI211" s="1086" t="n">
        <v>0</v>
      </c>
      <c r="AJ211" s="1087" t="n">
        <v>0</v>
      </c>
      <c r="AK211" s="1086" t="n">
        <v>0</v>
      </c>
      <c r="AL211" s="1086" t="n">
        <v>0</v>
      </c>
      <c r="AM211" s="1087" t="n">
        <v>0</v>
      </c>
      <c r="AN211" s="1086" t="n">
        <v>0</v>
      </c>
      <c r="AO211" s="1086" t="n">
        <v>0</v>
      </c>
      <c r="AP211" s="1087" t="n">
        <v>0</v>
      </c>
      <c r="AQ211" s="1086" t="n">
        <v>0</v>
      </c>
      <c r="AR211" s="1086" t="n">
        <v>0</v>
      </c>
      <c r="AS211" s="1087" t="n">
        <v>0</v>
      </c>
      <c r="AT211" s="1086" t="n">
        <v>0</v>
      </c>
      <c r="AU211" s="1086" t="n">
        <v>0</v>
      </c>
      <c r="AV211" s="1086" t="n">
        <v>0</v>
      </c>
      <c r="AW211" s="1172" t="n">
        <v>0</v>
      </c>
      <c r="AX211" s="807" t="n">
        <f aca="false">BB211-SUM(AY211:BA211)</f>
        <v>23</v>
      </c>
      <c r="AY211" s="807" t="n">
        <f aca="false">IF(AND($E211=MONTH(Summary!$E$24),$D211=YEAR(Summary!$E$24)),Summary!$E$25,1)*IF(G211="",0,INT((H211-MOD(H211,7)-G211)/7)+1-IF(BA211,IF(WEEKDAY(F211)=7,1,0),0))</f>
        <v>4</v>
      </c>
      <c r="AZ211" s="807" t="n">
        <f aca="false">IF(AND($E211=MONTH(Summary!$E$24),$D211=YEAR(Summary!$E$24)),Summary!$E$25,1)*IF(G211="",0,INT((H211-MOD(H211-1,7)-G211)/7)+1-IF(BA211,IF(WEEKDAY(F211)=1,1,0),0))</f>
        <v>4</v>
      </c>
      <c r="BA211" s="807" t="n">
        <v>0</v>
      </c>
      <c r="BB211" s="807" t="n">
        <f aca="false">IF(AND($E211=MONTH(Summary!$E$24),$D211=YEAR(Summary!$E$24)),Summary!$E$25,1)*IF(G211="",0,H211-G211+1)</f>
        <v>31</v>
      </c>
      <c r="BC211" s="1089" t="n">
        <f aca="false">Summary!$E$19</f>
        <v>0.015</v>
      </c>
      <c r="BD211" s="1090" t="n">
        <v>16311.6</v>
      </c>
      <c r="BE211" s="1091" t="n">
        <v>2836.8</v>
      </c>
      <c r="BF211" s="1091" t="n">
        <v>2836.8</v>
      </c>
      <c r="BG211" s="842"/>
      <c r="BH211" s="1092" t="n">
        <v>1</v>
      </c>
      <c r="BI211" s="1092" t="n">
        <v>1</v>
      </c>
      <c r="BJ211" s="1092" t="n">
        <v>1</v>
      </c>
      <c r="BK211" s="1092" t="n">
        <v>1</v>
      </c>
      <c r="BL211" s="1093" t="n">
        <v>3262.32</v>
      </c>
      <c r="BM211" s="1091" t="n">
        <v>567.36</v>
      </c>
      <c r="BN211" s="1091" t="n">
        <v>567.36</v>
      </c>
      <c r="BO211" s="842"/>
      <c r="BP211" s="1092" t="n">
        <v>1</v>
      </c>
      <c r="BQ211" s="1094" t="n">
        <v>1</v>
      </c>
      <c r="BR211" s="1094" t="n">
        <v>1</v>
      </c>
      <c r="BS211" s="1095" t="n">
        <v>1</v>
      </c>
      <c r="BT211" s="1093" t="n">
        <f aca="false">SUM(BD211:BF211)</f>
        <v>21985.2</v>
      </c>
      <c r="BU211" s="1098" t="n">
        <f aca="false">SUM(BD211:BG211)</f>
        <v>21985.2</v>
      </c>
      <c r="BV211" s="1090" t="n">
        <f aca="false">SUM(BL211:BN211)</f>
        <v>4397.04</v>
      </c>
      <c r="BW211" s="1098" t="n">
        <f aca="false">SUM(BL211:BO211)</f>
        <v>4397.04</v>
      </c>
      <c r="BX211" s="852" t="n">
        <v>16.2108145106092</v>
      </c>
      <c r="BY211" s="1099" t="n">
        <v>0</v>
      </c>
      <c r="BZ211" s="852" t="n">
        <v>0</v>
      </c>
      <c r="CA211" s="852" t="n">
        <v>0</v>
      </c>
      <c r="CB211" s="852" t="n">
        <v>0</v>
      </c>
      <c r="CC211" s="852" t="n">
        <v>0</v>
      </c>
      <c r="CD211" s="852" t="n">
        <v>0</v>
      </c>
      <c r="CE211" s="1100" t="n">
        <v>0</v>
      </c>
      <c r="CF211" s="852" t="n">
        <v>0</v>
      </c>
      <c r="CG211" s="852" t="n">
        <v>0</v>
      </c>
      <c r="CH211" s="852" t="n">
        <v>0</v>
      </c>
      <c r="CI211" s="852" t="n">
        <v>0</v>
      </c>
      <c r="CJ211" s="1101" t="n">
        <v>0</v>
      </c>
      <c r="CK211" s="852" t="n">
        <v>0</v>
      </c>
      <c r="CL211" s="852" t="n">
        <v>0</v>
      </c>
      <c r="CM211" s="852" t="n">
        <v>0</v>
      </c>
      <c r="CN211" s="852" t="n">
        <v>0</v>
      </c>
      <c r="CO211" s="852" t="n">
        <v>0</v>
      </c>
      <c r="CP211" s="852" t="n">
        <v>0</v>
      </c>
      <c r="CQ211" s="1102" t="n">
        <v>0</v>
      </c>
      <c r="CR211" s="1103" t="n">
        <v>0</v>
      </c>
      <c r="CS211" s="1103" t="n">
        <v>0</v>
      </c>
      <c r="CT211" s="1103" t="n">
        <v>0</v>
      </c>
      <c r="CU211" s="1103" t="n">
        <v>0</v>
      </c>
      <c r="CV211" s="1103" t="n">
        <v>0</v>
      </c>
      <c r="CW211" s="1103" t="n">
        <v>0</v>
      </c>
      <c r="CX211" s="1104" t="n">
        <v>0</v>
      </c>
      <c r="CY211" s="1105" t="n">
        <v>7670.09288</v>
      </c>
      <c r="CZ211" s="1099" t="n">
        <v>0</v>
      </c>
      <c r="DA211" s="852" t="n">
        <v>0</v>
      </c>
      <c r="DB211" s="852" t="n">
        <v>0</v>
      </c>
      <c r="DC211" s="852" t="n">
        <v>0</v>
      </c>
      <c r="DD211" s="852" t="n">
        <v>0</v>
      </c>
      <c r="DE211" s="1113" t="n">
        <v>0</v>
      </c>
      <c r="DF211" s="1109" t="n">
        <v>0</v>
      </c>
      <c r="DG211" s="1110" t="n">
        <v>0</v>
      </c>
      <c r="DH211" s="1111" t="n">
        <v>0</v>
      </c>
      <c r="DI211" s="1112" t="n">
        <v>0</v>
      </c>
      <c r="DJ211" s="1112" t="n">
        <v>0</v>
      </c>
      <c r="DK211" s="1112" t="n">
        <v>0</v>
      </c>
      <c r="DL211" s="1113" t="n">
        <v>0</v>
      </c>
      <c r="DM211" s="1114" t="n">
        <v>0</v>
      </c>
      <c r="DN211" s="1114" t="n">
        <v>0</v>
      </c>
      <c r="DO211" s="1114" t="n">
        <v>0</v>
      </c>
      <c r="DP211" s="1114" t="n">
        <v>0</v>
      </c>
      <c r="DQ211" s="1114" t="n">
        <v>0</v>
      </c>
      <c r="DR211" s="1109" t="n">
        <v>0</v>
      </c>
      <c r="DS211" s="852" t="n">
        <v>0</v>
      </c>
      <c r="DT211" s="852" t="n">
        <v>0</v>
      </c>
      <c r="DU211" s="852" t="n">
        <v>0</v>
      </c>
      <c r="DV211" s="852" t="n">
        <v>0</v>
      </c>
      <c r="DW211" s="852" t="n">
        <v>0</v>
      </c>
      <c r="DX211" s="852" t="n">
        <v>0</v>
      </c>
      <c r="DY211" s="852" t="n">
        <v>0</v>
      </c>
      <c r="DZ211" s="852" t="n">
        <v>0</v>
      </c>
      <c r="EA211" s="852" t="n">
        <v>0</v>
      </c>
      <c r="EB211" s="1113" t="n">
        <v>0</v>
      </c>
      <c r="EC211" s="1115" t="n">
        <f aca="false">DS211*BD211</f>
        <v>0</v>
      </c>
      <c r="ED211" s="1115" t="n">
        <f aca="false">DT211*BE211</f>
        <v>0</v>
      </c>
      <c r="EE211" s="1115" t="n">
        <f aca="false">DU211*BF211</f>
        <v>0</v>
      </c>
      <c r="EF211" s="1115" t="n">
        <f aca="false">DV211*BG211</f>
        <v>0</v>
      </c>
      <c r="EG211" s="1115" t="n">
        <f aca="false">DS211*BD211+DT211*BE211+DU211*BF211+DV211*BG211</f>
        <v>0</v>
      </c>
      <c r="EH211" s="1116" t="n">
        <v>0</v>
      </c>
      <c r="EI211" s="1117" t="n">
        <v>0</v>
      </c>
      <c r="EJ211" s="1117" t="n">
        <v>0</v>
      </c>
      <c r="EK211" s="1117" t="n">
        <v>0</v>
      </c>
      <c r="EL211" s="1118" t="n">
        <f aca="false">IF(C211&gt;=Summary!$E$26,MAX(0,SUM(EH211:EK211)),0)</f>
        <v>0</v>
      </c>
      <c r="EM211" s="1115" t="n">
        <f aca="false">IF(C211&gt;=Summary!$E$26,DX211*BL211,0)</f>
        <v>0</v>
      </c>
      <c r="EN211" s="1115" t="n">
        <f aca="false">IF(C211&gt;=Summary!$E$26,DY211*BM211,0)</f>
        <v>0</v>
      </c>
      <c r="EO211" s="1115" t="n">
        <f aca="false">IF(C211&gt;=Summary!$E$26,DZ211*BN211,0)</f>
        <v>0</v>
      </c>
      <c r="EP211" s="1115" t="n">
        <f aca="false">IF(C211&gt;=Summary!$E$26,EA211*BO211,0)</f>
        <v>0</v>
      </c>
      <c r="EQ211" s="1115" t="n">
        <f aca="false">IF(C211&gt;=Summary!$E$26,DX211*BL211+DY211*BM211+DZ211*BN211+EA211*BO211,0)</f>
        <v>0</v>
      </c>
      <c r="ER211" s="1119" t="n">
        <v>0</v>
      </c>
      <c r="ES211" s="1120" t="n">
        <v>0</v>
      </c>
      <c r="ET211" s="1120" t="n">
        <v>0</v>
      </c>
      <c r="EU211" s="1120" t="n">
        <v>0</v>
      </c>
      <c r="EV211" s="1143" t="n">
        <f aca="false">IF(C211&gt;=Summary!$E$26,MAX(0,SUM(ER211:EU211)),0)</f>
        <v>0</v>
      </c>
      <c r="EW211" s="1115"/>
      <c r="EX211" s="1165" t="n">
        <f aca="false">(EQ211-EV211)+IF(EZ211="Yes",(EG211-EL211),0)</f>
        <v>0</v>
      </c>
      <c r="EY211" s="1166" t="str">
        <f aca="false">IF(EX211,EX211/EQ211,"")</f>
        <v/>
      </c>
      <c r="EZ211" s="1122" t="s">
        <v>37</v>
      </c>
      <c r="FA211" s="1096" t="n">
        <f aca="false">FA210</f>
        <v>45</v>
      </c>
      <c r="FB211" s="1167" t="n">
        <f aca="false">IF(EZ211="No",IF((OR(MONTH(C211)=5,MONTH(C211)=6,MONTH(C211)=7,MONTH(C211)=8,MONTH(C211)=9)),$FA211*12*AX211*(1-$BC211),$FA211*10*AX211*(1-$BC211)),0)</f>
        <v>10194.75</v>
      </c>
      <c r="FC211" s="1129" t="n">
        <f aca="false">IF(EZ211="No",IF((OR(MONTH(C211)=5,MONTH(C211)=6,MONTH(C211)=7,MONTH(C211)=8,MONTH(C211)=9)),0,$FA211*3*AX211*(1-$BC211)),0)</f>
        <v>3058.425</v>
      </c>
      <c r="FD211" s="1129" t="n">
        <f aca="false">IF(EZ211="No",IF((OR(MONTH(C211)=5,MONTH(C211)=6,MONTH(C211)=7,MONTH(C211)=8,MONTH(C211)=9)),$FA211*12*AY211*(1-$BC211),$FA211*10*AY211*(1-$BC211)),0)</f>
        <v>1773</v>
      </c>
      <c r="FE211" s="1129" t="n">
        <f aca="false">IF(EZ211="No",IF((OR(MONTH(C211)=5,MONTH(C211)=6,MONTH(C211)=7,MONTH(C211)=8,MONTH(C211)=9)),0,$FA211*3*AY211*(1-$BC211)),0)</f>
        <v>531.9</v>
      </c>
      <c r="FF211" s="1129" t="n">
        <f aca="false">IF(EZ211="No",IF((OR(MONTH(C211)=5,MONTH(C211)=6,MONTH(C211)=7,MONTH(C211)=8,MONTH(C211)=9)),$FA211*12*(AZ211+BA211)*(1-$BC211),$FA211*10*(AZ211+BA211)*(1-$BC211)),0)</f>
        <v>1773</v>
      </c>
      <c r="FG211" s="1129" t="n">
        <f aca="false">IF(EZ211="No",IF((OR(MONTH(C211)=5,MONTH(C211)=6,MONTH(C211)=7,MONTH(C211)=8,MONTH(C211)=9)),0,$FA211*3*(AZ211+BA211)*(1-$BC211)),0)</f>
        <v>531.9</v>
      </c>
      <c r="FH211" s="1170" t="n">
        <f aca="false">IF(EZ211="No",IF((OR(MONTH(C211)=5,MONTH(C211)=6,MONTH(C211)=7,MONTH(C211)=8,MONTH(C211)=9)),Summary!$O$15*12*(AX211+AY211+AZ211+BA211)*(1-$BC211),Summary!$O$15*13*(AX211+AY211+AZ211+BA211)*(1-$BC211)+IF(Summary!$O$16="Yes",(CALC!FA211+Summary!$O$15)*6*(AX211+AY211+AZ211+BA211)*(1-$BC211),0)),0)</f>
        <v>0</v>
      </c>
      <c r="FI211" s="1126" t="n">
        <f aca="false">IF(MONTH(C211)=5,FI210*(IF(Summary!$E$70="no",(1+(Summary!$E$71*0.8)),1+HLOOKUP(YEAR(C211)-1,CCFMODEL!$I$127:$AF$128,2)*0.8)),+FI210)</f>
        <v>38.8797064863349</v>
      </c>
      <c r="FJ211" s="1127" t="n">
        <f aca="false">IF(MONTH(C211)=5,FJ210*(IF(Summary!$E$70="no",(1+(Summary!$E$71*0.8)),1+HLOOKUP(YEAR(CALC!C211)-1,CCFMODEL!$I$127:$AF$128,2)*0.8)),FJ210)</f>
        <v>33.981475747899</v>
      </c>
      <c r="FK211" s="1128" t="n">
        <f aca="false">SUM(FB211:FG211)*FI211+FH211*FJ211</f>
        <v>694507.224972739</v>
      </c>
      <c r="FL211" s="1126" t="n">
        <f aca="false">IF(MONTH(C211)=5,FL210*(IF(Summary!$E$70="no",(1+(Summary!$E$71*0.8)),1+HLOOKUP(YEAR(CALC!C211)-1,CCFMODEL!$I$127:$AF$128,2)*0.8)),+FL210)</f>
        <v>81.7683815829968</v>
      </c>
      <c r="FM211" s="1127" t="n">
        <f aca="false">IF(MONTH(C211)=5,FM210*(IF(Summary!$E$70="no",(1+(Summary!$E$71*0.8)),1+HLOOKUP(YEAR(CALC!C211)-1,CCFMODEL!$I$127:$AF$128,2)*0.8)),+FM210)</f>
        <v>39.0254871630741</v>
      </c>
      <c r="FN211" s="1128" t="n">
        <f aca="false">IF((OR(MONTH(C211)=5,MONTH(C211)=6,MONTH(C211)=7,MONTH(C211)=8,MONTH(C211)=9)),SUM(FB211:FG211)/(1-BC211)*FL211,SUM(FB211:FG211)/(1-BC211)*FM211)</f>
        <v>707727.209702349</v>
      </c>
      <c r="FO211" s="1129" t="n">
        <f aca="false">FK211+FN211</f>
        <v>1402234.43467509</v>
      </c>
      <c r="FP211" s="1169" t="n">
        <f aca="false">FB211</f>
        <v>10194.75</v>
      </c>
      <c r="FQ211" s="1129" t="n">
        <f aca="false">FC211</f>
        <v>3058.425</v>
      </c>
      <c r="FR211" s="1129" t="n">
        <f aca="false">FD211</f>
        <v>1773</v>
      </c>
      <c r="FS211" s="1129" t="n">
        <f aca="false">FE211</f>
        <v>531.9</v>
      </c>
      <c r="FT211" s="1129" t="n">
        <f aca="false">FF211</f>
        <v>1773</v>
      </c>
      <c r="FU211" s="1129" t="n">
        <f aca="false">FG211</f>
        <v>531.9</v>
      </c>
      <c r="FV211" s="1170" t="n">
        <f aca="false">FH211</f>
        <v>0</v>
      </c>
      <c r="FW211" s="1115" t="n">
        <f aca="false">IF(ER211&gt;0,MIN(FB211-FP211,BL211),0)</f>
        <v>0</v>
      </c>
      <c r="FX211" s="1115" t="n">
        <f aca="false">IF(ES211&gt;0,MIN(FD211-FR211,BM211),0)</f>
        <v>0</v>
      </c>
      <c r="FY211" s="1115" t="n">
        <f aca="false">IF(ET211&gt;0,MIN(FF211-FT211,BN211),0)</f>
        <v>0</v>
      </c>
      <c r="FZ211" s="1143" t="n">
        <f aca="false">IF(EU211&gt;0,MIN(FH211-FV211,BO211),0)</f>
        <v>0</v>
      </c>
      <c r="GA211" s="1132" t="n">
        <f aca="false">(SUM(FP211:FV211)+SUM(GU211:HB211)/(1-Summary!$O$25))*CY211/1000</f>
        <v>233972.079804709</v>
      </c>
      <c r="GB211" s="1133" t="n">
        <f aca="false">IF($C211&lt;Summary!$M$81,+Summary!$O$81,VLOOKUP(C211,GasTable,19))</f>
        <v>3.48660922487233</v>
      </c>
      <c r="GC211" s="1134" t="n">
        <f aca="false">IF(H211&lt;=Summary!$N$84,MIN(GA211,Summary!$O$75*(H211-G211+1)),0)</f>
        <v>0</v>
      </c>
      <c r="GD211" s="1135" t="n">
        <f aca="false">IF(C211&lt;Summary!$N$84,IF(Summary!$O$75*(H211-G211+1)*0.8&gt;GC211,1,0),0)</f>
        <v>0</v>
      </c>
      <c r="GE211" s="1136" t="n">
        <v>0</v>
      </c>
      <c r="GF211" s="1134" t="n">
        <f aca="false">ABS(MIN(0,GC211-$GA211))</f>
        <v>233972.079804709</v>
      </c>
      <c r="GG211" s="1135" t="n">
        <f aca="false">GF211*(IF(Summary!$O$74=1,VLOOKUP($C211,GasTable,16)+Summary!$O$92+Summary!$O$93,VLOOKUP($C211,GasTable,19)+Summary!$O$92+Summary!$O$93))</f>
        <v>827959.15716749</v>
      </c>
      <c r="GH211" s="1137" t="n">
        <v>5404.24429855212</v>
      </c>
      <c r="GI211" s="1138" t="n">
        <v>0</v>
      </c>
      <c r="GJ211" s="1139" t="n">
        <f aca="false">+GB211*GC211+GE211+GG211+GH211-GI211</f>
        <v>833363.401466043</v>
      </c>
      <c r="GK211" s="1115" t="n">
        <f aca="false">SUM(FP211:FV211,GU211:GX211,GY211:HB211)</f>
        <v>30062.01285</v>
      </c>
      <c r="GL211" s="1140" t="n">
        <v>0.51389622296</v>
      </c>
      <c r="GM211" s="1141" t="n">
        <f aca="false">IF(GK211&gt;GC211/(CY211/1000),GC211/(CY211/1000),+GK211)*GL211</f>
        <v>0</v>
      </c>
      <c r="GN211" s="1115" t="n">
        <f aca="false">IF(SUM(GU211:HB211)=0,0,IF(Summary!$O$16="Yes",SUM(GX211:HB211),IF(Summary!$O$17="Yes",SUM(GY211:HB211),SUM(GU211:HB211))))</f>
        <v>12199.03785</v>
      </c>
      <c r="GO211" s="1142" t="n">
        <v>3.81843996798547</v>
      </c>
      <c r="GP211" s="1143" t="n">
        <f aca="false">GN211*GO211</f>
        <v>46581.2936974075</v>
      </c>
      <c r="GQ211" s="1115"/>
      <c r="GR211" s="1115"/>
      <c r="GS211" s="1115"/>
      <c r="GT211" s="1115"/>
      <c r="GU211" s="1150" t="n">
        <v>5902.76025</v>
      </c>
      <c r="GV211" s="1115" t="n">
        <v>1026.567</v>
      </c>
      <c r="GW211" s="1115" t="n">
        <v>1026.567</v>
      </c>
      <c r="GX211" s="1115"/>
      <c r="GY211" s="1151" t="n">
        <v>3148.1388</v>
      </c>
      <c r="GZ211" s="1115" t="n">
        <v>547.5024</v>
      </c>
      <c r="HA211" s="1115" t="n">
        <v>547.5024</v>
      </c>
      <c r="HB211" s="1141"/>
      <c r="HC211" s="1115" t="n">
        <v>12199.03785</v>
      </c>
      <c r="HD211" s="1115"/>
      <c r="HE211" s="1115" t="n">
        <v>20950.521525</v>
      </c>
      <c r="HF211" s="1115" t="n">
        <v>511386.154366645</v>
      </c>
      <c r="HG211" s="1115"/>
      <c r="HH211" s="1142" t="n">
        <v>41.2322761993672</v>
      </c>
      <c r="HI211" s="1115" t="n">
        <v>863837.690039588</v>
      </c>
      <c r="HJ211" s="1150" t="n">
        <f aca="false">MAX(FB211-FP211-FW211,0)</f>
        <v>0</v>
      </c>
      <c r="HK211" s="1115" t="n">
        <f aca="false">MAX(FD211-FR211-FX211,0)</f>
        <v>0</v>
      </c>
      <c r="HL211" s="1115" t="n">
        <f aca="false">MAX(FF211-FT211-FY211,0)</f>
        <v>0</v>
      </c>
      <c r="HM211" s="1141" t="n">
        <f aca="false">MAX(FH211-FV211-FZ211,0)</f>
        <v>0</v>
      </c>
      <c r="HN211" s="1115" t="n">
        <f aca="false">SUM(HJ211:HM211)</f>
        <v>0</v>
      </c>
      <c r="HO211" s="1142" t="n">
        <f aca="false">IF(ISERROR(+HP211/HN211),0,+HP211/HN211)</f>
        <v>0</v>
      </c>
      <c r="HP211" s="1143" t="n">
        <f aca="false">(HJ211*CE211+HK211*CF211+HL211*CG211+HM211*CH211)</f>
        <v>0</v>
      </c>
      <c r="HQ211" s="1146"/>
      <c r="HR211" s="1150"/>
      <c r="HS211" s="1200"/>
      <c r="HT211" s="1141"/>
      <c r="HU211" s="1150"/>
      <c r="HV211" s="1200"/>
      <c r="HW211" s="1141"/>
      <c r="HX211" s="1200"/>
      <c r="HY211" s="1200"/>
      <c r="HZ211" s="0"/>
      <c r="IA211" s="1142"/>
      <c r="IB211" s="1142"/>
      <c r="IC211" s="1142"/>
      <c r="ID211" s="1142"/>
      <c r="IE211" s="1142"/>
      <c r="IF211" s="1142"/>
      <c r="IG211" s="1142"/>
      <c r="IH211" s="1142"/>
      <c r="II211" s="1142"/>
      <c r="IJ211" s="1142"/>
      <c r="IK211" s="1142"/>
      <c r="IL211" s="1190"/>
      <c r="IM211" s="222"/>
      <c r="IN211" s="222"/>
      <c r="IR211" s="844"/>
    </row>
    <row r="212" customFormat="false" ht="13.5" hidden="false" customHeight="false" outlineLevel="0" collapsed="false">
      <c r="A212" s="0" t="str">
        <f aca="false">+D212&amp;"Q"&amp;ROUNDUP(E212/3,0)</f>
        <v>2016Q2</v>
      </c>
      <c r="B212" s="0" t="n">
        <f aca="false">YEAR(C212)</f>
        <v>2016</v>
      </c>
      <c r="C212" s="1153" t="n">
        <f aca="false">EOMONTH(C211,0)+1</f>
        <v>42461</v>
      </c>
      <c r="D212" s="841" t="n">
        <f aca="false">+YEAR(C212)</f>
        <v>2016</v>
      </c>
      <c r="E212" s="807" t="n">
        <f aca="false">MONTH(C212)</f>
        <v>4</v>
      </c>
      <c r="F212" s="1154" t="e">
        <f aca="false">IF(G212="","",Holiday(D212,E212))</f>
        <v>#VALUE!</v>
      </c>
      <c r="G212" s="1155" t="n">
        <v>42461</v>
      </c>
      <c r="H212" s="1156" t="n">
        <v>42490</v>
      </c>
      <c r="I212" s="1157" t="n">
        <f aca="false">I211</f>
        <v>0.0715</v>
      </c>
      <c r="J212" s="1158" t="n">
        <f aca="false">(1+I212/2)^(-2*(DATE(D213,E213,20)-$H$7)/365.25)</f>
        <v>0.31530249686392</v>
      </c>
      <c r="K212" s="1159"/>
      <c r="L212" s="1158"/>
      <c r="M212" s="1082" t="n">
        <v>0</v>
      </c>
      <c r="N212" s="1110" t="n">
        <f aca="false">M212</f>
        <v>0</v>
      </c>
      <c r="O212" s="1174" t="n">
        <f aca="false">N212</f>
        <v>0</v>
      </c>
      <c r="P212" s="1175" t="n">
        <f aca="false">M212</f>
        <v>0</v>
      </c>
      <c r="Q212" s="1110" t="n">
        <f aca="false">P212</f>
        <v>0</v>
      </c>
      <c r="R212" s="1174" t="n">
        <f aca="false">Q212</f>
        <v>0</v>
      </c>
      <c r="S212" s="1110" t="n">
        <f aca="false">R212</f>
        <v>0</v>
      </c>
      <c r="T212" s="1110" t="n">
        <f aca="false">S212</f>
        <v>0</v>
      </c>
      <c r="U212" s="1110" t="n">
        <f aca="false">T212</f>
        <v>0</v>
      </c>
      <c r="V212" s="1175" t="n">
        <f aca="false">U212</f>
        <v>0</v>
      </c>
      <c r="W212" s="1110" t="n">
        <f aca="false">V212</f>
        <v>0</v>
      </c>
      <c r="X212" s="1176" t="n">
        <f aca="false">W212</f>
        <v>0</v>
      </c>
      <c r="Y212" s="1086" t="n">
        <v>0</v>
      </c>
      <c r="Z212" s="1086" t="n">
        <v>0</v>
      </c>
      <c r="AA212" s="1087" t="n">
        <v>0</v>
      </c>
      <c r="AB212" s="1086" t="n">
        <v>0</v>
      </c>
      <c r="AC212" s="1086" t="n">
        <v>0</v>
      </c>
      <c r="AD212" s="1087" t="n">
        <v>0</v>
      </c>
      <c r="AE212" s="1086" t="n">
        <v>0</v>
      </c>
      <c r="AF212" s="1086" t="n">
        <v>0</v>
      </c>
      <c r="AG212" s="1087" t="n">
        <v>0</v>
      </c>
      <c r="AH212" s="1086" t="n">
        <v>0</v>
      </c>
      <c r="AI212" s="1086" t="n">
        <v>0</v>
      </c>
      <c r="AJ212" s="1087" t="n">
        <v>0</v>
      </c>
      <c r="AK212" s="1086" t="n">
        <v>0</v>
      </c>
      <c r="AL212" s="1086" t="n">
        <v>0</v>
      </c>
      <c r="AM212" s="1087" t="n">
        <v>0</v>
      </c>
      <c r="AN212" s="1086" t="n">
        <v>0</v>
      </c>
      <c r="AO212" s="1086" t="n">
        <v>0</v>
      </c>
      <c r="AP212" s="1087" t="n">
        <v>0</v>
      </c>
      <c r="AQ212" s="1086" t="n">
        <v>0</v>
      </c>
      <c r="AR212" s="1086" t="n">
        <v>0</v>
      </c>
      <c r="AS212" s="1087" t="n">
        <v>0</v>
      </c>
      <c r="AT212" s="1086" t="n">
        <v>0</v>
      </c>
      <c r="AU212" s="1086" t="n">
        <v>0</v>
      </c>
      <c r="AV212" s="1086" t="n">
        <v>0</v>
      </c>
      <c r="AW212" s="1172" t="n">
        <v>0</v>
      </c>
      <c r="AX212" s="807" t="n">
        <f aca="false">BB212-SUM(AY212:BA212)</f>
        <v>21</v>
      </c>
      <c r="AY212" s="807" t="n">
        <f aca="false">IF(AND($E212=MONTH(Summary!$E$24),$D212=YEAR(Summary!$E$24)),Summary!$E$25,1)*IF(G212="",0,INT((H212-MOD(H212,7)-G212)/7)+1-IF(BA212,IF(WEEKDAY(F212)=7,1,0),0))</f>
        <v>5</v>
      </c>
      <c r="AZ212" s="807" t="n">
        <f aca="false">IF(AND($E212=MONTH(Summary!$E$24),$D212=YEAR(Summary!$E$24)),Summary!$E$25,1)*IF(G212="",0,INT((H212-MOD(H212-1,7)-G212)/7)+1-IF(BA212,IF(WEEKDAY(F212)=1,1,0),0))</f>
        <v>4</v>
      </c>
      <c r="BA212" s="807" t="n">
        <v>0</v>
      </c>
      <c r="BB212" s="807" t="n">
        <f aca="false">IF(AND($E212=MONTH(Summary!$E$24),$D212=YEAR(Summary!$E$24)),Summary!$E$25,1)*IF(G212="",0,H212-G212+1)</f>
        <v>30</v>
      </c>
      <c r="BC212" s="1089" t="n">
        <f aca="false">Summary!$E$19</f>
        <v>0.015</v>
      </c>
      <c r="BD212" s="1090" t="n">
        <v>14893.2</v>
      </c>
      <c r="BE212" s="1091" t="n">
        <v>3546</v>
      </c>
      <c r="BF212" s="1091" t="n">
        <v>2836.8</v>
      </c>
      <c r="BG212" s="842"/>
      <c r="BH212" s="1092" t="n">
        <v>1</v>
      </c>
      <c r="BI212" s="1092" t="n">
        <v>1</v>
      </c>
      <c r="BJ212" s="1092" t="n">
        <v>1</v>
      </c>
      <c r="BK212" s="1092" t="n">
        <v>1</v>
      </c>
      <c r="BL212" s="1093" t="n">
        <v>2978.64</v>
      </c>
      <c r="BM212" s="1091" t="n">
        <v>709.2</v>
      </c>
      <c r="BN212" s="1091" t="n">
        <v>567.36</v>
      </c>
      <c r="BO212" s="842"/>
      <c r="BP212" s="1092" t="n">
        <v>1</v>
      </c>
      <c r="BQ212" s="1094" t="n">
        <v>1</v>
      </c>
      <c r="BR212" s="1094" t="n">
        <v>1</v>
      </c>
      <c r="BS212" s="1095" t="n">
        <v>1</v>
      </c>
      <c r="BT212" s="1093" t="n">
        <f aca="false">SUM(BD212:BF212)</f>
        <v>21276</v>
      </c>
      <c r="BU212" s="1098" t="n">
        <f aca="false">SUM(BD212:BG212)</f>
        <v>21276</v>
      </c>
      <c r="BV212" s="1090" t="n">
        <f aca="false">SUM(BL212:BN212)</f>
        <v>4255.2</v>
      </c>
      <c r="BW212" s="1098" t="n">
        <f aca="false">SUM(BL212:BO212)</f>
        <v>4255.2</v>
      </c>
      <c r="BX212" s="852" t="n">
        <v>16.2956878850103</v>
      </c>
      <c r="BY212" s="1099" t="n">
        <v>0</v>
      </c>
      <c r="BZ212" s="852" t="n">
        <v>0</v>
      </c>
      <c r="CA212" s="852" t="n">
        <v>0</v>
      </c>
      <c r="CB212" s="852" t="n">
        <v>0</v>
      </c>
      <c r="CC212" s="852" t="n">
        <v>0</v>
      </c>
      <c r="CD212" s="852" t="n">
        <v>0</v>
      </c>
      <c r="CE212" s="1100" t="n">
        <v>0</v>
      </c>
      <c r="CF212" s="852" t="n">
        <v>0</v>
      </c>
      <c r="CG212" s="852" t="n">
        <v>0</v>
      </c>
      <c r="CH212" s="852" t="n">
        <v>0</v>
      </c>
      <c r="CI212" s="852" t="n">
        <v>0</v>
      </c>
      <c r="CJ212" s="1101" t="n">
        <v>0</v>
      </c>
      <c r="CK212" s="852" t="n">
        <v>0</v>
      </c>
      <c r="CL212" s="852" t="n">
        <v>0</v>
      </c>
      <c r="CM212" s="852" t="n">
        <v>0</v>
      </c>
      <c r="CN212" s="852" t="n">
        <v>0</v>
      </c>
      <c r="CO212" s="852" t="n">
        <v>0</v>
      </c>
      <c r="CP212" s="852" t="n">
        <v>0</v>
      </c>
      <c r="CQ212" s="1102" t="n">
        <v>0</v>
      </c>
      <c r="CR212" s="1103" t="n">
        <v>0</v>
      </c>
      <c r="CS212" s="1103" t="n">
        <v>0</v>
      </c>
      <c r="CT212" s="1103" t="n">
        <v>0</v>
      </c>
      <c r="CU212" s="1103" t="n">
        <v>0</v>
      </c>
      <c r="CV212" s="1103" t="n">
        <v>0</v>
      </c>
      <c r="CW212" s="1103" t="n">
        <v>0</v>
      </c>
      <c r="CX212" s="1104" t="n">
        <v>0</v>
      </c>
      <c r="CY212" s="1105" t="n">
        <v>7672.12384</v>
      </c>
      <c r="CZ212" s="1099" t="n">
        <v>0</v>
      </c>
      <c r="DA212" s="852" t="n">
        <v>0</v>
      </c>
      <c r="DB212" s="852" t="n">
        <v>0</v>
      </c>
      <c r="DC212" s="852" t="n">
        <v>0</v>
      </c>
      <c r="DD212" s="852" t="n">
        <v>0</v>
      </c>
      <c r="DE212" s="1113" t="n">
        <v>0</v>
      </c>
      <c r="DF212" s="1109" t="n">
        <v>0</v>
      </c>
      <c r="DG212" s="1110" t="n">
        <v>0</v>
      </c>
      <c r="DH212" s="1111" t="n">
        <v>0</v>
      </c>
      <c r="DI212" s="1112" t="n">
        <v>0</v>
      </c>
      <c r="DJ212" s="1112" t="n">
        <v>0</v>
      </c>
      <c r="DK212" s="1112" t="n">
        <v>0</v>
      </c>
      <c r="DL212" s="1113" t="n">
        <v>0</v>
      </c>
      <c r="DM212" s="1114" t="n">
        <v>0</v>
      </c>
      <c r="DN212" s="1114" t="n">
        <v>0</v>
      </c>
      <c r="DO212" s="1114" t="n">
        <v>0</v>
      </c>
      <c r="DP212" s="1114" t="n">
        <v>0</v>
      </c>
      <c r="DQ212" s="1114" t="n">
        <v>0</v>
      </c>
      <c r="DR212" s="1109" t="n">
        <v>0</v>
      </c>
      <c r="DS212" s="852" t="n">
        <v>0</v>
      </c>
      <c r="DT212" s="852" t="n">
        <v>0</v>
      </c>
      <c r="DU212" s="852" t="n">
        <v>0</v>
      </c>
      <c r="DV212" s="852" t="n">
        <v>0</v>
      </c>
      <c r="DW212" s="852" t="n">
        <v>0</v>
      </c>
      <c r="DX212" s="852" t="n">
        <v>0</v>
      </c>
      <c r="DY212" s="852" t="n">
        <v>0</v>
      </c>
      <c r="DZ212" s="852" t="n">
        <v>0</v>
      </c>
      <c r="EA212" s="852" t="n">
        <v>0</v>
      </c>
      <c r="EB212" s="1113" t="n">
        <v>0</v>
      </c>
      <c r="EC212" s="1115" t="n">
        <f aca="false">DS212*BD212</f>
        <v>0</v>
      </c>
      <c r="ED212" s="1115" t="n">
        <f aca="false">DT212*BE212</f>
        <v>0</v>
      </c>
      <c r="EE212" s="1115" t="n">
        <f aca="false">DU212*BF212</f>
        <v>0</v>
      </c>
      <c r="EF212" s="1115" t="n">
        <f aca="false">DV212*BG212</f>
        <v>0</v>
      </c>
      <c r="EG212" s="1115" t="n">
        <f aca="false">DS212*BD212+DT212*BE212+DU212*BF212+DV212*BG212</f>
        <v>0</v>
      </c>
      <c r="EH212" s="1116" t="n">
        <v>0</v>
      </c>
      <c r="EI212" s="1117" t="n">
        <v>0</v>
      </c>
      <c r="EJ212" s="1117" t="n">
        <v>0</v>
      </c>
      <c r="EK212" s="1117" t="n">
        <v>0</v>
      </c>
      <c r="EL212" s="1118" t="n">
        <f aca="false">IF(C212&gt;=Summary!$E$26,MAX(0,SUM(EH212:EK212)),0)</f>
        <v>0</v>
      </c>
      <c r="EM212" s="1115" t="n">
        <f aca="false">IF(C212&gt;=Summary!$E$26,DX212*BL212,0)</f>
        <v>0</v>
      </c>
      <c r="EN212" s="1115" t="n">
        <f aca="false">IF(C212&gt;=Summary!$E$26,DY212*BM212,0)</f>
        <v>0</v>
      </c>
      <c r="EO212" s="1115" t="n">
        <f aca="false">IF(C212&gt;=Summary!$E$26,DZ212*BN212,0)</f>
        <v>0</v>
      </c>
      <c r="EP212" s="1115" t="n">
        <f aca="false">IF(C212&gt;=Summary!$E$26,EA212*BO212,0)</f>
        <v>0</v>
      </c>
      <c r="EQ212" s="1115" t="n">
        <f aca="false">IF(C212&gt;=Summary!$E$26,DX212*BL212+DY212*BM212+DZ212*BN212+EA212*BO212,0)</f>
        <v>0</v>
      </c>
      <c r="ER212" s="1119" t="n">
        <v>0</v>
      </c>
      <c r="ES212" s="1120" t="n">
        <v>0</v>
      </c>
      <c r="ET212" s="1120" t="n">
        <v>0</v>
      </c>
      <c r="EU212" s="1120" t="n">
        <v>0</v>
      </c>
      <c r="EV212" s="1143" t="n">
        <f aca="false">IF(C212&gt;=Summary!$E$26,MAX(0,SUM(ER212:EU212)),0)</f>
        <v>0</v>
      </c>
      <c r="EW212" s="1115"/>
      <c r="EX212" s="1165" t="n">
        <f aca="false">(EQ212-EV212)+IF(EZ212="Yes",(EG212-EL212),0)</f>
        <v>0</v>
      </c>
      <c r="EY212" s="1166" t="str">
        <f aca="false">IF(EX212,EX212/EQ212,"")</f>
        <v/>
      </c>
      <c r="EZ212" s="1122" t="s">
        <v>37</v>
      </c>
      <c r="FA212" s="1096" t="n">
        <f aca="false">FA211</f>
        <v>45</v>
      </c>
      <c r="FB212" s="1167" t="n">
        <f aca="false">IF(EZ212="No",IF((OR(MONTH(C212)=5,MONTH(C212)=6,MONTH(C212)=7,MONTH(C212)=8,MONTH(C212)=9)),$FA212*12*AX212*(1-$BC212),$FA212*10*AX212*(1-$BC212)),0)</f>
        <v>9308.25</v>
      </c>
      <c r="FC212" s="1129" t="n">
        <f aca="false">IF(EZ212="No",IF((OR(MONTH(C212)=5,MONTH(C212)=6,MONTH(C212)=7,MONTH(C212)=8,MONTH(C212)=9)),0,$FA212*3*AX212*(1-$BC212)),0)</f>
        <v>2792.475</v>
      </c>
      <c r="FD212" s="1129" t="n">
        <f aca="false">IF(EZ212="No",IF((OR(MONTH(C212)=5,MONTH(C212)=6,MONTH(C212)=7,MONTH(C212)=8,MONTH(C212)=9)),$FA212*12*AY212*(1-$BC212),$FA212*10*AY212*(1-$BC212)),0)</f>
        <v>2216.25</v>
      </c>
      <c r="FE212" s="1129" t="n">
        <f aca="false">IF(EZ212="No",IF((OR(MONTH(C212)=5,MONTH(C212)=6,MONTH(C212)=7,MONTH(C212)=8,MONTH(C212)=9)),0,$FA212*3*AY212*(1-$BC212)),0)</f>
        <v>664.875</v>
      </c>
      <c r="FF212" s="1129" t="n">
        <f aca="false">IF(EZ212="No",IF((OR(MONTH(C212)=5,MONTH(C212)=6,MONTH(C212)=7,MONTH(C212)=8,MONTH(C212)=9)),$FA212*12*(AZ212+BA212)*(1-$BC212),$FA212*10*(AZ212+BA212)*(1-$BC212)),0)</f>
        <v>1773</v>
      </c>
      <c r="FG212" s="1129" t="n">
        <f aca="false">IF(EZ212="No",IF((OR(MONTH(C212)=5,MONTH(C212)=6,MONTH(C212)=7,MONTH(C212)=8,MONTH(C212)=9)),0,$FA212*3*(AZ212+BA212)*(1-$BC212)),0)</f>
        <v>531.9</v>
      </c>
      <c r="FH212" s="1170" t="n">
        <f aca="false">IF(EZ212="No",IF((OR(MONTH(C212)=5,MONTH(C212)=6,MONTH(C212)=7,MONTH(C212)=8,MONTH(C212)=9)),Summary!$O$15*12*(AX212+AY212+AZ212+BA212)*(1-$BC212),Summary!$O$15*13*(AX212+AY212+AZ212+BA212)*(1-$BC212)+IF(Summary!$O$16="Yes",(CALC!FA212+Summary!$O$15)*6*(AX212+AY212+AZ212+BA212)*(1-$BC212),0)),0)</f>
        <v>0</v>
      </c>
      <c r="FI212" s="1126" t="n">
        <f aca="false">IF(MONTH(C212)=5,FI211*(IF(Summary!$E$70="no",(1+(Summary!$E$71*0.8)),1+HLOOKUP(YEAR(C212)-1,CCFMODEL!$I$127:$AF$128,2)*0.8)),+FI211)</f>
        <v>38.8797064863349</v>
      </c>
      <c r="FJ212" s="1127" t="n">
        <f aca="false">IF(MONTH(C212)=5,FJ211*(IF(Summary!$E$70="no",(1+(Summary!$E$71*0.8)),1+HLOOKUP(YEAR(CALC!C212)-1,CCFMODEL!$I$127:$AF$128,2)*0.8)),FJ211)</f>
        <v>33.981475747899</v>
      </c>
      <c r="FK212" s="1128" t="n">
        <f aca="false">SUM(FB212:FG212)*FI212+FH212*FJ212</f>
        <v>672103.76610265</v>
      </c>
      <c r="FL212" s="1126" t="n">
        <f aca="false">IF(MONTH(C212)=5,FL211*(IF(Summary!$E$70="no",(1+(Summary!$E$71*0.8)),1+HLOOKUP(YEAR(CALC!C212)-1,CCFMODEL!$I$127:$AF$128,2)*0.8)),+FL211)</f>
        <v>81.7683815829968</v>
      </c>
      <c r="FM212" s="1127" t="n">
        <f aca="false">IF(MONTH(C212)=5,FM211*(IF(Summary!$E$70="no",(1+(Summary!$E$71*0.8)),1+HLOOKUP(YEAR(CALC!C212)-1,CCFMODEL!$I$127:$AF$128,2)*0.8)),+FM211)</f>
        <v>39.0254871630741</v>
      </c>
      <c r="FN212" s="1128" t="n">
        <f aca="false">IF((OR(MONTH(C212)=5,MONTH(C212)=6,MONTH(C212)=7,MONTH(C212)=8,MONTH(C212)=9)),SUM(FB212:FG212)/(1-BC212)*FL212,SUM(FB212:FG212)/(1-BC212)*FM212)</f>
        <v>684897.29971195</v>
      </c>
      <c r="FO212" s="1129" t="n">
        <f aca="false">FK212+FN212</f>
        <v>1357001.0658146</v>
      </c>
      <c r="FP212" s="1169" t="n">
        <f aca="false">FB212</f>
        <v>9308.25</v>
      </c>
      <c r="FQ212" s="1129" t="n">
        <f aca="false">FC212</f>
        <v>2792.475</v>
      </c>
      <c r="FR212" s="1129" t="n">
        <f aca="false">FD212</f>
        <v>2216.25</v>
      </c>
      <c r="FS212" s="1129" t="n">
        <f aca="false">FE212</f>
        <v>664.875</v>
      </c>
      <c r="FT212" s="1129" t="n">
        <f aca="false">FF212</f>
        <v>1773</v>
      </c>
      <c r="FU212" s="1129" t="n">
        <f aca="false">FG212</f>
        <v>531.9</v>
      </c>
      <c r="FV212" s="1170" t="n">
        <f aca="false">FH212</f>
        <v>0</v>
      </c>
      <c r="FW212" s="1115" t="n">
        <f aca="false">IF(ER212&gt;0,MIN(FB212-FP212,BL212),0)</f>
        <v>0</v>
      </c>
      <c r="FX212" s="1115" t="n">
        <f aca="false">IF(ES212&gt;0,MIN(FD212-FR212,BM212),0)</f>
        <v>0</v>
      </c>
      <c r="FY212" s="1115" t="n">
        <f aca="false">IF(ET212&gt;0,MIN(FF212-FT212,BN212),0)</f>
        <v>0</v>
      </c>
      <c r="FZ212" s="1143" t="n">
        <f aca="false">IF(EU212&gt;0,MIN(FH212-FV212,BO212),0)</f>
        <v>0</v>
      </c>
      <c r="GA212" s="1132" t="n">
        <f aca="false">(SUM(FP212:FV212)+SUM(GU212:HB212)/(1-Summary!$O$25))*CY212/1000</f>
        <v>226484.548212528</v>
      </c>
      <c r="GB212" s="1133" t="n">
        <f aca="false">IF($C212&lt;Summary!$M$81,+Summary!$O$81,VLOOKUP(C212,GasTable,19))</f>
        <v>3.38200845913219</v>
      </c>
      <c r="GC212" s="1134" t="n">
        <f aca="false">IF(H212&lt;=Summary!$N$84,MIN(GA212,Summary!$O$75*(H212-G212+1)),0)</f>
        <v>0</v>
      </c>
      <c r="GD212" s="1135" t="n">
        <f aca="false">IF(C212&lt;Summary!$N$84,IF(Summary!$O$75*(H212-G212+1)*0.8&gt;GC212,1,0),0)</f>
        <v>0</v>
      </c>
      <c r="GE212" s="1136" t="n">
        <v>0</v>
      </c>
      <c r="GF212" s="1134" t="n">
        <f aca="false">ABS(MIN(0,GC212-$GA212))</f>
        <v>226484.548212528</v>
      </c>
      <c r="GG212" s="1135" t="n">
        <f aca="false">GF212*(IF(Summary!$O$74=1,VLOOKUP($C212,GasTable,16)+Summary!$O$92+Summary!$O$93,VLOOKUP($C212,GasTable,19)+Summary!$O$92+Summary!$O$93))</f>
        <v>777772.502879375</v>
      </c>
      <c r="GH212" s="1137" t="n">
        <v>5073.01268869829</v>
      </c>
      <c r="GI212" s="1138" t="n">
        <v>0</v>
      </c>
      <c r="GJ212" s="1139" t="n">
        <f aca="false">+GB212*GC212+GE212+GG212+GH212-GI212</f>
        <v>782845.515568073</v>
      </c>
      <c r="GK212" s="1115" t="n">
        <f aca="false">SUM(FP212:FV212,GU212:GX212,GY212:HB212)</f>
        <v>29092.2705</v>
      </c>
      <c r="GL212" s="1140" t="n">
        <v>0.51403229728</v>
      </c>
      <c r="GM212" s="1141" t="n">
        <f aca="false">IF(GK212&gt;GC212/(CY212/1000),GC212/(CY212/1000),+GK212)*GL212</f>
        <v>0</v>
      </c>
      <c r="GN212" s="1115" t="n">
        <f aca="false">IF(SUM(GU212:HB212)=0,0,IF(Summary!$O$16="Yes",SUM(GX212:HB212),IF(Summary!$O$17="Yes",SUM(GY212:HB212),SUM(GU212:HB212))))</f>
        <v>11805.5205</v>
      </c>
      <c r="GO212" s="1142" t="n">
        <v>3.81843996798547</v>
      </c>
      <c r="GP212" s="1143" t="n">
        <f aca="false">GN212*GO212</f>
        <v>45078.6713200718</v>
      </c>
      <c r="GQ212" s="1115"/>
      <c r="GR212" s="1115"/>
      <c r="GS212" s="1115"/>
      <c r="GT212" s="1115"/>
      <c r="GU212" s="1150" t="n">
        <v>5389.47675</v>
      </c>
      <c r="GV212" s="1115" t="n">
        <v>1283.20875</v>
      </c>
      <c r="GW212" s="1115" t="n">
        <v>1026.567</v>
      </c>
      <c r="GX212" s="1115"/>
      <c r="GY212" s="1151" t="n">
        <v>2874.3876</v>
      </c>
      <c r="GZ212" s="1115" t="n">
        <v>684.378</v>
      </c>
      <c r="HA212" s="1115" t="n">
        <v>547.5024</v>
      </c>
      <c r="HB212" s="1141"/>
      <c r="HC212" s="1115" t="n">
        <v>11805.5205</v>
      </c>
      <c r="HD212" s="1115"/>
      <c r="HE212" s="1115" t="n">
        <v>20274.69825</v>
      </c>
      <c r="HF212" s="1115" t="n">
        <v>492443.287671692</v>
      </c>
      <c r="HG212" s="1115"/>
      <c r="HH212" s="1142" t="n">
        <v>40.9592295796907</v>
      </c>
      <c r="HI212" s="1115" t="n">
        <v>830436.020280703</v>
      </c>
      <c r="HJ212" s="1150" t="n">
        <f aca="false">MAX(FB212-FP212-FW212,0)</f>
        <v>0</v>
      </c>
      <c r="HK212" s="1115" t="n">
        <f aca="false">MAX(FD212-FR212-FX212,0)</f>
        <v>0</v>
      </c>
      <c r="HL212" s="1115" t="n">
        <f aca="false">MAX(FF212-FT212-FY212,0)</f>
        <v>0</v>
      </c>
      <c r="HM212" s="1141" t="n">
        <f aca="false">MAX(FH212-FV212-FZ212,0)</f>
        <v>0</v>
      </c>
      <c r="HN212" s="1115" t="n">
        <f aca="false">SUM(HJ212:HM212)</f>
        <v>0</v>
      </c>
      <c r="HO212" s="1142" t="n">
        <f aca="false">IF(ISERROR(+HP212/HN212),0,+HP212/HN212)</f>
        <v>0</v>
      </c>
      <c r="HP212" s="1143" t="n">
        <f aca="false">(HJ212*CE212+HK212*CF212+HL212*CG212+HM212*CH212)</f>
        <v>0</v>
      </c>
      <c r="HQ212" s="1146"/>
      <c r="HR212" s="1150"/>
      <c r="HS212" s="1200"/>
      <c r="HT212" s="1141"/>
      <c r="HU212" s="1150"/>
      <c r="HV212" s="1200"/>
      <c r="HW212" s="1141"/>
      <c r="HX212" s="1200"/>
      <c r="HY212" s="1200"/>
      <c r="HZ212" s="0"/>
      <c r="IA212" s="1142"/>
      <c r="IB212" s="1142"/>
      <c r="IC212" s="1142"/>
      <c r="ID212" s="1142"/>
      <c r="IE212" s="1142"/>
      <c r="IF212" s="1142"/>
      <c r="IG212" s="1142"/>
      <c r="IH212" s="1142"/>
      <c r="II212" s="1142"/>
      <c r="IJ212" s="1142"/>
      <c r="IK212" s="1142"/>
      <c r="IL212" s="1190"/>
      <c r="IM212" s="222"/>
      <c r="IN212" s="222"/>
      <c r="IR212" s="844"/>
    </row>
    <row r="213" customFormat="false" ht="13.5" hidden="false" customHeight="false" outlineLevel="0" collapsed="false">
      <c r="A213" s="0" t="str">
        <f aca="false">+D213&amp;"Q"&amp;ROUNDUP(E213/3,0)</f>
        <v>2016Q2</v>
      </c>
      <c r="B213" s="0" t="n">
        <f aca="false">YEAR(C213)</f>
        <v>2016</v>
      </c>
      <c r="C213" s="1153" t="n">
        <f aca="false">EOMONTH(C212,0)+1</f>
        <v>42491</v>
      </c>
      <c r="D213" s="841" t="n">
        <f aca="false">+YEAR(C213)</f>
        <v>2016</v>
      </c>
      <c r="E213" s="807" t="n">
        <f aca="false">MONTH(C213)</f>
        <v>5</v>
      </c>
      <c r="F213" s="1154" t="e">
        <f aca="false">IF(G213="","",Holiday(D213,E213))</f>
        <v>#VALUE!</v>
      </c>
      <c r="G213" s="1155" t="n">
        <v>42491</v>
      </c>
      <c r="H213" s="1156" t="n">
        <v>42521</v>
      </c>
      <c r="I213" s="1157" t="n">
        <f aca="false">I212</f>
        <v>0.0715</v>
      </c>
      <c r="J213" s="1158" t="n">
        <f aca="false">(1+I213/2)^(-2*(DATE(D214,E214,20)-$H$7)/365.25)</f>
        <v>0.313428102246918</v>
      </c>
      <c r="K213" s="1159"/>
      <c r="L213" s="1158"/>
      <c r="M213" s="1082" t="n">
        <v>0</v>
      </c>
      <c r="N213" s="1110" t="n">
        <f aca="false">M213</f>
        <v>0</v>
      </c>
      <c r="O213" s="1174" t="n">
        <f aca="false">N213</f>
        <v>0</v>
      </c>
      <c r="P213" s="1175" t="n">
        <f aca="false">M213</f>
        <v>0</v>
      </c>
      <c r="Q213" s="1110" t="n">
        <f aca="false">P213</f>
        <v>0</v>
      </c>
      <c r="R213" s="1174" t="n">
        <f aca="false">Q213</f>
        <v>0</v>
      </c>
      <c r="S213" s="1110" t="n">
        <f aca="false">R213</f>
        <v>0</v>
      </c>
      <c r="T213" s="1110" t="n">
        <f aca="false">S213</f>
        <v>0</v>
      </c>
      <c r="U213" s="1110" t="n">
        <f aca="false">T213</f>
        <v>0</v>
      </c>
      <c r="V213" s="1175" t="n">
        <f aca="false">U213</f>
        <v>0</v>
      </c>
      <c r="W213" s="1110" t="n">
        <f aca="false">V213</f>
        <v>0</v>
      </c>
      <c r="X213" s="1176" t="n">
        <f aca="false">W213</f>
        <v>0</v>
      </c>
      <c r="Y213" s="1086" t="n">
        <v>0</v>
      </c>
      <c r="Z213" s="1086" t="n">
        <v>0</v>
      </c>
      <c r="AA213" s="1087" t="n">
        <v>0</v>
      </c>
      <c r="AB213" s="1086" t="n">
        <v>0</v>
      </c>
      <c r="AC213" s="1086" t="n">
        <v>0</v>
      </c>
      <c r="AD213" s="1087" t="n">
        <v>0</v>
      </c>
      <c r="AE213" s="1086" t="n">
        <v>0</v>
      </c>
      <c r="AF213" s="1086" t="n">
        <v>0</v>
      </c>
      <c r="AG213" s="1087" t="n">
        <v>0</v>
      </c>
      <c r="AH213" s="1086" t="n">
        <v>0</v>
      </c>
      <c r="AI213" s="1086" t="n">
        <v>0</v>
      </c>
      <c r="AJ213" s="1087" t="n">
        <v>0</v>
      </c>
      <c r="AK213" s="1086" t="n">
        <v>0</v>
      </c>
      <c r="AL213" s="1086" t="n">
        <v>0</v>
      </c>
      <c r="AM213" s="1087" t="n">
        <v>0</v>
      </c>
      <c r="AN213" s="1086" t="n">
        <v>0</v>
      </c>
      <c r="AO213" s="1086" t="n">
        <v>0</v>
      </c>
      <c r="AP213" s="1087" t="n">
        <v>0</v>
      </c>
      <c r="AQ213" s="1086" t="n">
        <v>0</v>
      </c>
      <c r="AR213" s="1086" t="n">
        <v>0</v>
      </c>
      <c r="AS213" s="1087" t="n">
        <v>0</v>
      </c>
      <c r="AT213" s="1086" t="n">
        <v>0</v>
      </c>
      <c r="AU213" s="1086" t="n">
        <v>0</v>
      </c>
      <c r="AV213" s="1086" t="n">
        <v>0</v>
      </c>
      <c r="AW213" s="1172" t="n">
        <v>0</v>
      </c>
      <c r="AX213" s="807" t="e">
        <f aca="false">BB213-SUM(AY213:BA213)</f>
        <v>#VALUE!</v>
      </c>
      <c r="AY213" s="807" t="e">
        <f aca="false">IF(AND($E213=MONTH(Summary!$E$24),$D213=YEAR(Summary!$E$24)),Summary!$E$25,1)*IF(G213="",0,INT((H213-MOD(H213,7)-G213)/7)+1-IF(BA213,IF(WEEKDAY(F213)=7,1,0),0))</f>
        <v>#VALUE!</v>
      </c>
      <c r="AZ213" s="807" t="e">
        <f aca="false">IF(AND($E213=MONTH(Summary!$E$24),$D213=YEAR(Summary!$E$24)),Summary!$E$25,1)*IF(G213="",0,INT((H213-MOD(H213-1,7)-G213)/7)+1-IF(BA213,IF(WEEKDAY(F213)=1,1,0),0))</f>
        <v>#VALUE!</v>
      </c>
      <c r="BA213" s="807" t="n">
        <v>1</v>
      </c>
      <c r="BB213" s="807" t="n">
        <f aca="false">IF(AND($E213=MONTH(Summary!$E$24),$D213=YEAR(Summary!$E$24)),Summary!$E$25,1)*IF(G213="",0,H213-G213+1)</f>
        <v>31</v>
      </c>
      <c r="BC213" s="1089" t="n">
        <f aca="false">Summary!$E$19</f>
        <v>0.015</v>
      </c>
      <c r="BD213" s="1090" t="n">
        <v>14893.2</v>
      </c>
      <c r="BE213" s="1091" t="n">
        <v>2836.8</v>
      </c>
      <c r="BF213" s="1091" t="n">
        <v>4255.2</v>
      </c>
      <c r="BG213" s="842"/>
      <c r="BH213" s="1092" t="n">
        <v>1</v>
      </c>
      <c r="BI213" s="1092" t="n">
        <v>1</v>
      </c>
      <c r="BJ213" s="1092" t="n">
        <v>1</v>
      </c>
      <c r="BK213" s="1092" t="n">
        <v>1</v>
      </c>
      <c r="BL213" s="1093" t="n">
        <v>2978.64</v>
      </c>
      <c r="BM213" s="1091" t="n">
        <v>567.36</v>
      </c>
      <c r="BN213" s="1091" t="n">
        <v>851.04</v>
      </c>
      <c r="BO213" s="842"/>
      <c r="BP213" s="1092" t="n">
        <v>1</v>
      </c>
      <c r="BQ213" s="1094" t="n">
        <v>1</v>
      </c>
      <c r="BR213" s="1094" t="n">
        <v>1</v>
      </c>
      <c r="BS213" s="1095" t="n">
        <v>1</v>
      </c>
      <c r="BT213" s="1093" t="n">
        <f aca="false">SUM(BD213:BF213)</f>
        <v>21985.2</v>
      </c>
      <c r="BU213" s="1098" t="n">
        <f aca="false">SUM(BD213:BG213)</f>
        <v>21985.2</v>
      </c>
      <c r="BV213" s="1090" t="n">
        <f aca="false">SUM(BL213:BN213)</f>
        <v>4397.04</v>
      </c>
      <c r="BW213" s="1098" t="n">
        <f aca="false">SUM(BL213:BO213)</f>
        <v>4397.04</v>
      </c>
      <c r="BX213" s="852" t="n">
        <v>16.3778234086242</v>
      </c>
      <c r="BY213" s="1099" t="n">
        <v>0</v>
      </c>
      <c r="BZ213" s="852" t="n">
        <v>0</v>
      </c>
      <c r="CA213" s="852" t="n">
        <v>0</v>
      </c>
      <c r="CB213" s="852" t="n">
        <v>0</v>
      </c>
      <c r="CC213" s="852" t="n">
        <v>0</v>
      </c>
      <c r="CD213" s="852" t="n">
        <v>0</v>
      </c>
      <c r="CE213" s="1100" t="n">
        <v>0</v>
      </c>
      <c r="CF213" s="852" t="n">
        <v>0</v>
      </c>
      <c r="CG213" s="852" t="n">
        <v>0</v>
      </c>
      <c r="CH213" s="852" t="n">
        <v>0</v>
      </c>
      <c r="CI213" s="852" t="n">
        <v>0</v>
      </c>
      <c r="CJ213" s="1101" t="n">
        <v>0</v>
      </c>
      <c r="CK213" s="852" t="n">
        <v>0</v>
      </c>
      <c r="CL213" s="852" t="n">
        <v>0</v>
      </c>
      <c r="CM213" s="852" t="n">
        <v>0</v>
      </c>
      <c r="CN213" s="852" t="n">
        <v>0</v>
      </c>
      <c r="CO213" s="852" t="n">
        <v>0</v>
      </c>
      <c r="CP213" s="852" t="n">
        <v>0</v>
      </c>
      <c r="CQ213" s="1102" t="n">
        <v>0</v>
      </c>
      <c r="CR213" s="1103" t="n">
        <v>0</v>
      </c>
      <c r="CS213" s="1103" t="n">
        <v>0</v>
      </c>
      <c r="CT213" s="1103" t="n">
        <v>0</v>
      </c>
      <c r="CU213" s="1103" t="n">
        <v>0</v>
      </c>
      <c r="CV213" s="1103" t="n">
        <v>0</v>
      </c>
      <c r="CW213" s="1103" t="n">
        <v>0</v>
      </c>
      <c r="CX213" s="1104" t="n">
        <v>0</v>
      </c>
      <c r="CY213" s="1105" t="n">
        <v>7674.1548</v>
      </c>
      <c r="CZ213" s="1099" t="n">
        <v>0</v>
      </c>
      <c r="DA213" s="852" t="n">
        <v>0</v>
      </c>
      <c r="DB213" s="852" t="n">
        <v>0</v>
      </c>
      <c r="DC213" s="852" t="n">
        <v>0</v>
      </c>
      <c r="DD213" s="852" t="n">
        <v>0</v>
      </c>
      <c r="DE213" s="1113" t="n">
        <v>0</v>
      </c>
      <c r="DF213" s="1109" t="n">
        <v>0</v>
      </c>
      <c r="DG213" s="1110" t="n">
        <v>0</v>
      </c>
      <c r="DH213" s="1111" t="n">
        <v>0</v>
      </c>
      <c r="DI213" s="1112" t="n">
        <v>0</v>
      </c>
      <c r="DJ213" s="1112" t="n">
        <v>0</v>
      </c>
      <c r="DK213" s="1112" t="n">
        <v>0</v>
      </c>
      <c r="DL213" s="1113" t="n">
        <v>0</v>
      </c>
      <c r="DM213" s="1114" t="n">
        <v>0</v>
      </c>
      <c r="DN213" s="1114" t="n">
        <v>0</v>
      </c>
      <c r="DO213" s="1114" t="n">
        <v>0</v>
      </c>
      <c r="DP213" s="1114" t="n">
        <v>0</v>
      </c>
      <c r="DQ213" s="1114" t="n">
        <v>0</v>
      </c>
      <c r="DR213" s="1109" t="n">
        <v>0</v>
      </c>
      <c r="DS213" s="852" t="n">
        <v>0</v>
      </c>
      <c r="DT213" s="852" t="n">
        <v>0</v>
      </c>
      <c r="DU213" s="852" t="n">
        <v>0</v>
      </c>
      <c r="DV213" s="852" t="n">
        <v>0</v>
      </c>
      <c r="DW213" s="852" t="n">
        <v>0</v>
      </c>
      <c r="DX213" s="852" t="n">
        <v>0</v>
      </c>
      <c r="DY213" s="852" t="n">
        <v>0</v>
      </c>
      <c r="DZ213" s="852" t="n">
        <v>0</v>
      </c>
      <c r="EA213" s="852" t="n">
        <v>0</v>
      </c>
      <c r="EB213" s="1113" t="n">
        <v>0</v>
      </c>
      <c r="EC213" s="1115" t="n">
        <f aca="false">DS213*BD213</f>
        <v>0</v>
      </c>
      <c r="ED213" s="1115" t="n">
        <f aca="false">DT213*BE213</f>
        <v>0</v>
      </c>
      <c r="EE213" s="1115" t="n">
        <f aca="false">DU213*BF213</f>
        <v>0</v>
      </c>
      <c r="EF213" s="1115" t="n">
        <f aca="false">DV213*BG213</f>
        <v>0</v>
      </c>
      <c r="EG213" s="1115" t="n">
        <f aca="false">DS213*BD213+DT213*BE213+DU213*BF213+DV213*BG213</f>
        <v>0</v>
      </c>
      <c r="EH213" s="1116" t="n">
        <v>0</v>
      </c>
      <c r="EI213" s="1117" t="n">
        <v>0</v>
      </c>
      <c r="EJ213" s="1117" t="n">
        <v>0</v>
      </c>
      <c r="EK213" s="1117" t="n">
        <v>0</v>
      </c>
      <c r="EL213" s="1118" t="n">
        <f aca="false">IF(C213&gt;=Summary!$E$26,MAX(0,SUM(EH213:EK213)),0)</f>
        <v>0</v>
      </c>
      <c r="EM213" s="1115" t="n">
        <f aca="false">IF(C213&gt;=Summary!$E$26,DX213*BL213,0)</f>
        <v>0</v>
      </c>
      <c r="EN213" s="1115" t="n">
        <f aca="false">IF(C213&gt;=Summary!$E$26,DY213*BM213,0)</f>
        <v>0</v>
      </c>
      <c r="EO213" s="1115" t="n">
        <f aca="false">IF(C213&gt;=Summary!$E$26,DZ213*BN213,0)</f>
        <v>0</v>
      </c>
      <c r="EP213" s="1115" t="n">
        <f aca="false">IF(C213&gt;=Summary!$E$26,EA213*BO213,0)</f>
        <v>0</v>
      </c>
      <c r="EQ213" s="1115" t="n">
        <f aca="false">IF(C213&gt;=Summary!$E$26,DX213*BL213+DY213*BM213+DZ213*BN213+EA213*BO213,0)</f>
        <v>0</v>
      </c>
      <c r="ER213" s="1119" t="n">
        <v>0</v>
      </c>
      <c r="ES213" s="1120" t="n">
        <v>0</v>
      </c>
      <c r="ET213" s="1120" t="n">
        <v>0</v>
      </c>
      <c r="EU213" s="1120" t="n">
        <v>0</v>
      </c>
      <c r="EV213" s="1143" t="n">
        <f aca="false">IF(C213&gt;=Summary!$E$26,MAX(0,SUM(ER213:EU213)),0)</f>
        <v>0</v>
      </c>
      <c r="EW213" s="1115"/>
      <c r="EX213" s="1165" t="n">
        <f aca="false">(EQ213-EV213)+IF(EZ213="Yes",(EG213-EL213),0)</f>
        <v>0</v>
      </c>
      <c r="EY213" s="1166" t="str">
        <f aca="false">IF(EX213,EX213/EQ213,"")</f>
        <v/>
      </c>
      <c r="EZ213" s="1122" t="s">
        <v>37</v>
      </c>
      <c r="FA213" s="1096" t="n">
        <f aca="false">FA212</f>
        <v>45</v>
      </c>
      <c r="FB213" s="1167" t="e">
        <f aca="false">IF(EZ213="No",IF((OR(MONTH(C213)=5,MONTH(C213)=6,MONTH(C213)=7,MONTH(C213)=8,MONTH(C213)=9)),$FA213*12*AX213*(1-$BC213),$FA213*10*AX213*(1-$BC213)),0)</f>
        <v>#VALUE!</v>
      </c>
      <c r="FC213" s="1129" t="n">
        <f aca="false">IF(EZ213="No",IF((OR(MONTH(C213)=5,MONTH(C213)=6,MONTH(C213)=7,MONTH(C213)=8,MONTH(C213)=9)),0,$FA213*3*AX213*(1-$BC213)),0)</f>
        <v>0</v>
      </c>
      <c r="FD213" s="1129" t="e">
        <f aca="false">IF(EZ213="No",IF((OR(MONTH(C213)=5,MONTH(C213)=6,MONTH(C213)=7,MONTH(C213)=8,MONTH(C213)=9)),$FA213*12*AY213*(1-$BC213),$FA213*10*AY213*(1-$BC213)),0)</f>
        <v>#VALUE!</v>
      </c>
      <c r="FE213" s="1129" t="n">
        <f aca="false">IF(EZ213="No",IF((OR(MONTH(C213)=5,MONTH(C213)=6,MONTH(C213)=7,MONTH(C213)=8,MONTH(C213)=9)),0,$FA213*3*AY213*(1-$BC213)),0)</f>
        <v>0</v>
      </c>
      <c r="FF213" s="1129" t="e">
        <f aca="false">IF(EZ213="No",IF((OR(MONTH(C213)=5,MONTH(C213)=6,MONTH(C213)=7,MONTH(C213)=8,MONTH(C213)=9)),$FA213*12*(AZ213+BA213)*(1-$BC213),$FA213*10*(AZ213+BA213)*(1-$BC213)),0)</f>
        <v>#VALUE!</v>
      </c>
      <c r="FG213" s="1129" t="n">
        <f aca="false">IF(EZ213="No",IF((OR(MONTH(C213)=5,MONTH(C213)=6,MONTH(C213)=7,MONTH(C213)=8,MONTH(C213)=9)),0,$FA213*3*(AZ213+BA213)*(1-$BC213)),0)</f>
        <v>0</v>
      </c>
      <c r="FH213" s="1170" t="e">
        <f aca="false">IF(EZ213="No",IF((OR(MONTH(C213)=5,MONTH(C213)=6,MONTH(C213)=7,MONTH(C213)=8,MONTH(C213)=9)),Summary!$O$15*12*(AX213+AY213+AZ213+BA213)*(1-$BC213),Summary!$O$15*13*(AX213+AY213+AZ213+BA213)*(1-$BC213)+IF(Summary!$O$16="Yes",(CALC!FA213+Summary!$O$15)*6*(AX213+AY213+AZ213+BA213)*(1-$BC213),0)),0)</f>
        <v>#VALUE!</v>
      </c>
      <c r="FI213" s="1126" t="n">
        <f aca="false">IF(MONTH(C213)=5,FI212*(IF(Summary!$E$70="no",(1+(Summary!$E$71*0.8)),1+HLOOKUP(YEAR(C213)-1,CCFMODEL!$I$127:$AF$128,2)*0.8)),+FI212)</f>
        <v>39.812819442007</v>
      </c>
      <c r="FJ213" s="1127" t="n">
        <f aca="false">IF(MONTH(C213)=5,FJ212*(IF(Summary!$E$70="no",(1+(Summary!$E$71*0.8)),1+HLOOKUP(YEAR(CALC!C213)-1,CCFMODEL!$I$127:$AF$128,2)*0.8)),FJ212)</f>
        <v>34.7970311658486</v>
      </c>
      <c r="FK213" s="1128" t="e">
        <f aca="false">SUM(FB213:FG213)*FI213+FH213*FJ213</f>
        <v>#VALUE!</v>
      </c>
      <c r="FL213" s="1126" t="n">
        <f aca="false">IF(MONTH(C213)=5,FL212*(IF(Summary!$E$70="no",(1+(Summary!$E$71*0.8)),1+HLOOKUP(YEAR(CALC!C213)-1,CCFMODEL!$I$127:$AF$128,2)*0.8)),+FL212)</f>
        <v>83.7308227409887</v>
      </c>
      <c r="FM213" s="1127" t="n">
        <f aca="false">IF(MONTH(C213)=5,FM212*(IF(Summary!$E$70="no",(1+(Summary!$E$71*0.8)),1+HLOOKUP(YEAR(CALC!C213)-1,CCFMODEL!$I$127:$AF$128,2)*0.8)),+FM212)</f>
        <v>39.9620988549879</v>
      </c>
      <c r="FN213" s="1128" t="e">
        <f aca="false">IF((OR(MONTH(C213)=5,MONTH(C213)=6,MONTH(C213)=7,MONTH(C213)=8,MONTH(C213)=9)),SUM(FB213:FG213)/(1-BC213)*FL213,SUM(FB213:FG213)/(1-BC213)*FM213)</f>
        <v>#VALUE!</v>
      </c>
      <c r="FO213" s="1129" t="e">
        <f aca="false">FK213+FN213</f>
        <v>#VALUE!</v>
      </c>
      <c r="FP213" s="1169" t="e">
        <f aca="false">FB213</f>
        <v>#VALUE!</v>
      </c>
      <c r="FQ213" s="1129" t="n">
        <f aca="false">FC213</f>
        <v>0</v>
      </c>
      <c r="FR213" s="1129" t="e">
        <f aca="false">FD213</f>
        <v>#VALUE!</v>
      </c>
      <c r="FS213" s="1129" t="n">
        <f aca="false">FE213</f>
        <v>0</v>
      </c>
      <c r="FT213" s="1129" t="e">
        <f aca="false">FF213</f>
        <v>#VALUE!</v>
      </c>
      <c r="FU213" s="1129" t="n">
        <f aca="false">FG213</f>
        <v>0</v>
      </c>
      <c r="FV213" s="1170" t="e">
        <f aca="false">FH213</f>
        <v>#VALUE!</v>
      </c>
      <c r="FW213" s="1115" t="n">
        <f aca="false">IF(ER213&gt;0,MIN(FB213-FP213,BL213),0)</f>
        <v>0</v>
      </c>
      <c r="FX213" s="1115" t="n">
        <f aca="false">IF(ES213&gt;0,MIN(FD213-FR213,BM213),0)</f>
        <v>0</v>
      </c>
      <c r="FY213" s="1115" t="n">
        <f aca="false">IF(ET213&gt;0,MIN(FF213-FT213,BN213),0)</f>
        <v>0</v>
      </c>
      <c r="FZ213" s="1143" t="n">
        <f aca="false">IF(EU213&gt;0,MIN(FH213-FV213,BO213),0)</f>
        <v>0</v>
      </c>
      <c r="GA213" s="1132" t="e">
        <f aca="false">(SUM(FP213:FV213)+SUM(GU213:HB213)/(1-Summary!$O$25))*CY213/1000</f>
        <v>#VALUE!</v>
      </c>
      <c r="GB213" s="1133" t="n">
        <f aca="false">IF($C213&lt;Summary!$M$81,+Summary!$O$81,VLOOKUP(C213,GasTable,19))</f>
        <v>3.35650239750445</v>
      </c>
      <c r="GC213" s="1134" t="n">
        <f aca="false">IF(H213&lt;=Summary!$N$84,MIN(GA213,Summary!$O$75*(H213-G213+1)),0)</f>
        <v>0</v>
      </c>
      <c r="GD213" s="1135" t="n">
        <f aca="false">IF(C213&lt;Summary!$N$84,IF(Summary!$O$75*(H213-G213+1)*0.8&gt;GC213,1,0),0)</f>
        <v>0</v>
      </c>
      <c r="GE213" s="1136" t="n">
        <v>0</v>
      </c>
      <c r="GF213" s="1134" t="e">
        <f aca="false">ABS(MIN(0,GC213-$GA213))</f>
        <v>#VALUE!</v>
      </c>
      <c r="GG213" s="1135" t="e">
        <f aca="false">GF213*(IF(Summary!$O$74=1,VLOOKUP($C213,GasTable,16)+Summary!$O$92+Summary!$O$93,VLOOKUP($C213,GasTable,19)+Summary!$O$92+Summary!$O$93))</f>
        <v>#VALUE!</v>
      </c>
      <c r="GH213" s="1137" t="n">
        <v>5202.57871613189</v>
      </c>
      <c r="GI213" s="1138" t="n">
        <v>0</v>
      </c>
      <c r="GJ213" s="1139" t="e">
        <f aca="false">+GB213*GC213+GE213+GG213+GH213-GI213</f>
        <v>#VALUE!</v>
      </c>
      <c r="GK213" s="1115" t="e">
        <f aca="false">SUM(FP213:FV213,GU213:GX213,GY213:HB213)</f>
        <v>#VALUE!</v>
      </c>
      <c r="GL213" s="1140" t="n">
        <v>0.5141683716</v>
      </c>
      <c r="GM213" s="1141" t="e">
        <f aca="false">IF(GK213&gt;GC213/(CY213/1000),GC213/(CY213/1000),+GK213)*GL213</f>
        <v>#VALUE!</v>
      </c>
      <c r="GN213" s="1115" t="n">
        <f aca="false">IF(SUM(GU213:HB213)=0,0,IF(Summary!$O$16="Yes",SUM(GX213:HB213),IF(Summary!$O$17="Yes",SUM(GY213:HB213),SUM(GU213:HB213))))</f>
        <v>9547.0731</v>
      </c>
      <c r="GO213" s="1142" t="n">
        <v>3.81843996798547</v>
      </c>
      <c r="GP213" s="1143" t="n">
        <f aca="false">GN213*GO213</f>
        <v>36454.925502319</v>
      </c>
      <c r="GQ213" s="1115"/>
      <c r="GR213" s="1115"/>
      <c r="GS213" s="1115"/>
      <c r="GT213" s="1115"/>
      <c r="GU213" s="1150" t="n">
        <v>3592.9845</v>
      </c>
      <c r="GV213" s="1115" t="n">
        <v>684.378</v>
      </c>
      <c r="GW213" s="1115" t="n">
        <v>1026.567</v>
      </c>
      <c r="GX213" s="1115"/>
      <c r="GY213" s="1151" t="n">
        <v>2874.3876</v>
      </c>
      <c r="GZ213" s="1115" t="n">
        <v>547.5024</v>
      </c>
      <c r="HA213" s="1115" t="n">
        <v>821.2536</v>
      </c>
      <c r="HB213" s="1141"/>
      <c r="HC213" s="1115" t="n">
        <v>9547.0731</v>
      </c>
      <c r="HD213" s="1115"/>
      <c r="HE213" s="1115" t="n">
        <v>22276.5039</v>
      </c>
      <c r="HF213" s="1115" t="n">
        <v>423883.657194266</v>
      </c>
      <c r="HG213" s="1115"/>
      <c r="HH213" s="1142" t="n">
        <v>44.985163175576</v>
      </c>
      <c r="HI213" s="1115" t="n">
        <v>1002112.16292286</v>
      </c>
      <c r="HJ213" s="1150" t="e">
        <f aca="false">MAX(FB213-FP213-FW213,0)</f>
        <v>#VALUE!</v>
      </c>
      <c r="HK213" s="1115" t="e">
        <f aca="false">MAX(FD213-FR213-FX213,0)</f>
        <v>#VALUE!</v>
      </c>
      <c r="HL213" s="1115" t="e">
        <f aca="false">MAX(FF213-FT213-FY213,0)</f>
        <v>#VALUE!</v>
      </c>
      <c r="HM213" s="1141" t="e">
        <f aca="false">MAX(FH213-FV213-FZ213,0)</f>
        <v>#VALUE!</v>
      </c>
      <c r="HN213" s="1115" t="e">
        <f aca="false">SUM(HJ213:HM213)</f>
        <v>#VALUE!</v>
      </c>
      <c r="HO213" s="1142" t="n">
        <f aca="false">IF(ISERROR(+HP213/HN213),0,+HP213/HN213)</f>
        <v>0</v>
      </c>
      <c r="HP213" s="1143" t="e">
        <f aca="false">(HJ213*CE213+HK213*CF213+HL213*CG213+HM213*CH213)</f>
        <v>#VALUE!</v>
      </c>
      <c r="HQ213" s="1142"/>
      <c r="HR213" s="1150"/>
      <c r="HS213" s="1200"/>
      <c r="HT213" s="1141"/>
      <c r="HU213" s="1150"/>
      <c r="HV213" s="1200"/>
      <c r="HW213" s="1141"/>
      <c r="HX213" s="1200"/>
      <c r="HY213" s="1200"/>
      <c r="HZ213" s="0"/>
      <c r="IA213" s="1142"/>
      <c r="IB213" s="1142"/>
      <c r="IC213" s="1142"/>
      <c r="ID213" s="1142"/>
      <c r="IE213" s="1142"/>
      <c r="IF213" s="1142"/>
      <c r="IG213" s="1142"/>
      <c r="IH213" s="1142"/>
      <c r="II213" s="1142"/>
      <c r="IJ213" s="1142"/>
      <c r="IK213" s="1142"/>
      <c r="IL213" s="1190"/>
      <c r="IM213" s="222"/>
      <c r="IN213" s="222"/>
      <c r="IR213" s="844"/>
    </row>
    <row r="214" customFormat="false" ht="13.5" hidden="false" customHeight="false" outlineLevel="0" collapsed="false">
      <c r="A214" s="0" t="str">
        <f aca="false">+D214&amp;"Q"&amp;ROUNDUP(E214/3,0)</f>
        <v>2016Q2</v>
      </c>
      <c r="B214" s="0" t="n">
        <f aca="false">YEAR(C214)</f>
        <v>2016</v>
      </c>
      <c r="C214" s="1153" t="n">
        <f aca="false">EOMONTH(C213,0)+1</f>
        <v>42522</v>
      </c>
      <c r="D214" s="841" t="n">
        <f aca="false">+YEAR(C214)</f>
        <v>2016</v>
      </c>
      <c r="E214" s="807" t="n">
        <f aca="false">MONTH(C214)</f>
        <v>6</v>
      </c>
      <c r="F214" s="1154" t="e">
        <f aca="false">IF(G214="","",Holiday(D214,E214))</f>
        <v>#VALUE!</v>
      </c>
      <c r="G214" s="1155" t="n">
        <v>42522</v>
      </c>
      <c r="H214" s="1156" t="n">
        <v>42551</v>
      </c>
      <c r="I214" s="1157" t="n">
        <f aca="false">I213</f>
        <v>0.0715</v>
      </c>
      <c r="J214" s="1158" t="n">
        <f aca="false">(1+I214/2)^(-2*(DATE(D215,E215,20)-$H$7)/365.25)</f>
        <v>0.311624782088986</v>
      </c>
      <c r="K214" s="1159"/>
      <c r="L214" s="1158"/>
      <c r="M214" s="1082" t="n">
        <v>0</v>
      </c>
      <c r="N214" s="1110" t="n">
        <f aca="false">M214</f>
        <v>0</v>
      </c>
      <c r="O214" s="1174" t="n">
        <f aca="false">N214</f>
        <v>0</v>
      </c>
      <c r="P214" s="1175" t="n">
        <f aca="false">M214</f>
        <v>0</v>
      </c>
      <c r="Q214" s="1110" t="n">
        <f aca="false">P214</f>
        <v>0</v>
      </c>
      <c r="R214" s="1174" t="n">
        <f aca="false">Q214</f>
        <v>0</v>
      </c>
      <c r="S214" s="1110" t="n">
        <f aca="false">R214</f>
        <v>0</v>
      </c>
      <c r="T214" s="1110" t="n">
        <f aca="false">S214</f>
        <v>0</v>
      </c>
      <c r="U214" s="1110" t="n">
        <f aca="false">T214</f>
        <v>0</v>
      </c>
      <c r="V214" s="1175" t="n">
        <f aca="false">U214</f>
        <v>0</v>
      </c>
      <c r="W214" s="1110" t="n">
        <f aca="false">V214</f>
        <v>0</v>
      </c>
      <c r="X214" s="1176" t="n">
        <f aca="false">W214</f>
        <v>0</v>
      </c>
      <c r="Y214" s="1086" t="n">
        <v>0</v>
      </c>
      <c r="Z214" s="1086" t="n">
        <v>0</v>
      </c>
      <c r="AA214" s="1087" t="n">
        <v>0</v>
      </c>
      <c r="AB214" s="1086" t="n">
        <v>0</v>
      </c>
      <c r="AC214" s="1086" t="n">
        <v>0</v>
      </c>
      <c r="AD214" s="1087" t="n">
        <v>0</v>
      </c>
      <c r="AE214" s="1086" t="n">
        <v>0</v>
      </c>
      <c r="AF214" s="1086" t="n">
        <v>0</v>
      </c>
      <c r="AG214" s="1087" t="n">
        <v>0</v>
      </c>
      <c r="AH214" s="1086" t="n">
        <v>0</v>
      </c>
      <c r="AI214" s="1086" t="n">
        <v>0</v>
      </c>
      <c r="AJ214" s="1087" t="n">
        <v>0</v>
      </c>
      <c r="AK214" s="1086" t="n">
        <v>0</v>
      </c>
      <c r="AL214" s="1086" t="n">
        <v>0</v>
      </c>
      <c r="AM214" s="1087" t="n">
        <v>0</v>
      </c>
      <c r="AN214" s="1086" t="n">
        <v>0</v>
      </c>
      <c r="AO214" s="1086" t="n">
        <v>0</v>
      </c>
      <c r="AP214" s="1087" t="n">
        <v>0</v>
      </c>
      <c r="AQ214" s="1086" t="n">
        <v>0</v>
      </c>
      <c r="AR214" s="1086" t="n">
        <v>0</v>
      </c>
      <c r="AS214" s="1087" t="n">
        <v>0</v>
      </c>
      <c r="AT214" s="1086" t="n">
        <v>0</v>
      </c>
      <c r="AU214" s="1086" t="n">
        <v>0</v>
      </c>
      <c r="AV214" s="1086" t="n">
        <v>0</v>
      </c>
      <c r="AW214" s="1172" t="n">
        <v>0</v>
      </c>
      <c r="AX214" s="807" t="n">
        <f aca="false">BB214-SUM(AY214:BA214)</f>
        <v>22</v>
      </c>
      <c r="AY214" s="807" t="n">
        <f aca="false">IF(AND($E214=MONTH(Summary!$E$24),$D214=YEAR(Summary!$E$24)),Summary!$E$25,1)*IF(G214="",0,INT((H214-MOD(H214,7)-G214)/7)+1-IF(BA214,IF(WEEKDAY(F214)=7,1,0),0))</f>
        <v>4</v>
      </c>
      <c r="AZ214" s="807" t="n">
        <f aca="false">IF(AND($E214=MONTH(Summary!$E$24),$D214=YEAR(Summary!$E$24)),Summary!$E$25,1)*IF(G214="",0,INT((H214-MOD(H214-1,7)-G214)/7)+1-IF(BA214,IF(WEEKDAY(F214)=1,1,0),0))</f>
        <v>4</v>
      </c>
      <c r="BA214" s="807" t="n">
        <v>0</v>
      </c>
      <c r="BB214" s="807" t="n">
        <f aca="false">IF(AND($E214=MONTH(Summary!$E$24),$D214=YEAR(Summary!$E$24)),Summary!$E$25,1)*IF(G214="",0,H214-G214+1)</f>
        <v>30</v>
      </c>
      <c r="BC214" s="1089" t="n">
        <f aca="false">Summary!$E$19</f>
        <v>0.015</v>
      </c>
      <c r="BD214" s="1090" t="n">
        <v>15602.4</v>
      </c>
      <c r="BE214" s="1091" t="n">
        <v>2836.8</v>
      </c>
      <c r="BF214" s="1091" t="n">
        <v>2836.8</v>
      </c>
      <c r="BG214" s="842"/>
      <c r="BH214" s="1092" t="n">
        <v>1</v>
      </c>
      <c r="BI214" s="1092" t="n">
        <v>1</v>
      </c>
      <c r="BJ214" s="1092" t="n">
        <v>1</v>
      </c>
      <c r="BK214" s="1092" t="n">
        <v>1</v>
      </c>
      <c r="BL214" s="1093" t="n">
        <v>3120.48</v>
      </c>
      <c r="BM214" s="1091" t="n">
        <v>567.36</v>
      </c>
      <c r="BN214" s="1091" t="n">
        <v>567.36</v>
      </c>
      <c r="BO214" s="842"/>
      <c r="BP214" s="1092" t="n">
        <v>1</v>
      </c>
      <c r="BQ214" s="1094" t="n">
        <v>1</v>
      </c>
      <c r="BR214" s="1094" t="n">
        <v>1</v>
      </c>
      <c r="BS214" s="1095" t="n">
        <v>1</v>
      </c>
      <c r="BT214" s="1093" t="n">
        <f aca="false">SUM(BD214:BF214)</f>
        <v>21276</v>
      </c>
      <c r="BU214" s="1098" t="n">
        <f aca="false">SUM(BD214:BG214)</f>
        <v>21276</v>
      </c>
      <c r="BV214" s="1090" t="n">
        <f aca="false">SUM(BL214:BN214)</f>
        <v>4255.2</v>
      </c>
      <c r="BW214" s="1098" t="n">
        <f aca="false">SUM(BL214:BO214)</f>
        <v>4255.2</v>
      </c>
      <c r="BX214" s="852" t="n">
        <v>16.4626967830253</v>
      </c>
      <c r="BY214" s="1099" t="n">
        <v>0</v>
      </c>
      <c r="BZ214" s="852" t="n">
        <v>0</v>
      </c>
      <c r="CA214" s="852" t="n">
        <v>0</v>
      </c>
      <c r="CB214" s="852" t="n">
        <v>0</v>
      </c>
      <c r="CC214" s="852" t="n">
        <v>0</v>
      </c>
      <c r="CD214" s="852" t="n">
        <v>0</v>
      </c>
      <c r="CE214" s="1100" t="n">
        <v>0</v>
      </c>
      <c r="CF214" s="852" t="n">
        <v>0</v>
      </c>
      <c r="CG214" s="852" t="n">
        <v>0</v>
      </c>
      <c r="CH214" s="852" t="n">
        <v>0</v>
      </c>
      <c r="CI214" s="852" t="n">
        <v>0</v>
      </c>
      <c r="CJ214" s="1101" t="n">
        <v>0</v>
      </c>
      <c r="CK214" s="852" t="n">
        <v>0</v>
      </c>
      <c r="CL214" s="852" t="n">
        <v>0</v>
      </c>
      <c r="CM214" s="852" t="n">
        <v>0</v>
      </c>
      <c r="CN214" s="852" t="n">
        <v>0</v>
      </c>
      <c r="CO214" s="852" t="n">
        <v>0</v>
      </c>
      <c r="CP214" s="852" t="n">
        <v>0</v>
      </c>
      <c r="CQ214" s="1102" t="n">
        <v>0</v>
      </c>
      <c r="CR214" s="1103" t="n">
        <v>0</v>
      </c>
      <c r="CS214" s="1103" t="n">
        <v>0</v>
      </c>
      <c r="CT214" s="1103" t="n">
        <v>0</v>
      </c>
      <c r="CU214" s="1103" t="n">
        <v>0</v>
      </c>
      <c r="CV214" s="1103" t="n">
        <v>0</v>
      </c>
      <c r="CW214" s="1103" t="n">
        <v>0</v>
      </c>
      <c r="CX214" s="1104" t="n">
        <v>0</v>
      </c>
      <c r="CY214" s="1105" t="n">
        <v>7676.18576</v>
      </c>
      <c r="CZ214" s="1099" t="n">
        <v>0</v>
      </c>
      <c r="DA214" s="852" t="n">
        <v>0</v>
      </c>
      <c r="DB214" s="852" t="n">
        <v>0</v>
      </c>
      <c r="DC214" s="852" t="n">
        <v>0</v>
      </c>
      <c r="DD214" s="852" t="n">
        <v>0</v>
      </c>
      <c r="DE214" s="1113" t="n">
        <v>0</v>
      </c>
      <c r="DF214" s="1109" t="n">
        <v>0</v>
      </c>
      <c r="DG214" s="1110" t="n">
        <v>0</v>
      </c>
      <c r="DH214" s="1111" t="n">
        <v>0</v>
      </c>
      <c r="DI214" s="1112" t="n">
        <v>0</v>
      </c>
      <c r="DJ214" s="1112" t="n">
        <v>0</v>
      </c>
      <c r="DK214" s="1112" t="n">
        <v>0</v>
      </c>
      <c r="DL214" s="1113" t="n">
        <v>0</v>
      </c>
      <c r="DM214" s="1114" t="n">
        <v>0</v>
      </c>
      <c r="DN214" s="1114" t="n">
        <v>0</v>
      </c>
      <c r="DO214" s="1114" t="n">
        <v>0</v>
      </c>
      <c r="DP214" s="1114" t="n">
        <v>0</v>
      </c>
      <c r="DQ214" s="1114" t="n">
        <v>0</v>
      </c>
      <c r="DR214" s="1109" t="n">
        <v>0</v>
      </c>
      <c r="DS214" s="852" t="n">
        <v>0</v>
      </c>
      <c r="DT214" s="852" t="n">
        <v>0</v>
      </c>
      <c r="DU214" s="852" t="n">
        <v>0</v>
      </c>
      <c r="DV214" s="852" t="n">
        <v>0</v>
      </c>
      <c r="DW214" s="852" t="n">
        <v>0</v>
      </c>
      <c r="DX214" s="852" t="n">
        <v>0</v>
      </c>
      <c r="DY214" s="852" t="n">
        <v>0</v>
      </c>
      <c r="DZ214" s="852" t="n">
        <v>0</v>
      </c>
      <c r="EA214" s="852" t="n">
        <v>0</v>
      </c>
      <c r="EB214" s="1113" t="n">
        <v>0</v>
      </c>
      <c r="EC214" s="1115" t="n">
        <f aca="false">DS214*BD214</f>
        <v>0</v>
      </c>
      <c r="ED214" s="1115" t="n">
        <f aca="false">DT214*BE214</f>
        <v>0</v>
      </c>
      <c r="EE214" s="1115" t="n">
        <f aca="false">DU214*BF214</f>
        <v>0</v>
      </c>
      <c r="EF214" s="1115" t="n">
        <f aca="false">DV214*BG214</f>
        <v>0</v>
      </c>
      <c r="EG214" s="1115" t="n">
        <f aca="false">DS214*BD214+DT214*BE214+DU214*BF214+DV214*BG214</f>
        <v>0</v>
      </c>
      <c r="EH214" s="1116" t="n">
        <v>0</v>
      </c>
      <c r="EI214" s="1117" t="n">
        <v>0</v>
      </c>
      <c r="EJ214" s="1117" t="n">
        <v>0</v>
      </c>
      <c r="EK214" s="1117" t="n">
        <v>0</v>
      </c>
      <c r="EL214" s="1118" t="n">
        <f aca="false">IF(C214&gt;=Summary!$E$26,MAX(0,SUM(EH214:EK214)),0)</f>
        <v>0</v>
      </c>
      <c r="EM214" s="1115" t="n">
        <f aca="false">IF(C214&gt;=Summary!$E$26,DX214*BL214,0)</f>
        <v>0</v>
      </c>
      <c r="EN214" s="1115" t="n">
        <f aca="false">IF(C214&gt;=Summary!$E$26,DY214*BM214,0)</f>
        <v>0</v>
      </c>
      <c r="EO214" s="1115" t="n">
        <f aca="false">IF(C214&gt;=Summary!$E$26,DZ214*BN214,0)</f>
        <v>0</v>
      </c>
      <c r="EP214" s="1115" t="n">
        <f aca="false">IF(C214&gt;=Summary!$E$26,EA214*BO214,0)</f>
        <v>0</v>
      </c>
      <c r="EQ214" s="1115" t="n">
        <f aca="false">IF(C214&gt;=Summary!$E$26,DX214*BL214+DY214*BM214+DZ214*BN214+EA214*BO214,0)</f>
        <v>0</v>
      </c>
      <c r="ER214" s="1119" t="n">
        <v>0</v>
      </c>
      <c r="ES214" s="1120" t="n">
        <v>0</v>
      </c>
      <c r="ET214" s="1120" t="n">
        <v>0</v>
      </c>
      <c r="EU214" s="1120" t="n">
        <v>0</v>
      </c>
      <c r="EV214" s="1143" t="n">
        <f aca="false">IF(C214&gt;=Summary!$E$26,MAX(0,SUM(ER214:EU214)),0)</f>
        <v>0</v>
      </c>
      <c r="EW214" s="1115"/>
      <c r="EX214" s="1165" t="n">
        <f aca="false">(EQ214-EV214)+IF(EZ214="Yes",(EG214-EL214),0)</f>
        <v>0</v>
      </c>
      <c r="EY214" s="1166" t="str">
        <f aca="false">IF(EX214,EX214/EQ214,"")</f>
        <v/>
      </c>
      <c r="EZ214" s="1122" t="s">
        <v>37</v>
      </c>
      <c r="FA214" s="1096" t="n">
        <f aca="false">FA213</f>
        <v>45</v>
      </c>
      <c r="FB214" s="1167" t="n">
        <f aca="false">IF(EZ214="No",IF((OR(MONTH(C214)=5,MONTH(C214)=6,MONTH(C214)=7,MONTH(C214)=8,MONTH(C214)=9)),$FA214*12*AX214*(1-$BC214),$FA214*10*AX214*(1-$BC214)),0)</f>
        <v>11701.8</v>
      </c>
      <c r="FC214" s="1129" t="n">
        <f aca="false">IF(EZ214="No",IF((OR(MONTH(C214)=5,MONTH(C214)=6,MONTH(C214)=7,MONTH(C214)=8,MONTH(C214)=9)),0,$FA214*3*AX214*(1-$BC214)),0)</f>
        <v>0</v>
      </c>
      <c r="FD214" s="1129" t="n">
        <f aca="false">IF(EZ214="No",IF((OR(MONTH(C214)=5,MONTH(C214)=6,MONTH(C214)=7,MONTH(C214)=8,MONTH(C214)=9)),$FA214*12*AY214*(1-$BC214),$FA214*10*AY214*(1-$BC214)),0)</f>
        <v>2127.6</v>
      </c>
      <c r="FE214" s="1129" t="n">
        <f aca="false">IF(EZ214="No",IF((OR(MONTH(C214)=5,MONTH(C214)=6,MONTH(C214)=7,MONTH(C214)=8,MONTH(C214)=9)),0,$FA214*3*AY214*(1-$BC214)),0)</f>
        <v>0</v>
      </c>
      <c r="FF214" s="1129" t="n">
        <f aca="false">IF(EZ214="No",IF((OR(MONTH(C214)=5,MONTH(C214)=6,MONTH(C214)=7,MONTH(C214)=8,MONTH(C214)=9)),$FA214*12*(AZ214+BA214)*(1-$BC214),$FA214*10*(AZ214+BA214)*(1-$BC214)),0)</f>
        <v>2127.6</v>
      </c>
      <c r="FG214" s="1129" t="n">
        <f aca="false">IF(EZ214="No",IF((OR(MONTH(C214)=5,MONTH(C214)=6,MONTH(C214)=7,MONTH(C214)=8,MONTH(C214)=9)),0,$FA214*3*(AZ214+BA214)*(1-$BC214)),0)</f>
        <v>0</v>
      </c>
      <c r="FH214" s="1170" t="n">
        <f aca="false">IF(EZ214="No",IF((OR(MONTH(C214)=5,MONTH(C214)=6,MONTH(C214)=7,MONTH(C214)=8,MONTH(C214)=9)),Summary!$O$15*12*(AX214+AY214+AZ214+BA214)*(1-$BC214),Summary!$O$15*13*(AX214+AY214+AZ214+BA214)*(1-$BC214)+IF(Summary!$O$16="Yes",(CALC!FA214+Summary!$O$15)*6*(AX214+AY214+AZ214+BA214)*(1-$BC214),0)),0)</f>
        <v>0</v>
      </c>
      <c r="FI214" s="1126" t="n">
        <f aca="false">IF(MONTH(C214)=5,FI213*(IF(Summary!$E$70="no",(1+(Summary!$E$71*0.8)),1+HLOOKUP(YEAR(C214)-1,CCFMODEL!$I$127:$AF$128,2)*0.8)),+FI213)</f>
        <v>39.812819442007</v>
      </c>
      <c r="FJ214" s="1127" t="n">
        <f aca="false">IF(MONTH(C214)=5,FJ213*(IF(Summary!$E$70="no",(1+(Summary!$E$71*0.8)),1+HLOOKUP(YEAR(CALC!C214)-1,CCFMODEL!$I$127:$AF$128,2)*0.8)),FJ213)</f>
        <v>34.7970311658486</v>
      </c>
      <c r="FK214" s="1128" t="n">
        <f aca="false">SUM(FB214:FG214)*FI214+FH214*FJ214</f>
        <v>635293.159836105</v>
      </c>
      <c r="FL214" s="1126" t="n">
        <f aca="false">IF(MONTH(C214)=5,FL213*(IF(Summary!$E$70="no",(1+(Summary!$E$71*0.8)),1+HLOOKUP(YEAR(CALC!C214)-1,CCFMODEL!$I$127:$AF$128,2)*0.8)),+FL213)</f>
        <v>83.7308227409887</v>
      </c>
      <c r="FM214" s="1127" t="n">
        <f aca="false">IF(MONTH(C214)=5,FM213*(IF(Summary!$E$70="no",(1+(Summary!$E$71*0.8)),1+HLOOKUP(YEAR(CALC!C214)-1,CCFMODEL!$I$127:$AF$128,2)*0.8)),+FM213)</f>
        <v>39.9620988549879</v>
      </c>
      <c r="FN214" s="1128" t="n">
        <f aca="false">IF((OR(MONTH(C214)=5,MONTH(C214)=6,MONTH(C214)=7,MONTH(C214)=8,MONTH(C214)=9)),SUM(FB214:FG214)/(1-BC214)*FL214,SUM(FB214:FG214)/(1-BC214)*FM214)</f>
        <v>1356439.32840402</v>
      </c>
      <c r="FO214" s="1129" t="n">
        <f aca="false">FK214+FN214</f>
        <v>1991732.48824012</v>
      </c>
      <c r="FP214" s="1169" t="n">
        <f aca="false">FB214</f>
        <v>11701.8</v>
      </c>
      <c r="FQ214" s="1129" t="n">
        <f aca="false">FC214</f>
        <v>0</v>
      </c>
      <c r="FR214" s="1129" t="n">
        <f aca="false">FD214</f>
        <v>2127.6</v>
      </c>
      <c r="FS214" s="1129" t="n">
        <f aca="false">FE214</f>
        <v>0</v>
      </c>
      <c r="FT214" s="1129" t="n">
        <f aca="false">FF214</f>
        <v>2127.6</v>
      </c>
      <c r="FU214" s="1129" t="n">
        <f aca="false">FG214</f>
        <v>0</v>
      </c>
      <c r="FV214" s="1170" t="n">
        <f aca="false">FH214</f>
        <v>0</v>
      </c>
      <c r="FW214" s="1115" t="n">
        <f aca="false">IF(ER214&gt;0,MIN(FB214-FP214,BL214),0)</f>
        <v>0</v>
      </c>
      <c r="FX214" s="1115" t="n">
        <f aca="false">IF(ES214&gt;0,MIN(FD214-FR214,BM214),0)</f>
        <v>0</v>
      </c>
      <c r="FY214" s="1115" t="n">
        <f aca="false">IF(ET214&gt;0,MIN(FF214-FT214,BN214),0)</f>
        <v>0</v>
      </c>
      <c r="FZ214" s="1143" t="n">
        <f aca="false">IF(EU214&gt;0,MIN(FH214-FV214,BO214),0)</f>
        <v>0</v>
      </c>
      <c r="GA214" s="1132" t="n">
        <f aca="false">(SUM(FP214:FV214)+SUM(GU214:HB214)/(1-Summary!$O$25))*CY214/1000</f>
        <v>195982.233875712</v>
      </c>
      <c r="GB214" s="1133" t="n">
        <f aca="false">IF($C214&lt;Summary!$M$81,+Summary!$O$81,VLOOKUP(C214,GasTable,19))</f>
        <v>3.39704700869133</v>
      </c>
      <c r="GC214" s="1134" t="n">
        <f aca="false">IF(H214&lt;=Summary!$N$84,MIN(GA214,Summary!$O$75*(H214-G214+1)),0)</f>
        <v>0</v>
      </c>
      <c r="GD214" s="1135" t="n">
        <f aca="false">IF(C214&lt;Summary!$N$84,IF(Summary!$O$75*(H214-G214+1)*0.8&gt;GC214,1,0),0)</f>
        <v>0</v>
      </c>
      <c r="GE214" s="1136" t="n">
        <v>0</v>
      </c>
      <c r="GF214" s="1134" t="n">
        <f aca="false">ABS(MIN(0,GC214-$GA214))</f>
        <v>195982.233875712</v>
      </c>
      <c r="GG214" s="1135" t="n">
        <f aca="false">GF214*(IF(Summary!$O$74=1,VLOOKUP($C214,GasTable,16)+Summary!$O$92+Summary!$O$93,VLOOKUP($C214,GasTable,19)+Summary!$O$92+Summary!$O$93))</f>
        <v>675971.535729056</v>
      </c>
      <c r="GH214" s="1137" t="n">
        <v>5095.57051303699</v>
      </c>
      <c r="GI214" s="1138" t="n">
        <v>0</v>
      </c>
      <c r="GJ214" s="1139" t="n">
        <f aca="false">+GB214*GC214+GE214+GG214+GH214-GI214</f>
        <v>681067.106242093</v>
      </c>
      <c r="GK214" s="1115" t="n">
        <f aca="false">SUM(FP214:FV214,GU214:GX214,GY214:HB214)</f>
        <v>25196.103</v>
      </c>
      <c r="GL214" s="1140" t="n">
        <v>0.51430444592</v>
      </c>
      <c r="GM214" s="1141" t="n">
        <f aca="false">IF(GK214&gt;GC214/(CY214/1000),GC214/(CY214/1000),+GK214)*GL214</f>
        <v>0</v>
      </c>
      <c r="GN214" s="1115" t="n">
        <f aca="false">IF(SUM(GU214:HB214)=0,0,IF(Summary!$O$16="Yes",SUM(GX214:HB214),IF(Summary!$O$17="Yes",SUM(GY214:HB214),SUM(GU214:HB214))))</f>
        <v>9239.103</v>
      </c>
      <c r="GO214" s="1142" t="n">
        <v>3.81843996798547</v>
      </c>
      <c r="GP214" s="1143" t="n">
        <f aca="false">GN214*GO214</f>
        <v>35278.9601635345</v>
      </c>
      <c r="GQ214" s="1115"/>
      <c r="GR214" s="1115"/>
      <c r="GS214" s="1115"/>
      <c r="GT214" s="1115"/>
      <c r="GU214" s="1150" t="n">
        <v>3764.079</v>
      </c>
      <c r="GV214" s="1115" t="n">
        <v>684.378</v>
      </c>
      <c r="GW214" s="1115" t="n">
        <v>684.378</v>
      </c>
      <c r="GX214" s="1115"/>
      <c r="GY214" s="1151" t="n">
        <v>3011.2632</v>
      </c>
      <c r="GZ214" s="1115" t="n">
        <v>547.5024</v>
      </c>
      <c r="HA214" s="1115" t="n">
        <v>547.5024</v>
      </c>
      <c r="HB214" s="1141"/>
      <c r="HC214" s="1115" t="n">
        <v>9239.103</v>
      </c>
      <c r="HD214" s="1115"/>
      <c r="HE214" s="1115" t="n">
        <v>21557.907</v>
      </c>
      <c r="HF214" s="1115" t="n">
        <v>390604.972112856</v>
      </c>
      <c r="HG214" s="1115"/>
      <c r="HH214" s="1142" t="n">
        <v>43.7365073545517</v>
      </c>
      <c r="HI214" s="1115" t="n">
        <v>942867.558054241</v>
      </c>
      <c r="HJ214" s="1150" t="n">
        <f aca="false">MAX(FB214-FP214-FW214,0)</f>
        <v>0</v>
      </c>
      <c r="HK214" s="1115" t="n">
        <f aca="false">MAX(FD214-FR214-FX214,0)</f>
        <v>0</v>
      </c>
      <c r="HL214" s="1115" t="n">
        <f aca="false">MAX(FF214-FT214-FY214,0)</f>
        <v>0</v>
      </c>
      <c r="HM214" s="1141" t="n">
        <f aca="false">MAX(FH214-FV214-FZ214,0)</f>
        <v>0</v>
      </c>
      <c r="HN214" s="1115" t="n">
        <f aca="false">SUM(HJ214:HM214)</f>
        <v>0</v>
      </c>
      <c r="HO214" s="1142" t="n">
        <f aca="false">IF(ISERROR(+HP214/HN214),0,+HP214/HN214)</f>
        <v>0</v>
      </c>
      <c r="HP214" s="1143" t="n">
        <f aca="false">(HJ214*CE214+HK214*CF214+HL214*CG214+HM214*CH214)</f>
        <v>0</v>
      </c>
      <c r="HQ214" s="1142"/>
      <c r="HR214" s="1150"/>
      <c r="HS214" s="1200"/>
      <c r="HT214" s="1141"/>
      <c r="HU214" s="1150"/>
      <c r="HV214" s="1200"/>
      <c r="HW214" s="1141"/>
      <c r="HX214" s="1200"/>
      <c r="HY214" s="1200"/>
      <c r="HZ214" s="0"/>
      <c r="IA214" s="1142"/>
      <c r="IB214" s="1142"/>
      <c r="IC214" s="1142"/>
      <c r="ID214" s="1142"/>
      <c r="IE214" s="1142"/>
      <c r="IF214" s="1142"/>
      <c r="IG214" s="1142"/>
      <c r="IH214" s="1142"/>
      <c r="II214" s="1142"/>
      <c r="IJ214" s="1142"/>
      <c r="IK214" s="1142"/>
      <c r="IL214" s="1190"/>
      <c r="IM214" s="222"/>
      <c r="IN214" s="222"/>
      <c r="IR214" s="844"/>
    </row>
    <row r="215" customFormat="false" ht="13.5" hidden="false" customHeight="false" outlineLevel="0" collapsed="false">
      <c r="A215" s="0" t="str">
        <f aca="false">+D215&amp;"Q"&amp;ROUNDUP(E215/3,0)</f>
        <v>2016Q3</v>
      </c>
      <c r="B215" s="0" t="n">
        <f aca="false">YEAR(C215)</f>
        <v>2016</v>
      </c>
      <c r="C215" s="1153" t="n">
        <f aca="false">EOMONTH(C214,0)+1</f>
        <v>42552</v>
      </c>
      <c r="D215" s="841" t="n">
        <f aca="false">+YEAR(C215)</f>
        <v>2016</v>
      </c>
      <c r="E215" s="807" t="n">
        <f aca="false">MONTH(C215)</f>
        <v>7</v>
      </c>
      <c r="F215" s="1154" t="e">
        <f aca="false">IF(G215="","",Holiday(D215,E215))</f>
        <v>#VALUE!</v>
      </c>
      <c r="G215" s="1155" t="n">
        <v>42552</v>
      </c>
      <c r="H215" s="1156" t="n">
        <v>42582</v>
      </c>
      <c r="I215" s="1157" t="n">
        <f aca="false">I214</f>
        <v>0.0715</v>
      </c>
      <c r="J215" s="1158" t="n">
        <f aca="false">(1+I215/2)^(-2*(DATE(D216,E216,20)-$H$7)/365.25)</f>
        <v>0.309772250568045</v>
      </c>
      <c r="K215" s="1159"/>
      <c r="L215" s="1158"/>
      <c r="M215" s="1082" t="n">
        <v>0</v>
      </c>
      <c r="N215" s="1110" t="n">
        <f aca="false">M215</f>
        <v>0</v>
      </c>
      <c r="O215" s="1174" t="n">
        <f aca="false">N215</f>
        <v>0</v>
      </c>
      <c r="P215" s="1175" t="n">
        <f aca="false">M215</f>
        <v>0</v>
      </c>
      <c r="Q215" s="1110" t="n">
        <f aca="false">P215</f>
        <v>0</v>
      </c>
      <c r="R215" s="1174" t="n">
        <f aca="false">Q215</f>
        <v>0</v>
      </c>
      <c r="S215" s="1110" t="n">
        <f aca="false">R215</f>
        <v>0</v>
      </c>
      <c r="T215" s="1110" t="n">
        <f aca="false">S215</f>
        <v>0</v>
      </c>
      <c r="U215" s="1110" t="n">
        <f aca="false">T215</f>
        <v>0</v>
      </c>
      <c r="V215" s="1175" t="n">
        <f aca="false">U215</f>
        <v>0</v>
      </c>
      <c r="W215" s="1110" t="n">
        <f aca="false">V215</f>
        <v>0</v>
      </c>
      <c r="X215" s="1176" t="n">
        <f aca="false">W215</f>
        <v>0</v>
      </c>
      <c r="Y215" s="1086" t="n">
        <v>0</v>
      </c>
      <c r="Z215" s="1086" t="n">
        <v>0</v>
      </c>
      <c r="AA215" s="1087" t="n">
        <v>0</v>
      </c>
      <c r="AB215" s="1086" t="n">
        <v>0</v>
      </c>
      <c r="AC215" s="1086" t="n">
        <v>0</v>
      </c>
      <c r="AD215" s="1087" t="n">
        <v>0</v>
      </c>
      <c r="AE215" s="1086" t="n">
        <v>0</v>
      </c>
      <c r="AF215" s="1086" t="n">
        <v>0</v>
      </c>
      <c r="AG215" s="1087" t="n">
        <v>0</v>
      </c>
      <c r="AH215" s="1086" t="n">
        <v>0</v>
      </c>
      <c r="AI215" s="1086" t="n">
        <v>0</v>
      </c>
      <c r="AJ215" s="1087" t="n">
        <v>0</v>
      </c>
      <c r="AK215" s="1086" t="n">
        <v>0</v>
      </c>
      <c r="AL215" s="1086" t="n">
        <v>0</v>
      </c>
      <c r="AM215" s="1087" t="n">
        <v>0</v>
      </c>
      <c r="AN215" s="1086" t="n">
        <v>0</v>
      </c>
      <c r="AO215" s="1086" t="n">
        <v>0</v>
      </c>
      <c r="AP215" s="1087" t="n">
        <v>0</v>
      </c>
      <c r="AQ215" s="1086" t="n">
        <v>0</v>
      </c>
      <c r="AR215" s="1086" t="n">
        <v>0</v>
      </c>
      <c r="AS215" s="1087" t="n">
        <v>0</v>
      </c>
      <c r="AT215" s="1086" t="n">
        <v>0</v>
      </c>
      <c r="AU215" s="1086" t="n">
        <v>0</v>
      </c>
      <c r="AV215" s="1086" t="n">
        <v>0</v>
      </c>
      <c r="AW215" s="1172" t="n">
        <v>0</v>
      </c>
      <c r="AX215" s="807" t="e">
        <f aca="false">BB215-SUM(AY215:BA215)</f>
        <v>#VALUE!</v>
      </c>
      <c r="AY215" s="807" t="e">
        <f aca="false">IF(AND($E215=MONTH(Summary!$E$24),$D215=YEAR(Summary!$E$24)),Summary!$E$25,1)*IF(G215="",0,INT((H215-MOD(H215,7)-G215)/7)+1-IF(BA215,IF(WEEKDAY(F215)=7,1,0),0))</f>
        <v>#VALUE!</v>
      </c>
      <c r="AZ215" s="807" t="e">
        <f aca="false">IF(AND($E215=MONTH(Summary!$E$24),$D215=YEAR(Summary!$E$24)),Summary!$E$25,1)*IF(G215="",0,INT((H215-MOD(H215-1,7)-G215)/7)+1-IF(BA215,IF(WEEKDAY(F215)=1,1,0),0))</f>
        <v>#VALUE!</v>
      </c>
      <c r="BA215" s="807" t="n">
        <v>1</v>
      </c>
      <c r="BB215" s="807" t="n">
        <f aca="false">IF(AND($E215=MONTH(Summary!$E$24),$D215=YEAR(Summary!$E$24)),Summary!$E$25,1)*IF(G215="",0,H215-G215+1)</f>
        <v>31</v>
      </c>
      <c r="BC215" s="1089" t="n">
        <f aca="false">Summary!$E$19</f>
        <v>0.015</v>
      </c>
      <c r="BD215" s="1090" t="n">
        <v>14184</v>
      </c>
      <c r="BE215" s="1091" t="n">
        <v>3546</v>
      </c>
      <c r="BF215" s="1091" t="n">
        <v>4255.2</v>
      </c>
      <c r="BG215" s="842"/>
      <c r="BH215" s="1092" t="n">
        <v>1</v>
      </c>
      <c r="BI215" s="1092" t="n">
        <v>1</v>
      </c>
      <c r="BJ215" s="1092" t="n">
        <v>1</v>
      </c>
      <c r="BK215" s="1092" t="n">
        <v>1</v>
      </c>
      <c r="BL215" s="1093" t="n">
        <v>2836.8</v>
      </c>
      <c r="BM215" s="1091" t="n">
        <v>709.2</v>
      </c>
      <c r="BN215" s="1091" t="n">
        <v>851.04</v>
      </c>
      <c r="BO215" s="842"/>
      <c r="BP215" s="1092" t="n">
        <v>1</v>
      </c>
      <c r="BQ215" s="1094" t="n">
        <v>1</v>
      </c>
      <c r="BR215" s="1094" t="n">
        <v>1</v>
      </c>
      <c r="BS215" s="1095" t="n">
        <v>1</v>
      </c>
      <c r="BT215" s="1093" t="n">
        <f aca="false">SUM(BD215:BF215)</f>
        <v>21985.2</v>
      </c>
      <c r="BU215" s="1098" t="n">
        <f aca="false">SUM(BD215:BG215)</f>
        <v>21985.2</v>
      </c>
      <c r="BV215" s="1090" t="n">
        <f aca="false">SUM(BL215:BN215)</f>
        <v>4397.04</v>
      </c>
      <c r="BW215" s="1098" t="n">
        <f aca="false">SUM(BL215:BO215)</f>
        <v>4397.04</v>
      </c>
      <c r="BX215" s="852" t="n">
        <v>16.5448323066393</v>
      </c>
      <c r="BY215" s="1099" t="n">
        <v>0</v>
      </c>
      <c r="BZ215" s="852" t="n">
        <v>0</v>
      </c>
      <c r="CA215" s="852" t="n">
        <v>0</v>
      </c>
      <c r="CB215" s="852" t="n">
        <v>0</v>
      </c>
      <c r="CC215" s="852" t="n">
        <v>0</v>
      </c>
      <c r="CD215" s="852" t="n">
        <v>0</v>
      </c>
      <c r="CE215" s="1100" t="n">
        <v>0</v>
      </c>
      <c r="CF215" s="852" t="n">
        <v>0</v>
      </c>
      <c r="CG215" s="852" t="n">
        <v>0</v>
      </c>
      <c r="CH215" s="852" t="n">
        <v>0</v>
      </c>
      <c r="CI215" s="852" t="n">
        <v>0</v>
      </c>
      <c r="CJ215" s="1101" t="n">
        <v>0</v>
      </c>
      <c r="CK215" s="852" t="n">
        <v>0</v>
      </c>
      <c r="CL215" s="852" t="n">
        <v>0</v>
      </c>
      <c r="CM215" s="852" t="n">
        <v>0</v>
      </c>
      <c r="CN215" s="852" t="n">
        <v>0</v>
      </c>
      <c r="CO215" s="852" t="n">
        <v>0</v>
      </c>
      <c r="CP215" s="852" t="n">
        <v>0</v>
      </c>
      <c r="CQ215" s="1102" t="n">
        <v>0</v>
      </c>
      <c r="CR215" s="1103" t="n">
        <v>0</v>
      </c>
      <c r="CS215" s="1103" t="n">
        <v>0</v>
      </c>
      <c r="CT215" s="1103" t="n">
        <v>0</v>
      </c>
      <c r="CU215" s="1103" t="n">
        <v>0</v>
      </c>
      <c r="CV215" s="1103" t="n">
        <v>0</v>
      </c>
      <c r="CW215" s="1103" t="n">
        <v>0</v>
      </c>
      <c r="CX215" s="1104" t="n">
        <v>0</v>
      </c>
      <c r="CY215" s="1105" t="n">
        <v>7678.21672</v>
      </c>
      <c r="CZ215" s="1099" t="n">
        <v>0</v>
      </c>
      <c r="DA215" s="852" t="n">
        <v>0</v>
      </c>
      <c r="DB215" s="852" t="n">
        <v>0</v>
      </c>
      <c r="DC215" s="852" t="n">
        <v>0</v>
      </c>
      <c r="DD215" s="852" t="n">
        <v>0</v>
      </c>
      <c r="DE215" s="1113" t="n">
        <v>0</v>
      </c>
      <c r="DF215" s="1109" t="n">
        <v>0</v>
      </c>
      <c r="DG215" s="1110" t="n">
        <v>0</v>
      </c>
      <c r="DH215" s="1111" t="n">
        <v>0</v>
      </c>
      <c r="DI215" s="1112" t="n">
        <v>0</v>
      </c>
      <c r="DJ215" s="1112" t="n">
        <v>0</v>
      </c>
      <c r="DK215" s="1112" t="n">
        <v>0</v>
      </c>
      <c r="DL215" s="1113" t="n">
        <v>0</v>
      </c>
      <c r="DM215" s="1114" t="n">
        <v>0</v>
      </c>
      <c r="DN215" s="1114" t="n">
        <v>0</v>
      </c>
      <c r="DO215" s="1114" t="n">
        <v>0</v>
      </c>
      <c r="DP215" s="1114" t="n">
        <v>0</v>
      </c>
      <c r="DQ215" s="1114" t="n">
        <v>0</v>
      </c>
      <c r="DR215" s="1109" t="n">
        <v>0</v>
      </c>
      <c r="DS215" s="852" t="n">
        <v>0</v>
      </c>
      <c r="DT215" s="852" t="n">
        <v>0</v>
      </c>
      <c r="DU215" s="852" t="n">
        <v>0</v>
      </c>
      <c r="DV215" s="852" t="n">
        <v>0</v>
      </c>
      <c r="DW215" s="852" t="n">
        <v>0</v>
      </c>
      <c r="DX215" s="852" t="n">
        <v>0</v>
      </c>
      <c r="DY215" s="852" t="n">
        <v>0</v>
      </c>
      <c r="DZ215" s="852" t="n">
        <v>0</v>
      </c>
      <c r="EA215" s="852" t="n">
        <v>0</v>
      </c>
      <c r="EB215" s="1113" t="n">
        <v>0</v>
      </c>
      <c r="EC215" s="1115" t="n">
        <f aca="false">DS215*BD215</f>
        <v>0</v>
      </c>
      <c r="ED215" s="1115" t="n">
        <f aca="false">DT215*BE215</f>
        <v>0</v>
      </c>
      <c r="EE215" s="1115" t="n">
        <f aca="false">DU215*BF215</f>
        <v>0</v>
      </c>
      <c r="EF215" s="1115" t="n">
        <f aca="false">DV215*BG215</f>
        <v>0</v>
      </c>
      <c r="EG215" s="1115" t="n">
        <f aca="false">DS215*BD215+DT215*BE215+DU215*BF215+DV215*BG215</f>
        <v>0</v>
      </c>
      <c r="EH215" s="1116" t="n">
        <v>0</v>
      </c>
      <c r="EI215" s="1117" t="n">
        <v>0</v>
      </c>
      <c r="EJ215" s="1117" t="n">
        <v>0</v>
      </c>
      <c r="EK215" s="1117" t="n">
        <v>0</v>
      </c>
      <c r="EL215" s="1118" t="n">
        <f aca="false">IF(C215&gt;=Summary!$E$26,MAX(0,SUM(EH215:EK215)),0)</f>
        <v>0</v>
      </c>
      <c r="EM215" s="1115" t="n">
        <f aca="false">IF(C215&gt;=Summary!$E$26,DX215*BL215,0)</f>
        <v>0</v>
      </c>
      <c r="EN215" s="1115" t="n">
        <f aca="false">IF(C215&gt;=Summary!$E$26,DY215*BM215,0)</f>
        <v>0</v>
      </c>
      <c r="EO215" s="1115" t="n">
        <f aca="false">IF(C215&gt;=Summary!$E$26,DZ215*BN215,0)</f>
        <v>0</v>
      </c>
      <c r="EP215" s="1115" t="n">
        <f aca="false">IF(C215&gt;=Summary!$E$26,EA215*BO215,0)</f>
        <v>0</v>
      </c>
      <c r="EQ215" s="1115" t="n">
        <f aca="false">IF(C215&gt;=Summary!$E$26,DX215*BL215+DY215*BM215+DZ215*BN215+EA215*BO215,0)</f>
        <v>0</v>
      </c>
      <c r="ER215" s="1119" t="n">
        <v>0</v>
      </c>
      <c r="ES215" s="1120" t="n">
        <v>0</v>
      </c>
      <c r="ET215" s="1120" t="n">
        <v>0</v>
      </c>
      <c r="EU215" s="1120" t="n">
        <v>0</v>
      </c>
      <c r="EV215" s="1143" t="n">
        <f aca="false">IF(C215&gt;=Summary!$E$26,MAX(0,SUM(ER215:EU215)),0)</f>
        <v>0</v>
      </c>
      <c r="EW215" s="1115"/>
      <c r="EX215" s="1165" t="n">
        <f aca="false">(EQ215-EV215)+IF(EZ215="Yes",(EG215-EL215),0)</f>
        <v>0</v>
      </c>
      <c r="EY215" s="1166" t="str">
        <f aca="false">IF(EX215,EX215/EQ215,"")</f>
        <v/>
      </c>
      <c r="EZ215" s="1122" t="s">
        <v>37</v>
      </c>
      <c r="FA215" s="1096" t="n">
        <f aca="false">FA214</f>
        <v>45</v>
      </c>
      <c r="FB215" s="1167" t="e">
        <f aca="false">IF(EZ215="No",IF((OR(MONTH(C215)=5,MONTH(C215)=6,MONTH(C215)=7,MONTH(C215)=8,MONTH(C215)=9)),$FA215*12*AX215*(1-$BC215),$FA215*10*AX215*(1-$BC215)),0)</f>
        <v>#VALUE!</v>
      </c>
      <c r="FC215" s="1129" t="n">
        <f aca="false">IF(EZ215="No",IF((OR(MONTH(C215)=5,MONTH(C215)=6,MONTH(C215)=7,MONTH(C215)=8,MONTH(C215)=9)),0,$FA215*3*AX215*(1-$BC215)),0)</f>
        <v>0</v>
      </c>
      <c r="FD215" s="1129" t="e">
        <f aca="false">IF(EZ215="No",IF((OR(MONTH(C215)=5,MONTH(C215)=6,MONTH(C215)=7,MONTH(C215)=8,MONTH(C215)=9)),$FA215*12*AY215*(1-$BC215),$FA215*10*AY215*(1-$BC215)),0)</f>
        <v>#VALUE!</v>
      </c>
      <c r="FE215" s="1129" t="n">
        <f aca="false">IF(EZ215="No",IF((OR(MONTH(C215)=5,MONTH(C215)=6,MONTH(C215)=7,MONTH(C215)=8,MONTH(C215)=9)),0,$FA215*3*AY215*(1-$BC215)),0)</f>
        <v>0</v>
      </c>
      <c r="FF215" s="1129" t="e">
        <f aca="false">IF(EZ215="No",IF((OR(MONTH(C215)=5,MONTH(C215)=6,MONTH(C215)=7,MONTH(C215)=8,MONTH(C215)=9)),$FA215*12*(AZ215+BA215)*(1-$BC215),$FA215*10*(AZ215+BA215)*(1-$BC215)),0)</f>
        <v>#VALUE!</v>
      </c>
      <c r="FG215" s="1129" t="n">
        <f aca="false">IF(EZ215="No",IF((OR(MONTH(C215)=5,MONTH(C215)=6,MONTH(C215)=7,MONTH(C215)=8,MONTH(C215)=9)),0,$FA215*3*(AZ215+BA215)*(1-$BC215)),0)</f>
        <v>0</v>
      </c>
      <c r="FH215" s="1170" t="e">
        <f aca="false">IF(EZ215="No",IF((OR(MONTH(C215)=5,MONTH(C215)=6,MONTH(C215)=7,MONTH(C215)=8,MONTH(C215)=9)),Summary!$O$15*12*(AX215+AY215+AZ215+BA215)*(1-$BC215),Summary!$O$15*13*(AX215+AY215+AZ215+BA215)*(1-$BC215)+IF(Summary!$O$16="Yes",(CALC!FA215+Summary!$O$15)*6*(AX215+AY215+AZ215+BA215)*(1-$BC215),0)),0)</f>
        <v>#VALUE!</v>
      </c>
      <c r="FI215" s="1126" t="n">
        <f aca="false">IF(MONTH(C215)=5,FI214*(IF(Summary!$E$70="no",(1+(Summary!$E$71*0.8)),1+HLOOKUP(YEAR(C215)-1,CCFMODEL!$I$127:$AF$128,2)*0.8)),+FI214)</f>
        <v>39.812819442007</v>
      </c>
      <c r="FJ215" s="1127" t="n">
        <f aca="false">IF(MONTH(C215)=5,FJ214*(IF(Summary!$E$70="no",(1+(Summary!$E$71*0.8)),1+HLOOKUP(YEAR(CALC!C215)-1,CCFMODEL!$I$127:$AF$128,2)*0.8)),FJ214)</f>
        <v>34.7970311658486</v>
      </c>
      <c r="FK215" s="1128" t="e">
        <f aca="false">SUM(FB215:FG215)*FI215+FH215*FJ215</f>
        <v>#VALUE!</v>
      </c>
      <c r="FL215" s="1126" t="n">
        <f aca="false">IF(MONTH(C215)=5,FL214*(IF(Summary!$E$70="no",(1+(Summary!$E$71*0.8)),1+HLOOKUP(YEAR(CALC!C215)-1,CCFMODEL!$I$127:$AF$128,2)*0.8)),+FL214)</f>
        <v>83.7308227409887</v>
      </c>
      <c r="FM215" s="1127" t="n">
        <f aca="false">IF(MONTH(C215)=5,FM214*(IF(Summary!$E$70="no",(1+(Summary!$E$71*0.8)),1+HLOOKUP(YEAR(CALC!C215)-1,CCFMODEL!$I$127:$AF$128,2)*0.8)),+FM214)</f>
        <v>39.9620988549879</v>
      </c>
      <c r="FN215" s="1128" t="e">
        <f aca="false">IF((OR(MONTH(C215)=5,MONTH(C215)=6,MONTH(C215)=7,MONTH(C215)=8,MONTH(C215)=9)),SUM(FB215:FG215)/(1-BC215)*FL215,SUM(FB215:FG215)/(1-BC215)*FM215)</f>
        <v>#VALUE!</v>
      </c>
      <c r="FO215" s="1129" t="e">
        <f aca="false">FK215+FN215</f>
        <v>#VALUE!</v>
      </c>
      <c r="FP215" s="1169" t="e">
        <f aca="false">FB215</f>
        <v>#VALUE!</v>
      </c>
      <c r="FQ215" s="1129" t="n">
        <f aca="false">FC215</f>
        <v>0</v>
      </c>
      <c r="FR215" s="1129" t="e">
        <f aca="false">FD215</f>
        <v>#VALUE!</v>
      </c>
      <c r="FS215" s="1129" t="n">
        <f aca="false">FE215</f>
        <v>0</v>
      </c>
      <c r="FT215" s="1129" t="e">
        <f aca="false">FF215</f>
        <v>#VALUE!</v>
      </c>
      <c r="FU215" s="1129" t="n">
        <f aca="false">FG215</f>
        <v>0</v>
      </c>
      <c r="FV215" s="1170" t="e">
        <f aca="false">FH215</f>
        <v>#VALUE!</v>
      </c>
      <c r="FW215" s="1115" t="n">
        <f aca="false">IF(ER215&gt;0,MIN(FB215-FP215,BL215),0)</f>
        <v>0</v>
      </c>
      <c r="FX215" s="1115" t="n">
        <f aca="false">IF(ES215&gt;0,MIN(FD215-FR215,BM215),0)</f>
        <v>0</v>
      </c>
      <c r="FY215" s="1115" t="n">
        <f aca="false">IF(ET215&gt;0,MIN(FF215-FT215,BN215),0)</f>
        <v>0</v>
      </c>
      <c r="FZ215" s="1143" t="n">
        <f aca="false">IF(EU215&gt;0,MIN(FH215-FV215,BO215),0)</f>
        <v>0</v>
      </c>
      <c r="GA215" s="1132" t="e">
        <f aca="false">(SUM(FP215:FV215)+SUM(GU215:HB215)/(1-Summary!$O$25))*CY215/1000</f>
        <v>#VALUE!</v>
      </c>
      <c r="GB215" s="1133" t="n">
        <f aca="false">IF($C215&lt;Summary!$M$81,+Summary!$O$81,VLOOKUP(C215,GasTable,19))</f>
        <v>3.48977311086545</v>
      </c>
      <c r="GC215" s="1134" t="n">
        <f aca="false">IF(H215&lt;=Summary!$N$84,MIN(GA215,Summary!$O$75*(H215-G215+1)),0)</f>
        <v>0</v>
      </c>
      <c r="GD215" s="1135" t="n">
        <f aca="false">IF(C215&lt;Summary!$N$84,IF(Summary!$O$75*(H215-G215+1)*0.8&gt;GC215,1,0),0)</f>
        <v>0</v>
      </c>
      <c r="GE215" s="1136" t="n">
        <v>0</v>
      </c>
      <c r="GF215" s="1134" t="e">
        <f aca="false">ABS(MIN(0,GC215-$GA215))</f>
        <v>#VALUE!</v>
      </c>
      <c r="GG215" s="1135" t="e">
        <f aca="false">GF215*(IF(Summary!$O$74=1,VLOOKUP($C215,GasTable,16)+Summary!$O$92+Summary!$O$93,VLOOKUP($C215,GasTable,19)+Summary!$O$92+Summary!$O$93))</f>
        <v>#VALUE!</v>
      </c>
      <c r="GH215" s="1137" t="n">
        <v>5409.14832184145</v>
      </c>
      <c r="GI215" s="1138" t="n">
        <v>0</v>
      </c>
      <c r="GJ215" s="1139" t="e">
        <f aca="false">+GB215*GC215+GE215+GG215+GH215-GI215</f>
        <v>#VALUE!</v>
      </c>
      <c r="GK215" s="1115" t="e">
        <f aca="false">SUM(FP215:FV215,GU215:GX215,GY215:HB215)</f>
        <v>#VALUE!</v>
      </c>
      <c r="GL215" s="1140" t="n">
        <v>0.51444052024</v>
      </c>
      <c r="GM215" s="1141" t="e">
        <f aca="false">IF(GK215&gt;GC215/(CY215/1000),GC215/(CY215/1000),+GK215)*GL215</f>
        <v>#VALUE!</v>
      </c>
      <c r="GN215" s="1115" t="n">
        <f aca="false">IF(SUM(GU215:HB215)=0,0,IF(Summary!$O$16="Yes",SUM(GX215:HB215),IF(Summary!$O$17="Yes",SUM(GY215:HB215),SUM(GU215:HB215))))</f>
        <v>9547.0731</v>
      </c>
      <c r="GO215" s="1142" t="n">
        <v>3.81843996798547</v>
      </c>
      <c r="GP215" s="1143" t="n">
        <f aca="false">GN215*GO215</f>
        <v>36454.9255023189</v>
      </c>
      <c r="GQ215" s="1115"/>
      <c r="GR215" s="1115"/>
      <c r="GS215" s="1115"/>
      <c r="GT215" s="1115"/>
      <c r="GU215" s="1150" t="n">
        <v>3421.89</v>
      </c>
      <c r="GV215" s="1115" t="n">
        <v>855.4725</v>
      </c>
      <c r="GW215" s="1115" t="n">
        <v>1026.567</v>
      </c>
      <c r="GX215" s="1115"/>
      <c r="GY215" s="1151" t="n">
        <v>2737.512</v>
      </c>
      <c r="GZ215" s="1115" t="n">
        <v>684.378</v>
      </c>
      <c r="HA215" s="1115" t="n">
        <v>821.2536</v>
      </c>
      <c r="HB215" s="1141"/>
      <c r="HC215" s="1115" t="n">
        <v>9547.0731</v>
      </c>
      <c r="HD215" s="1115"/>
      <c r="HE215" s="1115" t="n">
        <v>22276.5039</v>
      </c>
      <c r="HF215" s="1115" t="n">
        <v>533881.012382989</v>
      </c>
      <c r="HG215" s="1115"/>
      <c r="HH215" s="1142" t="n">
        <v>59.2188424198917</v>
      </c>
      <c r="HI215" s="1115" t="n">
        <v>1319188.7741202</v>
      </c>
      <c r="HJ215" s="1150" t="e">
        <f aca="false">MAX(FB215-FP215-FW215,0)</f>
        <v>#VALUE!</v>
      </c>
      <c r="HK215" s="1115" t="e">
        <f aca="false">MAX(FD215-FR215-FX215,0)</f>
        <v>#VALUE!</v>
      </c>
      <c r="HL215" s="1115" t="e">
        <f aca="false">MAX(FF215-FT215-FY215,0)</f>
        <v>#VALUE!</v>
      </c>
      <c r="HM215" s="1141" t="e">
        <f aca="false">MAX(FH215-FV215-FZ215,0)</f>
        <v>#VALUE!</v>
      </c>
      <c r="HN215" s="1115" t="e">
        <f aca="false">SUM(HJ215:HM215)</f>
        <v>#VALUE!</v>
      </c>
      <c r="HO215" s="1142" t="n">
        <f aca="false">IF(ISERROR(+HP215/HN215),0,+HP215/HN215)</f>
        <v>0</v>
      </c>
      <c r="HP215" s="1143" t="e">
        <f aca="false">(HJ215*CE215+HK215*CF215+HL215*CG215+HM215*CH215)</f>
        <v>#VALUE!</v>
      </c>
      <c r="HQ215" s="1142"/>
      <c r="HR215" s="1150"/>
      <c r="HS215" s="1200"/>
      <c r="HT215" s="1141"/>
      <c r="HU215" s="1150"/>
      <c r="HV215" s="1200"/>
      <c r="HW215" s="1141"/>
      <c r="HX215" s="1200"/>
      <c r="HY215" s="1200"/>
      <c r="HZ215" s="0"/>
      <c r="IA215" s="1142"/>
      <c r="IB215" s="1142"/>
      <c r="IC215" s="1142"/>
      <c r="ID215" s="1142"/>
      <c r="IE215" s="1142"/>
      <c r="IF215" s="1142"/>
      <c r="IG215" s="1142"/>
      <c r="IH215" s="1142"/>
      <c r="II215" s="1142"/>
      <c r="IJ215" s="1142"/>
      <c r="IK215" s="1142"/>
      <c r="IL215" s="1190"/>
      <c r="IM215" s="222"/>
      <c r="IN215" s="222"/>
      <c r="IR215" s="844"/>
    </row>
    <row r="216" customFormat="false" ht="13.5" hidden="false" customHeight="false" outlineLevel="0" collapsed="false">
      <c r="A216" s="0" t="str">
        <f aca="false">+D216&amp;"Q"&amp;ROUNDUP(E216/3,0)</f>
        <v>2016Q3</v>
      </c>
      <c r="B216" s="0" t="n">
        <f aca="false">YEAR(C216)</f>
        <v>2016</v>
      </c>
      <c r="C216" s="1153" t="n">
        <f aca="false">EOMONTH(C215,0)+1</f>
        <v>42583</v>
      </c>
      <c r="D216" s="841" t="n">
        <f aca="false">+YEAR(C216)</f>
        <v>2016</v>
      </c>
      <c r="E216" s="807" t="n">
        <f aca="false">MONTH(C216)</f>
        <v>8</v>
      </c>
      <c r="F216" s="1154" t="e">
        <f aca="false">IF(G216="","",Holiday(D216,E216))</f>
        <v>#VALUE!</v>
      </c>
      <c r="G216" s="1155" t="n">
        <v>42583</v>
      </c>
      <c r="H216" s="1156" t="n">
        <v>42613</v>
      </c>
      <c r="I216" s="1157" t="n">
        <f aca="false">I215</f>
        <v>0.0715</v>
      </c>
      <c r="J216" s="1158" t="n">
        <f aca="false">(1+I216/2)^(-2*(DATE(D217,E217,20)-$H$7)/365.25)</f>
        <v>0.307930731884443</v>
      </c>
      <c r="K216" s="1159"/>
      <c r="L216" s="1158"/>
      <c r="M216" s="1082" t="n">
        <v>0</v>
      </c>
      <c r="N216" s="1110" t="n">
        <f aca="false">M216</f>
        <v>0</v>
      </c>
      <c r="O216" s="1174" t="n">
        <f aca="false">N216</f>
        <v>0</v>
      </c>
      <c r="P216" s="1175" t="n">
        <f aca="false">M216</f>
        <v>0</v>
      </c>
      <c r="Q216" s="1110" t="n">
        <f aca="false">P216</f>
        <v>0</v>
      </c>
      <c r="R216" s="1174" t="n">
        <f aca="false">Q216</f>
        <v>0</v>
      </c>
      <c r="S216" s="1110" t="n">
        <f aca="false">R216</f>
        <v>0</v>
      </c>
      <c r="T216" s="1110" t="n">
        <f aca="false">S216</f>
        <v>0</v>
      </c>
      <c r="U216" s="1110" t="n">
        <f aca="false">T216</f>
        <v>0</v>
      </c>
      <c r="V216" s="1175" t="n">
        <f aca="false">U216</f>
        <v>0</v>
      </c>
      <c r="W216" s="1110" t="n">
        <f aca="false">V216</f>
        <v>0</v>
      </c>
      <c r="X216" s="1176" t="n">
        <f aca="false">W216</f>
        <v>0</v>
      </c>
      <c r="Y216" s="1086" t="n">
        <v>0</v>
      </c>
      <c r="Z216" s="1086" t="n">
        <v>0</v>
      </c>
      <c r="AA216" s="1087" t="n">
        <v>0</v>
      </c>
      <c r="AB216" s="1086" t="n">
        <v>0</v>
      </c>
      <c r="AC216" s="1086" t="n">
        <v>0</v>
      </c>
      <c r="AD216" s="1087" t="n">
        <v>0</v>
      </c>
      <c r="AE216" s="1086" t="n">
        <v>0</v>
      </c>
      <c r="AF216" s="1086" t="n">
        <v>0</v>
      </c>
      <c r="AG216" s="1087" t="n">
        <v>0</v>
      </c>
      <c r="AH216" s="1086" t="n">
        <v>0</v>
      </c>
      <c r="AI216" s="1086" t="n">
        <v>0</v>
      </c>
      <c r="AJ216" s="1087" t="n">
        <v>0</v>
      </c>
      <c r="AK216" s="1086" t="n">
        <v>0</v>
      </c>
      <c r="AL216" s="1086" t="n">
        <v>0</v>
      </c>
      <c r="AM216" s="1087" t="n">
        <v>0</v>
      </c>
      <c r="AN216" s="1086" t="n">
        <v>0</v>
      </c>
      <c r="AO216" s="1086" t="n">
        <v>0</v>
      </c>
      <c r="AP216" s="1087" t="n">
        <v>0</v>
      </c>
      <c r="AQ216" s="1086" t="n">
        <v>0</v>
      </c>
      <c r="AR216" s="1086" t="n">
        <v>0</v>
      </c>
      <c r="AS216" s="1087" t="n">
        <v>0</v>
      </c>
      <c r="AT216" s="1086" t="n">
        <v>0</v>
      </c>
      <c r="AU216" s="1086" t="n">
        <v>0</v>
      </c>
      <c r="AV216" s="1086" t="n">
        <v>0</v>
      </c>
      <c r="AW216" s="1172" t="n">
        <v>0</v>
      </c>
      <c r="AX216" s="807" t="n">
        <f aca="false">BB216-SUM(AY216:BA216)</f>
        <v>23</v>
      </c>
      <c r="AY216" s="807" t="n">
        <f aca="false">IF(AND($E216=MONTH(Summary!$E$24),$D216=YEAR(Summary!$E$24)),Summary!$E$25,1)*IF(G216="",0,INT((H216-MOD(H216,7)-G216)/7)+1-IF(BA216,IF(WEEKDAY(F216)=7,1,0),0))</f>
        <v>4</v>
      </c>
      <c r="AZ216" s="807" t="n">
        <f aca="false">IF(AND($E216=MONTH(Summary!$E$24),$D216=YEAR(Summary!$E$24)),Summary!$E$25,1)*IF(G216="",0,INT((H216-MOD(H216-1,7)-G216)/7)+1-IF(BA216,IF(WEEKDAY(F216)=1,1,0),0))</f>
        <v>4</v>
      </c>
      <c r="BA216" s="807" t="n">
        <v>0</v>
      </c>
      <c r="BB216" s="807" t="n">
        <f aca="false">IF(AND($E216=MONTH(Summary!$E$24),$D216=YEAR(Summary!$E$24)),Summary!$E$25,1)*IF(G216="",0,H216-G216+1)</f>
        <v>31</v>
      </c>
      <c r="BC216" s="1089" t="n">
        <f aca="false">Summary!$E$19</f>
        <v>0.015</v>
      </c>
      <c r="BD216" s="1090" t="n">
        <v>16311.6</v>
      </c>
      <c r="BE216" s="1091" t="n">
        <v>2836.8</v>
      </c>
      <c r="BF216" s="1091" t="n">
        <v>2836.8</v>
      </c>
      <c r="BG216" s="842"/>
      <c r="BH216" s="1092" t="n">
        <v>1</v>
      </c>
      <c r="BI216" s="1092" t="n">
        <v>1</v>
      </c>
      <c r="BJ216" s="1092" t="n">
        <v>1</v>
      </c>
      <c r="BK216" s="1092" t="n">
        <v>1</v>
      </c>
      <c r="BL216" s="1093" t="n">
        <v>3262.32</v>
      </c>
      <c r="BM216" s="1091" t="n">
        <v>567.36</v>
      </c>
      <c r="BN216" s="1091" t="n">
        <v>567.36</v>
      </c>
      <c r="BO216" s="842"/>
      <c r="BP216" s="1092" t="n">
        <v>1</v>
      </c>
      <c r="BQ216" s="1094" t="n">
        <v>1</v>
      </c>
      <c r="BR216" s="1094" t="n">
        <v>1</v>
      </c>
      <c r="BS216" s="1095" t="n">
        <v>1</v>
      </c>
      <c r="BT216" s="1093" t="n">
        <f aca="false">SUM(BD216:BF216)</f>
        <v>21985.2</v>
      </c>
      <c r="BU216" s="1098" t="n">
        <f aca="false">SUM(BD216:BG216)</f>
        <v>21985.2</v>
      </c>
      <c r="BV216" s="1090" t="n">
        <f aca="false">SUM(BL216:BN216)</f>
        <v>4397.04</v>
      </c>
      <c r="BW216" s="1098" t="n">
        <f aca="false">SUM(BL216:BO216)</f>
        <v>4397.04</v>
      </c>
      <c r="BX216" s="852" t="n">
        <v>16.6297056810404</v>
      </c>
      <c r="BY216" s="1099" t="n">
        <v>0</v>
      </c>
      <c r="BZ216" s="852" t="n">
        <v>0</v>
      </c>
      <c r="CA216" s="852" t="n">
        <v>0</v>
      </c>
      <c r="CB216" s="852" t="n">
        <v>0</v>
      </c>
      <c r="CC216" s="852" t="n">
        <v>0</v>
      </c>
      <c r="CD216" s="852" t="n">
        <v>0</v>
      </c>
      <c r="CE216" s="1100" t="n">
        <v>0</v>
      </c>
      <c r="CF216" s="852" t="n">
        <v>0</v>
      </c>
      <c r="CG216" s="852" t="n">
        <v>0</v>
      </c>
      <c r="CH216" s="852" t="n">
        <v>0</v>
      </c>
      <c r="CI216" s="852" t="n">
        <v>0</v>
      </c>
      <c r="CJ216" s="1101" t="n">
        <v>0</v>
      </c>
      <c r="CK216" s="852" t="n">
        <v>0</v>
      </c>
      <c r="CL216" s="852" t="n">
        <v>0</v>
      </c>
      <c r="CM216" s="852" t="n">
        <v>0</v>
      </c>
      <c r="CN216" s="852" t="n">
        <v>0</v>
      </c>
      <c r="CO216" s="852" t="n">
        <v>0</v>
      </c>
      <c r="CP216" s="852" t="n">
        <v>0</v>
      </c>
      <c r="CQ216" s="1102" t="n">
        <v>0</v>
      </c>
      <c r="CR216" s="1103" t="n">
        <v>0</v>
      </c>
      <c r="CS216" s="1103" t="n">
        <v>0</v>
      </c>
      <c r="CT216" s="1103" t="n">
        <v>0</v>
      </c>
      <c r="CU216" s="1103" t="n">
        <v>0</v>
      </c>
      <c r="CV216" s="1103" t="n">
        <v>0</v>
      </c>
      <c r="CW216" s="1103" t="n">
        <v>0</v>
      </c>
      <c r="CX216" s="1104" t="n">
        <v>0</v>
      </c>
      <c r="CY216" s="1105" t="n">
        <v>7680.24768</v>
      </c>
      <c r="CZ216" s="1099" t="n">
        <v>0</v>
      </c>
      <c r="DA216" s="852" t="n">
        <v>0</v>
      </c>
      <c r="DB216" s="852" t="n">
        <v>0</v>
      </c>
      <c r="DC216" s="852" t="n">
        <v>0</v>
      </c>
      <c r="DD216" s="852" t="n">
        <v>0</v>
      </c>
      <c r="DE216" s="1113" t="n">
        <v>0</v>
      </c>
      <c r="DF216" s="1109" t="n">
        <v>0</v>
      </c>
      <c r="DG216" s="1110" t="n">
        <v>0</v>
      </c>
      <c r="DH216" s="1111" t="n">
        <v>0</v>
      </c>
      <c r="DI216" s="1112" t="n">
        <v>0</v>
      </c>
      <c r="DJ216" s="1112" t="n">
        <v>0</v>
      </c>
      <c r="DK216" s="1112" t="n">
        <v>0</v>
      </c>
      <c r="DL216" s="1113" t="n">
        <v>0</v>
      </c>
      <c r="DM216" s="1114" t="n">
        <v>0</v>
      </c>
      <c r="DN216" s="1114" t="n">
        <v>0</v>
      </c>
      <c r="DO216" s="1114" t="n">
        <v>0</v>
      </c>
      <c r="DP216" s="1114" t="n">
        <v>0</v>
      </c>
      <c r="DQ216" s="1114" t="n">
        <v>0</v>
      </c>
      <c r="DR216" s="1109" t="n">
        <v>0</v>
      </c>
      <c r="DS216" s="852" t="n">
        <v>0</v>
      </c>
      <c r="DT216" s="852" t="n">
        <v>0</v>
      </c>
      <c r="DU216" s="852" t="n">
        <v>0</v>
      </c>
      <c r="DV216" s="852" t="n">
        <v>0</v>
      </c>
      <c r="DW216" s="852" t="n">
        <v>0</v>
      </c>
      <c r="DX216" s="852" t="n">
        <v>0</v>
      </c>
      <c r="DY216" s="852" t="n">
        <v>0</v>
      </c>
      <c r="DZ216" s="852" t="n">
        <v>0</v>
      </c>
      <c r="EA216" s="852" t="n">
        <v>0</v>
      </c>
      <c r="EB216" s="1113" t="n">
        <v>0</v>
      </c>
      <c r="EC216" s="1115" t="n">
        <f aca="false">DS216*BD216</f>
        <v>0</v>
      </c>
      <c r="ED216" s="1115" t="n">
        <f aca="false">DT216*BE216</f>
        <v>0</v>
      </c>
      <c r="EE216" s="1115" t="n">
        <f aca="false">DU216*BF216</f>
        <v>0</v>
      </c>
      <c r="EF216" s="1115" t="n">
        <f aca="false">DV216*BG216</f>
        <v>0</v>
      </c>
      <c r="EG216" s="1115" t="n">
        <f aca="false">DS216*BD216+DT216*BE216+DU216*BF216+DV216*BG216</f>
        <v>0</v>
      </c>
      <c r="EH216" s="1116" t="n">
        <v>0</v>
      </c>
      <c r="EI216" s="1117" t="n">
        <v>0</v>
      </c>
      <c r="EJ216" s="1117" t="n">
        <v>0</v>
      </c>
      <c r="EK216" s="1117" t="n">
        <v>0</v>
      </c>
      <c r="EL216" s="1118" t="n">
        <f aca="false">IF(C216&gt;=Summary!$E$26,MAX(0,SUM(EH216:EK216)),0)</f>
        <v>0</v>
      </c>
      <c r="EM216" s="1115" t="n">
        <f aca="false">IF(C216&gt;=Summary!$E$26,DX216*BL216,0)</f>
        <v>0</v>
      </c>
      <c r="EN216" s="1115" t="n">
        <f aca="false">IF(C216&gt;=Summary!$E$26,DY216*BM216,0)</f>
        <v>0</v>
      </c>
      <c r="EO216" s="1115" t="n">
        <f aca="false">IF(C216&gt;=Summary!$E$26,DZ216*BN216,0)</f>
        <v>0</v>
      </c>
      <c r="EP216" s="1115" t="n">
        <f aca="false">IF(C216&gt;=Summary!$E$26,EA216*BO216,0)</f>
        <v>0</v>
      </c>
      <c r="EQ216" s="1115" t="n">
        <f aca="false">IF(C216&gt;=Summary!$E$26,DX216*BL216+DY216*BM216+DZ216*BN216+EA216*BO216,0)</f>
        <v>0</v>
      </c>
      <c r="ER216" s="1119" t="n">
        <v>0</v>
      </c>
      <c r="ES216" s="1120" t="n">
        <v>0</v>
      </c>
      <c r="ET216" s="1120" t="n">
        <v>0</v>
      </c>
      <c r="EU216" s="1120" t="n">
        <v>0</v>
      </c>
      <c r="EV216" s="1143" t="n">
        <f aca="false">IF(C216&gt;=Summary!$E$26,MAX(0,SUM(ER216:EU216)),0)</f>
        <v>0</v>
      </c>
      <c r="EW216" s="1115"/>
      <c r="EX216" s="1165" t="n">
        <f aca="false">(EQ216-EV216)+IF(EZ216="Yes",(EG216-EL216),0)</f>
        <v>0</v>
      </c>
      <c r="EY216" s="1166" t="str">
        <f aca="false">IF(EX216,EX216/EQ216,"")</f>
        <v/>
      </c>
      <c r="EZ216" s="1122" t="s">
        <v>37</v>
      </c>
      <c r="FA216" s="1096" t="n">
        <f aca="false">FA215</f>
        <v>45</v>
      </c>
      <c r="FB216" s="1167" t="n">
        <f aca="false">IF(EZ216="No",IF((OR(MONTH(C216)=5,MONTH(C216)=6,MONTH(C216)=7,MONTH(C216)=8,MONTH(C216)=9)),$FA216*12*AX216*(1-$BC216),$FA216*10*AX216*(1-$BC216)),0)</f>
        <v>12233.7</v>
      </c>
      <c r="FC216" s="1129" t="n">
        <f aca="false">IF(EZ216="No",IF((OR(MONTH(C216)=5,MONTH(C216)=6,MONTH(C216)=7,MONTH(C216)=8,MONTH(C216)=9)),0,$FA216*3*AX216*(1-$BC216)),0)</f>
        <v>0</v>
      </c>
      <c r="FD216" s="1129" t="n">
        <f aca="false">IF(EZ216="No",IF((OR(MONTH(C216)=5,MONTH(C216)=6,MONTH(C216)=7,MONTH(C216)=8,MONTH(C216)=9)),$FA216*12*AY216*(1-$BC216),$FA216*10*AY216*(1-$BC216)),0)</f>
        <v>2127.6</v>
      </c>
      <c r="FE216" s="1129" t="n">
        <f aca="false">IF(EZ216="No",IF((OR(MONTH(C216)=5,MONTH(C216)=6,MONTH(C216)=7,MONTH(C216)=8,MONTH(C216)=9)),0,$FA216*3*AY216*(1-$BC216)),0)</f>
        <v>0</v>
      </c>
      <c r="FF216" s="1129" t="n">
        <f aca="false">IF(EZ216="No",IF((OR(MONTH(C216)=5,MONTH(C216)=6,MONTH(C216)=7,MONTH(C216)=8,MONTH(C216)=9)),$FA216*12*(AZ216+BA216)*(1-$BC216),$FA216*10*(AZ216+BA216)*(1-$BC216)),0)</f>
        <v>2127.6</v>
      </c>
      <c r="FG216" s="1129" t="n">
        <f aca="false">IF(EZ216="No",IF((OR(MONTH(C216)=5,MONTH(C216)=6,MONTH(C216)=7,MONTH(C216)=8,MONTH(C216)=9)),0,$FA216*3*(AZ216+BA216)*(1-$BC216)),0)</f>
        <v>0</v>
      </c>
      <c r="FH216" s="1170" t="n">
        <f aca="false">IF(EZ216="No",IF((OR(MONTH(C216)=5,MONTH(C216)=6,MONTH(C216)=7,MONTH(C216)=8,MONTH(C216)=9)),Summary!$O$15*12*(AX216+AY216+AZ216+BA216)*(1-$BC216),Summary!$O$15*13*(AX216+AY216+AZ216+BA216)*(1-$BC216)+IF(Summary!$O$16="Yes",(CALC!FA216+Summary!$O$15)*6*(AX216+AY216+AZ216+BA216)*(1-$BC216),0)),0)</f>
        <v>0</v>
      </c>
      <c r="FI216" s="1126" t="n">
        <f aca="false">IF(MONTH(C216)=5,FI215*(IF(Summary!$E$70="no",(1+(Summary!$E$71*0.8)),1+HLOOKUP(YEAR(C216)-1,CCFMODEL!$I$127:$AF$128,2)*0.8)),+FI215)</f>
        <v>39.812819442007</v>
      </c>
      <c r="FJ216" s="1127" t="n">
        <f aca="false">IF(MONTH(C216)=5,FJ215*(IF(Summary!$E$70="no",(1+(Summary!$E$71*0.8)),1+HLOOKUP(YEAR(CALC!C216)-1,CCFMODEL!$I$127:$AF$128,2)*0.8)),FJ215)</f>
        <v>34.7970311658486</v>
      </c>
      <c r="FK216" s="1128" t="n">
        <f aca="false">SUM(FB216:FG216)*FI216+FH216*FJ216</f>
        <v>656469.598497309</v>
      </c>
      <c r="FL216" s="1126" t="n">
        <f aca="false">IF(MONTH(C216)=5,FL215*(IF(Summary!$E$70="no",(1+(Summary!$E$71*0.8)),1+HLOOKUP(YEAR(CALC!C216)-1,CCFMODEL!$I$127:$AF$128,2)*0.8)),+FL215)</f>
        <v>83.7308227409887</v>
      </c>
      <c r="FM216" s="1127" t="n">
        <f aca="false">IF(MONTH(C216)=5,FM215*(IF(Summary!$E$70="no",(1+(Summary!$E$71*0.8)),1+HLOOKUP(YEAR(CALC!C216)-1,CCFMODEL!$I$127:$AF$128,2)*0.8)),+FM215)</f>
        <v>39.9620988549879</v>
      </c>
      <c r="FN216" s="1128" t="n">
        <f aca="false">IF((OR(MONTH(C216)=5,MONTH(C216)=6,MONTH(C216)=7,MONTH(C216)=8,MONTH(C216)=9)),SUM(FB216:FG216)/(1-BC216)*FL216,SUM(FB216:FG216)/(1-BC216)*FM216)</f>
        <v>1401653.97268415</v>
      </c>
      <c r="FO216" s="1129" t="n">
        <f aca="false">FK216+FN216</f>
        <v>2058123.57118146</v>
      </c>
      <c r="FP216" s="1169" t="n">
        <f aca="false">FB216</f>
        <v>12233.7</v>
      </c>
      <c r="FQ216" s="1129" t="n">
        <f aca="false">FC216</f>
        <v>0</v>
      </c>
      <c r="FR216" s="1129" t="n">
        <f aca="false">FD216</f>
        <v>2127.6</v>
      </c>
      <c r="FS216" s="1129" t="n">
        <f aca="false">FE216</f>
        <v>0</v>
      </c>
      <c r="FT216" s="1129" t="n">
        <f aca="false">FF216</f>
        <v>2127.6</v>
      </c>
      <c r="FU216" s="1129" t="n">
        <f aca="false">FG216</f>
        <v>0</v>
      </c>
      <c r="FV216" s="1170" t="n">
        <f aca="false">FH216</f>
        <v>0</v>
      </c>
      <c r="FW216" s="1115" t="n">
        <f aca="false">IF(ER216&gt;0,MIN(FB216-FP216,BL216),0)</f>
        <v>0</v>
      </c>
      <c r="FX216" s="1115" t="n">
        <f aca="false">IF(ES216&gt;0,MIN(FD216-FR216,BM216),0)</f>
        <v>0</v>
      </c>
      <c r="FY216" s="1115" t="n">
        <f aca="false">IF(ET216&gt;0,MIN(FF216-FT216,BN216),0)</f>
        <v>0</v>
      </c>
      <c r="FZ216" s="1143" t="n">
        <f aca="false">IF(EU216&gt;0,MIN(FH216-FV216,BO216),0)</f>
        <v>0</v>
      </c>
      <c r="GA216" s="1132" t="n">
        <f aca="false">(SUM(FP216:FV216)+SUM(GU216:HB216)/(1-Summary!$O$25))*CY216/1000</f>
        <v>202622.137553203</v>
      </c>
      <c r="GB216" s="1133" t="n">
        <f aca="false">IF($C216&lt;Summary!$M$81,+Summary!$O$81,VLOOKUP(C216,GasTable,19))</f>
        <v>3.6214634340876</v>
      </c>
      <c r="GC216" s="1134" t="n">
        <f aca="false">IF(H216&lt;=Summary!$N$84,MIN(GA216,Summary!$O$75*(H216-G216+1)),0)</f>
        <v>0</v>
      </c>
      <c r="GD216" s="1135" t="n">
        <f aca="false">IF(C216&lt;Summary!$N$84,IF(Summary!$O$75*(H216-G216+1)*0.8&gt;GC216,1,0),0)</f>
        <v>0</v>
      </c>
      <c r="GE216" s="1136" t="n">
        <v>0</v>
      </c>
      <c r="GF216" s="1134" t="n">
        <f aca="false">ABS(MIN(0,GC216-$GA216))</f>
        <v>202622.137553203</v>
      </c>
      <c r="GG216" s="1135" t="n">
        <f aca="false">GF216*(IF(Summary!$O$74=1,VLOOKUP($C216,GasTable,16)+Summary!$O$92+Summary!$O$93,VLOOKUP($C216,GasTable,19)+Summary!$O$92+Summary!$O$93))</f>
        <v>744345.275452114</v>
      </c>
      <c r="GH216" s="1137" t="n">
        <v>5613.26832283578</v>
      </c>
      <c r="GI216" s="1138" t="n">
        <v>0</v>
      </c>
      <c r="GJ216" s="1139" t="n">
        <f aca="false">+GB216*GC216+GE216+GG216+GH216-GI216</f>
        <v>749958.54377495</v>
      </c>
      <c r="GK216" s="1115" t="n">
        <f aca="false">SUM(FP216:FV216,GU216:GX216,GY216:HB216)</f>
        <v>26035.9731</v>
      </c>
      <c r="GL216" s="1140" t="n">
        <v>0.51457659456</v>
      </c>
      <c r="GM216" s="1141" t="n">
        <f aca="false">IF(GK216&gt;GC216/(CY216/1000),GC216/(CY216/1000),+GK216)*GL216</f>
        <v>0</v>
      </c>
      <c r="GN216" s="1115" t="n">
        <f aca="false">IF(SUM(GU216:HB216)=0,0,IF(Summary!$O$16="Yes",SUM(GX216:HB216),IF(Summary!$O$17="Yes",SUM(GY216:HB216),SUM(GU216:HB216))))</f>
        <v>9547.0731</v>
      </c>
      <c r="GO216" s="1142" t="n">
        <v>3.81843996798547</v>
      </c>
      <c r="GP216" s="1143" t="n">
        <f aca="false">GN216*GO216</f>
        <v>36454.9255023189</v>
      </c>
      <c r="GQ216" s="1115"/>
      <c r="GR216" s="1115"/>
      <c r="GS216" s="1115"/>
      <c r="GT216" s="1115"/>
      <c r="GU216" s="1150" t="n">
        <v>3935.1735</v>
      </c>
      <c r="GV216" s="1115" t="n">
        <v>684.378</v>
      </c>
      <c r="GW216" s="1115" t="n">
        <v>684.378</v>
      </c>
      <c r="GX216" s="1115"/>
      <c r="GY216" s="1151" t="n">
        <v>3148.1388</v>
      </c>
      <c r="GZ216" s="1115" t="n">
        <v>547.5024</v>
      </c>
      <c r="HA216" s="1115" t="n">
        <v>547.5024</v>
      </c>
      <c r="HB216" s="1141"/>
      <c r="HC216" s="1115" t="n">
        <v>9547.0731</v>
      </c>
      <c r="HD216" s="1115"/>
      <c r="HE216" s="1115" t="n">
        <v>22276.5039</v>
      </c>
      <c r="HF216" s="1115" t="n">
        <v>660525.846828748</v>
      </c>
      <c r="HG216" s="1115"/>
      <c r="HH216" s="1142" t="n">
        <v>72.8464052084138</v>
      </c>
      <c r="HI216" s="1115" t="n">
        <v>1622763.22972621</v>
      </c>
      <c r="HJ216" s="1150" t="n">
        <f aca="false">MAX(FB216-FP216-FW216,0)</f>
        <v>0</v>
      </c>
      <c r="HK216" s="1115" t="n">
        <f aca="false">MAX(FD216-FR216-FX216,0)</f>
        <v>0</v>
      </c>
      <c r="HL216" s="1115" t="n">
        <f aca="false">MAX(FF216-FT216-FY216,0)</f>
        <v>0</v>
      </c>
      <c r="HM216" s="1141" t="n">
        <f aca="false">MAX(FH216-FV216-FZ216,0)</f>
        <v>0</v>
      </c>
      <c r="HN216" s="1115" t="n">
        <f aca="false">SUM(HJ216:HM216)</f>
        <v>0</v>
      </c>
      <c r="HO216" s="1142" t="n">
        <f aca="false">IF(ISERROR(+HP216/HN216),0,+HP216/HN216)</f>
        <v>0</v>
      </c>
      <c r="HP216" s="1143" t="n">
        <f aca="false">(HJ216*CE216+HK216*CF216+HL216*CG216+HM216*CH216)</f>
        <v>0</v>
      </c>
      <c r="HQ216" s="1142"/>
      <c r="HR216" s="1150"/>
      <c r="HS216" s="1200"/>
      <c r="HT216" s="1141"/>
      <c r="HU216" s="1150"/>
      <c r="HV216" s="1200"/>
      <c r="HW216" s="1141"/>
      <c r="HX216" s="1200"/>
      <c r="HY216" s="1200"/>
      <c r="HZ216" s="0"/>
      <c r="IA216" s="1142"/>
      <c r="IB216" s="1142"/>
      <c r="IC216" s="1142"/>
      <c r="ID216" s="1142"/>
      <c r="IE216" s="1142"/>
      <c r="IF216" s="1142"/>
      <c r="IG216" s="1142"/>
      <c r="IH216" s="1142"/>
      <c r="II216" s="1142"/>
      <c r="IJ216" s="1142"/>
      <c r="IK216" s="1142"/>
      <c r="IL216" s="1190"/>
      <c r="IM216" s="222"/>
      <c r="IN216" s="222"/>
      <c r="IR216" s="844"/>
    </row>
    <row r="217" customFormat="false" ht="13.5" hidden="false" customHeight="false" outlineLevel="0" collapsed="false">
      <c r="A217" s="0" t="str">
        <f aca="false">+D217&amp;"Q"&amp;ROUNDUP(E217/3,0)</f>
        <v>2016Q3</v>
      </c>
      <c r="B217" s="0" t="n">
        <f aca="false">YEAR(C217)</f>
        <v>2016</v>
      </c>
      <c r="C217" s="1153" t="n">
        <f aca="false">EOMONTH(C216,0)+1</f>
        <v>42614</v>
      </c>
      <c r="D217" s="841" t="n">
        <f aca="false">+YEAR(C217)</f>
        <v>2016</v>
      </c>
      <c r="E217" s="807" t="n">
        <f aca="false">MONTH(C217)</f>
        <v>9</v>
      </c>
      <c r="F217" s="1154" t="e">
        <f aca="false">IF(G217="","",Holiday(D217,E217))</f>
        <v>#VALUE!</v>
      </c>
      <c r="G217" s="1155" t="n">
        <v>42614</v>
      </c>
      <c r="H217" s="1156" t="n">
        <v>42643</v>
      </c>
      <c r="I217" s="1157" t="n">
        <f aca="false">I216</f>
        <v>0.0715</v>
      </c>
      <c r="J217" s="1158" t="n">
        <f aca="false">(1+I217/2)^(-2*(DATE(D218,E218,20)-$H$7)/365.25)</f>
        <v>0.306159041049852</v>
      </c>
      <c r="K217" s="1159"/>
      <c r="L217" s="1158"/>
      <c r="M217" s="1082" t="n">
        <v>0</v>
      </c>
      <c r="N217" s="1110" t="n">
        <f aca="false">M217</f>
        <v>0</v>
      </c>
      <c r="O217" s="1174" t="n">
        <f aca="false">N217</f>
        <v>0</v>
      </c>
      <c r="P217" s="1175" t="n">
        <f aca="false">M217</f>
        <v>0</v>
      </c>
      <c r="Q217" s="1110" t="n">
        <f aca="false">P217</f>
        <v>0</v>
      </c>
      <c r="R217" s="1174" t="n">
        <f aca="false">Q217</f>
        <v>0</v>
      </c>
      <c r="S217" s="1110" t="n">
        <f aca="false">R217</f>
        <v>0</v>
      </c>
      <c r="T217" s="1110" t="n">
        <f aca="false">S217</f>
        <v>0</v>
      </c>
      <c r="U217" s="1110" t="n">
        <f aca="false">T217</f>
        <v>0</v>
      </c>
      <c r="V217" s="1175" t="n">
        <f aca="false">U217</f>
        <v>0</v>
      </c>
      <c r="W217" s="1110" t="n">
        <f aca="false">V217</f>
        <v>0</v>
      </c>
      <c r="X217" s="1176" t="n">
        <f aca="false">W217</f>
        <v>0</v>
      </c>
      <c r="Y217" s="1086" t="n">
        <v>0</v>
      </c>
      <c r="Z217" s="1086" t="n">
        <v>0</v>
      </c>
      <c r="AA217" s="1087" t="n">
        <v>0</v>
      </c>
      <c r="AB217" s="1086" t="n">
        <v>0</v>
      </c>
      <c r="AC217" s="1086" t="n">
        <v>0</v>
      </c>
      <c r="AD217" s="1087" t="n">
        <v>0</v>
      </c>
      <c r="AE217" s="1086" t="n">
        <v>0</v>
      </c>
      <c r="AF217" s="1086" t="n">
        <v>0</v>
      </c>
      <c r="AG217" s="1087" t="n">
        <v>0</v>
      </c>
      <c r="AH217" s="1086" t="n">
        <v>0</v>
      </c>
      <c r="AI217" s="1086" t="n">
        <v>0</v>
      </c>
      <c r="AJ217" s="1087" t="n">
        <v>0</v>
      </c>
      <c r="AK217" s="1086" t="n">
        <v>0</v>
      </c>
      <c r="AL217" s="1086" t="n">
        <v>0</v>
      </c>
      <c r="AM217" s="1087" t="n">
        <v>0</v>
      </c>
      <c r="AN217" s="1086" t="n">
        <v>0</v>
      </c>
      <c r="AO217" s="1086" t="n">
        <v>0</v>
      </c>
      <c r="AP217" s="1087" t="n">
        <v>0</v>
      </c>
      <c r="AQ217" s="1086" t="n">
        <v>0</v>
      </c>
      <c r="AR217" s="1086" t="n">
        <v>0</v>
      </c>
      <c r="AS217" s="1087" t="n">
        <v>0</v>
      </c>
      <c r="AT217" s="1086" t="n">
        <v>0</v>
      </c>
      <c r="AU217" s="1086" t="n">
        <v>0</v>
      </c>
      <c r="AV217" s="1086" t="n">
        <v>0</v>
      </c>
      <c r="AW217" s="1172" t="n">
        <v>0</v>
      </c>
      <c r="AX217" s="807" t="e">
        <f aca="false">BB217-SUM(AY217:BA217)</f>
        <v>#VALUE!</v>
      </c>
      <c r="AY217" s="807" t="e">
        <f aca="false">IF(AND($E217=MONTH(Summary!$E$24),$D217=YEAR(Summary!$E$24)),Summary!$E$25,1)*IF(G217="",0,INT((H217-MOD(H217,7)-G217)/7)+1-IF(BA217,IF(WEEKDAY(F217)=7,1,0),0))</f>
        <v>#VALUE!</v>
      </c>
      <c r="AZ217" s="807" t="e">
        <f aca="false">IF(AND($E217=MONTH(Summary!$E$24),$D217=YEAR(Summary!$E$24)),Summary!$E$25,1)*IF(G217="",0,INT((H217-MOD(H217-1,7)-G217)/7)+1-IF(BA217,IF(WEEKDAY(F217)=1,1,0),0))</f>
        <v>#VALUE!</v>
      </c>
      <c r="BA217" s="807" t="n">
        <v>1</v>
      </c>
      <c r="BB217" s="807" t="n">
        <f aca="false">IF(AND($E217=MONTH(Summary!$E$24),$D217=YEAR(Summary!$E$24)),Summary!$E$25,1)*IF(G217="",0,H217-G217+1)</f>
        <v>30</v>
      </c>
      <c r="BC217" s="1089" t="n">
        <f aca="false">Summary!$E$19</f>
        <v>0.015</v>
      </c>
      <c r="BD217" s="1090" t="n">
        <v>14893.2</v>
      </c>
      <c r="BE217" s="1091" t="n">
        <v>2836.8</v>
      </c>
      <c r="BF217" s="1091" t="n">
        <v>3546</v>
      </c>
      <c r="BG217" s="842"/>
      <c r="BH217" s="1092" t="n">
        <v>1</v>
      </c>
      <c r="BI217" s="1092" t="n">
        <v>1</v>
      </c>
      <c r="BJ217" s="1092" t="n">
        <v>1</v>
      </c>
      <c r="BK217" s="1092" t="n">
        <v>1</v>
      </c>
      <c r="BL217" s="1093" t="n">
        <v>2978.64</v>
      </c>
      <c r="BM217" s="1091" t="n">
        <v>567.36</v>
      </c>
      <c r="BN217" s="1091" t="n">
        <v>709.2</v>
      </c>
      <c r="BO217" s="842"/>
      <c r="BP217" s="1092" t="n">
        <v>1</v>
      </c>
      <c r="BQ217" s="1094" t="n">
        <v>1</v>
      </c>
      <c r="BR217" s="1094" t="n">
        <v>1</v>
      </c>
      <c r="BS217" s="1095" t="n">
        <v>1</v>
      </c>
      <c r="BT217" s="1093" t="n">
        <f aca="false">SUM(BD217:BF217)</f>
        <v>21276</v>
      </c>
      <c r="BU217" s="1098" t="n">
        <f aca="false">SUM(BD217:BG217)</f>
        <v>21276</v>
      </c>
      <c r="BV217" s="1090" t="n">
        <f aca="false">SUM(BL217:BN217)</f>
        <v>4255.2</v>
      </c>
      <c r="BW217" s="1098" t="n">
        <f aca="false">SUM(BL217:BO217)</f>
        <v>4255.2</v>
      </c>
      <c r="BX217" s="852" t="n">
        <v>16.7145790554415</v>
      </c>
      <c r="BY217" s="1099" t="n">
        <v>0</v>
      </c>
      <c r="BZ217" s="852" t="n">
        <v>0</v>
      </c>
      <c r="CA217" s="852" t="n">
        <v>0</v>
      </c>
      <c r="CB217" s="852" t="n">
        <v>0</v>
      </c>
      <c r="CC217" s="852" t="n">
        <v>0</v>
      </c>
      <c r="CD217" s="852" t="n">
        <v>0</v>
      </c>
      <c r="CE217" s="1100" t="n">
        <v>0</v>
      </c>
      <c r="CF217" s="852" t="n">
        <v>0</v>
      </c>
      <c r="CG217" s="852" t="n">
        <v>0</v>
      </c>
      <c r="CH217" s="852" t="n">
        <v>0</v>
      </c>
      <c r="CI217" s="852" t="n">
        <v>0</v>
      </c>
      <c r="CJ217" s="1101" t="n">
        <v>0</v>
      </c>
      <c r="CK217" s="852" t="n">
        <v>0</v>
      </c>
      <c r="CL217" s="852" t="n">
        <v>0</v>
      </c>
      <c r="CM217" s="852" t="n">
        <v>0</v>
      </c>
      <c r="CN217" s="852" t="n">
        <v>0</v>
      </c>
      <c r="CO217" s="852" t="n">
        <v>0</v>
      </c>
      <c r="CP217" s="852" t="n">
        <v>0</v>
      </c>
      <c r="CQ217" s="1102" t="n">
        <v>0</v>
      </c>
      <c r="CR217" s="1103" t="n">
        <v>0</v>
      </c>
      <c r="CS217" s="1103" t="n">
        <v>0</v>
      </c>
      <c r="CT217" s="1103" t="n">
        <v>0</v>
      </c>
      <c r="CU217" s="1103" t="n">
        <v>0</v>
      </c>
      <c r="CV217" s="1103" t="n">
        <v>0</v>
      </c>
      <c r="CW217" s="1103" t="n">
        <v>0</v>
      </c>
      <c r="CX217" s="1104" t="n">
        <v>0</v>
      </c>
      <c r="CY217" s="1105" t="n">
        <v>7682.27864</v>
      </c>
      <c r="CZ217" s="1099" t="n">
        <v>0</v>
      </c>
      <c r="DA217" s="852" t="n">
        <v>0</v>
      </c>
      <c r="DB217" s="852" t="n">
        <v>0</v>
      </c>
      <c r="DC217" s="852" t="n">
        <v>0</v>
      </c>
      <c r="DD217" s="852" t="n">
        <v>0</v>
      </c>
      <c r="DE217" s="1113" t="n">
        <v>0</v>
      </c>
      <c r="DF217" s="1109" t="n">
        <v>0</v>
      </c>
      <c r="DG217" s="1110" t="n">
        <v>0</v>
      </c>
      <c r="DH217" s="1111" t="n">
        <v>0</v>
      </c>
      <c r="DI217" s="1112" t="n">
        <v>0</v>
      </c>
      <c r="DJ217" s="1112" t="n">
        <v>0</v>
      </c>
      <c r="DK217" s="1112" t="n">
        <v>0</v>
      </c>
      <c r="DL217" s="1113" t="n">
        <v>0</v>
      </c>
      <c r="DM217" s="1114" t="n">
        <v>0</v>
      </c>
      <c r="DN217" s="1114" t="n">
        <v>0</v>
      </c>
      <c r="DO217" s="1114" t="n">
        <v>0</v>
      </c>
      <c r="DP217" s="1114" t="n">
        <v>0</v>
      </c>
      <c r="DQ217" s="1114" t="n">
        <v>0</v>
      </c>
      <c r="DR217" s="1109" t="n">
        <v>0</v>
      </c>
      <c r="DS217" s="852" t="n">
        <v>0</v>
      </c>
      <c r="DT217" s="852" t="n">
        <v>0</v>
      </c>
      <c r="DU217" s="852" t="n">
        <v>0</v>
      </c>
      <c r="DV217" s="852" t="n">
        <v>0</v>
      </c>
      <c r="DW217" s="852" t="n">
        <v>0</v>
      </c>
      <c r="DX217" s="852" t="n">
        <v>0</v>
      </c>
      <c r="DY217" s="852" t="n">
        <v>0</v>
      </c>
      <c r="DZ217" s="852" t="n">
        <v>0</v>
      </c>
      <c r="EA217" s="852" t="n">
        <v>0</v>
      </c>
      <c r="EB217" s="1113" t="n">
        <v>0</v>
      </c>
      <c r="EC217" s="1115" t="n">
        <f aca="false">DS217*BD217</f>
        <v>0</v>
      </c>
      <c r="ED217" s="1115" t="n">
        <f aca="false">DT217*BE217</f>
        <v>0</v>
      </c>
      <c r="EE217" s="1115" t="n">
        <f aca="false">DU217*BF217</f>
        <v>0</v>
      </c>
      <c r="EF217" s="1115" t="n">
        <f aca="false">DV217*BG217</f>
        <v>0</v>
      </c>
      <c r="EG217" s="1115" t="n">
        <f aca="false">DS217*BD217+DT217*BE217+DU217*BF217+DV217*BG217</f>
        <v>0</v>
      </c>
      <c r="EH217" s="1116" t="n">
        <v>0</v>
      </c>
      <c r="EI217" s="1117" t="n">
        <v>0</v>
      </c>
      <c r="EJ217" s="1117" t="n">
        <v>0</v>
      </c>
      <c r="EK217" s="1117" t="n">
        <v>0</v>
      </c>
      <c r="EL217" s="1118" t="n">
        <f aca="false">IF(C217&gt;=Summary!$E$26,MAX(0,SUM(EH217:EK217)),0)</f>
        <v>0</v>
      </c>
      <c r="EM217" s="1115" t="n">
        <f aca="false">IF(C217&gt;=Summary!$E$26,DX217*BL217,0)</f>
        <v>0</v>
      </c>
      <c r="EN217" s="1115" t="n">
        <f aca="false">IF(C217&gt;=Summary!$E$26,DY217*BM217,0)</f>
        <v>0</v>
      </c>
      <c r="EO217" s="1115" t="n">
        <f aca="false">IF(C217&gt;=Summary!$E$26,DZ217*BN217,0)</f>
        <v>0</v>
      </c>
      <c r="EP217" s="1115" t="n">
        <f aca="false">IF(C217&gt;=Summary!$E$26,EA217*BO217,0)</f>
        <v>0</v>
      </c>
      <c r="EQ217" s="1115" t="n">
        <f aca="false">IF(C217&gt;=Summary!$E$26,DX217*BL217+DY217*BM217+DZ217*BN217+EA217*BO217,0)</f>
        <v>0</v>
      </c>
      <c r="ER217" s="1119" t="n">
        <v>0</v>
      </c>
      <c r="ES217" s="1120" t="n">
        <v>0</v>
      </c>
      <c r="ET217" s="1120" t="n">
        <v>0</v>
      </c>
      <c r="EU217" s="1120" t="n">
        <v>0</v>
      </c>
      <c r="EV217" s="1143" t="n">
        <f aca="false">IF(C217&gt;=Summary!$E$26,MAX(0,SUM(ER217:EU217)),0)</f>
        <v>0</v>
      </c>
      <c r="EW217" s="1115"/>
      <c r="EX217" s="1165" t="n">
        <f aca="false">(EQ217-EV217)+IF(EZ217="Yes",(EG217-EL217),0)</f>
        <v>0</v>
      </c>
      <c r="EY217" s="1166" t="str">
        <f aca="false">IF(EX217,EX217/EQ217,"")</f>
        <v/>
      </c>
      <c r="EZ217" s="1122" t="s">
        <v>37</v>
      </c>
      <c r="FA217" s="1096" t="n">
        <f aca="false">FA216</f>
        <v>45</v>
      </c>
      <c r="FB217" s="1167" t="e">
        <f aca="false">IF(EZ217="No",IF((OR(MONTH(C217)=5,MONTH(C217)=6,MONTH(C217)=7,MONTH(C217)=8,MONTH(C217)=9)),$FA217*12*AX217*(1-$BC217),$FA217*10*AX217*(1-$BC217)),0)</f>
        <v>#VALUE!</v>
      </c>
      <c r="FC217" s="1129" t="n">
        <f aca="false">IF(EZ217="No",IF((OR(MONTH(C217)=5,MONTH(C217)=6,MONTH(C217)=7,MONTH(C217)=8,MONTH(C217)=9)),0,$FA217*3*AX217*(1-$BC217)),0)</f>
        <v>0</v>
      </c>
      <c r="FD217" s="1129" t="e">
        <f aca="false">IF(EZ217="No",IF((OR(MONTH(C217)=5,MONTH(C217)=6,MONTH(C217)=7,MONTH(C217)=8,MONTH(C217)=9)),$FA217*12*AY217*(1-$BC217),$FA217*10*AY217*(1-$BC217)),0)</f>
        <v>#VALUE!</v>
      </c>
      <c r="FE217" s="1129" t="n">
        <f aca="false">IF(EZ217="No",IF((OR(MONTH(C217)=5,MONTH(C217)=6,MONTH(C217)=7,MONTH(C217)=8,MONTH(C217)=9)),0,$FA217*3*AY217*(1-$BC217)),0)</f>
        <v>0</v>
      </c>
      <c r="FF217" s="1129" t="e">
        <f aca="false">IF(EZ217="No",IF((OR(MONTH(C217)=5,MONTH(C217)=6,MONTH(C217)=7,MONTH(C217)=8,MONTH(C217)=9)),$FA217*12*(AZ217+BA217)*(1-$BC217),$FA217*10*(AZ217+BA217)*(1-$BC217)),0)</f>
        <v>#VALUE!</v>
      </c>
      <c r="FG217" s="1129" t="n">
        <f aca="false">IF(EZ217="No",IF((OR(MONTH(C217)=5,MONTH(C217)=6,MONTH(C217)=7,MONTH(C217)=8,MONTH(C217)=9)),0,$FA217*3*(AZ217+BA217)*(1-$BC217)),0)</f>
        <v>0</v>
      </c>
      <c r="FH217" s="1170" t="e">
        <f aca="false">IF(EZ217="No",IF((OR(MONTH(C217)=5,MONTH(C217)=6,MONTH(C217)=7,MONTH(C217)=8,MONTH(C217)=9)),Summary!$O$15*12*(AX217+AY217+AZ217+BA217)*(1-$BC217),Summary!$O$15*13*(AX217+AY217+AZ217+BA217)*(1-$BC217)+IF(Summary!$O$16="Yes",(CALC!FA217+Summary!$O$15)*6*(AX217+AY217+AZ217+BA217)*(1-$BC217),0)),0)</f>
        <v>#VALUE!</v>
      </c>
      <c r="FI217" s="1126" t="n">
        <f aca="false">IF(MONTH(C217)=5,FI216*(IF(Summary!$E$70="no",(1+(Summary!$E$71*0.8)),1+HLOOKUP(YEAR(C217)-1,CCFMODEL!$I$127:$AF$128,2)*0.8)),+FI216)</f>
        <v>39.812819442007</v>
      </c>
      <c r="FJ217" s="1127" t="n">
        <f aca="false">IF(MONTH(C217)=5,FJ216*(IF(Summary!$E$70="no",(1+(Summary!$E$71*0.8)),1+HLOOKUP(YEAR(CALC!C217)-1,CCFMODEL!$I$127:$AF$128,2)*0.8)),FJ216)</f>
        <v>34.7970311658486</v>
      </c>
      <c r="FK217" s="1128" t="e">
        <f aca="false">SUM(FB217:FG217)*FI217+FH217*FJ217</f>
        <v>#VALUE!</v>
      </c>
      <c r="FL217" s="1126" t="n">
        <f aca="false">IF(MONTH(C217)=5,FL216*(IF(Summary!$E$70="no",(1+(Summary!$E$71*0.8)),1+HLOOKUP(YEAR(CALC!C217)-1,CCFMODEL!$I$127:$AF$128,2)*0.8)),+FL216)</f>
        <v>83.7308227409887</v>
      </c>
      <c r="FM217" s="1127" t="n">
        <f aca="false">IF(MONTH(C217)=5,FM216*(IF(Summary!$E$70="no",(1+(Summary!$E$71*0.8)),1+HLOOKUP(YEAR(CALC!C217)-1,CCFMODEL!$I$127:$AF$128,2)*0.8)),+FM216)</f>
        <v>39.9620988549879</v>
      </c>
      <c r="FN217" s="1128" t="e">
        <f aca="false">IF((OR(MONTH(C217)=5,MONTH(C217)=6,MONTH(C217)=7,MONTH(C217)=8,MONTH(C217)=9)),SUM(FB217:FG217)/(1-BC217)*FL217,SUM(FB217:FG217)/(1-BC217)*FM217)</f>
        <v>#VALUE!</v>
      </c>
      <c r="FO217" s="1129" t="e">
        <f aca="false">FK217+FN217</f>
        <v>#VALUE!</v>
      </c>
      <c r="FP217" s="1169" t="e">
        <f aca="false">FB217</f>
        <v>#VALUE!</v>
      </c>
      <c r="FQ217" s="1129" t="n">
        <f aca="false">FC217</f>
        <v>0</v>
      </c>
      <c r="FR217" s="1129" t="e">
        <f aca="false">FD217</f>
        <v>#VALUE!</v>
      </c>
      <c r="FS217" s="1129" t="n">
        <f aca="false">FE217</f>
        <v>0</v>
      </c>
      <c r="FT217" s="1129" t="e">
        <f aca="false">FF217</f>
        <v>#VALUE!</v>
      </c>
      <c r="FU217" s="1129" t="n">
        <f aca="false">FG217</f>
        <v>0</v>
      </c>
      <c r="FV217" s="1170" t="e">
        <f aca="false">FH217</f>
        <v>#VALUE!</v>
      </c>
      <c r="FW217" s="1115" t="n">
        <f aca="false">IF(ER217&gt;0,MIN(FB217-FP217,BL217),0)</f>
        <v>0</v>
      </c>
      <c r="FX217" s="1115" t="n">
        <f aca="false">IF(ES217&gt;0,MIN(FD217-FR217,BM217),0)</f>
        <v>0</v>
      </c>
      <c r="FY217" s="1115" t="n">
        <f aca="false">IF(ET217&gt;0,MIN(FF217-FT217,BN217),0)</f>
        <v>0</v>
      </c>
      <c r="FZ217" s="1143" t="n">
        <f aca="false">IF(EU217&gt;0,MIN(FH217-FV217,BO217),0)</f>
        <v>0</v>
      </c>
      <c r="GA217" s="1132" t="e">
        <f aca="false">(SUM(FP217:FV217)+SUM(GU217:HB217)/(1-Summary!$O$25))*CY217/1000</f>
        <v>#VALUE!</v>
      </c>
      <c r="GB217" s="1133" t="n">
        <f aca="false">IF($C217&lt;Summary!$M$81,+Summary!$O$81,VLOOKUP(C217,GasTable,19))</f>
        <v>3.77825368172622</v>
      </c>
      <c r="GC217" s="1134" t="n">
        <f aca="false">IF(H217&lt;=Summary!$N$84,MIN(GA217,Summary!$O$75*(H217-G217+1)),0)</f>
        <v>0</v>
      </c>
      <c r="GD217" s="1135" t="n">
        <f aca="false">IF(C217&lt;Summary!$N$84,IF(Summary!$O$75*(H217-G217+1)*0.8&gt;GC217,1,0),0)</f>
        <v>0</v>
      </c>
      <c r="GE217" s="1136" t="n">
        <v>0</v>
      </c>
      <c r="GF217" s="1134" t="e">
        <f aca="false">ABS(MIN(0,GC217-$GA217))</f>
        <v>#VALUE!</v>
      </c>
      <c r="GG217" s="1135" t="e">
        <f aca="false">GF217*(IF(Summary!$O$74=1,VLOOKUP($C217,GasTable,16)+Summary!$O$92+Summary!$O$93,VLOOKUP($C217,GasTable,19)+Summary!$O$92+Summary!$O$93))</f>
        <v>#VALUE!</v>
      </c>
      <c r="GH217" s="1137" t="n">
        <v>5667.38052258933</v>
      </c>
      <c r="GI217" s="1138" t="n">
        <v>0</v>
      </c>
      <c r="GJ217" s="1139" t="e">
        <f aca="false">+GB217*GC217+GE217+GG217+GH217-GI217</f>
        <v>#VALUE!</v>
      </c>
      <c r="GK217" s="1115" t="e">
        <f aca="false">SUM(FP217:FV217,GU217:GX217,GY217:HB217)</f>
        <v>#VALUE!</v>
      </c>
      <c r="GL217" s="1140" t="n">
        <v>0.51471266888</v>
      </c>
      <c r="GM217" s="1141" t="e">
        <f aca="false">IF(GK217&gt;GC217/(CY217/1000),GC217/(CY217/1000),+GK217)*GL217</f>
        <v>#VALUE!</v>
      </c>
      <c r="GN217" s="1115" t="n">
        <f aca="false">IF(SUM(GU217:HB217)=0,0,IF(Summary!$O$16="Yes",SUM(GX217:HB217),IF(Summary!$O$17="Yes",SUM(GY217:HB217),SUM(GU217:HB217))))</f>
        <v>9239.103</v>
      </c>
      <c r="GO217" s="1142" t="n">
        <v>3.81843996798547</v>
      </c>
      <c r="GP217" s="1143" t="n">
        <f aca="false">GN217*GO217</f>
        <v>35278.9601635345</v>
      </c>
      <c r="GQ217" s="1115"/>
      <c r="GR217" s="1115"/>
      <c r="GS217" s="1115"/>
      <c r="GT217" s="1115"/>
      <c r="GU217" s="1150" t="n">
        <v>3592.9845</v>
      </c>
      <c r="GV217" s="1115" t="n">
        <v>684.378</v>
      </c>
      <c r="GW217" s="1115" t="n">
        <v>855.4725</v>
      </c>
      <c r="GX217" s="1115"/>
      <c r="GY217" s="1151" t="n">
        <v>2874.3876</v>
      </c>
      <c r="GZ217" s="1115" t="n">
        <v>547.5024</v>
      </c>
      <c r="HA217" s="1115" t="n">
        <v>684.378</v>
      </c>
      <c r="HB217" s="1141"/>
      <c r="HC217" s="1115" t="n">
        <v>9239.103</v>
      </c>
      <c r="HD217" s="1115"/>
      <c r="HE217" s="1115" t="n">
        <v>21557.907</v>
      </c>
      <c r="HF217" s="1115" t="n">
        <v>571376.116659652</v>
      </c>
      <c r="HG217" s="1115"/>
      <c r="HH217" s="1142" t="n">
        <v>64.1896876974084</v>
      </c>
      <c r="HI217" s="1115" t="n">
        <v>1383795.31773977</v>
      </c>
      <c r="HJ217" s="1150" t="e">
        <f aca="false">MAX(FB217-FP217-FW217,0)</f>
        <v>#VALUE!</v>
      </c>
      <c r="HK217" s="1115" t="e">
        <f aca="false">MAX(FD217-FR217-FX217,0)</f>
        <v>#VALUE!</v>
      </c>
      <c r="HL217" s="1115" t="e">
        <f aca="false">MAX(FF217-FT217-FY217,0)</f>
        <v>#VALUE!</v>
      </c>
      <c r="HM217" s="1141" t="e">
        <f aca="false">MAX(FH217-FV217-FZ217,0)</f>
        <v>#VALUE!</v>
      </c>
      <c r="HN217" s="1115" t="e">
        <f aca="false">SUM(HJ217:HM217)</f>
        <v>#VALUE!</v>
      </c>
      <c r="HO217" s="1142" t="n">
        <f aca="false">IF(ISERROR(+HP217/HN217),0,+HP217/HN217)</f>
        <v>0</v>
      </c>
      <c r="HP217" s="1143" t="e">
        <f aca="false">(HJ217*CE217+HK217*CF217+HL217*CG217+HM217*CH217)</f>
        <v>#VALUE!</v>
      </c>
      <c r="HQ217" s="1142"/>
      <c r="HR217" s="1150"/>
      <c r="HS217" s="1200"/>
      <c r="HT217" s="1141"/>
      <c r="HU217" s="1150"/>
      <c r="HV217" s="1200"/>
      <c r="HW217" s="1141"/>
      <c r="HX217" s="1200"/>
      <c r="HY217" s="1200"/>
      <c r="HZ217" s="0"/>
      <c r="IA217" s="1142"/>
      <c r="IB217" s="1142"/>
      <c r="IC217" s="1142"/>
      <c r="ID217" s="1142"/>
      <c r="IE217" s="1142"/>
      <c r="IF217" s="1142"/>
      <c r="IG217" s="1142"/>
      <c r="IH217" s="1142"/>
      <c r="II217" s="1142"/>
      <c r="IJ217" s="1142"/>
      <c r="IK217" s="1142"/>
      <c r="IL217" s="1190"/>
      <c r="IM217" s="222"/>
      <c r="IN217" s="222"/>
      <c r="IR217" s="844"/>
    </row>
    <row r="218" customFormat="false" ht="13.5" hidden="false" customHeight="false" outlineLevel="0" collapsed="false">
      <c r="A218" s="0" t="str">
        <f aca="false">+D218&amp;"Q"&amp;ROUNDUP(E218/3,0)</f>
        <v>2016Q4</v>
      </c>
      <c r="B218" s="0" t="n">
        <f aca="false">YEAR(C218)</f>
        <v>2016</v>
      </c>
      <c r="C218" s="1153" t="n">
        <f aca="false">EOMONTH(C217,0)+1</f>
        <v>42644</v>
      </c>
      <c r="D218" s="841" t="n">
        <f aca="false">+YEAR(C218)</f>
        <v>2016</v>
      </c>
      <c r="E218" s="807" t="n">
        <f aca="false">MONTH(C218)</f>
        <v>10</v>
      </c>
      <c r="F218" s="1154" t="e">
        <f aca="false">IF(G218="","",Holiday(D218,E218))</f>
        <v>#VALUE!</v>
      </c>
      <c r="G218" s="1155" t="n">
        <v>42644</v>
      </c>
      <c r="H218" s="1156" t="n">
        <v>42674</v>
      </c>
      <c r="I218" s="1157" t="n">
        <f aca="false">I217</f>
        <v>0.0715</v>
      </c>
      <c r="J218" s="1158" t="n">
        <f aca="false">(1+I218/2)^(-2*(DATE(D219,E219,20)-$H$7)/365.25)</f>
        <v>0.304339001994666</v>
      </c>
      <c r="K218" s="1159"/>
      <c r="L218" s="1158"/>
      <c r="M218" s="1082" t="n">
        <v>0</v>
      </c>
      <c r="N218" s="1110" t="n">
        <f aca="false">M218</f>
        <v>0</v>
      </c>
      <c r="O218" s="1174" t="n">
        <f aca="false">N218</f>
        <v>0</v>
      </c>
      <c r="P218" s="1175" t="n">
        <f aca="false">M218</f>
        <v>0</v>
      </c>
      <c r="Q218" s="1110" t="n">
        <f aca="false">P218</f>
        <v>0</v>
      </c>
      <c r="R218" s="1174" t="n">
        <f aca="false">Q218</f>
        <v>0</v>
      </c>
      <c r="S218" s="1110" t="n">
        <f aca="false">R218</f>
        <v>0</v>
      </c>
      <c r="T218" s="1110" t="n">
        <f aca="false">S218</f>
        <v>0</v>
      </c>
      <c r="U218" s="1110" t="n">
        <f aca="false">T218</f>
        <v>0</v>
      </c>
      <c r="V218" s="1175" t="n">
        <f aca="false">U218</f>
        <v>0</v>
      </c>
      <c r="W218" s="1110" t="n">
        <f aca="false">V218</f>
        <v>0</v>
      </c>
      <c r="X218" s="1176" t="n">
        <f aca="false">W218</f>
        <v>0</v>
      </c>
      <c r="Y218" s="1086" t="n">
        <v>0</v>
      </c>
      <c r="Z218" s="1086" t="n">
        <v>0</v>
      </c>
      <c r="AA218" s="1087" t="n">
        <v>0</v>
      </c>
      <c r="AB218" s="1086" t="n">
        <v>0</v>
      </c>
      <c r="AC218" s="1086" t="n">
        <v>0</v>
      </c>
      <c r="AD218" s="1087" t="n">
        <v>0</v>
      </c>
      <c r="AE218" s="1086" t="n">
        <v>0</v>
      </c>
      <c r="AF218" s="1086" t="n">
        <v>0</v>
      </c>
      <c r="AG218" s="1087" t="n">
        <v>0</v>
      </c>
      <c r="AH218" s="1086" t="n">
        <v>0</v>
      </c>
      <c r="AI218" s="1086" t="n">
        <v>0</v>
      </c>
      <c r="AJ218" s="1087" t="n">
        <v>0</v>
      </c>
      <c r="AK218" s="1086" t="n">
        <v>0</v>
      </c>
      <c r="AL218" s="1086" t="n">
        <v>0</v>
      </c>
      <c r="AM218" s="1087" t="n">
        <v>0</v>
      </c>
      <c r="AN218" s="1086" t="n">
        <v>0</v>
      </c>
      <c r="AO218" s="1086" t="n">
        <v>0</v>
      </c>
      <c r="AP218" s="1087" t="n">
        <v>0</v>
      </c>
      <c r="AQ218" s="1086" t="n">
        <v>0</v>
      </c>
      <c r="AR218" s="1086" t="n">
        <v>0</v>
      </c>
      <c r="AS218" s="1087" t="n">
        <v>0</v>
      </c>
      <c r="AT218" s="1086" t="n">
        <v>0</v>
      </c>
      <c r="AU218" s="1086" t="n">
        <v>0</v>
      </c>
      <c r="AV218" s="1086" t="n">
        <v>0</v>
      </c>
      <c r="AW218" s="1172" t="n">
        <v>0</v>
      </c>
      <c r="AX218" s="807" t="n">
        <f aca="false">BB218-SUM(AY218:BA218)</f>
        <v>21</v>
      </c>
      <c r="AY218" s="807" t="n">
        <f aca="false">IF(AND($E218=MONTH(Summary!$E$24),$D218=YEAR(Summary!$E$24)),Summary!$E$25,1)*IF(G218="",0,INT((H218-MOD(H218,7)-G218)/7)+1-IF(BA218,IF(WEEKDAY(F218)=7,1,0),0))</f>
        <v>5</v>
      </c>
      <c r="AZ218" s="807" t="n">
        <f aca="false">IF(AND($E218=MONTH(Summary!$E$24),$D218=YEAR(Summary!$E$24)),Summary!$E$25,1)*IF(G218="",0,INT((H218-MOD(H218-1,7)-G218)/7)+1-IF(BA218,IF(WEEKDAY(F218)=1,1,0),0))</f>
        <v>5</v>
      </c>
      <c r="BA218" s="807" t="n">
        <v>0</v>
      </c>
      <c r="BB218" s="807" t="n">
        <f aca="false">IF(AND($E218=MONTH(Summary!$E$24),$D218=YEAR(Summary!$E$24)),Summary!$E$25,1)*IF(G218="",0,H218-G218+1)</f>
        <v>31</v>
      </c>
      <c r="BC218" s="1089" t="n">
        <f aca="false">Summary!$E$19</f>
        <v>0.015</v>
      </c>
      <c r="BD218" s="1090" t="n">
        <v>14893.2</v>
      </c>
      <c r="BE218" s="1091" t="n">
        <v>3546</v>
      </c>
      <c r="BF218" s="1091" t="n">
        <v>3546</v>
      </c>
      <c r="BG218" s="842"/>
      <c r="BH218" s="1092" t="n">
        <v>1</v>
      </c>
      <c r="BI218" s="1092" t="n">
        <v>1</v>
      </c>
      <c r="BJ218" s="1092" t="n">
        <v>1</v>
      </c>
      <c r="BK218" s="1092" t="n">
        <v>1</v>
      </c>
      <c r="BL218" s="1093" t="n">
        <v>2978.64</v>
      </c>
      <c r="BM218" s="1091" t="n">
        <v>709.2</v>
      </c>
      <c r="BN218" s="1091" t="n">
        <v>709.2</v>
      </c>
      <c r="BO218" s="842"/>
      <c r="BP218" s="1092" t="n">
        <v>1</v>
      </c>
      <c r="BQ218" s="1094" t="n">
        <v>1</v>
      </c>
      <c r="BR218" s="1094" t="n">
        <v>1</v>
      </c>
      <c r="BS218" s="1095" t="n">
        <v>1</v>
      </c>
      <c r="BT218" s="1093" t="n">
        <f aca="false">SUM(BD218:BF218)</f>
        <v>21985.2</v>
      </c>
      <c r="BU218" s="1098" t="n">
        <f aca="false">SUM(BD218:BG218)</f>
        <v>21985.2</v>
      </c>
      <c r="BV218" s="1090" t="n">
        <f aca="false">SUM(BL218:BN218)</f>
        <v>4397.04</v>
      </c>
      <c r="BW218" s="1098" t="n">
        <f aca="false">SUM(BL218:BO218)</f>
        <v>4397.04</v>
      </c>
      <c r="BX218" s="852" t="n">
        <v>16.7967145790554</v>
      </c>
      <c r="BY218" s="1099" t="n">
        <v>0</v>
      </c>
      <c r="BZ218" s="852" t="n">
        <v>0</v>
      </c>
      <c r="CA218" s="852" t="n">
        <v>0</v>
      </c>
      <c r="CB218" s="852" t="n">
        <v>0</v>
      </c>
      <c r="CC218" s="852" t="n">
        <v>0</v>
      </c>
      <c r="CD218" s="852" t="n">
        <v>0</v>
      </c>
      <c r="CE218" s="1100" t="n">
        <v>0</v>
      </c>
      <c r="CF218" s="852" t="n">
        <v>0</v>
      </c>
      <c r="CG218" s="852" t="n">
        <v>0</v>
      </c>
      <c r="CH218" s="852" t="n">
        <v>0</v>
      </c>
      <c r="CI218" s="852" t="n">
        <v>0</v>
      </c>
      <c r="CJ218" s="1101" t="n">
        <v>0</v>
      </c>
      <c r="CK218" s="852" t="n">
        <v>0</v>
      </c>
      <c r="CL218" s="852" t="n">
        <v>0</v>
      </c>
      <c r="CM218" s="852" t="n">
        <v>0</v>
      </c>
      <c r="CN218" s="852" t="n">
        <v>0</v>
      </c>
      <c r="CO218" s="852" t="n">
        <v>0</v>
      </c>
      <c r="CP218" s="852" t="n">
        <v>0</v>
      </c>
      <c r="CQ218" s="1102" t="n">
        <v>0</v>
      </c>
      <c r="CR218" s="1103" t="n">
        <v>0</v>
      </c>
      <c r="CS218" s="1103" t="n">
        <v>0</v>
      </c>
      <c r="CT218" s="1103" t="n">
        <v>0</v>
      </c>
      <c r="CU218" s="1103" t="n">
        <v>0</v>
      </c>
      <c r="CV218" s="1103" t="n">
        <v>0</v>
      </c>
      <c r="CW218" s="1103" t="n">
        <v>0</v>
      </c>
      <c r="CX218" s="1104" t="n">
        <v>0</v>
      </c>
      <c r="CY218" s="1105" t="n">
        <v>7684.3096</v>
      </c>
      <c r="CZ218" s="1099" t="n">
        <v>0</v>
      </c>
      <c r="DA218" s="852" t="n">
        <v>0</v>
      </c>
      <c r="DB218" s="852" t="n">
        <v>0</v>
      </c>
      <c r="DC218" s="852" t="n">
        <v>0</v>
      </c>
      <c r="DD218" s="852" t="n">
        <v>0</v>
      </c>
      <c r="DE218" s="1113" t="n">
        <v>0</v>
      </c>
      <c r="DF218" s="1109" t="n">
        <v>0</v>
      </c>
      <c r="DG218" s="1110" t="n">
        <v>0</v>
      </c>
      <c r="DH218" s="1111" t="n">
        <v>0</v>
      </c>
      <c r="DI218" s="1112" t="n">
        <v>0</v>
      </c>
      <c r="DJ218" s="1112" t="n">
        <v>0</v>
      </c>
      <c r="DK218" s="1112" t="n">
        <v>0</v>
      </c>
      <c r="DL218" s="1113" t="n">
        <v>0</v>
      </c>
      <c r="DM218" s="1114" t="n">
        <v>0</v>
      </c>
      <c r="DN218" s="1114" t="n">
        <v>0</v>
      </c>
      <c r="DO218" s="1114" t="n">
        <v>0</v>
      </c>
      <c r="DP218" s="1114" t="n">
        <v>0</v>
      </c>
      <c r="DQ218" s="1114" t="n">
        <v>0</v>
      </c>
      <c r="DR218" s="1109" t="n">
        <v>0</v>
      </c>
      <c r="DS218" s="852" t="n">
        <v>0</v>
      </c>
      <c r="DT218" s="852" t="n">
        <v>0</v>
      </c>
      <c r="DU218" s="852" t="n">
        <v>0</v>
      </c>
      <c r="DV218" s="852" t="n">
        <v>0</v>
      </c>
      <c r="DW218" s="852" t="n">
        <v>0</v>
      </c>
      <c r="DX218" s="852" t="n">
        <v>0</v>
      </c>
      <c r="DY218" s="852" t="n">
        <v>0</v>
      </c>
      <c r="DZ218" s="852" t="n">
        <v>0</v>
      </c>
      <c r="EA218" s="852" t="n">
        <v>0</v>
      </c>
      <c r="EB218" s="1113" t="n">
        <v>0</v>
      </c>
      <c r="EC218" s="1115" t="n">
        <f aca="false">DS218*BD218</f>
        <v>0</v>
      </c>
      <c r="ED218" s="1115" t="n">
        <f aca="false">DT218*BE218</f>
        <v>0</v>
      </c>
      <c r="EE218" s="1115" t="n">
        <f aca="false">DU218*BF218</f>
        <v>0</v>
      </c>
      <c r="EF218" s="1115" t="n">
        <f aca="false">DV218*BG218</f>
        <v>0</v>
      </c>
      <c r="EG218" s="1115" t="n">
        <f aca="false">DS218*BD218+DT218*BE218+DU218*BF218+DV218*BG218</f>
        <v>0</v>
      </c>
      <c r="EH218" s="1116" t="n">
        <v>0</v>
      </c>
      <c r="EI218" s="1117" t="n">
        <v>0</v>
      </c>
      <c r="EJ218" s="1117" t="n">
        <v>0</v>
      </c>
      <c r="EK218" s="1117" t="n">
        <v>0</v>
      </c>
      <c r="EL218" s="1118" t="n">
        <f aca="false">IF(C218&gt;=Summary!$E$26,MAX(0,SUM(EH218:EK218)),0)</f>
        <v>0</v>
      </c>
      <c r="EM218" s="1115" t="n">
        <f aca="false">IF(C218&gt;=Summary!$E$26,DX218*BL218,0)</f>
        <v>0</v>
      </c>
      <c r="EN218" s="1115" t="n">
        <f aca="false">IF(C218&gt;=Summary!$E$26,DY218*BM218,0)</f>
        <v>0</v>
      </c>
      <c r="EO218" s="1115" t="n">
        <f aca="false">IF(C218&gt;=Summary!$E$26,DZ218*BN218,0)</f>
        <v>0</v>
      </c>
      <c r="EP218" s="1115" t="n">
        <f aca="false">IF(C218&gt;=Summary!$E$26,EA218*BO218,0)</f>
        <v>0</v>
      </c>
      <c r="EQ218" s="1115" t="n">
        <f aca="false">IF(C218&gt;=Summary!$E$26,DX218*BL218+DY218*BM218+DZ218*BN218+EA218*BO218,0)</f>
        <v>0</v>
      </c>
      <c r="ER218" s="1119" t="n">
        <v>0</v>
      </c>
      <c r="ES218" s="1120" t="n">
        <v>0</v>
      </c>
      <c r="ET218" s="1120" t="n">
        <v>0</v>
      </c>
      <c r="EU218" s="1120" t="n">
        <v>0</v>
      </c>
      <c r="EV218" s="1143" t="n">
        <f aca="false">IF(C218&gt;=Summary!$E$26,MAX(0,SUM(ER218:EU218)),0)</f>
        <v>0</v>
      </c>
      <c r="EW218" s="1115"/>
      <c r="EX218" s="1165" t="n">
        <f aca="false">(EQ218-EV218)+IF(EZ218="Yes",(EG218-EL218),0)</f>
        <v>0</v>
      </c>
      <c r="EY218" s="1166" t="str">
        <f aca="false">IF(EX218,EX218/EQ218,"")</f>
        <v/>
      </c>
      <c r="EZ218" s="1122" t="s">
        <v>37</v>
      </c>
      <c r="FA218" s="1096" t="n">
        <f aca="false">FA217</f>
        <v>45</v>
      </c>
      <c r="FB218" s="1167" t="n">
        <f aca="false">IF(EZ218="No",IF((OR(MONTH(C218)=5,MONTH(C218)=6,MONTH(C218)=7,MONTH(C218)=8,MONTH(C218)=9)),$FA218*12*AX218*(1-$BC218),$FA218*10*AX218*(1-$BC218)),0)</f>
        <v>9308.25</v>
      </c>
      <c r="FC218" s="1129" t="n">
        <f aca="false">IF(EZ218="No",IF((OR(MONTH(C218)=5,MONTH(C218)=6,MONTH(C218)=7,MONTH(C218)=8,MONTH(C218)=9)),0,$FA218*3*AX218*(1-$BC218)),0)</f>
        <v>2792.475</v>
      </c>
      <c r="FD218" s="1129" t="n">
        <f aca="false">IF(EZ218="No",IF((OR(MONTH(C218)=5,MONTH(C218)=6,MONTH(C218)=7,MONTH(C218)=8,MONTH(C218)=9)),$FA218*12*AY218*(1-$BC218),$FA218*10*AY218*(1-$BC218)),0)</f>
        <v>2216.25</v>
      </c>
      <c r="FE218" s="1129" t="n">
        <f aca="false">IF(EZ218="No",IF((OR(MONTH(C218)=5,MONTH(C218)=6,MONTH(C218)=7,MONTH(C218)=8,MONTH(C218)=9)),0,$FA218*3*AY218*(1-$BC218)),0)</f>
        <v>664.875</v>
      </c>
      <c r="FF218" s="1129" t="n">
        <f aca="false">IF(EZ218="No",IF((OR(MONTH(C218)=5,MONTH(C218)=6,MONTH(C218)=7,MONTH(C218)=8,MONTH(C218)=9)),$FA218*12*(AZ218+BA218)*(1-$BC218),$FA218*10*(AZ218+BA218)*(1-$BC218)),0)</f>
        <v>2216.25</v>
      </c>
      <c r="FG218" s="1129" t="n">
        <f aca="false">IF(EZ218="No",IF((OR(MONTH(C218)=5,MONTH(C218)=6,MONTH(C218)=7,MONTH(C218)=8,MONTH(C218)=9)),0,$FA218*3*(AZ218+BA218)*(1-$BC218)),0)</f>
        <v>664.875</v>
      </c>
      <c r="FH218" s="1170" t="n">
        <f aca="false">IF(EZ218="No",IF((OR(MONTH(C218)=5,MONTH(C218)=6,MONTH(C218)=7,MONTH(C218)=8,MONTH(C218)=9)),Summary!$O$15*12*(AX218+AY218+AZ218+BA218)*(1-$BC218),Summary!$O$15*13*(AX218+AY218+AZ218+BA218)*(1-$BC218)+IF(Summary!$O$16="Yes",(CALC!FA218+Summary!$O$15)*6*(AX218+AY218+AZ218+BA218)*(1-$BC218),0)),0)</f>
        <v>0</v>
      </c>
      <c r="FI218" s="1126" t="n">
        <f aca="false">IF(MONTH(C218)=5,FI217*(IF(Summary!$E$70="no",(1+(Summary!$E$71*0.8)),1+HLOOKUP(YEAR(C218)-1,CCFMODEL!$I$127:$AF$128,2)*0.8)),+FI217)</f>
        <v>39.812819442007</v>
      </c>
      <c r="FJ218" s="1127" t="n">
        <f aca="false">IF(MONTH(C218)=5,FJ217*(IF(Summary!$E$70="no",(1+(Summary!$E$71*0.8)),1+HLOOKUP(YEAR(CALC!C218)-1,CCFMODEL!$I$127:$AF$128,2)*0.8)),FJ217)</f>
        <v>34.7970311658486</v>
      </c>
      <c r="FK218" s="1128" t="n">
        <f aca="false">SUM(FB218:FG218)*FI218+FH218*FJ218</f>
        <v>711175.398372084</v>
      </c>
      <c r="FL218" s="1126" t="n">
        <f aca="false">IF(MONTH(C218)=5,FL217*(IF(Summary!$E$70="no",(1+(Summary!$E$71*0.8)),1+HLOOKUP(YEAR(CALC!C218)-1,CCFMODEL!$I$127:$AF$128,2)*0.8)),+FL217)</f>
        <v>83.7308227409887</v>
      </c>
      <c r="FM218" s="1127" t="n">
        <f aca="false">IF(MONTH(C218)=5,FM217*(IF(Summary!$E$70="no",(1+(Summary!$E$71*0.8)),1+HLOOKUP(YEAR(CALC!C218)-1,CCFMODEL!$I$127:$AF$128,2)*0.8)),+FM217)</f>
        <v>39.9620988549879</v>
      </c>
      <c r="FN218" s="1128" t="n">
        <f aca="false">IF((OR(MONTH(C218)=5,MONTH(C218)=6,MONTH(C218)=7,MONTH(C218)=8,MONTH(C218)=9)),SUM(FB218:FG218)/(1-BC218)*FL218,SUM(FB218:FG218)/(1-BC218)*FM218)</f>
        <v>724712.662735205</v>
      </c>
      <c r="FO218" s="1129" t="n">
        <f aca="false">FK218+FN218</f>
        <v>1435888.06110729</v>
      </c>
      <c r="FP218" s="1169" t="n">
        <f aca="false">FB218</f>
        <v>9308.25</v>
      </c>
      <c r="FQ218" s="1129" t="n">
        <f aca="false">FC218</f>
        <v>2792.475</v>
      </c>
      <c r="FR218" s="1129" t="n">
        <f aca="false">FD218</f>
        <v>2216.25</v>
      </c>
      <c r="FS218" s="1129" t="n">
        <f aca="false">FE218</f>
        <v>664.875</v>
      </c>
      <c r="FT218" s="1129" t="n">
        <f aca="false">FF218</f>
        <v>2216.25</v>
      </c>
      <c r="FU218" s="1129" t="n">
        <f aca="false">FG218</f>
        <v>664.875</v>
      </c>
      <c r="FV218" s="1170" t="n">
        <f aca="false">FH218</f>
        <v>0</v>
      </c>
      <c r="FW218" s="1115" t="n">
        <f aca="false">IF(ER218&gt;0,MIN(FB218-FP218,BL218),0)</f>
        <v>0</v>
      </c>
      <c r="FX218" s="1115" t="n">
        <f aca="false">IF(ES218&gt;0,MIN(FD218-FR218,BM218),0)</f>
        <v>0</v>
      </c>
      <c r="FY218" s="1115" t="n">
        <f aca="false">IF(ET218&gt;0,MIN(FF218-FT218,BN218),0)</f>
        <v>0</v>
      </c>
      <c r="FZ218" s="1143" t="n">
        <f aca="false">IF(EU218&gt;0,MIN(FH218-FV218,BO218),0)</f>
        <v>0</v>
      </c>
      <c r="GA218" s="1132" t="n">
        <f aca="false">(SUM(FP218:FV218)+SUM(GU218:HB218)/(1-Summary!$O$25))*CY218/1000</f>
        <v>234405.753242364</v>
      </c>
      <c r="GB218" s="1133" t="n">
        <f aca="false">IF($C218&lt;Summary!$M$81,+Summary!$O$81,VLOOKUP(C218,GasTable,19))</f>
        <v>3.94615707187397</v>
      </c>
      <c r="GC218" s="1134" t="n">
        <f aca="false">IF(H218&lt;=Summary!$N$84,MIN(GA218,Summary!$O$75*(H218-G218+1)),0)</f>
        <v>0</v>
      </c>
      <c r="GD218" s="1135" t="n">
        <f aca="false">IF(C218&lt;Summary!$N$84,IF(Summary!$O$75*(H218-G218+1)*0.8&gt;GC218,1,0),0)</f>
        <v>0</v>
      </c>
      <c r="GE218" s="1136" t="n">
        <v>0</v>
      </c>
      <c r="GF218" s="1134" t="n">
        <f aca="false">ABS(MIN(0,GC218-$GA218))</f>
        <v>234405.753242364</v>
      </c>
      <c r="GG218" s="1135" t="n">
        <f aca="false">GF218*(IF(Summary!$O$74=1,VLOOKUP($C218,GasTable,16)+Summary!$O$92+Summary!$O$93,VLOOKUP($C218,GasTable,19)+Summary!$O$92+Summary!$O$93))</f>
        <v>937214.460589226</v>
      </c>
      <c r="GH218" s="1137" t="n">
        <v>6116.54346140465</v>
      </c>
      <c r="GI218" s="1138" t="n">
        <v>0</v>
      </c>
      <c r="GJ218" s="1139" t="n">
        <f aca="false">+GB218*GC218+GE218+GG218+GH218-GI218</f>
        <v>943331.004050631</v>
      </c>
      <c r="GK218" s="1115" t="n">
        <f aca="false">SUM(FP218:FV218,GU218:GX218,GY218:HB218)</f>
        <v>30062.01285</v>
      </c>
      <c r="GL218" s="1140" t="n">
        <v>0.5148487432</v>
      </c>
      <c r="GM218" s="1141" t="n">
        <f aca="false">IF(GK218&gt;GC218/(CY218/1000),GC218/(CY218/1000),+GK218)*GL218</f>
        <v>0</v>
      </c>
      <c r="GN218" s="1115" t="n">
        <f aca="false">IF(SUM(GU218:HB218)=0,0,IF(Summary!$O$16="Yes",SUM(GX218:HB218),IF(Summary!$O$17="Yes",SUM(GY218:HB218),SUM(GU218:HB218))))</f>
        <v>12199.03785</v>
      </c>
      <c r="GO218" s="1142" t="n">
        <v>3.81843996798547</v>
      </c>
      <c r="GP218" s="1143" t="n">
        <f aca="false">GN218*GO218</f>
        <v>46581.2936974075</v>
      </c>
      <c r="GQ218" s="1115"/>
      <c r="GR218" s="1115"/>
      <c r="GS218" s="1115"/>
      <c r="GT218" s="1115"/>
      <c r="GU218" s="1150" t="n">
        <v>5389.47675</v>
      </c>
      <c r="GV218" s="1115" t="n">
        <v>1283.20875</v>
      </c>
      <c r="GW218" s="1115" t="n">
        <v>1283.20875</v>
      </c>
      <c r="GX218" s="1115"/>
      <c r="GY218" s="1151" t="n">
        <v>2874.3876</v>
      </c>
      <c r="GZ218" s="1115" t="n">
        <v>684.378</v>
      </c>
      <c r="HA218" s="1115" t="n">
        <v>684.378</v>
      </c>
      <c r="HB218" s="1141"/>
      <c r="HC218" s="1115" t="n">
        <v>12199.03785</v>
      </c>
      <c r="HD218" s="1115"/>
      <c r="HE218" s="1115" t="n">
        <v>20950.521525</v>
      </c>
      <c r="HF218" s="1115" t="n">
        <v>694233.363131226</v>
      </c>
      <c r="HG218" s="1115"/>
      <c r="HH218" s="1142" t="n">
        <v>56.0087656339582</v>
      </c>
      <c r="HI218" s="1115" t="n">
        <v>1173412.85000292</v>
      </c>
      <c r="HJ218" s="1150" t="n">
        <f aca="false">MAX(FB218-FP218-FW218,0)</f>
        <v>0</v>
      </c>
      <c r="HK218" s="1115" t="n">
        <f aca="false">MAX(FD218-FR218-FX218,0)</f>
        <v>0</v>
      </c>
      <c r="HL218" s="1115" t="n">
        <f aca="false">MAX(FF218-FT218-FY218,0)</f>
        <v>0</v>
      </c>
      <c r="HM218" s="1141" t="n">
        <f aca="false">MAX(FH218-FV218-FZ218,0)</f>
        <v>0</v>
      </c>
      <c r="HN218" s="1115" t="n">
        <f aca="false">SUM(HJ218:HM218)</f>
        <v>0</v>
      </c>
      <c r="HO218" s="1142" t="n">
        <f aca="false">IF(ISERROR(+HP218/HN218),0,+HP218/HN218)</f>
        <v>0</v>
      </c>
      <c r="HP218" s="1143" t="n">
        <f aca="false">(HJ218*CE218+HK218*CF218+HL218*CG218+HM218*CH218)</f>
        <v>0</v>
      </c>
      <c r="HQ218" s="1142"/>
      <c r="HR218" s="1150"/>
      <c r="HS218" s="1200"/>
      <c r="HT218" s="1141"/>
      <c r="HU218" s="1150"/>
      <c r="HV218" s="1200"/>
      <c r="HW218" s="1141"/>
      <c r="HX218" s="1200"/>
      <c r="HY218" s="1200"/>
      <c r="HZ218" s="0"/>
      <c r="IA218" s="1142"/>
      <c r="IB218" s="1142"/>
      <c r="IC218" s="1142"/>
      <c r="ID218" s="1142"/>
      <c r="IE218" s="1142"/>
      <c r="IF218" s="1142"/>
      <c r="IG218" s="1142"/>
      <c r="IH218" s="1142"/>
      <c r="II218" s="1142"/>
      <c r="IJ218" s="1142"/>
      <c r="IK218" s="1142"/>
      <c r="IL218" s="1190"/>
      <c r="IM218" s="222"/>
      <c r="IN218" s="222"/>
      <c r="IR218" s="844"/>
    </row>
    <row r="219" customFormat="false" ht="13.5" hidden="false" customHeight="false" outlineLevel="0" collapsed="false">
      <c r="A219" s="0" t="str">
        <f aca="false">+D219&amp;"Q"&amp;ROUNDUP(E219/3,0)</f>
        <v>2016Q4</v>
      </c>
      <c r="B219" s="0" t="n">
        <f aca="false">YEAR(C219)</f>
        <v>2016</v>
      </c>
      <c r="C219" s="1153" t="n">
        <f aca="false">EOMONTH(C218,0)+1</f>
        <v>42675</v>
      </c>
      <c r="D219" s="841" t="n">
        <f aca="false">+YEAR(C219)</f>
        <v>2016</v>
      </c>
      <c r="E219" s="807" t="n">
        <f aca="false">MONTH(C219)</f>
        <v>11</v>
      </c>
      <c r="F219" s="1154" t="e">
        <f aca="false">IF(G219="","",Holiday(D219,E219))</f>
        <v>#VALUE!</v>
      </c>
      <c r="G219" s="1155" t="n">
        <v>42675</v>
      </c>
      <c r="H219" s="1156" t="n">
        <v>42704</v>
      </c>
      <c r="I219" s="1157" t="n">
        <f aca="false">I218</f>
        <v>0.0715</v>
      </c>
      <c r="J219" s="1158" t="n">
        <f aca="false">(1+I219/2)^(-2*(DATE(D220,E220,20)-$H$7)/365.25)</f>
        <v>0.302587976310601</v>
      </c>
      <c r="K219" s="1159"/>
      <c r="L219" s="1158"/>
      <c r="M219" s="1082" t="n">
        <v>0</v>
      </c>
      <c r="N219" s="1110" t="n">
        <f aca="false">M219</f>
        <v>0</v>
      </c>
      <c r="O219" s="1174" t="n">
        <f aca="false">N219</f>
        <v>0</v>
      </c>
      <c r="P219" s="1175" t="n">
        <f aca="false">M219</f>
        <v>0</v>
      </c>
      <c r="Q219" s="1110" t="n">
        <f aca="false">P219</f>
        <v>0</v>
      </c>
      <c r="R219" s="1174" t="n">
        <f aca="false">Q219</f>
        <v>0</v>
      </c>
      <c r="S219" s="1110" t="n">
        <f aca="false">R219</f>
        <v>0</v>
      </c>
      <c r="T219" s="1110" t="n">
        <f aca="false">S219</f>
        <v>0</v>
      </c>
      <c r="U219" s="1110" t="n">
        <f aca="false">T219</f>
        <v>0</v>
      </c>
      <c r="V219" s="1175" t="n">
        <f aca="false">U219</f>
        <v>0</v>
      </c>
      <c r="W219" s="1110" t="n">
        <f aca="false">V219</f>
        <v>0</v>
      </c>
      <c r="X219" s="1176" t="n">
        <f aca="false">W219</f>
        <v>0</v>
      </c>
      <c r="Y219" s="1086" t="n">
        <v>0</v>
      </c>
      <c r="Z219" s="1086" t="n">
        <v>0</v>
      </c>
      <c r="AA219" s="1087" t="n">
        <v>0</v>
      </c>
      <c r="AB219" s="1086" t="n">
        <v>0</v>
      </c>
      <c r="AC219" s="1086" t="n">
        <v>0</v>
      </c>
      <c r="AD219" s="1087" t="n">
        <v>0</v>
      </c>
      <c r="AE219" s="1086" t="n">
        <v>0</v>
      </c>
      <c r="AF219" s="1086" t="n">
        <v>0</v>
      </c>
      <c r="AG219" s="1087" t="n">
        <v>0</v>
      </c>
      <c r="AH219" s="1086" t="n">
        <v>0</v>
      </c>
      <c r="AI219" s="1086" t="n">
        <v>0</v>
      </c>
      <c r="AJ219" s="1087" t="n">
        <v>0</v>
      </c>
      <c r="AK219" s="1086" t="n">
        <v>0</v>
      </c>
      <c r="AL219" s="1086" t="n">
        <v>0</v>
      </c>
      <c r="AM219" s="1087" t="n">
        <v>0</v>
      </c>
      <c r="AN219" s="1086" t="n">
        <v>0</v>
      </c>
      <c r="AO219" s="1086" t="n">
        <v>0</v>
      </c>
      <c r="AP219" s="1087" t="n">
        <v>0</v>
      </c>
      <c r="AQ219" s="1086" t="n">
        <v>0</v>
      </c>
      <c r="AR219" s="1086" t="n">
        <v>0</v>
      </c>
      <c r="AS219" s="1087" t="n">
        <v>0</v>
      </c>
      <c r="AT219" s="1086" t="n">
        <v>0</v>
      </c>
      <c r="AU219" s="1086" t="n">
        <v>0</v>
      </c>
      <c r="AV219" s="1086" t="n">
        <v>0</v>
      </c>
      <c r="AW219" s="1172" t="n">
        <v>0</v>
      </c>
      <c r="AX219" s="807" t="e">
        <f aca="false">BB219-SUM(AY219:BA219)</f>
        <v>#VALUE!</v>
      </c>
      <c r="AY219" s="807" t="e">
        <f aca="false">IF(AND($E219=MONTH(Summary!$E$24),$D219=YEAR(Summary!$E$24)),Summary!$E$25,1)*IF(G219="",0,INT((H219-MOD(H219,7)-G219)/7)+1-IF(BA219,IF(WEEKDAY(F219)=7,1,0),0))</f>
        <v>#VALUE!</v>
      </c>
      <c r="AZ219" s="807" t="e">
        <f aca="false">IF(AND($E219=MONTH(Summary!$E$24),$D219=YEAR(Summary!$E$24)),Summary!$E$25,1)*IF(G219="",0,INT((H219-MOD(H219-1,7)-G219)/7)+1-IF(BA219,IF(WEEKDAY(F219)=1,1,0),0))</f>
        <v>#VALUE!</v>
      </c>
      <c r="BA219" s="807" t="n">
        <v>1</v>
      </c>
      <c r="BB219" s="807" t="n">
        <f aca="false">IF(AND($E219=MONTH(Summary!$E$24),$D219=YEAR(Summary!$E$24)),Summary!$E$25,1)*IF(G219="",0,H219-G219+1)</f>
        <v>30</v>
      </c>
      <c r="BC219" s="1089" t="n">
        <f aca="false">Summary!$E$19</f>
        <v>0.015</v>
      </c>
      <c r="BD219" s="1090" t="n">
        <v>14893.2</v>
      </c>
      <c r="BE219" s="1091" t="n">
        <v>2836.8</v>
      </c>
      <c r="BF219" s="1091" t="n">
        <v>3546</v>
      </c>
      <c r="BG219" s="842"/>
      <c r="BH219" s="1092" t="n">
        <v>1</v>
      </c>
      <c r="BI219" s="1092" t="n">
        <v>1</v>
      </c>
      <c r="BJ219" s="1092" t="n">
        <v>1</v>
      </c>
      <c r="BK219" s="1092" t="n">
        <v>1</v>
      </c>
      <c r="BL219" s="1093" t="n">
        <v>2978.64</v>
      </c>
      <c r="BM219" s="1091" t="n">
        <v>567.36</v>
      </c>
      <c r="BN219" s="1091" t="n">
        <v>709.2</v>
      </c>
      <c r="BO219" s="842"/>
      <c r="BP219" s="1092" t="n">
        <v>1</v>
      </c>
      <c r="BQ219" s="1094" t="n">
        <v>1</v>
      </c>
      <c r="BR219" s="1094" t="n">
        <v>1</v>
      </c>
      <c r="BS219" s="1095" t="n">
        <v>1</v>
      </c>
      <c r="BT219" s="1093" t="n">
        <f aca="false">SUM(BD219:BF219)</f>
        <v>21276</v>
      </c>
      <c r="BU219" s="1098" t="n">
        <f aca="false">SUM(BD219:BG219)</f>
        <v>21276</v>
      </c>
      <c r="BV219" s="1090" t="n">
        <f aca="false">SUM(BL219:BN219)</f>
        <v>4255.2</v>
      </c>
      <c r="BW219" s="1098" t="n">
        <f aca="false">SUM(BL219:BO219)</f>
        <v>4255.2</v>
      </c>
      <c r="BX219" s="852" t="n">
        <v>16.8815879534565</v>
      </c>
      <c r="BY219" s="1099" t="n">
        <v>0</v>
      </c>
      <c r="BZ219" s="852" t="n">
        <v>0</v>
      </c>
      <c r="CA219" s="852" t="n">
        <v>0</v>
      </c>
      <c r="CB219" s="852" t="n">
        <v>0</v>
      </c>
      <c r="CC219" s="852" t="n">
        <v>0</v>
      </c>
      <c r="CD219" s="852" t="n">
        <v>0</v>
      </c>
      <c r="CE219" s="1100" t="n">
        <v>0</v>
      </c>
      <c r="CF219" s="852" t="n">
        <v>0</v>
      </c>
      <c r="CG219" s="852" t="n">
        <v>0</v>
      </c>
      <c r="CH219" s="852" t="n">
        <v>0</v>
      </c>
      <c r="CI219" s="852" t="n">
        <v>0</v>
      </c>
      <c r="CJ219" s="1101" t="n">
        <v>0</v>
      </c>
      <c r="CK219" s="852" t="n">
        <v>0</v>
      </c>
      <c r="CL219" s="852" t="n">
        <v>0</v>
      </c>
      <c r="CM219" s="852" t="n">
        <v>0</v>
      </c>
      <c r="CN219" s="852" t="n">
        <v>0</v>
      </c>
      <c r="CO219" s="852" t="n">
        <v>0</v>
      </c>
      <c r="CP219" s="852" t="n">
        <v>0</v>
      </c>
      <c r="CQ219" s="1102" t="n">
        <v>0</v>
      </c>
      <c r="CR219" s="1103" t="n">
        <v>0</v>
      </c>
      <c r="CS219" s="1103" t="n">
        <v>0</v>
      </c>
      <c r="CT219" s="1103" t="n">
        <v>0</v>
      </c>
      <c r="CU219" s="1103" t="n">
        <v>0</v>
      </c>
      <c r="CV219" s="1103" t="n">
        <v>0</v>
      </c>
      <c r="CW219" s="1103" t="n">
        <v>0</v>
      </c>
      <c r="CX219" s="1104" t="n">
        <v>0</v>
      </c>
      <c r="CY219" s="1105" t="n">
        <v>7686.34056</v>
      </c>
      <c r="CZ219" s="1099" t="n">
        <v>0</v>
      </c>
      <c r="DA219" s="852" t="n">
        <v>0</v>
      </c>
      <c r="DB219" s="852" t="n">
        <v>0</v>
      </c>
      <c r="DC219" s="852" t="n">
        <v>0</v>
      </c>
      <c r="DD219" s="852" t="n">
        <v>0</v>
      </c>
      <c r="DE219" s="1113" t="n">
        <v>0</v>
      </c>
      <c r="DF219" s="1109" t="n">
        <v>0</v>
      </c>
      <c r="DG219" s="1110" t="n">
        <v>0</v>
      </c>
      <c r="DH219" s="1111" t="n">
        <v>0</v>
      </c>
      <c r="DI219" s="1112" t="n">
        <v>0</v>
      </c>
      <c r="DJ219" s="1112" t="n">
        <v>0</v>
      </c>
      <c r="DK219" s="1112" t="n">
        <v>0</v>
      </c>
      <c r="DL219" s="1113" t="n">
        <v>0</v>
      </c>
      <c r="DM219" s="1114" t="n">
        <v>0</v>
      </c>
      <c r="DN219" s="1114" t="n">
        <v>0</v>
      </c>
      <c r="DO219" s="1114" t="n">
        <v>0</v>
      </c>
      <c r="DP219" s="1114" t="n">
        <v>0</v>
      </c>
      <c r="DQ219" s="1114" t="n">
        <v>0</v>
      </c>
      <c r="DR219" s="1109" t="n">
        <v>0</v>
      </c>
      <c r="DS219" s="852" t="n">
        <v>0</v>
      </c>
      <c r="DT219" s="852" t="n">
        <v>0</v>
      </c>
      <c r="DU219" s="852" t="n">
        <v>0</v>
      </c>
      <c r="DV219" s="852" t="n">
        <v>0</v>
      </c>
      <c r="DW219" s="852" t="n">
        <v>0</v>
      </c>
      <c r="DX219" s="852" t="n">
        <v>0</v>
      </c>
      <c r="DY219" s="852" t="n">
        <v>0</v>
      </c>
      <c r="DZ219" s="852" t="n">
        <v>0</v>
      </c>
      <c r="EA219" s="852" t="n">
        <v>0</v>
      </c>
      <c r="EB219" s="1113" t="n">
        <v>0</v>
      </c>
      <c r="EC219" s="1115" t="n">
        <f aca="false">DS219*BD219</f>
        <v>0</v>
      </c>
      <c r="ED219" s="1115" t="n">
        <f aca="false">DT219*BE219</f>
        <v>0</v>
      </c>
      <c r="EE219" s="1115" t="n">
        <f aca="false">DU219*BF219</f>
        <v>0</v>
      </c>
      <c r="EF219" s="1115" t="n">
        <f aca="false">DV219*BG219</f>
        <v>0</v>
      </c>
      <c r="EG219" s="1115" t="n">
        <f aca="false">DS219*BD219+DT219*BE219+DU219*BF219+DV219*BG219</f>
        <v>0</v>
      </c>
      <c r="EH219" s="1116" t="n">
        <v>0</v>
      </c>
      <c r="EI219" s="1117" t="n">
        <v>0</v>
      </c>
      <c r="EJ219" s="1117" t="n">
        <v>0</v>
      </c>
      <c r="EK219" s="1117" t="n">
        <v>0</v>
      </c>
      <c r="EL219" s="1118" t="n">
        <f aca="false">IF(C219&gt;=Summary!$E$26,MAX(0,SUM(EH219:EK219)),0)</f>
        <v>0</v>
      </c>
      <c r="EM219" s="1115" t="n">
        <f aca="false">IF(C219&gt;=Summary!$E$26,DX219*BL219,0)</f>
        <v>0</v>
      </c>
      <c r="EN219" s="1115" t="n">
        <f aca="false">IF(C219&gt;=Summary!$E$26,DY219*BM219,0)</f>
        <v>0</v>
      </c>
      <c r="EO219" s="1115" t="n">
        <f aca="false">IF(C219&gt;=Summary!$E$26,DZ219*BN219,0)</f>
        <v>0</v>
      </c>
      <c r="EP219" s="1115" t="n">
        <f aca="false">IF(C219&gt;=Summary!$E$26,EA219*BO219,0)</f>
        <v>0</v>
      </c>
      <c r="EQ219" s="1115" t="n">
        <f aca="false">IF(C219&gt;=Summary!$E$26,DX219*BL219+DY219*BM219+DZ219*BN219+EA219*BO219,0)</f>
        <v>0</v>
      </c>
      <c r="ER219" s="1119" t="n">
        <v>0</v>
      </c>
      <c r="ES219" s="1120" t="n">
        <v>0</v>
      </c>
      <c r="ET219" s="1120" t="n">
        <v>0</v>
      </c>
      <c r="EU219" s="1120" t="n">
        <v>0</v>
      </c>
      <c r="EV219" s="1143" t="n">
        <f aca="false">IF(C219&gt;=Summary!$E$26,MAX(0,SUM(ER219:EU219)),0)</f>
        <v>0</v>
      </c>
      <c r="EW219" s="1115"/>
      <c r="EX219" s="1165" t="n">
        <f aca="false">(EQ219-EV219)+IF(EZ219="Yes",(EG219-EL219),0)</f>
        <v>0</v>
      </c>
      <c r="EY219" s="1166" t="str">
        <f aca="false">IF(EX219,EX219/EQ219,"")</f>
        <v/>
      </c>
      <c r="EZ219" s="1122" t="s">
        <v>37</v>
      </c>
      <c r="FA219" s="1096" t="n">
        <f aca="false">FA218</f>
        <v>45</v>
      </c>
      <c r="FB219" s="1167" t="e">
        <f aca="false">IF(EZ219="No",IF((OR(MONTH(C219)=5,MONTH(C219)=6,MONTH(C219)=7,MONTH(C219)=8,MONTH(C219)=9)),$FA219*12*AX219*(1-$BC219),$FA219*10*AX219*(1-$BC219)),0)</f>
        <v>#VALUE!</v>
      </c>
      <c r="FC219" s="1129" t="e">
        <f aca="false">IF(EZ219="No",IF((OR(MONTH(C219)=5,MONTH(C219)=6,MONTH(C219)=7,MONTH(C219)=8,MONTH(C219)=9)),0,$FA219*3*AX219*(1-$BC219)),0)</f>
        <v>#VALUE!</v>
      </c>
      <c r="FD219" s="1129" t="e">
        <f aca="false">IF(EZ219="No",IF((OR(MONTH(C219)=5,MONTH(C219)=6,MONTH(C219)=7,MONTH(C219)=8,MONTH(C219)=9)),$FA219*12*AY219*(1-$BC219),$FA219*10*AY219*(1-$BC219)),0)</f>
        <v>#VALUE!</v>
      </c>
      <c r="FE219" s="1129" t="e">
        <f aca="false">IF(EZ219="No",IF((OR(MONTH(C219)=5,MONTH(C219)=6,MONTH(C219)=7,MONTH(C219)=8,MONTH(C219)=9)),0,$FA219*3*AY219*(1-$BC219)),0)</f>
        <v>#VALUE!</v>
      </c>
      <c r="FF219" s="1129" t="e">
        <f aca="false">IF(EZ219="No",IF((OR(MONTH(C219)=5,MONTH(C219)=6,MONTH(C219)=7,MONTH(C219)=8,MONTH(C219)=9)),$FA219*12*(AZ219+BA219)*(1-$BC219),$FA219*10*(AZ219+BA219)*(1-$BC219)),0)</f>
        <v>#VALUE!</v>
      </c>
      <c r="FG219" s="1129" t="e">
        <f aca="false">IF(EZ219="No",IF((OR(MONTH(C219)=5,MONTH(C219)=6,MONTH(C219)=7,MONTH(C219)=8,MONTH(C219)=9)),0,$FA219*3*(AZ219+BA219)*(1-$BC219)),0)</f>
        <v>#VALUE!</v>
      </c>
      <c r="FH219" s="1170" t="e">
        <f aca="false">IF(EZ219="No",IF((OR(MONTH(C219)=5,MONTH(C219)=6,MONTH(C219)=7,MONTH(C219)=8,MONTH(C219)=9)),Summary!$O$15*12*(AX219+AY219+AZ219+BA219)*(1-$BC219),Summary!$O$15*13*(AX219+AY219+AZ219+BA219)*(1-$BC219)+IF(Summary!$O$16="Yes",(CALC!FA219+Summary!$O$15)*6*(AX219+AY219+AZ219+BA219)*(1-$BC219),0)),0)</f>
        <v>#VALUE!</v>
      </c>
      <c r="FI219" s="1126" t="n">
        <f aca="false">IF(MONTH(C219)=5,FI218*(IF(Summary!$E$70="no",(1+(Summary!$E$71*0.8)),1+HLOOKUP(YEAR(C219)-1,CCFMODEL!$I$127:$AF$128,2)*0.8)),+FI218)</f>
        <v>39.812819442007</v>
      </c>
      <c r="FJ219" s="1127" t="n">
        <f aca="false">IF(MONTH(C219)=5,FJ218*(IF(Summary!$E$70="no",(1+(Summary!$E$71*0.8)),1+HLOOKUP(YEAR(CALC!C219)-1,CCFMODEL!$I$127:$AF$128,2)*0.8)),FJ218)</f>
        <v>34.7970311658486</v>
      </c>
      <c r="FK219" s="1128" t="e">
        <f aca="false">SUM(FB219:FG219)*FI219+FH219*FJ219</f>
        <v>#VALUE!</v>
      </c>
      <c r="FL219" s="1126" t="n">
        <f aca="false">IF(MONTH(C219)=5,FL218*(IF(Summary!$E$70="no",(1+(Summary!$E$71*0.8)),1+HLOOKUP(YEAR(CALC!C219)-1,CCFMODEL!$I$127:$AF$128,2)*0.8)),+FL218)</f>
        <v>83.7308227409887</v>
      </c>
      <c r="FM219" s="1127" t="n">
        <f aca="false">IF(MONTH(C219)=5,FM218*(IF(Summary!$E$70="no",(1+(Summary!$E$71*0.8)),1+HLOOKUP(YEAR(CALC!C219)-1,CCFMODEL!$I$127:$AF$128,2)*0.8)),+FM218)</f>
        <v>39.9620988549879</v>
      </c>
      <c r="FN219" s="1128" t="e">
        <f aca="false">IF((OR(MONTH(C219)=5,MONTH(C219)=6,MONTH(C219)=7,MONTH(C219)=8,MONTH(C219)=9)),SUM(FB219:FG219)/(1-BC219)*FL219,SUM(FB219:FG219)/(1-BC219)*FM219)</f>
        <v>#VALUE!</v>
      </c>
      <c r="FO219" s="1129" t="e">
        <f aca="false">FK219+FN219</f>
        <v>#VALUE!</v>
      </c>
      <c r="FP219" s="1169" t="e">
        <f aca="false">FB219</f>
        <v>#VALUE!</v>
      </c>
      <c r="FQ219" s="1129" t="e">
        <f aca="false">FC219</f>
        <v>#VALUE!</v>
      </c>
      <c r="FR219" s="1129" t="e">
        <f aca="false">FD219</f>
        <v>#VALUE!</v>
      </c>
      <c r="FS219" s="1129" t="e">
        <f aca="false">FE219</f>
        <v>#VALUE!</v>
      </c>
      <c r="FT219" s="1129" t="e">
        <f aca="false">FF219</f>
        <v>#VALUE!</v>
      </c>
      <c r="FU219" s="1129" t="e">
        <f aca="false">FG219</f>
        <v>#VALUE!</v>
      </c>
      <c r="FV219" s="1170" t="e">
        <f aca="false">FH219</f>
        <v>#VALUE!</v>
      </c>
      <c r="FW219" s="1115" t="n">
        <f aca="false">IF(ER219&gt;0,MIN(FB219-FP219,BL219),0)</f>
        <v>0</v>
      </c>
      <c r="FX219" s="1115" t="n">
        <f aca="false">IF(ES219&gt;0,MIN(FD219-FR219,BM219),0)</f>
        <v>0</v>
      </c>
      <c r="FY219" s="1115" t="n">
        <f aca="false">IF(ET219&gt;0,MIN(FF219-FT219,BN219),0)</f>
        <v>0</v>
      </c>
      <c r="FZ219" s="1143" t="n">
        <f aca="false">IF(EU219&gt;0,MIN(FH219-FV219,BO219),0)</f>
        <v>0</v>
      </c>
      <c r="GA219" s="1132" t="e">
        <f aca="false">(SUM(FP219:FV219)+SUM(GU219:HB219)/(1-Summary!$O$25))*CY219/1000</f>
        <v>#VALUE!</v>
      </c>
      <c r="GB219" s="1133" t="n">
        <f aca="false">IF($C219&lt;Summary!$M$81,+Summary!$O$81,VLOOKUP(C219,GasTable,19))</f>
        <v>4.11172661092374</v>
      </c>
      <c r="GC219" s="1134" t="n">
        <f aca="false">IF(H219&lt;=Summary!$N$84,MIN(GA219,Summary!$O$75*(H219-G219+1)),0)</f>
        <v>0</v>
      </c>
      <c r="GD219" s="1135" t="n">
        <f aca="false">IF(C219&lt;Summary!$N$84,IF(Summary!$O$75*(H219-G219+1)*0.8&gt;GC219,1,0),0)</f>
        <v>0</v>
      </c>
      <c r="GE219" s="1136" t="n">
        <v>0</v>
      </c>
      <c r="GF219" s="1134" t="e">
        <f aca="false">ABS(MIN(0,GC219-$GA219))</f>
        <v>#VALUE!</v>
      </c>
      <c r="GG219" s="1135" t="e">
        <f aca="false">GF219*(IF(Summary!$O$74=1,VLOOKUP($C219,GasTable,16)+Summary!$O$92+Summary!$O$93,VLOOKUP($C219,GasTable,19)+Summary!$O$92+Summary!$O$93))</f>
        <v>#VALUE!</v>
      </c>
      <c r="GH219" s="1137" t="n">
        <v>6167.58991638561</v>
      </c>
      <c r="GI219" s="1138" t="n">
        <v>0</v>
      </c>
      <c r="GJ219" s="1139" t="e">
        <f aca="false">+GB219*GC219+GE219+GG219+GH219-GI219</f>
        <v>#VALUE!</v>
      </c>
      <c r="GK219" s="1115" t="e">
        <f aca="false">SUM(FP219:FV219,GU219:GX219,GY219:HB219)</f>
        <v>#VALUE!</v>
      </c>
      <c r="GL219" s="1140" t="n">
        <v>0.51498481752</v>
      </c>
      <c r="GM219" s="1141" t="e">
        <f aca="false">IF(GK219&gt;GC219/(CY219/1000),GC219/(CY219/1000),+GK219)*GL219</f>
        <v>#VALUE!</v>
      </c>
      <c r="GN219" s="1115" t="n">
        <f aca="false">IF(SUM(GU219:HB219)=0,0,IF(Summary!$O$16="Yes",SUM(GX219:HB219),IF(Summary!$O$17="Yes",SUM(GY219:HB219),SUM(GU219:HB219))))</f>
        <v>11805.5205</v>
      </c>
      <c r="GO219" s="1142" t="n">
        <v>3.81843996798547</v>
      </c>
      <c r="GP219" s="1143" t="n">
        <f aca="false">GN219*GO219</f>
        <v>45078.6713200718</v>
      </c>
      <c r="GQ219" s="1115"/>
      <c r="GR219" s="1115"/>
      <c r="GS219" s="1115"/>
      <c r="GT219" s="1115"/>
      <c r="GU219" s="1150" t="n">
        <v>5389.47675</v>
      </c>
      <c r="GV219" s="1115" t="n">
        <v>1026.567</v>
      </c>
      <c r="GW219" s="1115" t="n">
        <v>1283.20875</v>
      </c>
      <c r="GX219" s="1115"/>
      <c r="GY219" s="1151" t="n">
        <v>2874.3876</v>
      </c>
      <c r="GZ219" s="1115" t="n">
        <v>547.5024</v>
      </c>
      <c r="HA219" s="1115" t="n">
        <v>684.378</v>
      </c>
      <c r="HB219" s="1141"/>
      <c r="HC219" s="1115" t="n">
        <v>11805.5205</v>
      </c>
      <c r="HD219" s="1115"/>
      <c r="HE219" s="1115" t="n">
        <v>20274.69825</v>
      </c>
      <c r="HF219" s="1115" t="n">
        <v>664840.933971625</v>
      </c>
      <c r="HG219" s="1115"/>
      <c r="HH219" s="1142" t="n">
        <v>55.9845866688764</v>
      </c>
      <c r="HI219" s="1115" t="n">
        <v>1135070.60136244</v>
      </c>
      <c r="HJ219" s="1150" t="e">
        <f aca="false">MAX(FB219-FP219-FW219,0)</f>
        <v>#VALUE!</v>
      </c>
      <c r="HK219" s="1115" t="e">
        <f aca="false">MAX(FD219-FR219-FX219,0)</f>
        <v>#VALUE!</v>
      </c>
      <c r="HL219" s="1115" t="e">
        <f aca="false">MAX(FF219-FT219-FY219,0)</f>
        <v>#VALUE!</v>
      </c>
      <c r="HM219" s="1141" t="e">
        <f aca="false">MAX(FH219-FV219-FZ219,0)</f>
        <v>#VALUE!</v>
      </c>
      <c r="HN219" s="1115" t="e">
        <f aca="false">SUM(HJ219:HM219)</f>
        <v>#VALUE!</v>
      </c>
      <c r="HO219" s="1142" t="n">
        <f aca="false">IF(ISERROR(+HP219/HN219),0,+HP219/HN219)</f>
        <v>0</v>
      </c>
      <c r="HP219" s="1143" t="e">
        <f aca="false">(HJ219*CE219+HK219*CF219+HL219*CG219+HM219*CH219)</f>
        <v>#VALUE!</v>
      </c>
      <c r="HQ219" s="1142"/>
      <c r="HR219" s="1150"/>
      <c r="HS219" s="1200"/>
      <c r="HT219" s="1141"/>
      <c r="HU219" s="1150"/>
      <c r="HV219" s="1200"/>
      <c r="HW219" s="1141"/>
      <c r="HX219" s="1200"/>
      <c r="HY219" s="1200"/>
      <c r="HZ219" s="0"/>
      <c r="IA219" s="1142"/>
      <c r="IB219" s="1142"/>
      <c r="IC219" s="1142"/>
      <c r="ID219" s="1142"/>
      <c r="IE219" s="1142"/>
      <c r="IF219" s="1142"/>
      <c r="IG219" s="1142"/>
      <c r="IH219" s="1142"/>
      <c r="II219" s="1142"/>
      <c r="IJ219" s="1142"/>
      <c r="IK219" s="1142"/>
      <c r="IL219" s="1190"/>
      <c r="IM219" s="222"/>
      <c r="IN219" s="222"/>
      <c r="IR219" s="844"/>
    </row>
    <row r="220" customFormat="false" ht="13.5" hidden="false" customHeight="false" outlineLevel="0" collapsed="false">
      <c r="A220" s="0" t="str">
        <f aca="false">+D220&amp;"Q"&amp;ROUNDUP(E220/3,0)</f>
        <v>2016Q4</v>
      </c>
      <c r="B220" s="0" t="n">
        <f aca="false">YEAR(C220)</f>
        <v>2016</v>
      </c>
      <c r="C220" s="1153" t="n">
        <f aca="false">EOMONTH(C219,0)+1</f>
        <v>42705</v>
      </c>
      <c r="D220" s="841" t="n">
        <f aca="false">+YEAR(C220)</f>
        <v>2016</v>
      </c>
      <c r="E220" s="807" t="n">
        <f aca="false">MONTH(C220)</f>
        <v>12</v>
      </c>
      <c r="F220" s="1154" t="e">
        <f aca="false">IF(G220="","",Holiday(D220,E220))</f>
        <v>#VALUE!</v>
      </c>
      <c r="G220" s="1155" t="n">
        <v>42705</v>
      </c>
      <c r="H220" s="1156" t="n">
        <v>42735</v>
      </c>
      <c r="I220" s="1157" t="n">
        <f aca="false">I219</f>
        <v>0.0715</v>
      </c>
      <c r="J220" s="1158" t="n">
        <f aca="false">(1+I220/2)^(-2*(DATE(D221,E221,20)-$H$7)/365.25)</f>
        <v>0.300789166343642</v>
      </c>
      <c r="K220" s="1159"/>
      <c r="L220" s="1158"/>
      <c r="M220" s="1082" t="n">
        <v>0</v>
      </c>
      <c r="N220" s="1110" t="n">
        <f aca="false">M220</f>
        <v>0</v>
      </c>
      <c r="O220" s="1174" t="n">
        <f aca="false">N220</f>
        <v>0</v>
      </c>
      <c r="P220" s="1175" t="n">
        <f aca="false">M220</f>
        <v>0</v>
      </c>
      <c r="Q220" s="1110" t="n">
        <f aca="false">P220</f>
        <v>0</v>
      </c>
      <c r="R220" s="1174" t="n">
        <f aca="false">Q220</f>
        <v>0</v>
      </c>
      <c r="S220" s="1110" t="n">
        <f aca="false">R220</f>
        <v>0</v>
      </c>
      <c r="T220" s="1110" t="n">
        <f aca="false">S220</f>
        <v>0</v>
      </c>
      <c r="U220" s="1110" t="n">
        <f aca="false">T220</f>
        <v>0</v>
      </c>
      <c r="V220" s="1175" t="n">
        <f aca="false">U220</f>
        <v>0</v>
      </c>
      <c r="W220" s="1110" t="n">
        <f aca="false">V220</f>
        <v>0</v>
      </c>
      <c r="X220" s="1176" t="n">
        <f aca="false">W220</f>
        <v>0</v>
      </c>
      <c r="Y220" s="1086" t="n">
        <v>0</v>
      </c>
      <c r="Z220" s="1086" t="n">
        <v>0</v>
      </c>
      <c r="AA220" s="1087" t="n">
        <v>0</v>
      </c>
      <c r="AB220" s="1086" t="n">
        <v>0</v>
      </c>
      <c r="AC220" s="1086" t="n">
        <v>0</v>
      </c>
      <c r="AD220" s="1087" t="n">
        <v>0</v>
      </c>
      <c r="AE220" s="1086" t="n">
        <v>0</v>
      </c>
      <c r="AF220" s="1086" t="n">
        <v>0</v>
      </c>
      <c r="AG220" s="1087" t="n">
        <v>0</v>
      </c>
      <c r="AH220" s="1086" t="n">
        <v>0</v>
      </c>
      <c r="AI220" s="1086" t="n">
        <v>0</v>
      </c>
      <c r="AJ220" s="1087" t="n">
        <v>0</v>
      </c>
      <c r="AK220" s="1086" t="n">
        <v>0</v>
      </c>
      <c r="AL220" s="1086" t="n">
        <v>0</v>
      </c>
      <c r="AM220" s="1087" t="n">
        <v>0</v>
      </c>
      <c r="AN220" s="1086" t="n">
        <v>0</v>
      </c>
      <c r="AO220" s="1086" t="n">
        <v>0</v>
      </c>
      <c r="AP220" s="1087" t="n">
        <v>0</v>
      </c>
      <c r="AQ220" s="1086" t="n">
        <v>0</v>
      </c>
      <c r="AR220" s="1086" t="n">
        <v>0</v>
      </c>
      <c r="AS220" s="1087" t="n">
        <v>0</v>
      </c>
      <c r="AT220" s="1086" t="n">
        <v>0</v>
      </c>
      <c r="AU220" s="1086" t="n">
        <v>0</v>
      </c>
      <c r="AV220" s="1086" t="n">
        <v>0</v>
      </c>
      <c r="AW220" s="1172" t="n">
        <v>0</v>
      </c>
      <c r="AX220" s="807" t="e">
        <f aca="false">BB220-SUM(AY220:BA220)</f>
        <v>#VALUE!</v>
      </c>
      <c r="AY220" s="807" t="e">
        <f aca="false">IF(AND($E220=MONTH(Summary!$E$24),$D220=YEAR(Summary!$E$24)),Summary!$E$25,1)*IF(G220="",0,INT((H220-MOD(H220,7)-G220)/7)+1-IF(BA220,IF(WEEKDAY(F220)=7,1,0),0))</f>
        <v>#VALUE!</v>
      </c>
      <c r="AZ220" s="807" t="e">
        <f aca="false">IF(AND($E220=MONTH(Summary!$E$24),$D220=YEAR(Summary!$E$24)),Summary!$E$25,1)*IF(G220="",0,INT((H220-MOD(H220-1,7)-G220)/7)+1-IF(BA220,IF(WEEKDAY(F220)=1,1,0),0))</f>
        <v>#VALUE!</v>
      </c>
      <c r="BA220" s="807" t="n">
        <v>1</v>
      </c>
      <c r="BB220" s="807" t="n">
        <f aca="false">IF(AND($E220=MONTH(Summary!$E$24),$D220=YEAR(Summary!$E$24)),Summary!$E$25,1)*IF(G220="",0,H220-G220+1)</f>
        <v>31</v>
      </c>
      <c r="BC220" s="1089" t="n">
        <f aca="false">Summary!$E$19</f>
        <v>0.015</v>
      </c>
      <c r="BD220" s="1090" t="n">
        <v>14893.2</v>
      </c>
      <c r="BE220" s="1091" t="n">
        <v>3546</v>
      </c>
      <c r="BF220" s="1091" t="n">
        <v>3546</v>
      </c>
      <c r="BG220" s="842"/>
      <c r="BH220" s="1092" t="n">
        <v>1</v>
      </c>
      <c r="BI220" s="1092" t="n">
        <v>1</v>
      </c>
      <c r="BJ220" s="1092" t="n">
        <v>1</v>
      </c>
      <c r="BK220" s="1092" t="n">
        <v>1</v>
      </c>
      <c r="BL220" s="1093" t="n">
        <v>2978.64</v>
      </c>
      <c r="BM220" s="1091" t="n">
        <v>709.2</v>
      </c>
      <c r="BN220" s="1091" t="n">
        <v>709.2</v>
      </c>
      <c r="BO220" s="842"/>
      <c r="BP220" s="1092" t="n">
        <v>1</v>
      </c>
      <c r="BQ220" s="1094" t="n">
        <v>1</v>
      </c>
      <c r="BR220" s="1094" t="n">
        <v>1</v>
      </c>
      <c r="BS220" s="1095" t="n">
        <v>1</v>
      </c>
      <c r="BT220" s="1093" t="n">
        <f aca="false">SUM(BD220:BF220)</f>
        <v>21985.2</v>
      </c>
      <c r="BU220" s="1098" t="n">
        <f aca="false">SUM(BD220:BG220)</f>
        <v>21985.2</v>
      </c>
      <c r="BV220" s="1090" t="n">
        <f aca="false">SUM(BL220:BN220)</f>
        <v>4397.04</v>
      </c>
      <c r="BW220" s="1098" t="n">
        <f aca="false">SUM(BL220:BO220)</f>
        <v>4397.04</v>
      </c>
      <c r="BX220" s="852" t="n">
        <v>16.9637234770705</v>
      </c>
      <c r="BY220" s="1099" t="n">
        <v>0</v>
      </c>
      <c r="BZ220" s="852" t="n">
        <v>0</v>
      </c>
      <c r="CA220" s="852" t="n">
        <v>0</v>
      </c>
      <c r="CB220" s="852" t="n">
        <v>0</v>
      </c>
      <c r="CC220" s="852" t="n">
        <v>0</v>
      </c>
      <c r="CD220" s="852" t="n">
        <v>0</v>
      </c>
      <c r="CE220" s="1100" t="n">
        <v>0</v>
      </c>
      <c r="CF220" s="852" t="n">
        <v>0</v>
      </c>
      <c r="CG220" s="852" t="n">
        <v>0</v>
      </c>
      <c r="CH220" s="852" t="n">
        <v>0</v>
      </c>
      <c r="CI220" s="852" t="n">
        <v>0</v>
      </c>
      <c r="CJ220" s="1101" t="n">
        <v>0</v>
      </c>
      <c r="CK220" s="852" t="n">
        <v>0</v>
      </c>
      <c r="CL220" s="852" t="n">
        <v>0</v>
      </c>
      <c r="CM220" s="852" t="n">
        <v>0</v>
      </c>
      <c r="CN220" s="852" t="n">
        <v>0</v>
      </c>
      <c r="CO220" s="852" t="n">
        <v>0</v>
      </c>
      <c r="CP220" s="852" t="n">
        <v>0</v>
      </c>
      <c r="CQ220" s="1102" t="n">
        <v>0</v>
      </c>
      <c r="CR220" s="1103" t="n">
        <v>0</v>
      </c>
      <c r="CS220" s="1103" t="n">
        <v>0</v>
      </c>
      <c r="CT220" s="1103" t="n">
        <v>0</v>
      </c>
      <c r="CU220" s="1103" t="n">
        <v>0</v>
      </c>
      <c r="CV220" s="1103" t="n">
        <v>0</v>
      </c>
      <c r="CW220" s="1103" t="n">
        <v>0</v>
      </c>
      <c r="CX220" s="1104" t="n">
        <v>0</v>
      </c>
      <c r="CY220" s="1105" t="n">
        <v>7688.37152</v>
      </c>
      <c r="CZ220" s="1099" t="n">
        <v>0</v>
      </c>
      <c r="DA220" s="852" t="n">
        <v>0</v>
      </c>
      <c r="DB220" s="852" t="n">
        <v>0</v>
      </c>
      <c r="DC220" s="852" t="n">
        <v>0</v>
      </c>
      <c r="DD220" s="852" t="n">
        <v>0</v>
      </c>
      <c r="DE220" s="1113" t="n">
        <v>0</v>
      </c>
      <c r="DF220" s="1109" t="n">
        <v>0</v>
      </c>
      <c r="DG220" s="1110" t="n">
        <v>0</v>
      </c>
      <c r="DH220" s="1111" t="n">
        <v>0</v>
      </c>
      <c r="DI220" s="1112" t="n">
        <v>0</v>
      </c>
      <c r="DJ220" s="1112" t="n">
        <v>0</v>
      </c>
      <c r="DK220" s="1112" t="n">
        <v>0</v>
      </c>
      <c r="DL220" s="1113" t="n">
        <v>0</v>
      </c>
      <c r="DM220" s="1114" t="n">
        <v>0</v>
      </c>
      <c r="DN220" s="1114" t="n">
        <v>0</v>
      </c>
      <c r="DO220" s="1114" t="n">
        <v>0</v>
      </c>
      <c r="DP220" s="1114" t="n">
        <v>0</v>
      </c>
      <c r="DQ220" s="1114" t="n">
        <v>0</v>
      </c>
      <c r="DR220" s="1109" t="n">
        <v>0</v>
      </c>
      <c r="DS220" s="852" t="n">
        <v>0</v>
      </c>
      <c r="DT220" s="852" t="n">
        <v>0</v>
      </c>
      <c r="DU220" s="852" t="n">
        <v>0</v>
      </c>
      <c r="DV220" s="852" t="n">
        <v>0</v>
      </c>
      <c r="DW220" s="852" t="n">
        <v>0</v>
      </c>
      <c r="DX220" s="852" t="n">
        <v>0</v>
      </c>
      <c r="DY220" s="852" t="n">
        <v>0</v>
      </c>
      <c r="DZ220" s="852" t="n">
        <v>0</v>
      </c>
      <c r="EA220" s="852" t="n">
        <v>0</v>
      </c>
      <c r="EB220" s="1113" t="n">
        <v>0</v>
      </c>
      <c r="EC220" s="1115" t="n">
        <f aca="false">DS220*BD220</f>
        <v>0</v>
      </c>
      <c r="ED220" s="1115" t="n">
        <f aca="false">DT220*BE220</f>
        <v>0</v>
      </c>
      <c r="EE220" s="1115" t="n">
        <f aca="false">DU220*BF220</f>
        <v>0</v>
      </c>
      <c r="EF220" s="1115" t="n">
        <f aca="false">DV220*BG220</f>
        <v>0</v>
      </c>
      <c r="EG220" s="1115" t="n">
        <f aca="false">DS220*BD220+DT220*BE220+DU220*BF220+DV220*BG220</f>
        <v>0</v>
      </c>
      <c r="EH220" s="1116" t="n">
        <v>0</v>
      </c>
      <c r="EI220" s="1117" t="n">
        <v>0</v>
      </c>
      <c r="EJ220" s="1117" t="n">
        <v>0</v>
      </c>
      <c r="EK220" s="1117" t="n">
        <v>0</v>
      </c>
      <c r="EL220" s="1118" t="n">
        <f aca="false">IF(C220&gt;=Summary!$E$26,MAX(0,SUM(EH220:EK220)),0)</f>
        <v>0</v>
      </c>
      <c r="EM220" s="1115" t="n">
        <f aca="false">IF(C220&gt;=Summary!$E$26,DX220*BL220,0)</f>
        <v>0</v>
      </c>
      <c r="EN220" s="1115" t="n">
        <f aca="false">IF(C220&gt;=Summary!$E$26,DY220*BM220,0)</f>
        <v>0</v>
      </c>
      <c r="EO220" s="1115" t="n">
        <f aca="false">IF(C220&gt;=Summary!$E$26,DZ220*BN220,0)</f>
        <v>0</v>
      </c>
      <c r="EP220" s="1115" t="n">
        <f aca="false">IF(C220&gt;=Summary!$E$26,EA220*BO220,0)</f>
        <v>0</v>
      </c>
      <c r="EQ220" s="1115" t="n">
        <f aca="false">IF(C220&gt;=Summary!$E$26,DX220*BL220+DY220*BM220+DZ220*BN220+EA220*BO220,0)</f>
        <v>0</v>
      </c>
      <c r="ER220" s="1119" t="n">
        <v>0</v>
      </c>
      <c r="ES220" s="1120" t="n">
        <v>0</v>
      </c>
      <c r="ET220" s="1120" t="n">
        <v>0</v>
      </c>
      <c r="EU220" s="1120" t="n">
        <v>0</v>
      </c>
      <c r="EV220" s="1143" t="n">
        <f aca="false">IF(C220&gt;=Summary!$E$26,MAX(0,SUM(ER220:EU220)),0)</f>
        <v>0</v>
      </c>
      <c r="EW220" s="1115"/>
      <c r="EX220" s="1165" t="n">
        <f aca="false">(EQ220-EV220)+IF(EZ220="Yes",(EG220-EL220),0)</f>
        <v>0</v>
      </c>
      <c r="EY220" s="1166" t="str">
        <f aca="false">IF(EX220,EX220/EQ220,"")</f>
        <v/>
      </c>
      <c r="EZ220" s="1122" t="s">
        <v>37</v>
      </c>
      <c r="FA220" s="1096" t="n">
        <f aca="false">FA219</f>
        <v>45</v>
      </c>
      <c r="FB220" s="1167" t="e">
        <f aca="false">IF(EZ220="No",IF((OR(MONTH(C220)=5,MONTH(C220)=6,MONTH(C220)=7,MONTH(C220)=8,MONTH(C220)=9)),$FA220*12*AX220*(1-$BC220),$FA220*10*AX220*(1-$BC220)),0)</f>
        <v>#VALUE!</v>
      </c>
      <c r="FC220" s="1129" t="e">
        <f aca="false">IF(EZ220="No",IF((OR(MONTH(C220)=5,MONTH(C220)=6,MONTH(C220)=7,MONTH(C220)=8,MONTH(C220)=9)),0,$FA220*3*AX220*(1-$BC220)),0)</f>
        <v>#VALUE!</v>
      </c>
      <c r="FD220" s="1129" t="e">
        <f aca="false">IF(EZ220="No",IF((OR(MONTH(C220)=5,MONTH(C220)=6,MONTH(C220)=7,MONTH(C220)=8,MONTH(C220)=9)),$FA220*12*AY220*(1-$BC220),$FA220*10*AY220*(1-$BC220)),0)</f>
        <v>#VALUE!</v>
      </c>
      <c r="FE220" s="1129" t="e">
        <f aca="false">IF(EZ220="No",IF((OR(MONTH(C220)=5,MONTH(C220)=6,MONTH(C220)=7,MONTH(C220)=8,MONTH(C220)=9)),0,$FA220*3*AY220*(1-$BC220)),0)</f>
        <v>#VALUE!</v>
      </c>
      <c r="FF220" s="1129" t="e">
        <f aca="false">IF(EZ220="No",IF((OR(MONTH(C220)=5,MONTH(C220)=6,MONTH(C220)=7,MONTH(C220)=8,MONTH(C220)=9)),$FA220*12*(AZ220+BA220)*(1-$BC220),$FA220*10*(AZ220+BA220)*(1-$BC220)),0)</f>
        <v>#VALUE!</v>
      </c>
      <c r="FG220" s="1129" t="e">
        <f aca="false">IF(EZ220="No",IF((OR(MONTH(C220)=5,MONTH(C220)=6,MONTH(C220)=7,MONTH(C220)=8,MONTH(C220)=9)),0,$FA220*3*(AZ220+BA220)*(1-$BC220)),0)</f>
        <v>#VALUE!</v>
      </c>
      <c r="FH220" s="1170" t="e">
        <f aca="false">IF(EZ220="No",IF((OR(MONTH(C220)=5,MONTH(C220)=6,MONTH(C220)=7,MONTH(C220)=8,MONTH(C220)=9)),Summary!$O$15*12*(AX220+AY220+AZ220+BA220)*(1-$BC220),Summary!$O$15*13*(AX220+AY220+AZ220+BA220)*(1-$BC220)+IF(Summary!$O$16="Yes",(CALC!FA220+Summary!$O$15)*6*(AX220+AY220+AZ220+BA220)*(1-$BC220),0)),0)</f>
        <v>#VALUE!</v>
      </c>
      <c r="FI220" s="1126" t="n">
        <f aca="false">IF(MONTH(C220)=5,FI219*(IF(Summary!$E$70="no",(1+(Summary!$E$71*0.8)),1+HLOOKUP(YEAR(C220)-1,CCFMODEL!$I$127:$AF$128,2)*0.8)),+FI219)</f>
        <v>39.812819442007</v>
      </c>
      <c r="FJ220" s="1127" t="n">
        <f aca="false">IF(MONTH(C220)=5,FJ219*(IF(Summary!$E$70="no",(1+(Summary!$E$71*0.8)),1+HLOOKUP(YEAR(CALC!C220)-1,CCFMODEL!$I$127:$AF$128,2)*0.8)),FJ219)</f>
        <v>34.7970311658486</v>
      </c>
      <c r="FK220" s="1128" t="e">
        <f aca="false">SUM(FB220:FG220)*FI220+FH220*FJ220</f>
        <v>#VALUE!</v>
      </c>
      <c r="FL220" s="1126" t="n">
        <f aca="false">IF(MONTH(C220)=5,FL219*(IF(Summary!$E$70="no",(1+(Summary!$E$71*0.8)),1+HLOOKUP(YEAR(CALC!C220)-1,CCFMODEL!$I$127:$AF$128,2)*0.8)),+FL219)</f>
        <v>83.7308227409887</v>
      </c>
      <c r="FM220" s="1127" t="n">
        <f aca="false">IF(MONTH(C220)=5,FM219*(IF(Summary!$E$70="no",(1+(Summary!$E$71*0.8)),1+HLOOKUP(YEAR(CALC!C220)-1,CCFMODEL!$I$127:$AF$128,2)*0.8)),+FM219)</f>
        <v>39.9620988549879</v>
      </c>
      <c r="FN220" s="1128" t="e">
        <f aca="false">IF((OR(MONTH(C220)=5,MONTH(C220)=6,MONTH(C220)=7,MONTH(C220)=8,MONTH(C220)=9)),SUM(FB220:FG220)/(1-BC220)*FL220,SUM(FB220:FG220)/(1-BC220)*FM220)</f>
        <v>#VALUE!</v>
      </c>
      <c r="FO220" s="1129" t="e">
        <f aca="false">FK220+FN220</f>
        <v>#VALUE!</v>
      </c>
      <c r="FP220" s="1169" t="e">
        <f aca="false">FB220</f>
        <v>#VALUE!</v>
      </c>
      <c r="FQ220" s="1129" t="e">
        <f aca="false">FC220</f>
        <v>#VALUE!</v>
      </c>
      <c r="FR220" s="1129" t="e">
        <f aca="false">FD220</f>
        <v>#VALUE!</v>
      </c>
      <c r="FS220" s="1129" t="e">
        <f aca="false">FE220</f>
        <v>#VALUE!</v>
      </c>
      <c r="FT220" s="1129" t="e">
        <f aca="false">FF220</f>
        <v>#VALUE!</v>
      </c>
      <c r="FU220" s="1129" t="e">
        <f aca="false">FG220</f>
        <v>#VALUE!</v>
      </c>
      <c r="FV220" s="1170" t="e">
        <f aca="false">FH220</f>
        <v>#VALUE!</v>
      </c>
      <c r="FW220" s="1115" t="n">
        <f aca="false">IF(ER220&gt;0,MIN(FB220-FP220,BL220),0)</f>
        <v>0</v>
      </c>
      <c r="FX220" s="1115" t="n">
        <f aca="false">IF(ES220&gt;0,MIN(FD220-FR220,BM220),0)</f>
        <v>0</v>
      </c>
      <c r="FY220" s="1115" t="n">
        <f aca="false">IF(ET220&gt;0,MIN(FF220-FT220,BN220),0)</f>
        <v>0</v>
      </c>
      <c r="FZ220" s="1143" t="n">
        <f aca="false">IF(EU220&gt;0,MIN(FH220-FV220,BO220),0)</f>
        <v>0</v>
      </c>
      <c r="GA220" s="1132" t="e">
        <f aca="false">(SUM(FP220:FV220)+SUM(GU220:HB220)/(1-Summary!$O$25))*CY220/1000</f>
        <v>#VALUE!</v>
      </c>
      <c r="GB220" s="1133" t="n">
        <f aca="false">IF($C220&lt;Summary!$M$81,+Summary!$O$81,VLOOKUP(C220,GasTable,19))</f>
        <v>4.28661931877976</v>
      </c>
      <c r="GC220" s="1134" t="n">
        <f aca="false">IF(H220&lt;=Summary!$N$84,MIN(GA220,Summary!$O$75*(H220-G220+1)),0)</f>
        <v>0</v>
      </c>
      <c r="GD220" s="1135" t="n">
        <f aca="false">IF(C220&lt;Summary!$N$84,IF(Summary!$O$75*(H220-G220+1)*0.8&gt;GC220,1,0),0)</f>
        <v>0</v>
      </c>
      <c r="GE220" s="1136" t="n">
        <v>0</v>
      </c>
      <c r="GF220" s="1134" t="e">
        <f aca="false">ABS(MIN(0,GC220-$GA220))</f>
        <v>#VALUE!</v>
      </c>
      <c r="GG220" s="1135" t="e">
        <f aca="false">GF220*(IF(Summary!$O$74=1,VLOOKUP($C220,GasTable,16)+Summary!$O$92+Summary!$O$93,VLOOKUP($C220,GasTable,19)+Summary!$O$92+Summary!$O$93))</f>
        <v>#VALUE!</v>
      </c>
      <c r="GH220" s="1137" t="n">
        <v>6644.25994410862</v>
      </c>
      <c r="GI220" s="1138" t="n">
        <v>0</v>
      </c>
      <c r="GJ220" s="1139" t="e">
        <f aca="false">+GB220*GC220+GE220+GG220+GH220-GI220</f>
        <v>#VALUE!</v>
      </c>
      <c r="GK220" s="1115" t="e">
        <f aca="false">SUM(FP220:FV220,GU220:GX220,GY220:HB220)</f>
        <v>#VALUE!</v>
      </c>
      <c r="GL220" s="1140" t="n">
        <v>0.51512089184</v>
      </c>
      <c r="GM220" s="1141" t="e">
        <f aca="false">IF(GK220&gt;GC220/(CY220/1000),GC220/(CY220/1000),+GK220)*GL220</f>
        <v>#VALUE!</v>
      </c>
      <c r="GN220" s="1115" t="n">
        <f aca="false">IF(SUM(GU220:HB220)=0,0,IF(Summary!$O$16="Yes",SUM(GX220:HB220),IF(Summary!$O$17="Yes",SUM(GY220:HB220),SUM(GU220:HB220))))</f>
        <v>12199.03785</v>
      </c>
      <c r="GO220" s="1142" t="n">
        <v>3.81843996798547</v>
      </c>
      <c r="GP220" s="1143" t="n">
        <f aca="false">GN220*GO220</f>
        <v>46581.2936974075</v>
      </c>
      <c r="GQ220" s="1115"/>
      <c r="GR220" s="1115"/>
      <c r="GS220" s="1115"/>
      <c r="GT220" s="1115"/>
      <c r="GU220" s="1150" t="n">
        <v>5389.47675</v>
      </c>
      <c r="GV220" s="1115" t="n">
        <v>1283.20875</v>
      </c>
      <c r="GW220" s="1115" t="n">
        <v>1283.20875</v>
      </c>
      <c r="GX220" s="1115"/>
      <c r="GY220" s="1151" t="n">
        <v>2874.3876</v>
      </c>
      <c r="GZ220" s="1115" t="n">
        <v>684.378</v>
      </c>
      <c r="HA220" s="1115" t="n">
        <v>684.378</v>
      </c>
      <c r="HB220" s="1141"/>
      <c r="HC220" s="1115" t="n">
        <v>12199.03785</v>
      </c>
      <c r="HD220" s="1115"/>
      <c r="HE220" s="1115" t="n">
        <v>20950.521525</v>
      </c>
      <c r="HF220" s="1115" t="n">
        <v>698540.230366072</v>
      </c>
      <c r="HG220" s="1115"/>
      <c r="HH220" s="1142" t="n">
        <v>56.8924146104685</v>
      </c>
      <c r="HI220" s="1115" t="n">
        <v>1191925.75690584</v>
      </c>
      <c r="HJ220" s="1150" t="e">
        <f aca="false">MAX(FB220-FP220-FW220,0)</f>
        <v>#VALUE!</v>
      </c>
      <c r="HK220" s="1115" t="e">
        <f aca="false">MAX(FD220-FR220-FX220,0)</f>
        <v>#VALUE!</v>
      </c>
      <c r="HL220" s="1115" t="e">
        <f aca="false">MAX(FF220-FT220-FY220,0)</f>
        <v>#VALUE!</v>
      </c>
      <c r="HM220" s="1141" t="e">
        <f aca="false">MAX(FH220-FV220-FZ220,0)</f>
        <v>#VALUE!</v>
      </c>
      <c r="HN220" s="1115" t="e">
        <f aca="false">SUM(HJ220:HM220)</f>
        <v>#VALUE!</v>
      </c>
      <c r="HO220" s="1142" t="n">
        <f aca="false">IF(ISERROR(+HP220/HN220),0,+HP220/HN220)</f>
        <v>0</v>
      </c>
      <c r="HP220" s="1143" t="e">
        <f aca="false">(HJ220*CE220+HK220*CF220+HL220*CG220+HM220*CH220)</f>
        <v>#VALUE!</v>
      </c>
      <c r="HQ220" s="1142"/>
      <c r="HR220" s="1150"/>
      <c r="HS220" s="1200"/>
      <c r="HT220" s="1141"/>
      <c r="HU220" s="1150"/>
      <c r="HV220" s="1200"/>
      <c r="HW220" s="1141"/>
      <c r="HX220" s="1200"/>
      <c r="HY220" s="1200"/>
      <c r="HZ220" s="0"/>
      <c r="IA220" s="1142"/>
      <c r="IB220" s="1142"/>
      <c r="IC220" s="1142"/>
      <c r="ID220" s="1142"/>
      <c r="IE220" s="1142"/>
      <c r="IF220" s="1142"/>
      <c r="IG220" s="1142"/>
      <c r="IH220" s="1142"/>
      <c r="II220" s="1142"/>
      <c r="IJ220" s="1142"/>
      <c r="IK220" s="1142"/>
      <c r="IL220" s="1190"/>
      <c r="IM220" s="222"/>
      <c r="IN220" s="222"/>
      <c r="IR220" s="844"/>
    </row>
    <row r="221" customFormat="false" ht="13.5" hidden="false" customHeight="false" outlineLevel="0" collapsed="false">
      <c r="A221" s="0" t="str">
        <f aca="false">+D221&amp;"Q"&amp;ROUNDUP(E221/3,0)</f>
        <v>2017Q1</v>
      </c>
      <c r="B221" s="0" t="n">
        <f aca="false">YEAR(C221)</f>
        <v>2017</v>
      </c>
      <c r="C221" s="1153" t="n">
        <f aca="false">EOMONTH(C220,0)+1</f>
        <v>42736</v>
      </c>
      <c r="D221" s="841" t="n">
        <f aca="false">+YEAR(C221)</f>
        <v>2017</v>
      </c>
      <c r="E221" s="807" t="n">
        <f aca="false">MONTH(C221)</f>
        <v>1</v>
      </c>
      <c r="F221" s="1154" t="e">
        <f aca="false">IF(G221="","",Holiday(D221,E221))</f>
        <v>#VALUE!</v>
      </c>
      <c r="G221" s="1155" t="n">
        <v>42736</v>
      </c>
      <c r="H221" s="1156" t="n">
        <v>42766</v>
      </c>
      <c r="I221" s="1157" t="n">
        <f aca="false">I220</f>
        <v>0.0715</v>
      </c>
      <c r="J221" s="1158" t="n">
        <f aca="false">(1+I221/2)^(-2*(DATE(D222,E222,20)-$H$7)/365.25)</f>
        <v>0.299001049852797</v>
      </c>
      <c r="K221" s="1159"/>
      <c r="L221" s="1158"/>
      <c r="M221" s="1082" t="n">
        <v>0</v>
      </c>
      <c r="N221" s="1110" t="n">
        <f aca="false">M221</f>
        <v>0</v>
      </c>
      <c r="O221" s="1174" t="n">
        <f aca="false">N221</f>
        <v>0</v>
      </c>
      <c r="P221" s="1175" t="n">
        <f aca="false">M221</f>
        <v>0</v>
      </c>
      <c r="Q221" s="1110" t="n">
        <f aca="false">P221</f>
        <v>0</v>
      </c>
      <c r="R221" s="1174" t="n">
        <f aca="false">Q221</f>
        <v>0</v>
      </c>
      <c r="S221" s="1110" t="n">
        <f aca="false">R221</f>
        <v>0</v>
      </c>
      <c r="T221" s="1110" t="n">
        <f aca="false">S221</f>
        <v>0</v>
      </c>
      <c r="U221" s="1110" t="n">
        <f aca="false">T221</f>
        <v>0</v>
      </c>
      <c r="V221" s="1175" t="n">
        <f aca="false">U221</f>
        <v>0</v>
      </c>
      <c r="W221" s="1110" t="n">
        <f aca="false">V221</f>
        <v>0</v>
      </c>
      <c r="X221" s="1176" t="n">
        <f aca="false">W221</f>
        <v>0</v>
      </c>
      <c r="Y221" s="1086" t="n">
        <v>0</v>
      </c>
      <c r="Z221" s="1086" t="n">
        <v>0</v>
      </c>
      <c r="AA221" s="1087" t="n">
        <v>0</v>
      </c>
      <c r="AB221" s="1086" t="n">
        <v>0</v>
      </c>
      <c r="AC221" s="1086" t="n">
        <v>0</v>
      </c>
      <c r="AD221" s="1087" t="n">
        <v>0</v>
      </c>
      <c r="AE221" s="1086" t="n">
        <v>0</v>
      </c>
      <c r="AF221" s="1086" t="n">
        <v>0</v>
      </c>
      <c r="AG221" s="1087" t="n">
        <v>0</v>
      </c>
      <c r="AH221" s="1086" t="n">
        <v>0</v>
      </c>
      <c r="AI221" s="1086" t="n">
        <v>0</v>
      </c>
      <c r="AJ221" s="1087" t="n">
        <v>0</v>
      </c>
      <c r="AK221" s="1086" t="n">
        <v>0</v>
      </c>
      <c r="AL221" s="1086" t="n">
        <v>0</v>
      </c>
      <c r="AM221" s="1087" t="n">
        <v>0</v>
      </c>
      <c r="AN221" s="1086" t="n">
        <v>0</v>
      </c>
      <c r="AO221" s="1086" t="n">
        <v>0</v>
      </c>
      <c r="AP221" s="1087" t="n">
        <v>0</v>
      </c>
      <c r="AQ221" s="1086" t="n">
        <v>0</v>
      </c>
      <c r="AR221" s="1086" t="n">
        <v>0</v>
      </c>
      <c r="AS221" s="1087" t="n">
        <v>0</v>
      </c>
      <c r="AT221" s="1086" t="n">
        <v>0</v>
      </c>
      <c r="AU221" s="1086" t="n">
        <v>0</v>
      </c>
      <c r="AV221" s="1086" t="n">
        <v>0</v>
      </c>
      <c r="AW221" s="1172" t="n">
        <v>0</v>
      </c>
      <c r="AX221" s="807" t="e">
        <f aca="false">BB221-SUM(AY221:BA221)</f>
        <v>#VALUE!</v>
      </c>
      <c r="AY221" s="807" t="e">
        <f aca="false">IF(AND($E221=MONTH(Summary!$E$24),$D221=YEAR(Summary!$E$24)),Summary!$E$25,1)*IF(G221="",0,INT((H221-MOD(H221,7)-G221)/7)+1-IF(BA221,IF(WEEKDAY(F221)=7,1,0),0))</f>
        <v>#VALUE!</v>
      </c>
      <c r="AZ221" s="807" t="e">
        <f aca="false">IF(AND($E221=MONTH(Summary!$E$24),$D221=YEAR(Summary!$E$24)),Summary!$E$25,1)*IF(G221="",0,INT((H221-MOD(H221-1,7)-G221)/7)+1-IF(BA221,IF(WEEKDAY(F221)=1,1,0),0))</f>
        <v>#VALUE!</v>
      </c>
      <c r="BA221" s="807" t="n">
        <v>1</v>
      </c>
      <c r="BB221" s="807" t="n">
        <f aca="false">IF(AND($E221=MONTH(Summary!$E$24),$D221=YEAR(Summary!$E$24)),Summary!$E$25,1)*IF(G221="",0,H221-G221+1)</f>
        <v>31</v>
      </c>
      <c r="BC221" s="1089" t="n">
        <f aca="false">Summary!$E$19</f>
        <v>0.015</v>
      </c>
      <c r="BD221" s="1090" t="n">
        <v>14893.2</v>
      </c>
      <c r="BE221" s="1091" t="n">
        <v>2836.8</v>
      </c>
      <c r="BF221" s="1091" t="n">
        <v>4255.2</v>
      </c>
      <c r="BG221" s="842"/>
      <c r="BH221" s="1092" t="n">
        <v>1</v>
      </c>
      <c r="BI221" s="1092" t="n">
        <v>1</v>
      </c>
      <c r="BJ221" s="1092" t="n">
        <v>1</v>
      </c>
      <c r="BK221" s="1092" t="n">
        <v>1</v>
      </c>
      <c r="BL221" s="1093" t="n">
        <v>2978.64</v>
      </c>
      <c r="BM221" s="1091" t="n">
        <v>567.36</v>
      </c>
      <c r="BN221" s="1091" t="n">
        <v>851.04</v>
      </c>
      <c r="BO221" s="842"/>
      <c r="BP221" s="1092" t="n">
        <v>1</v>
      </c>
      <c r="BQ221" s="1094" t="n">
        <v>1</v>
      </c>
      <c r="BR221" s="1094" t="n">
        <v>1</v>
      </c>
      <c r="BS221" s="1095" t="n">
        <v>1</v>
      </c>
      <c r="BT221" s="1093" t="n">
        <f aca="false">SUM(BD221:BF221)</f>
        <v>21985.2</v>
      </c>
      <c r="BU221" s="1098" t="n">
        <f aca="false">SUM(BD221:BG221)</f>
        <v>21985.2</v>
      </c>
      <c r="BV221" s="1090" t="n">
        <f aca="false">SUM(BL221:BN221)</f>
        <v>4397.04</v>
      </c>
      <c r="BW221" s="1098" t="n">
        <f aca="false">SUM(BL221:BO221)</f>
        <v>4397.04</v>
      </c>
      <c r="BX221" s="852" t="n">
        <v>17.0485968514716</v>
      </c>
      <c r="BY221" s="1099" t="n">
        <v>0</v>
      </c>
      <c r="BZ221" s="852" t="n">
        <v>0</v>
      </c>
      <c r="CA221" s="852" t="n">
        <v>0</v>
      </c>
      <c r="CB221" s="852" t="n">
        <v>0</v>
      </c>
      <c r="CC221" s="852" t="n">
        <v>0</v>
      </c>
      <c r="CD221" s="852" t="n">
        <v>0</v>
      </c>
      <c r="CE221" s="1100" t="n">
        <v>0</v>
      </c>
      <c r="CF221" s="852" t="n">
        <v>0</v>
      </c>
      <c r="CG221" s="852" t="n">
        <v>0</v>
      </c>
      <c r="CH221" s="852" t="n">
        <v>0</v>
      </c>
      <c r="CI221" s="852" t="n">
        <v>0</v>
      </c>
      <c r="CJ221" s="1101" t="n">
        <v>0</v>
      </c>
      <c r="CK221" s="852" t="n">
        <v>0</v>
      </c>
      <c r="CL221" s="852" t="n">
        <v>0</v>
      </c>
      <c r="CM221" s="852" t="n">
        <v>0</v>
      </c>
      <c r="CN221" s="852" t="n">
        <v>0</v>
      </c>
      <c r="CO221" s="852" t="n">
        <v>0</v>
      </c>
      <c r="CP221" s="852" t="n">
        <v>0</v>
      </c>
      <c r="CQ221" s="1102" t="n">
        <v>0</v>
      </c>
      <c r="CR221" s="1103" t="n">
        <v>0</v>
      </c>
      <c r="CS221" s="1103" t="n">
        <v>0</v>
      </c>
      <c r="CT221" s="1103" t="n">
        <v>0</v>
      </c>
      <c r="CU221" s="1103" t="n">
        <v>0</v>
      </c>
      <c r="CV221" s="1103" t="n">
        <v>0</v>
      </c>
      <c r="CW221" s="1103" t="n">
        <v>0</v>
      </c>
      <c r="CX221" s="1104" t="n">
        <v>0</v>
      </c>
      <c r="CY221" s="1105" t="n">
        <v>7690.40248</v>
      </c>
      <c r="CZ221" s="1099" t="n">
        <v>0</v>
      </c>
      <c r="DA221" s="852" t="n">
        <v>0</v>
      </c>
      <c r="DB221" s="852" t="n">
        <v>0</v>
      </c>
      <c r="DC221" s="852" t="n">
        <v>0</v>
      </c>
      <c r="DD221" s="852" t="n">
        <v>0</v>
      </c>
      <c r="DE221" s="1113" t="n">
        <v>0</v>
      </c>
      <c r="DF221" s="1109" t="n">
        <v>0</v>
      </c>
      <c r="DG221" s="1110" t="n">
        <v>0</v>
      </c>
      <c r="DH221" s="1111" t="n">
        <v>0</v>
      </c>
      <c r="DI221" s="1112" t="n">
        <v>0</v>
      </c>
      <c r="DJ221" s="1112" t="n">
        <v>0</v>
      </c>
      <c r="DK221" s="1112" t="n">
        <v>0</v>
      </c>
      <c r="DL221" s="1113" t="n">
        <v>0</v>
      </c>
      <c r="DM221" s="1114" t="n">
        <v>0</v>
      </c>
      <c r="DN221" s="1114" t="n">
        <v>0</v>
      </c>
      <c r="DO221" s="1114" t="n">
        <v>0</v>
      </c>
      <c r="DP221" s="1114" t="n">
        <v>0</v>
      </c>
      <c r="DQ221" s="1114" t="n">
        <v>0</v>
      </c>
      <c r="DR221" s="1109" t="n">
        <v>0</v>
      </c>
      <c r="DS221" s="852" t="n">
        <v>0</v>
      </c>
      <c r="DT221" s="852" t="n">
        <v>0</v>
      </c>
      <c r="DU221" s="852" t="n">
        <v>0</v>
      </c>
      <c r="DV221" s="852" t="n">
        <v>0</v>
      </c>
      <c r="DW221" s="852" t="n">
        <v>0</v>
      </c>
      <c r="DX221" s="852" t="n">
        <v>0</v>
      </c>
      <c r="DY221" s="852" t="n">
        <v>0</v>
      </c>
      <c r="DZ221" s="852" t="n">
        <v>0</v>
      </c>
      <c r="EA221" s="852" t="n">
        <v>0</v>
      </c>
      <c r="EB221" s="1113" t="n">
        <v>0</v>
      </c>
      <c r="EC221" s="1115" t="n">
        <f aca="false">DS221*BD221</f>
        <v>0</v>
      </c>
      <c r="ED221" s="1115" t="n">
        <f aca="false">DT221*BE221</f>
        <v>0</v>
      </c>
      <c r="EE221" s="1115" t="n">
        <f aca="false">DU221*BF221</f>
        <v>0</v>
      </c>
      <c r="EF221" s="1115" t="n">
        <f aca="false">DV221*BG221</f>
        <v>0</v>
      </c>
      <c r="EG221" s="1115" t="n">
        <f aca="false">DS221*BD221+DT221*BE221+DU221*BF221+DV221*BG221</f>
        <v>0</v>
      </c>
      <c r="EH221" s="1116" t="n">
        <v>0</v>
      </c>
      <c r="EI221" s="1117" t="n">
        <v>0</v>
      </c>
      <c r="EJ221" s="1117" t="n">
        <v>0</v>
      </c>
      <c r="EK221" s="1117" t="n">
        <v>0</v>
      </c>
      <c r="EL221" s="1118" t="n">
        <f aca="false">IF(C221&gt;=Summary!$E$26,MAX(0,SUM(EH221:EK221)),0)</f>
        <v>0</v>
      </c>
      <c r="EM221" s="1115" t="n">
        <f aca="false">IF(C221&gt;=Summary!$E$26,DX221*BL221,0)</f>
        <v>0</v>
      </c>
      <c r="EN221" s="1115" t="n">
        <f aca="false">IF(C221&gt;=Summary!$E$26,DY221*BM221,0)</f>
        <v>0</v>
      </c>
      <c r="EO221" s="1115" t="n">
        <f aca="false">IF(C221&gt;=Summary!$E$26,DZ221*BN221,0)</f>
        <v>0</v>
      </c>
      <c r="EP221" s="1115" t="n">
        <f aca="false">IF(C221&gt;=Summary!$E$26,EA221*BO221,0)</f>
        <v>0</v>
      </c>
      <c r="EQ221" s="1115" t="n">
        <f aca="false">IF(C221&gt;=Summary!$E$26,DX221*BL221+DY221*BM221+DZ221*BN221+EA221*BO221,0)</f>
        <v>0</v>
      </c>
      <c r="ER221" s="1119" t="n">
        <v>0</v>
      </c>
      <c r="ES221" s="1120" t="n">
        <v>0</v>
      </c>
      <c r="ET221" s="1120" t="n">
        <v>0</v>
      </c>
      <c r="EU221" s="1120" t="n">
        <v>0</v>
      </c>
      <c r="EV221" s="1143" t="n">
        <f aca="false">IF(C221&gt;=Summary!$E$26,MAX(0,SUM(ER221:EU221)),0)</f>
        <v>0</v>
      </c>
      <c r="EW221" s="1115"/>
      <c r="EX221" s="1165" t="n">
        <f aca="false">(EQ221-EV221)+IF(EZ221="Yes",(EG221-EL221),0)</f>
        <v>0</v>
      </c>
      <c r="EY221" s="1166" t="str">
        <f aca="false">IF(EX221,EX221/EQ221,"")</f>
        <v/>
      </c>
      <c r="EZ221" s="1122" t="s">
        <v>37</v>
      </c>
      <c r="FA221" s="1096" t="n">
        <f aca="false">FA220</f>
        <v>45</v>
      </c>
      <c r="FB221" s="1167" t="e">
        <f aca="false">IF(EZ221="No",IF((OR(MONTH(C221)=5,MONTH(C221)=6,MONTH(C221)=7,MONTH(C221)=8,MONTH(C221)=9)),$FA221*12*AX221*(1-$BC221),$FA221*10*AX221*(1-$BC221)),0)</f>
        <v>#VALUE!</v>
      </c>
      <c r="FC221" s="1129" t="e">
        <f aca="false">IF(EZ221="No",IF((OR(MONTH(C221)=5,MONTH(C221)=6,MONTH(C221)=7,MONTH(C221)=8,MONTH(C221)=9)),0,$FA221*3*AX221*(1-$BC221)),0)</f>
        <v>#VALUE!</v>
      </c>
      <c r="FD221" s="1129" t="e">
        <f aca="false">IF(EZ221="No",IF((OR(MONTH(C221)=5,MONTH(C221)=6,MONTH(C221)=7,MONTH(C221)=8,MONTH(C221)=9)),$FA221*12*AY221*(1-$BC221),$FA221*10*AY221*(1-$BC221)),0)</f>
        <v>#VALUE!</v>
      </c>
      <c r="FE221" s="1129" t="e">
        <f aca="false">IF(EZ221="No",IF((OR(MONTH(C221)=5,MONTH(C221)=6,MONTH(C221)=7,MONTH(C221)=8,MONTH(C221)=9)),0,$FA221*3*AY221*(1-$BC221)),0)</f>
        <v>#VALUE!</v>
      </c>
      <c r="FF221" s="1129" t="e">
        <f aca="false">IF(EZ221="No",IF((OR(MONTH(C221)=5,MONTH(C221)=6,MONTH(C221)=7,MONTH(C221)=8,MONTH(C221)=9)),$FA221*12*(AZ221+BA221)*(1-$BC221),$FA221*10*(AZ221+BA221)*(1-$BC221)),0)</f>
        <v>#VALUE!</v>
      </c>
      <c r="FG221" s="1129" t="e">
        <f aca="false">IF(EZ221="No",IF((OR(MONTH(C221)=5,MONTH(C221)=6,MONTH(C221)=7,MONTH(C221)=8,MONTH(C221)=9)),0,$FA221*3*(AZ221+BA221)*(1-$BC221)),0)</f>
        <v>#VALUE!</v>
      </c>
      <c r="FH221" s="1170" t="e">
        <f aca="false">IF(EZ221="No",IF((OR(MONTH(C221)=5,MONTH(C221)=6,MONTH(C221)=7,MONTH(C221)=8,MONTH(C221)=9)),Summary!$O$15*12*(AX221+AY221+AZ221+BA221)*(1-$BC221),Summary!$O$15*13*(AX221+AY221+AZ221+BA221)*(1-$BC221)+IF(Summary!$O$16="Yes",(CALC!FA221+Summary!$O$15)*6*(AX221+AY221+AZ221+BA221)*(1-$BC221),0)),0)</f>
        <v>#VALUE!</v>
      </c>
      <c r="FI221" s="1126" t="n">
        <f aca="false">IF(MONTH(C221)=5,FI220*(IF(Summary!$E$70="no",(1+(Summary!$E$71*0.8)),1+HLOOKUP(YEAR(C221)-1,CCFMODEL!$I$127:$AF$128,2)*0.8)),+FI220)</f>
        <v>39.812819442007</v>
      </c>
      <c r="FJ221" s="1127" t="n">
        <f aca="false">IF(MONTH(C221)=5,FJ220*(IF(Summary!$E$70="no",(1+(Summary!$E$71*0.8)),1+HLOOKUP(YEAR(CALC!C221)-1,CCFMODEL!$I$127:$AF$128,2)*0.8)),FJ220)</f>
        <v>34.7970311658486</v>
      </c>
      <c r="FK221" s="1128" t="e">
        <f aca="false">SUM(FB221:FG221)*FI221+FH221*FJ221</f>
        <v>#VALUE!</v>
      </c>
      <c r="FL221" s="1126" t="n">
        <f aca="false">IF(MONTH(C221)=5,FL220*(IF(Summary!$E$70="no",(1+(Summary!$E$71*0.8)),1+HLOOKUP(YEAR(CALC!C221)-1,CCFMODEL!$I$127:$AF$128,2)*0.8)),+FL220)</f>
        <v>83.7308227409887</v>
      </c>
      <c r="FM221" s="1127" t="n">
        <f aca="false">IF(MONTH(C221)=5,FM220*(IF(Summary!$E$70="no",(1+(Summary!$E$71*0.8)),1+HLOOKUP(YEAR(CALC!C221)-1,CCFMODEL!$I$127:$AF$128,2)*0.8)),+FM220)</f>
        <v>39.9620988549879</v>
      </c>
      <c r="FN221" s="1128" t="e">
        <f aca="false">IF((OR(MONTH(C221)=5,MONTH(C221)=6,MONTH(C221)=7,MONTH(C221)=8,MONTH(C221)=9)),SUM(FB221:FG221)/(1-BC221)*FL221,SUM(FB221:FG221)/(1-BC221)*FM221)</f>
        <v>#VALUE!</v>
      </c>
      <c r="FO221" s="1129" t="e">
        <f aca="false">FK221+FN221</f>
        <v>#VALUE!</v>
      </c>
      <c r="FP221" s="1169" t="e">
        <f aca="false">FB221</f>
        <v>#VALUE!</v>
      </c>
      <c r="FQ221" s="1129" t="e">
        <f aca="false">FC221</f>
        <v>#VALUE!</v>
      </c>
      <c r="FR221" s="1129" t="e">
        <f aca="false">FD221</f>
        <v>#VALUE!</v>
      </c>
      <c r="FS221" s="1129" t="e">
        <f aca="false">FE221</f>
        <v>#VALUE!</v>
      </c>
      <c r="FT221" s="1129" t="e">
        <f aca="false">FF221</f>
        <v>#VALUE!</v>
      </c>
      <c r="FU221" s="1129" t="e">
        <f aca="false">FG221</f>
        <v>#VALUE!</v>
      </c>
      <c r="FV221" s="1170" t="e">
        <f aca="false">FH221</f>
        <v>#VALUE!</v>
      </c>
      <c r="FW221" s="1115" t="n">
        <f aca="false">IF(ER221&gt;0,MIN(FB221-FP221,BL221),0)</f>
        <v>0</v>
      </c>
      <c r="FX221" s="1115" t="n">
        <f aca="false">IF(ES221&gt;0,MIN(FD221-FR221,BM221),0)</f>
        <v>0</v>
      </c>
      <c r="FY221" s="1115" t="n">
        <f aca="false">IF(ET221&gt;0,MIN(FF221-FT221,BN221),0)</f>
        <v>0</v>
      </c>
      <c r="FZ221" s="1143" t="n">
        <f aca="false">IF(EU221&gt;0,MIN(FH221-FV221,BO221),0)</f>
        <v>0</v>
      </c>
      <c r="GA221" s="1132" t="e">
        <f aca="false">(SUM(FP221:FV221)+SUM(GU221:HB221)/(1-Summary!$O$25))*CY221/1000</f>
        <v>#VALUE!</v>
      </c>
      <c r="GB221" s="1133" t="n">
        <f aca="false">IF($C221&lt;Summary!$M$81,+Summary!$O$81,VLOOKUP(C221,GasTable,19))</f>
        <v>4.07126349592839</v>
      </c>
      <c r="GC221" s="1134" t="n">
        <f aca="false">IF(H221&lt;=Summary!$N$84,MIN(GA221,Summary!$O$75*(H221-G221+1)),0)</f>
        <v>0</v>
      </c>
      <c r="GD221" s="1135" t="n">
        <f aca="false">IF(C221&lt;Summary!$N$84,IF(Summary!$O$75*(H221-G221+1)*0.8&gt;GC221,1,0),0)</f>
        <v>0</v>
      </c>
      <c r="GE221" s="1136" t="n">
        <v>0</v>
      </c>
      <c r="GF221" s="1134" t="e">
        <f aca="false">ABS(MIN(0,GC221-$GA221))</f>
        <v>#VALUE!</v>
      </c>
      <c r="GG221" s="1135" t="e">
        <f aca="false">GF221*(IF(Summary!$O$74=1,VLOOKUP($C221,GasTable,16)+Summary!$O$92+Summary!$O$93,VLOOKUP($C221,GasTable,19)+Summary!$O$92+Summary!$O$93))</f>
        <v>#VALUE!</v>
      </c>
      <c r="GH221" s="1137" t="n">
        <v>6310.458418689</v>
      </c>
      <c r="GI221" s="1138" t="n">
        <v>0</v>
      </c>
      <c r="GJ221" s="1139" t="e">
        <f aca="false">+GB221*GC221+GE221+GG221+GH221-GI221</f>
        <v>#VALUE!</v>
      </c>
      <c r="GK221" s="1115" t="e">
        <f aca="false">SUM(FP221:FV221,GU221:GX221,GY221:HB221)</f>
        <v>#VALUE!</v>
      </c>
      <c r="GL221" s="1140" t="n">
        <v>0.51525696616</v>
      </c>
      <c r="GM221" s="1141" t="e">
        <f aca="false">IF(GK221&gt;GC221/(CY221/1000),GC221/(CY221/1000),+GK221)*GL221</f>
        <v>#VALUE!</v>
      </c>
      <c r="GN221" s="1115" t="n">
        <f aca="false">IF(SUM(GU221:HB221)=0,0,IF(Summary!$O$16="Yes",SUM(GX221:HB221),IF(Summary!$O$17="Yes",SUM(GY221:HB221),SUM(GU221:HB221))))</f>
        <v>12199.03785</v>
      </c>
      <c r="GO221" s="1142" t="n">
        <v>3.93299316702503</v>
      </c>
      <c r="GP221" s="1143" t="n">
        <f aca="false">GN221*GO221</f>
        <v>47978.7325083298</v>
      </c>
      <c r="GQ221" s="1115"/>
      <c r="GR221" s="1115"/>
      <c r="GS221" s="1115"/>
      <c r="GT221" s="1115"/>
      <c r="GU221" s="1150" t="n">
        <v>5389.47675</v>
      </c>
      <c r="GV221" s="1115" t="n">
        <v>1026.567</v>
      </c>
      <c r="GW221" s="1115" t="n">
        <v>1539.8505</v>
      </c>
      <c r="GX221" s="1115"/>
      <c r="GY221" s="1151" t="n">
        <v>2874.3876</v>
      </c>
      <c r="GZ221" s="1115" t="n">
        <v>547.5024</v>
      </c>
      <c r="HA221" s="1115" t="n">
        <v>821.2536</v>
      </c>
      <c r="HB221" s="1141"/>
      <c r="HC221" s="1115" t="n">
        <v>12199.03785</v>
      </c>
      <c r="HD221" s="1115"/>
      <c r="HE221" s="1115" t="n">
        <v>20950.521525</v>
      </c>
      <c r="HF221" s="1115" t="n">
        <v>668171.419859108</v>
      </c>
      <c r="HG221" s="1115"/>
      <c r="HH221" s="1142" t="n">
        <v>54.3530415813511</v>
      </c>
      <c r="HI221" s="1115" t="n">
        <v>1138724.56759932</v>
      </c>
      <c r="HJ221" s="1150" t="e">
        <f aca="false">MAX(FB221-FP221-FW221,0)</f>
        <v>#VALUE!</v>
      </c>
      <c r="HK221" s="1115" t="e">
        <f aca="false">MAX(FD221-FR221-FX221,0)</f>
        <v>#VALUE!</v>
      </c>
      <c r="HL221" s="1115" t="e">
        <f aca="false">MAX(FF221-FT221-FY221,0)</f>
        <v>#VALUE!</v>
      </c>
      <c r="HM221" s="1141" t="e">
        <f aca="false">MAX(FH221-FV221-FZ221,0)</f>
        <v>#VALUE!</v>
      </c>
      <c r="HN221" s="1115" t="e">
        <f aca="false">SUM(HJ221:HM221)</f>
        <v>#VALUE!</v>
      </c>
      <c r="HO221" s="1142" t="n">
        <f aca="false">IF(ISERROR(+HP221/HN221),0,+HP221/HN221)</f>
        <v>0</v>
      </c>
      <c r="HP221" s="1143" t="e">
        <f aca="false">(HJ221*CE221+HK221*CF221+HL221*CG221+HM221*CH221)</f>
        <v>#VALUE!</v>
      </c>
      <c r="HQ221" s="1142"/>
      <c r="HR221" s="1150"/>
      <c r="HS221" s="1200"/>
      <c r="HT221" s="1141"/>
      <c r="HU221" s="1150"/>
      <c r="HV221" s="1200"/>
      <c r="HW221" s="1141"/>
      <c r="HX221" s="1200"/>
      <c r="HY221" s="1200"/>
      <c r="HZ221" s="0"/>
      <c r="IA221" s="1142"/>
      <c r="IB221" s="1142"/>
      <c r="IC221" s="1142"/>
      <c r="ID221" s="1142"/>
      <c r="IE221" s="1142"/>
      <c r="IF221" s="1142"/>
      <c r="IG221" s="1142"/>
      <c r="IH221" s="1142"/>
      <c r="II221" s="1142"/>
      <c r="IJ221" s="1142"/>
      <c r="IK221" s="1142"/>
      <c r="IL221" s="1190"/>
      <c r="IM221" s="222"/>
      <c r="IN221" s="222"/>
      <c r="IR221" s="844"/>
    </row>
    <row r="222" customFormat="false" ht="13.5" hidden="false" customHeight="false" outlineLevel="0" collapsed="false">
      <c r="A222" s="0" t="str">
        <f aca="false">+D222&amp;"Q"&amp;ROUNDUP(E222/3,0)</f>
        <v>2017Q1</v>
      </c>
      <c r="B222" s="0" t="n">
        <f aca="false">YEAR(C222)</f>
        <v>2017</v>
      </c>
      <c r="C222" s="1153" t="n">
        <f aca="false">EOMONTH(C221,0)+1</f>
        <v>42767</v>
      </c>
      <c r="D222" s="841" t="n">
        <f aca="false">+YEAR(C222)</f>
        <v>2017</v>
      </c>
      <c r="E222" s="807" t="n">
        <f aca="false">MONTH(C222)</f>
        <v>2</v>
      </c>
      <c r="F222" s="1154" t="e">
        <f aca="false">IF(G222="","",Holiday(D222,E222))</f>
        <v>#VALUE!</v>
      </c>
      <c r="G222" s="1155" t="n">
        <v>42767</v>
      </c>
      <c r="H222" s="1156" t="n">
        <v>42794</v>
      </c>
      <c r="I222" s="1157" t="n">
        <f aca="false">I221</f>
        <v>0.0715</v>
      </c>
      <c r="J222" s="1158" t="n">
        <f aca="false">(1+I222/2)^(-2*(DATE(D223,E223,20)-$H$7)/365.25)</f>
        <v>0.297395115279307</v>
      </c>
      <c r="K222" s="1159"/>
      <c r="L222" s="1158"/>
      <c r="M222" s="1082" t="n">
        <v>0</v>
      </c>
      <c r="N222" s="1110" t="n">
        <f aca="false">M222</f>
        <v>0</v>
      </c>
      <c r="O222" s="1174" t="n">
        <f aca="false">N222</f>
        <v>0</v>
      </c>
      <c r="P222" s="1175" t="n">
        <f aca="false">M222</f>
        <v>0</v>
      </c>
      <c r="Q222" s="1110" t="n">
        <f aca="false">P222</f>
        <v>0</v>
      </c>
      <c r="R222" s="1174" t="n">
        <f aca="false">Q222</f>
        <v>0</v>
      </c>
      <c r="S222" s="1110" t="n">
        <f aca="false">R222</f>
        <v>0</v>
      </c>
      <c r="T222" s="1110" t="n">
        <f aca="false">S222</f>
        <v>0</v>
      </c>
      <c r="U222" s="1110" t="n">
        <f aca="false">T222</f>
        <v>0</v>
      </c>
      <c r="V222" s="1175" t="n">
        <f aca="false">U222</f>
        <v>0</v>
      </c>
      <c r="W222" s="1110" t="n">
        <f aca="false">V222</f>
        <v>0</v>
      </c>
      <c r="X222" s="1176" t="n">
        <f aca="false">W222</f>
        <v>0</v>
      </c>
      <c r="Y222" s="1086" t="n">
        <v>0</v>
      </c>
      <c r="Z222" s="1086" t="n">
        <v>0</v>
      </c>
      <c r="AA222" s="1087" t="n">
        <v>0</v>
      </c>
      <c r="AB222" s="1086" t="n">
        <v>0</v>
      </c>
      <c r="AC222" s="1086" t="n">
        <v>0</v>
      </c>
      <c r="AD222" s="1087" t="n">
        <v>0</v>
      </c>
      <c r="AE222" s="1086" t="n">
        <v>0</v>
      </c>
      <c r="AF222" s="1086" t="n">
        <v>0</v>
      </c>
      <c r="AG222" s="1087" t="n">
        <v>0</v>
      </c>
      <c r="AH222" s="1086" t="n">
        <v>0</v>
      </c>
      <c r="AI222" s="1086" t="n">
        <v>0</v>
      </c>
      <c r="AJ222" s="1087" t="n">
        <v>0</v>
      </c>
      <c r="AK222" s="1086" t="n">
        <v>0</v>
      </c>
      <c r="AL222" s="1086" t="n">
        <v>0</v>
      </c>
      <c r="AM222" s="1087" t="n">
        <v>0</v>
      </c>
      <c r="AN222" s="1086" t="n">
        <v>0</v>
      </c>
      <c r="AO222" s="1086" t="n">
        <v>0</v>
      </c>
      <c r="AP222" s="1087" t="n">
        <v>0</v>
      </c>
      <c r="AQ222" s="1086" t="n">
        <v>0</v>
      </c>
      <c r="AR222" s="1086" t="n">
        <v>0</v>
      </c>
      <c r="AS222" s="1087" t="n">
        <v>0</v>
      </c>
      <c r="AT222" s="1086" t="n">
        <v>0</v>
      </c>
      <c r="AU222" s="1086" t="n">
        <v>0</v>
      </c>
      <c r="AV222" s="1086" t="n">
        <v>0</v>
      </c>
      <c r="AW222" s="1172" t="n">
        <v>0</v>
      </c>
      <c r="AX222" s="807" t="n">
        <f aca="false">BB222-SUM(AY222:BA222)</f>
        <v>20</v>
      </c>
      <c r="AY222" s="807" t="n">
        <f aca="false">IF(AND($E222=MONTH(Summary!$E$24),$D222=YEAR(Summary!$E$24)),Summary!$E$25,1)*IF(G222="",0,INT((H222-MOD(H222,7)-G222)/7)+1-IF(BA222,IF(WEEKDAY(F222)=7,1,0),0))</f>
        <v>4</v>
      </c>
      <c r="AZ222" s="807" t="n">
        <f aca="false">IF(AND($E222=MONTH(Summary!$E$24),$D222=YEAR(Summary!$E$24)),Summary!$E$25,1)*IF(G222="",0,INT((H222-MOD(H222-1,7)-G222)/7)+1-IF(BA222,IF(WEEKDAY(F222)=1,1,0),0))</f>
        <v>4</v>
      </c>
      <c r="BA222" s="807" t="n">
        <v>0</v>
      </c>
      <c r="BB222" s="807" t="n">
        <f aca="false">IF(AND($E222=MONTH(Summary!$E$24),$D222=YEAR(Summary!$E$24)),Summary!$E$25,1)*IF(G222="",0,H222-G222+1)</f>
        <v>28</v>
      </c>
      <c r="BC222" s="1089" t="n">
        <f aca="false">Summary!$E$19</f>
        <v>0.015</v>
      </c>
      <c r="BD222" s="1090" t="n">
        <v>14184</v>
      </c>
      <c r="BE222" s="1091" t="n">
        <v>2836.8</v>
      </c>
      <c r="BF222" s="1091" t="n">
        <v>2836.8</v>
      </c>
      <c r="BG222" s="842"/>
      <c r="BH222" s="1092" t="n">
        <v>1</v>
      </c>
      <c r="BI222" s="1092" t="n">
        <v>1</v>
      </c>
      <c r="BJ222" s="1092" t="n">
        <v>1</v>
      </c>
      <c r="BK222" s="1092" t="n">
        <v>1</v>
      </c>
      <c r="BL222" s="1093" t="n">
        <v>2836.8</v>
      </c>
      <c r="BM222" s="1091" t="n">
        <v>567.36</v>
      </c>
      <c r="BN222" s="1091" t="n">
        <v>567.36</v>
      </c>
      <c r="BO222" s="842"/>
      <c r="BP222" s="1092" t="n">
        <v>1</v>
      </c>
      <c r="BQ222" s="1094" t="n">
        <v>1</v>
      </c>
      <c r="BR222" s="1094" t="n">
        <v>1</v>
      </c>
      <c r="BS222" s="1095" t="n">
        <v>1</v>
      </c>
      <c r="BT222" s="1093" t="n">
        <f aca="false">SUM(BD222:BF222)</f>
        <v>19857.6</v>
      </c>
      <c r="BU222" s="1098" t="n">
        <f aca="false">SUM(BD222:BG222)</f>
        <v>19857.6</v>
      </c>
      <c r="BV222" s="1090" t="n">
        <f aca="false">SUM(BL222:BN222)</f>
        <v>3971.52</v>
      </c>
      <c r="BW222" s="1098" t="n">
        <f aca="false">SUM(BL222:BO222)</f>
        <v>3971.52</v>
      </c>
      <c r="BX222" s="852" t="n">
        <v>17.1334702258727</v>
      </c>
      <c r="BY222" s="1099" t="n">
        <v>0</v>
      </c>
      <c r="BZ222" s="852" t="n">
        <v>0</v>
      </c>
      <c r="CA222" s="852" t="n">
        <v>0</v>
      </c>
      <c r="CB222" s="852" t="n">
        <v>0</v>
      </c>
      <c r="CC222" s="852" t="n">
        <v>0</v>
      </c>
      <c r="CD222" s="852" t="n">
        <v>0</v>
      </c>
      <c r="CE222" s="1100" t="n">
        <v>0</v>
      </c>
      <c r="CF222" s="852" t="n">
        <v>0</v>
      </c>
      <c r="CG222" s="852" t="n">
        <v>0</v>
      </c>
      <c r="CH222" s="852" t="n">
        <v>0</v>
      </c>
      <c r="CI222" s="852" t="n">
        <v>0</v>
      </c>
      <c r="CJ222" s="1101" t="n">
        <v>0</v>
      </c>
      <c r="CK222" s="852" t="n">
        <v>0</v>
      </c>
      <c r="CL222" s="852" t="n">
        <v>0</v>
      </c>
      <c r="CM222" s="852" t="n">
        <v>0</v>
      </c>
      <c r="CN222" s="852" t="n">
        <v>0</v>
      </c>
      <c r="CO222" s="852" t="n">
        <v>0</v>
      </c>
      <c r="CP222" s="852" t="n">
        <v>0</v>
      </c>
      <c r="CQ222" s="1102" t="n">
        <v>0</v>
      </c>
      <c r="CR222" s="1103" t="n">
        <v>0</v>
      </c>
      <c r="CS222" s="1103" t="n">
        <v>0</v>
      </c>
      <c r="CT222" s="1103" t="n">
        <v>0</v>
      </c>
      <c r="CU222" s="1103" t="n">
        <v>0</v>
      </c>
      <c r="CV222" s="1103" t="n">
        <v>0</v>
      </c>
      <c r="CW222" s="1103" t="n">
        <v>0</v>
      </c>
      <c r="CX222" s="1104" t="n">
        <v>0</v>
      </c>
      <c r="CY222" s="1105" t="n">
        <v>7692.43344</v>
      </c>
      <c r="CZ222" s="1099" t="n">
        <v>0</v>
      </c>
      <c r="DA222" s="852" t="n">
        <v>0</v>
      </c>
      <c r="DB222" s="852" t="n">
        <v>0</v>
      </c>
      <c r="DC222" s="852" t="n">
        <v>0</v>
      </c>
      <c r="DD222" s="852" t="n">
        <v>0</v>
      </c>
      <c r="DE222" s="1113" t="n">
        <v>0</v>
      </c>
      <c r="DF222" s="1109" t="n">
        <v>0</v>
      </c>
      <c r="DG222" s="1110" t="n">
        <v>0</v>
      </c>
      <c r="DH222" s="1111" t="n">
        <v>0</v>
      </c>
      <c r="DI222" s="1112" t="n">
        <v>0</v>
      </c>
      <c r="DJ222" s="1112" t="n">
        <v>0</v>
      </c>
      <c r="DK222" s="1112" t="n">
        <v>0</v>
      </c>
      <c r="DL222" s="1113" t="n">
        <v>0</v>
      </c>
      <c r="DM222" s="1114" t="n">
        <v>0</v>
      </c>
      <c r="DN222" s="1114" t="n">
        <v>0</v>
      </c>
      <c r="DO222" s="1114" t="n">
        <v>0</v>
      </c>
      <c r="DP222" s="1114" t="n">
        <v>0</v>
      </c>
      <c r="DQ222" s="1114" t="n">
        <v>0</v>
      </c>
      <c r="DR222" s="1109" t="n">
        <v>0</v>
      </c>
      <c r="DS222" s="852" t="n">
        <v>0</v>
      </c>
      <c r="DT222" s="852" t="n">
        <v>0</v>
      </c>
      <c r="DU222" s="852" t="n">
        <v>0</v>
      </c>
      <c r="DV222" s="852" t="n">
        <v>0</v>
      </c>
      <c r="DW222" s="852" t="n">
        <v>0</v>
      </c>
      <c r="DX222" s="852" t="n">
        <v>0</v>
      </c>
      <c r="DY222" s="852" t="n">
        <v>0</v>
      </c>
      <c r="DZ222" s="852" t="n">
        <v>0</v>
      </c>
      <c r="EA222" s="852" t="n">
        <v>0</v>
      </c>
      <c r="EB222" s="1113" t="n">
        <v>0</v>
      </c>
      <c r="EC222" s="1115" t="n">
        <f aca="false">DS222*BD222</f>
        <v>0</v>
      </c>
      <c r="ED222" s="1115" t="n">
        <f aca="false">DT222*BE222</f>
        <v>0</v>
      </c>
      <c r="EE222" s="1115" t="n">
        <f aca="false">DU222*BF222</f>
        <v>0</v>
      </c>
      <c r="EF222" s="1115" t="n">
        <f aca="false">DV222*BG222</f>
        <v>0</v>
      </c>
      <c r="EG222" s="1115" t="n">
        <f aca="false">DS222*BD222+DT222*BE222+DU222*BF222+DV222*BG222</f>
        <v>0</v>
      </c>
      <c r="EH222" s="1116" t="n">
        <v>0</v>
      </c>
      <c r="EI222" s="1117" t="n">
        <v>0</v>
      </c>
      <c r="EJ222" s="1117" t="n">
        <v>0</v>
      </c>
      <c r="EK222" s="1117" t="n">
        <v>0</v>
      </c>
      <c r="EL222" s="1118" t="n">
        <f aca="false">IF(C222&gt;=Summary!$E$26,MAX(0,SUM(EH222:EK222)),0)</f>
        <v>0</v>
      </c>
      <c r="EM222" s="1115" t="n">
        <f aca="false">IF(C222&gt;=Summary!$E$26,DX222*BL222,0)</f>
        <v>0</v>
      </c>
      <c r="EN222" s="1115" t="n">
        <f aca="false">IF(C222&gt;=Summary!$E$26,DY222*BM222,0)</f>
        <v>0</v>
      </c>
      <c r="EO222" s="1115" t="n">
        <f aca="false">IF(C222&gt;=Summary!$E$26,DZ222*BN222,0)</f>
        <v>0</v>
      </c>
      <c r="EP222" s="1115" t="n">
        <f aca="false">IF(C222&gt;=Summary!$E$26,EA222*BO222,0)</f>
        <v>0</v>
      </c>
      <c r="EQ222" s="1115" t="n">
        <f aca="false">IF(C222&gt;=Summary!$E$26,DX222*BL222+DY222*BM222+DZ222*BN222+EA222*BO222,0)</f>
        <v>0</v>
      </c>
      <c r="ER222" s="1119" t="n">
        <v>0</v>
      </c>
      <c r="ES222" s="1120" t="n">
        <v>0</v>
      </c>
      <c r="ET222" s="1120" t="n">
        <v>0</v>
      </c>
      <c r="EU222" s="1120" t="n">
        <v>0</v>
      </c>
      <c r="EV222" s="1143" t="n">
        <f aca="false">IF(C222&gt;=Summary!$E$26,MAX(0,SUM(ER222:EU222)),0)</f>
        <v>0</v>
      </c>
      <c r="EW222" s="1115"/>
      <c r="EX222" s="1165" t="n">
        <f aca="false">(EQ222-EV222)+IF(EZ222="Yes",(EG222-EL222),0)</f>
        <v>0</v>
      </c>
      <c r="EY222" s="1166" t="str">
        <f aca="false">IF(EX222,EX222/EQ222,"")</f>
        <v/>
      </c>
      <c r="EZ222" s="1122" t="s">
        <v>37</v>
      </c>
      <c r="FA222" s="1096" t="n">
        <f aca="false">FA221</f>
        <v>45</v>
      </c>
      <c r="FB222" s="1167" t="n">
        <f aca="false">IF(EZ222="No",IF((OR(MONTH(C222)=5,MONTH(C222)=6,MONTH(C222)=7,MONTH(C222)=8,MONTH(C222)=9)),$FA222*12*AX222*(1-$BC222),$FA222*10*AX222*(1-$BC222)),0)</f>
        <v>8865</v>
      </c>
      <c r="FC222" s="1129" t="n">
        <f aca="false">IF(EZ222="No",IF((OR(MONTH(C222)=5,MONTH(C222)=6,MONTH(C222)=7,MONTH(C222)=8,MONTH(C222)=9)),0,$FA222*3*AX222*(1-$BC222)),0)</f>
        <v>2659.5</v>
      </c>
      <c r="FD222" s="1129" t="n">
        <f aca="false">IF(EZ222="No",IF((OR(MONTH(C222)=5,MONTH(C222)=6,MONTH(C222)=7,MONTH(C222)=8,MONTH(C222)=9)),$FA222*12*AY222*(1-$BC222),$FA222*10*AY222*(1-$BC222)),0)</f>
        <v>1773</v>
      </c>
      <c r="FE222" s="1129" t="n">
        <f aca="false">IF(EZ222="No",IF((OR(MONTH(C222)=5,MONTH(C222)=6,MONTH(C222)=7,MONTH(C222)=8,MONTH(C222)=9)),0,$FA222*3*AY222*(1-$BC222)),0)</f>
        <v>531.9</v>
      </c>
      <c r="FF222" s="1129" t="n">
        <f aca="false">IF(EZ222="No",IF((OR(MONTH(C222)=5,MONTH(C222)=6,MONTH(C222)=7,MONTH(C222)=8,MONTH(C222)=9)),$FA222*12*(AZ222+BA222)*(1-$BC222),$FA222*10*(AZ222+BA222)*(1-$BC222)),0)</f>
        <v>1773</v>
      </c>
      <c r="FG222" s="1129" t="n">
        <f aca="false">IF(EZ222="No",IF((OR(MONTH(C222)=5,MONTH(C222)=6,MONTH(C222)=7,MONTH(C222)=8,MONTH(C222)=9)),0,$FA222*3*(AZ222+BA222)*(1-$BC222)),0)</f>
        <v>531.9</v>
      </c>
      <c r="FH222" s="1170" t="n">
        <f aca="false">IF(EZ222="No",IF((OR(MONTH(C222)=5,MONTH(C222)=6,MONTH(C222)=7,MONTH(C222)=8,MONTH(C222)=9)),Summary!$O$15*12*(AX222+AY222+AZ222+BA222)*(1-$BC222),Summary!$O$15*13*(AX222+AY222+AZ222+BA222)*(1-$BC222)+IF(Summary!$O$16="Yes",(CALC!FA222+Summary!$O$15)*6*(AX222+AY222+AZ222+BA222)*(1-$BC222),0)),0)</f>
        <v>0</v>
      </c>
      <c r="FI222" s="1126" t="n">
        <f aca="false">IF(MONTH(C222)=5,FI221*(IF(Summary!$E$70="no",(1+(Summary!$E$71*0.8)),1+HLOOKUP(YEAR(C222)-1,CCFMODEL!$I$127:$AF$128,2)*0.8)),+FI221)</f>
        <v>39.812819442007</v>
      </c>
      <c r="FJ222" s="1127" t="n">
        <f aca="false">IF(MONTH(C222)=5,FJ221*(IF(Summary!$E$70="no",(1+(Summary!$E$71*0.8)),1+HLOOKUP(YEAR(CALC!C222)-1,CCFMODEL!$I$127:$AF$128,2)*0.8)),FJ221)</f>
        <v>34.7970311658486</v>
      </c>
      <c r="FK222" s="1128" t="n">
        <f aca="false">SUM(FB222:FG222)*FI222+FH222*FJ222</f>
        <v>642351.972723173</v>
      </c>
      <c r="FL222" s="1126" t="n">
        <f aca="false">IF(MONTH(C222)=5,FL221*(IF(Summary!$E$70="no",(1+(Summary!$E$71*0.8)),1+HLOOKUP(YEAR(CALC!C222)-1,CCFMODEL!$I$127:$AF$128,2)*0.8)),+FL221)</f>
        <v>83.7308227409887</v>
      </c>
      <c r="FM222" s="1127" t="n">
        <f aca="false">IF(MONTH(C222)=5,FM221*(IF(Summary!$E$70="no",(1+(Summary!$E$71*0.8)),1+HLOOKUP(YEAR(CALC!C222)-1,CCFMODEL!$I$127:$AF$128,2)*0.8)),+FM221)</f>
        <v>39.9620988549879</v>
      </c>
      <c r="FN222" s="1128" t="n">
        <f aca="false">IF((OR(MONTH(C222)=5,MONTH(C222)=6,MONTH(C222)=7,MONTH(C222)=8,MONTH(C222)=9)),SUM(FB222:FG222)/(1-BC222)*FL222,SUM(FB222:FG222)/(1-BC222)*FM222)</f>
        <v>654579.179244701</v>
      </c>
      <c r="FO222" s="1129" t="n">
        <f aca="false">FK222+FN222</f>
        <v>1296931.15196787</v>
      </c>
      <c r="FP222" s="1169" t="n">
        <f aca="false">FB222</f>
        <v>8865</v>
      </c>
      <c r="FQ222" s="1129" t="n">
        <f aca="false">FC222</f>
        <v>2659.5</v>
      </c>
      <c r="FR222" s="1129" t="n">
        <f aca="false">FD222</f>
        <v>1773</v>
      </c>
      <c r="FS222" s="1129" t="n">
        <f aca="false">FE222</f>
        <v>531.9</v>
      </c>
      <c r="FT222" s="1129" t="n">
        <f aca="false">FF222</f>
        <v>1773</v>
      </c>
      <c r="FU222" s="1129" t="n">
        <f aca="false">FG222</f>
        <v>531.9</v>
      </c>
      <c r="FV222" s="1170" t="n">
        <f aca="false">FH222</f>
        <v>0</v>
      </c>
      <c r="FW222" s="1115" t="n">
        <f aca="false">IF(ER222&gt;0,MIN(FB222-FP222,BL222),0)</f>
        <v>0</v>
      </c>
      <c r="FX222" s="1115" t="n">
        <f aca="false">IF(ES222&gt;0,MIN(FD222-FR222,BM222),0)</f>
        <v>0</v>
      </c>
      <c r="FY222" s="1115" t="n">
        <f aca="false">IF(ET222&gt;0,MIN(FF222-FT222,BN222),0)</f>
        <v>0</v>
      </c>
      <c r="FZ222" s="1143" t="n">
        <f aca="false">IF(EU222&gt;0,MIN(FH222-FV222,BO222),0)</f>
        <v>0</v>
      </c>
      <c r="GA222" s="1132" t="n">
        <f aca="false">(SUM(FP222:FV222)+SUM(GU222:HB222)/(1-Summary!$O$25))*CY222/1000</f>
        <v>211945.156960925</v>
      </c>
      <c r="GB222" s="1133" t="n">
        <f aca="false">IF($C222&lt;Summary!$M$81,+Summary!$O$81,VLOOKUP(C222,GasTable,19))</f>
        <v>3.76028912686338</v>
      </c>
      <c r="GC222" s="1134" t="n">
        <f aca="false">IF(H222&lt;=Summary!$N$84,MIN(GA222,Summary!$O$75*(H222-G222+1)),0)</f>
        <v>0</v>
      </c>
      <c r="GD222" s="1135" t="n">
        <f aca="false">IF(C222&lt;Summary!$N$84,IF(Summary!$O$75*(H222-G222+1)*0.8&gt;GC222,1,0),0)</f>
        <v>0</v>
      </c>
      <c r="GE222" s="1136" t="n">
        <v>0</v>
      </c>
      <c r="GF222" s="1134" t="n">
        <f aca="false">ABS(MIN(0,GC222-$GA222))</f>
        <v>211945.156960925</v>
      </c>
      <c r="GG222" s="1135" t="n">
        <f aca="false">GF222*(IF(Summary!$O$74=1,VLOOKUP($C222,GasTable,16)+Summary!$O$92+Summary!$O$93,VLOOKUP($C222,GasTable,19)+Summary!$O$92+Summary!$O$93))</f>
        <v>808017.411889181</v>
      </c>
      <c r="GH222" s="1137" t="n">
        <v>5264.40477760873</v>
      </c>
      <c r="GI222" s="1138" t="n">
        <v>0</v>
      </c>
      <c r="GJ222" s="1139" t="n">
        <f aca="false">+GB222*GC222+GE222+GG222+GH222-GI222</f>
        <v>813281.81666679</v>
      </c>
      <c r="GK222" s="1115" t="n">
        <f aca="false">SUM(FP222:FV222,GU222:GX222,GY222:HB222)</f>
        <v>27152.7858</v>
      </c>
      <c r="GL222" s="1140" t="n">
        <v>0.51539304048</v>
      </c>
      <c r="GM222" s="1141" t="n">
        <f aca="false">IF(GK222&gt;GC222/(CY222/1000),GC222/(CY222/1000),+GK222)*GL222</f>
        <v>0</v>
      </c>
      <c r="GN222" s="1115" t="n">
        <f aca="false">IF(SUM(GU222:HB222)=0,0,IF(Summary!$O$16="Yes",SUM(GX222:HB222),IF(Summary!$O$17="Yes",SUM(GY222:HB222),SUM(GU222:HB222))))</f>
        <v>11018.4858</v>
      </c>
      <c r="GO222" s="1142" t="n">
        <v>3.93299316702503</v>
      </c>
      <c r="GP222" s="1143" t="n">
        <f aca="false">GN222*GO222</f>
        <v>43335.6293623624</v>
      </c>
      <c r="GQ222" s="1115"/>
      <c r="GR222" s="1115"/>
      <c r="GS222" s="1115"/>
      <c r="GT222" s="1115"/>
      <c r="GU222" s="1150" t="n">
        <v>5132.835</v>
      </c>
      <c r="GV222" s="1115" t="n">
        <v>1026.567</v>
      </c>
      <c r="GW222" s="1115" t="n">
        <v>1026.567</v>
      </c>
      <c r="GX222" s="1115"/>
      <c r="GY222" s="1151" t="n">
        <v>2737.512</v>
      </c>
      <c r="GZ222" s="1115" t="n">
        <v>547.5024</v>
      </c>
      <c r="HA222" s="1115" t="n">
        <v>547.5024</v>
      </c>
      <c r="HB222" s="1141"/>
      <c r="HC222" s="1115" t="n">
        <v>11018.4858</v>
      </c>
      <c r="HD222" s="1115"/>
      <c r="HE222" s="1115" t="n">
        <v>18923.0517</v>
      </c>
      <c r="HF222" s="1115" t="n">
        <v>494805.590695202</v>
      </c>
      <c r="HG222" s="1115"/>
      <c r="HH222" s="1142" t="n">
        <v>44.5715886730238</v>
      </c>
      <c r="HI222" s="1115" t="n">
        <v>843430.476810764</v>
      </c>
      <c r="HJ222" s="1150" t="n">
        <f aca="false">MAX(FB222-FP222-FW222,0)</f>
        <v>0</v>
      </c>
      <c r="HK222" s="1115" t="n">
        <f aca="false">MAX(FD222-FR222-FX222,0)</f>
        <v>0</v>
      </c>
      <c r="HL222" s="1115" t="n">
        <f aca="false">MAX(FF222-FT222-FY222,0)</f>
        <v>0</v>
      </c>
      <c r="HM222" s="1141" t="n">
        <f aca="false">MAX(FH222-FV222-FZ222,0)</f>
        <v>0</v>
      </c>
      <c r="HN222" s="1115" t="n">
        <f aca="false">SUM(HJ222:HM222)</f>
        <v>0</v>
      </c>
      <c r="HO222" s="1142" t="n">
        <f aca="false">IF(ISERROR(+HP222/HN222),0,+HP222/HN222)</f>
        <v>0</v>
      </c>
      <c r="HP222" s="1143" t="n">
        <f aca="false">(HJ222*CE222+HK222*CF222+HL222*CG222+HM222*CH222)</f>
        <v>0</v>
      </c>
      <c r="HQ222" s="1142"/>
      <c r="HR222" s="1150"/>
      <c r="HS222" s="1200"/>
      <c r="HT222" s="1141"/>
      <c r="HU222" s="1150"/>
      <c r="HV222" s="1200"/>
      <c r="HW222" s="1141"/>
      <c r="HX222" s="1200"/>
      <c r="HY222" s="1200"/>
      <c r="HZ222" s="0"/>
      <c r="IA222" s="1142"/>
      <c r="IB222" s="1142"/>
      <c r="IC222" s="1142"/>
      <c r="ID222" s="1142"/>
      <c r="IE222" s="1142"/>
      <c r="IF222" s="1142"/>
      <c r="IG222" s="1142"/>
      <c r="IH222" s="1142"/>
      <c r="II222" s="1142"/>
      <c r="IJ222" s="1142"/>
      <c r="IK222" s="1142"/>
      <c r="IL222" s="1190"/>
      <c r="IM222" s="222"/>
      <c r="IN222" s="222"/>
      <c r="IR222" s="844"/>
    </row>
    <row r="223" customFormat="false" ht="13.5" hidden="false" customHeight="false" outlineLevel="0" collapsed="false">
      <c r="A223" s="0" t="str">
        <f aca="false">+D223&amp;"Q"&amp;ROUNDUP(E223/3,0)</f>
        <v>2017Q1</v>
      </c>
      <c r="B223" s="0" t="n">
        <f aca="false">YEAR(C223)</f>
        <v>2017</v>
      </c>
      <c r="C223" s="1153" t="n">
        <f aca="false">EOMONTH(C222,0)+1</f>
        <v>42795</v>
      </c>
      <c r="D223" s="841" t="n">
        <f aca="false">+YEAR(C223)</f>
        <v>2017</v>
      </c>
      <c r="E223" s="807" t="n">
        <f aca="false">MONTH(C223)</f>
        <v>3</v>
      </c>
      <c r="F223" s="1154" t="e">
        <f aca="false">IF(G223="","",Holiday(D223,E223))</f>
        <v>#VALUE!</v>
      </c>
      <c r="G223" s="1155" t="n">
        <v>42795</v>
      </c>
      <c r="H223" s="1156" t="n">
        <v>42825</v>
      </c>
      <c r="I223" s="1157" t="n">
        <f aca="false">I222</f>
        <v>0.0715</v>
      </c>
      <c r="J223" s="1158" t="n">
        <f aca="false">(1+I223/2)^(-2*(DATE(D224,E224,20)-$H$7)/365.25)</f>
        <v>0.29562717557459</v>
      </c>
      <c r="K223" s="1159"/>
      <c r="L223" s="1158"/>
      <c r="M223" s="1082" t="n">
        <v>0</v>
      </c>
      <c r="N223" s="1110" t="n">
        <f aca="false">M223</f>
        <v>0</v>
      </c>
      <c r="O223" s="1174" t="n">
        <f aca="false">N223</f>
        <v>0</v>
      </c>
      <c r="P223" s="1175" t="n">
        <f aca="false">M223</f>
        <v>0</v>
      </c>
      <c r="Q223" s="1110" t="n">
        <f aca="false">P223</f>
        <v>0</v>
      </c>
      <c r="R223" s="1174" t="n">
        <f aca="false">Q223</f>
        <v>0</v>
      </c>
      <c r="S223" s="1110" t="n">
        <f aca="false">R223</f>
        <v>0</v>
      </c>
      <c r="T223" s="1110" t="n">
        <f aca="false">S223</f>
        <v>0</v>
      </c>
      <c r="U223" s="1110" t="n">
        <f aca="false">T223</f>
        <v>0</v>
      </c>
      <c r="V223" s="1175" t="n">
        <f aca="false">U223</f>
        <v>0</v>
      </c>
      <c r="W223" s="1110" t="n">
        <f aca="false">V223</f>
        <v>0</v>
      </c>
      <c r="X223" s="1176" t="n">
        <f aca="false">W223</f>
        <v>0</v>
      </c>
      <c r="Y223" s="1086" t="n">
        <v>0</v>
      </c>
      <c r="Z223" s="1086" t="n">
        <v>0</v>
      </c>
      <c r="AA223" s="1087" t="n">
        <v>0</v>
      </c>
      <c r="AB223" s="1086" t="n">
        <v>0</v>
      </c>
      <c r="AC223" s="1086" t="n">
        <v>0</v>
      </c>
      <c r="AD223" s="1087" t="n">
        <v>0</v>
      </c>
      <c r="AE223" s="1086" t="n">
        <v>0</v>
      </c>
      <c r="AF223" s="1086" t="n">
        <v>0</v>
      </c>
      <c r="AG223" s="1087" t="n">
        <v>0</v>
      </c>
      <c r="AH223" s="1086" t="n">
        <v>0</v>
      </c>
      <c r="AI223" s="1086" t="n">
        <v>0</v>
      </c>
      <c r="AJ223" s="1087" t="n">
        <v>0</v>
      </c>
      <c r="AK223" s="1086" t="n">
        <v>0</v>
      </c>
      <c r="AL223" s="1086" t="n">
        <v>0</v>
      </c>
      <c r="AM223" s="1087" t="n">
        <v>0</v>
      </c>
      <c r="AN223" s="1086" t="n">
        <v>0</v>
      </c>
      <c r="AO223" s="1086" t="n">
        <v>0</v>
      </c>
      <c r="AP223" s="1087" t="n">
        <v>0</v>
      </c>
      <c r="AQ223" s="1086" t="n">
        <v>0</v>
      </c>
      <c r="AR223" s="1086" t="n">
        <v>0</v>
      </c>
      <c r="AS223" s="1087" t="n">
        <v>0</v>
      </c>
      <c r="AT223" s="1086" t="n">
        <v>0</v>
      </c>
      <c r="AU223" s="1086" t="n">
        <v>0</v>
      </c>
      <c r="AV223" s="1086" t="n">
        <v>0</v>
      </c>
      <c r="AW223" s="1172" t="n">
        <v>0</v>
      </c>
      <c r="AX223" s="807" t="n">
        <f aca="false">BB223-SUM(AY223:BA223)</f>
        <v>23</v>
      </c>
      <c r="AY223" s="807" t="n">
        <f aca="false">IF(AND($E223=MONTH(Summary!$E$24),$D223=YEAR(Summary!$E$24)),Summary!$E$25,1)*IF(G223="",0,INT((H223-MOD(H223,7)-G223)/7)+1-IF(BA223,IF(WEEKDAY(F223)=7,1,0),0))</f>
        <v>4</v>
      </c>
      <c r="AZ223" s="807" t="n">
        <f aca="false">IF(AND($E223=MONTH(Summary!$E$24),$D223=YEAR(Summary!$E$24)),Summary!$E$25,1)*IF(G223="",0,INT((H223-MOD(H223-1,7)-G223)/7)+1-IF(BA223,IF(WEEKDAY(F223)=1,1,0),0))</f>
        <v>4</v>
      </c>
      <c r="BA223" s="807" t="n">
        <v>0</v>
      </c>
      <c r="BB223" s="807" t="n">
        <f aca="false">IF(AND($E223=MONTH(Summary!$E$24),$D223=YEAR(Summary!$E$24)),Summary!$E$25,1)*IF(G223="",0,H223-G223+1)</f>
        <v>31</v>
      </c>
      <c r="BC223" s="1089" t="n">
        <f aca="false">Summary!$E$19</f>
        <v>0.015</v>
      </c>
      <c r="BD223" s="1090" t="n">
        <v>16311.6</v>
      </c>
      <c r="BE223" s="1091" t="n">
        <v>2836.8</v>
      </c>
      <c r="BF223" s="1091" t="n">
        <v>2836.8</v>
      </c>
      <c r="BG223" s="842"/>
      <c r="BH223" s="1092" t="n">
        <v>1</v>
      </c>
      <c r="BI223" s="1092" t="n">
        <v>1</v>
      </c>
      <c r="BJ223" s="1092" t="n">
        <v>1</v>
      </c>
      <c r="BK223" s="1092" t="n">
        <v>1</v>
      </c>
      <c r="BL223" s="1093" t="n">
        <v>3262.32</v>
      </c>
      <c r="BM223" s="1091" t="n">
        <v>567.36</v>
      </c>
      <c r="BN223" s="1091" t="n">
        <v>567.36</v>
      </c>
      <c r="BO223" s="842"/>
      <c r="BP223" s="1092" t="n">
        <v>1</v>
      </c>
      <c r="BQ223" s="1094" t="n">
        <v>1</v>
      </c>
      <c r="BR223" s="1094" t="n">
        <v>1</v>
      </c>
      <c r="BS223" s="1095" t="n">
        <v>1</v>
      </c>
      <c r="BT223" s="1093" t="n">
        <f aca="false">SUM(BD223:BF223)</f>
        <v>21985.2</v>
      </c>
      <c r="BU223" s="1098" t="n">
        <f aca="false">SUM(BD223:BG223)</f>
        <v>21985.2</v>
      </c>
      <c r="BV223" s="1090" t="n">
        <f aca="false">SUM(BL223:BN223)</f>
        <v>4397.04</v>
      </c>
      <c r="BW223" s="1098" t="n">
        <f aca="false">SUM(BL223:BO223)</f>
        <v>4397.04</v>
      </c>
      <c r="BX223" s="852" t="n">
        <v>17.2101300479124</v>
      </c>
      <c r="BY223" s="1099" t="n">
        <v>0</v>
      </c>
      <c r="BZ223" s="852" t="n">
        <v>0</v>
      </c>
      <c r="CA223" s="852" t="n">
        <v>0</v>
      </c>
      <c r="CB223" s="852" t="n">
        <v>0</v>
      </c>
      <c r="CC223" s="852" t="n">
        <v>0</v>
      </c>
      <c r="CD223" s="852" t="n">
        <v>0</v>
      </c>
      <c r="CE223" s="1100" t="n">
        <v>0</v>
      </c>
      <c r="CF223" s="852" t="n">
        <v>0</v>
      </c>
      <c r="CG223" s="852" t="n">
        <v>0</v>
      </c>
      <c r="CH223" s="852" t="n">
        <v>0</v>
      </c>
      <c r="CI223" s="852" t="n">
        <v>0</v>
      </c>
      <c r="CJ223" s="1101" t="n">
        <v>0</v>
      </c>
      <c r="CK223" s="852" t="n">
        <v>0</v>
      </c>
      <c r="CL223" s="852" t="n">
        <v>0</v>
      </c>
      <c r="CM223" s="852" t="n">
        <v>0</v>
      </c>
      <c r="CN223" s="852" t="n">
        <v>0</v>
      </c>
      <c r="CO223" s="852" t="n">
        <v>0</v>
      </c>
      <c r="CP223" s="852" t="n">
        <v>0</v>
      </c>
      <c r="CQ223" s="1102" t="n">
        <v>0</v>
      </c>
      <c r="CR223" s="1103" t="n">
        <v>0</v>
      </c>
      <c r="CS223" s="1103" t="n">
        <v>0</v>
      </c>
      <c r="CT223" s="1103" t="n">
        <v>0</v>
      </c>
      <c r="CU223" s="1103" t="n">
        <v>0</v>
      </c>
      <c r="CV223" s="1103" t="n">
        <v>0</v>
      </c>
      <c r="CW223" s="1103" t="n">
        <v>0</v>
      </c>
      <c r="CX223" s="1104" t="n">
        <v>0</v>
      </c>
      <c r="CY223" s="1105" t="n">
        <v>7694.4644</v>
      </c>
      <c r="CZ223" s="1099" t="n">
        <v>0</v>
      </c>
      <c r="DA223" s="852" t="n">
        <v>0</v>
      </c>
      <c r="DB223" s="852" t="n">
        <v>0</v>
      </c>
      <c r="DC223" s="852" t="n">
        <v>0</v>
      </c>
      <c r="DD223" s="852" t="n">
        <v>0</v>
      </c>
      <c r="DE223" s="1113" t="n">
        <v>0</v>
      </c>
      <c r="DF223" s="1109" t="n">
        <v>0</v>
      </c>
      <c r="DG223" s="1110" t="n">
        <v>0</v>
      </c>
      <c r="DH223" s="1111" t="n">
        <v>0</v>
      </c>
      <c r="DI223" s="1112" t="n">
        <v>0</v>
      </c>
      <c r="DJ223" s="1112" t="n">
        <v>0</v>
      </c>
      <c r="DK223" s="1112" t="n">
        <v>0</v>
      </c>
      <c r="DL223" s="1113" t="n">
        <v>0</v>
      </c>
      <c r="DM223" s="1114" t="n">
        <v>0</v>
      </c>
      <c r="DN223" s="1114" t="n">
        <v>0</v>
      </c>
      <c r="DO223" s="1114" t="n">
        <v>0</v>
      </c>
      <c r="DP223" s="1114" t="n">
        <v>0</v>
      </c>
      <c r="DQ223" s="1114" t="n">
        <v>0</v>
      </c>
      <c r="DR223" s="1109" t="n">
        <v>0</v>
      </c>
      <c r="DS223" s="852" t="n">
        <v>0</v>
      </c>
      <c r="DT223" s="852" t="n">
        <v>0</v>
      </c>
      <c r="DU223" s="852" t="n">
        <v>0</v>
      </c>
      <c r="DV223" s="852" t="n">
        <v>0</v>
      </c>
      <c r="DW223" s="852" t="n">
        <v>0</v>
      </c>
      <c r="DX223" s="852" t="n">
        <v>0</v>
      </c>
      <c r="DY223" s="852" t="n">
        <v>0</v>
      </c>
      <c r="DZ223" s="852" t="n">
        <v>0</v>
      </c>
      <c r="EA223" s="852" t="n">
        <v>0</v>
      </c>
      <c r="EB223" s="1113" t="n">
        <v>0</v>
      </c>
      <c r="EC223" s="1115" t="n">
        <f aca="false">DS223*BD223</f>
        <v>0</v>
      </c>
      <c r="ED223" s="1115" t="n">
        <f aca="false">DT223*BE223</f>
        <v>0</v>
      </c>
      <c r="EE223" s="1115" t="n">
        <f aca="false">DU223*BF223</f>
        <v>0</v>
      </c>
      <c r="EF223" s="1115" t="n">
        <f aca="false">DV223*BG223</f>
        <v>0</v>
      </c>
      <c r="EG223" s="1115" t="n">
        <f aca="false">DS223*BD223+DT223*BE223+DU223*BF223+DV223*BG223</f>
        <v>0</v>
      </c>
      <c r="EH223" s="1116" t="n">
        <v>0</v>
      </c>
      <c r="EI223" s="1117" t="n">
        <v>0</v>
      </c>
      <c r="EJ223" s="1117" t="n">
        <v>0</v>
      </c>
      <c r="EK223" s="1117" t="n">
        <v>0</v>
      </c>
      <c r="EL223" s="1118" t="n">
        <f aca="false">IF(C223&gt;=Summary!$E$26,MAX(0,SUM(EH223:EK223)),0)</f>
        <v>0</v>
      </c>
      <c r="EM223" s="1115" t="n">
        <f aca="false">IF(C223&gt;=Summary!$E$26,DX223*BL223,0)</f>
        <v>0</v>
      </c>
      <c r="EN223" s="1115" t="n">
        <f aca="false">IF(C223&gt;=Summary!$E$26,DY223*BM223,0)</f>
        <v>0</v>
      </c>
      <c r="EO223" s="1115" t="n">
        <f aca="false">IF(C223&gt;=Summary!$E$26,DZ223*BN223,0)</f>
        <v>0</v>
      </c>
      <c r="EP223" s="1115" t="n">
        <f aca="false">IF(C223&gt;=Summary!$E$26,EA223*BO223,0)</f>
        <v>0</v>
      </c>
      <c r="EQ223" s="1115" t="n">
        <f aca="false">IF(C223&gt;=Summary!$E$26,DX223*BL223+DY223*BM223+DZ223*BN223+EA223*BO223,0)</f>
        <v>0</v>
      </c>
      <c r="ER223" s="1119" t="n">
        <v>0</v>
      </c>
      <c r="ES223" s="1120" t="n">
        <v>0</v>
      </c>
      <c r="ET223" s="1120" t="n">
        <v>0</v>
      </c>
      <c r="EU223" s="1120" t="n">
        <v>0</v>
      </c>
      <c r="EV223" s="1143" t="n">
        <f aca="false">IF(C223&gt;=Summary!$E$26,MAX(0,SUM(ER223:EU223)),0)</f>
        <v>0</v>
      </c>
      <c r="EW223" s="1115"/>
      <c r="EX223" s="1165" t="n">
        <f aca="false">(EQ223-EV223)+IF(EZ223="Yes",(EG223-EL223),0)</f>
        <v>0</v>
      </c>
      <c r="EY223" s="1166" t="str">
        <f aca="false">IF(EX223,EX223/EQ223,"")</f>
        <v/>
      </c>
      <c r="EZ223" s="1122" t="s">
        <v>37</v>
      </c>
      <c r="FA223" s="1096" t="n">
        <f aca="false">FA222</f>
        <v>45</v>
      </c>
      <c r="FB223" s="1167" t="n">
        <f aca="false">IF(EZ223="No",IF((OR(MONTH(C223)=5,MONTH(C223)=6,MONTH(C223)=7,MONTH(C223)=8,MONTH(C223)=9)),$FA223*12*AX223*(1-$BC223),$FA223*10*AX223*(1-$BC223)),0)</f>
        <v>10194.75</v>
      </c>
      <c r="FC223" s="1129" t="n">
        <f aca="false">IF(EZ223="No",IF((OR(MONTH(C223)=5,MONTH(C223)=6,MONTH(C223)=7,MONTH(C223)=8,MONTH(C223)=9)),0,$FA223*3*AX223*(1-$BC223)),0)</f>
        <v>3058.425</v>
      </c>
      <c r="FD223" s="1129" t="n">
        <f aca="false">IF(EZ223="No",IF((OR(MONTH(C223)=5,MONTH(C223)=6,MONTH(C223)=7,MONTH(C223)=8,MONTH(C223)=9)),$FA223*12*AY223*(1-$BC223),$FA223*10*AY223*(1-$BC223)),0)</f>
        <v>1773</v>
      </c>
      <c r="FE223" s="1129" t="n">
        <f aca="false">IF(EZ223="No",IF((OR(MONTH(C223)=5,MONTH(C223)=6,MONTH(C223)=7,MONTH(C223)=8,MONTH(C223)=9)),0,$FA223*3*AY223*(1-$BC223)),0)</f>
        <v>531.9</v>
      </c>
      <c r="FF223" s="1129" t="n">
        <f aca="false">IF(EZ223="No",IF((OR(MONTH(C223)=5,MONTH(C223)=6,MONTH(C223)=7,MONTH(C223)=8,MONTH(C223)=9)),$FA223*12*(AZ223+BA223)*(1-$BC223),$FA223*10*(AZ223+BA223)*(1-$BC223)),0)</f>
        <v>1773</v>
      </c>
      <c r="FG223" s="1129" t="n">
        <f aca="false">IF(EZ223="No",IF((OR(MONTH(C223)=5,MONTH(C223)=6,MONTH(C223)=7,MONTH(C223)=8,MONTH(C223)=9)),0,$FA223*3*(AZ223+BA223)*(1-$BC223)),0)</f>
        <v>531.9</v>
      </c>
      <c r="FH223" s="1170" t="n">
        <f aca="false">IF(EZ223="No",IF((OR(MONTH(C223)=5,MONTH(C223)=6,MONTH(C223)=7,MONTH(C223)=8,MONTH(C223)=9)),Summary!$O$15*12*(AX223+AY223+AZ223+BA223)*(1-$BC223),Summary!$O$15*13*(AX223+AY223+AZ223+BA223)*(1-$BC223)+IF(Summary!$O$16="Yes",(CALC!FA223+Summary!$O$15)*6*(AX223+AY223+AZ223+BA223)*(1-$BC223),0)),0)</f>
        <v>0</v>
      </c>
      <c r="FI223" s="1126" t="n">
        <f aca="false">IF(MONTH(C223)=5,FI222*(IF(Summary!$E$70="no",(1+(Summary!$E$71*0.8)),1+HLOOKUP(YEAR(C223)-1,CCFMODEL!$I$127:$AF$128,2)*0.8)),+FI222)</f>
        <v>39.812819442007</v>
      </c>
      <c r="FJ223" s="1127" t="n">
        <f aca="false">IF(MONTH(C223)=5,FJ222*(IF(Summary!$E$70="no",(1+(Summary!$E$71*0.8)),1+HLOOKUP(YEAR(CALC!C223)-1,CCFMODEL!$I$127:$AF$128,2)*0.8)),FJ222)</f>
        <v>34.7970311658486</v>
      </c>
      <c r="FK223" s="1128" t="n">
        <f aca="false">SUM(FB223:FG223)*FI223+FH223*FJ223</f>
        <v>711175.398372084</v>
      </c>
      <c r="FL223" s="1126" t="n">
        <f aca="false">IF(MONTH(C223)=5,FL222*(IF(Summary!$E$70="no",(1+(Summary!$E$71*0.8)),1+HLOOKUP(YEAR(CALC!C223)-1,CCFMODEL!$I$127:$AF$128,2)*0.8)),+FL222)</f>
        <v>83.7308227409887</v>
      </c>
      <c r="FM223" s="1127" t="n">
        <f aca="false">IF(MONTH(C223)=5,FM222*(IF(Summary!$E$70="no",(1+(Summary!$E$71*0.8)),1+HLOOKUP(YEAR(CALC!C223)-1,CCFMODEL!$I$127:$AF$128,2)*0.8)),+FM222)</f>
        <v>39.9620988549879</v>
      </c>
      <c r="FN223" s="1128" t="n">
        <f aca="false">IF((OR(MONTH(C223)=5,MONTH(C223)=6,MONTH(C223)=7,MONTH(C223)=8,MONTH(C223)=9)),SUM(FB223:FG223)/(1-BC223)*FL223,SUM(FB223:FG223)/(1-BC223)*FM223)</f>
        <v>724712.662735205</v>
      </c>
      <c r="FO223" s="1129" t="n">
        <f aca="false">FK223+FN223</f>
        <v>1435888.06110729</v>
      </c>
      <c r="FP223" s="1169" t="n">
        <f aca="false">FB223</f>
        <v>10194.75</v>
      </c>
      <c r="FQ223" s="1129" t="n">
        <f aca="false">FC223</f>
        <v>3058.425</v>
      </c>
      <c r="FR223" s="1129" t="n">
        <f aca="false">FD223</f>
        <v>1773</v>
      </c>
      <c r="FS223" s="1129" t="n">
        <f aca="false">FE223</f>
        <v>531.9</v>
      </c>
      <c r="FT223" s="1129" t="n">
        <f aca="false">FF223</f>
        <v>1773</v>
      </c>
      <c r="FU223" s="1129" t="n">
        <f aca="false">FG223</f>
        <v>531.9</v>
      </c>
      <c r="FV223" s="1170" t="n">
        <f aca="false">FH223</f>
        <v>0</v>
      </c>
      <c r="FW223" s="1115" t="n">
        <f aca="false">IF(ER223&gt;0,MIN(FB223-FP223,BL223),0)</f>
        <v>0</v>
      </c>
      <c r="FX223" s="1115" t="n">
        <f aca="false">IF(ES223&gt;0,MIN(FD223-FR223,BM223),0)</f>
        <v>0</v>
      </c>
      <c r="FY223" s="1115" t="n">
        <f aca="false">IF(ET223&gt;0,MIN(FF223-FT223,BN223),0)</f>
        <v>0</v>
      </c>
      <c r="FZ223" s="1143" t="n">
        <f aca="false">IF(EU223&gt;0,MIN(FH223-FV223,BO223),0)</f>
        <v>0</v>
      </c>
      <c r="GA223" s="1132" t="n">
        <f aca="false">(SUM(FP223:FV223)+SUM(GU223:HB223)/(1-Summary!$O$25))*CY223/1000</f>
        <v>234715.519983546</v>
      </c>
      <c r="GB223" s="1133" t="n">
        <f aca="false">IF($C223&lt;Summary!$M$81,+Summary!$O$81,VLOOKUP(C223,GasTable,19))</f>
        <v>3.55842385804724</v>
      </c>
      <c r="GC223" s="1134" t="n">
        <f aca="false">IF(H223&lt;=Summary!$N$84,MIN(GA223,Summary!$O$75*(H223-G223+1)),0)</f>
        <v>0</v>
      </c>
      <c r="GD223" s="1135" t="n">
        <f aca="false">IF(C223&lt;Summary!$N$84,IF(Summary!$O$75*(H223-G223+1)*0.8&gt;GC223,1,0),0)</f>
        <v>0</v>
      </c>
      <c r="GE223" s="1136" t="n">
        <v>0</v>
      </c>
      <c r="GF223" s="1134" t="n">
        <f aca="false">ABS(MIN(0,GC223-$GA223))</f>
        <v>234715.519983546</v>
      </c>
      <c r="GG223" s="1135" t="n">
        <f aca="false">GF223*(IF(Summary!$O$74=1,VLOOKUP($C223,GasTable,16)+Summary!$O$92+Summary!$O$93,VLOOKUP($C223,GasTable,19)+Summary!$O$92+Summary!$O$93))</f>
        <v>847445.984754556</v>
      </c>
      <c r="GH223" s="1137" t="n">
        <v>5515.55697997322</v>
      </c>
      <c r="GI223" s="1138" t="n">
        <v>0</v>
      </c>
      <c r="GJ223" s="1139" t="n">
        <f aca="false">+GB223*GC223+GE223+GG223+GH223-GI223</f>
        <v>852961.54173453</v>
      </c>
      <c r="GK223" s="1115" t="n">
        <f aca="false">SUM(FP223:FV223,GU223:GX223,GY223:HB223)</f>
        <v>30062.01285</v>
      </c>
      <c r="GL223" s="1140" t="n">
        <v>0.5155291148</v>
      </c>
      <c r="GM223" s="1141" t="n">
        <f aca="false">IF(GK223&gt;GC223/(CY223/1000),GC223/(CY223/1000),+GK223)*GL223</f>
        <v>0</v>
      </c>
      <c r="GN223" s="1115" t="n">
        <f aca="false">IF(SUM(GU223:HB223)=0,0,IF(Summary!$O$16="Yes",SUM(GX223:HB223),IF(Summary!$O$17="Yes",SUM(GY223:HB223),SUM(GU223:HB223))))</f>
        <v>12199.03785</v>
      </c>
      <c r="GO223" s="1142" t="n">
        <v>3.93299316702503</v>
      </c>
      <c r="GP223" s="1143" t="n">
        <f aca="false">GN223*GO223</f>
        <v>47978.7325083298</v>
      </c>
      <c r="GQ223" s="1115"/>
      <c r="GR223" s="1115"/>
      <c r="GS223" s="1115"/>
      <c r="GT223" s="1115"/>
      <c r="GU223" s="1150" t="n">
        <v>5902.76025</v>
      </c>
      <c r="GV223" s="1115" t="n">
        <v>1026.567</v>
      </c>
      <c r="GW223" s="1115" t="n">
        <v>1026.567</v>
      </c>
      <c r="GX223" s="1115"/>
      <c r="GY223" s="1151" t="n">
        <v>3148.1388</v>
      </c>
      <c r="GZ223" s="1115" t="n">
        <v>547.5024</v>
      </c>
      <c r="HA223" s="1115" t="n">
        <v>547.5024</v>
      </c>
      <c r="HB223" s="1141"/>
      <c r="HC223" s="1115" t="n">
        <v>12199.03785</v>
      </c>
      <c r="HD223" s="1115"/>
      <c r="HE223" s="1115" t="n">
        <v>20950.521525</v>
      </c>
      <c r="HF223" s="1115" t="n">
        <v>514022.524771553</v>
      </c>
      <c r="HG223" s="1115"/>
      <c r="HH223" s="1142" t="n">
        <v>41.4448426753478</v>
      </c>
      <c r="HI223" s="1115" t="n">
        <v>868291.068570113</v>
      </c>
      <c r="HJ223" s="1150" t="n">
        <f aca="false">MAX(FB223-FP223-FW223,0)</f>
        <v>0</v>
      </c>
      <c r="HK223" s="1115" t="n">
        <f aca="false">MAX(FD223-FR223-FX223,0)</f>
        <v>0</v>
      </c>
      <c r="HL223" s="1115" t="n">
        <f aca="false">MAX(FF223-FT223-FY223,0)</f>
        <v>0</v>
      </c>
      <c r="HM223" s="1141" t="n">
        <f aca="false">MAX(FH223-FV223-FZ223,0)</f>
        <v>0</v>
      </c>
      <c r="HN223" s="1115" t="n">
        <f aca="false">SUM(HJ223:HM223)</f>
        <v>0</v>
      </c>
      <c r="HO223" s="1142" t="n">
        <f aca="false">IF(ISERROR(+HP223/HN223),0,+HP223/HN223)</f>
        <v>0</v>
      </c>
      <c r="HP223" s="1143" t="n">
        <f aca="false">(HJ223*CE223+HK223*CF223+HL223*CG223+HM223*CH223)</f>
        <v>0</v>
      </c>
      <c r="HQ223" s="1142"/>
      <c r="HR223" s="1150"/>
      <c r="HS223" s="1200"/>
      <c r="HT223" s="1141"/>
      <c r="HU223" s="1150"/>
      <c r="HV223" s="1200"/>
      <c r="HW223" s="1141"/>
      <c r="HX223" s="1200"/>
      <c r="HY223" s="1200"/>
      <c r="HZ223" s="0"/>
      <c r="IA223" s="1142"/>
      <c r="IB223" s="1142"/>
      <c r="IC223" s="1142"/>
      <c r="ID223" s="1142"/>
      <c r="IE223" s="1142"/>
      <c r="IF223" s="1142"/>
      <c r="IG223" s="1142"/>
      <c r="IH223" s="1142"/>
      <c r="II223" s="1142"/>
      <c r="IJ223" s="1142"/>
      <c r="IK223" s="1142"/>
      <c r="IL223" s="1190"/>
      <c r="IM223" s="222"/>
      <c r="IN223" s="222"/>
      <c r="IR223" s="844"/>
    </row>
    <row r="224" customFormat="false" ht="13.5" hidden="false" customHeight="false" outlineLevel="0" collapsed="false">
      <c r="A224" s="0" t="str">
        <f aca="false">+D224&amp;"Q"&amp;ROUNDUP(E224/3,0)</f>
        <v>2017Q2</v>
      </c>
      <c r="B224" s="0" t="n">
        <f aca="false">YEAR(C224)</f>
        <v>2017</v>
      </c>
      <c r="C224" s="1153" t="n">
        <f aca="false">EOMONTH(C223,0)+1</f>
        <v>42826</v>
      </c>
      <c r="D224" s="841" t="n">
        <f aca="false">+YEAR(C224)</f>
        <v>2017</v>
      </c>
      <c r="E224" s="807" t="n">
        <f aca="false">MONTH(C224)</f>
        <v>4</v>
      </c>
      <c r="F224" s="1154" t="e">
        <f aca="false">IF(G224="","",Holiday(D224,E224))</f>
        <v>#VALUE!</v>
      </c>
      <c r="G224" s="1155" t="n">
        <v>42826</v>
      </c>
      <c r="H224" s="1156" t="n">
        <v>42855</v>
      </c>
      <c r="I224" s="1157" t="n">
        <f aca="false">I223</f>
        <v>0.0715</v>
      </c>
      <c r="J224" s="1158" t="n">
        <f aca="false">(1+I224/2)^(-2*(DATE(D225,E225,20)-$H$7)/365.25)</f>
        <v>0.293926273705471</v>
      </c>
      <c r="K224" s="1159"/>
      <c r="L224" s="1158"/>
      <c r="M224" s="1082" t="n">
        <v>0</v>
      </c>
      <c r="N224" s="1110" t="n">
        <f aca="false">M224</f>
        <v>0</v>
      </c>
      <c r="O224" s="1174" t="n">
        <f aca="false">N224</f>
        <v>0</v>
      </c>
      <c r="P224" s="1175" t="n">
        <f aca="false">M224</f>
        <v>0</v>
      </c>
      <c r="Q224" s="1110" t="n">
        <f aca="false">P224</f>
        <v>0</v>
      </c>
      <c r="R224" s="1174" t="n">
        <f aca="false">Q224</f>
        <v>0</v>
      </c>
      <c r="S224" s="1110" t="n">
        <f aca="false">R224</f>
        <v>0</v>
      </c>
      <c r="T224" s="1110" t="n">
        <f aca="false">S224</f>
        <v>0</v>
      </c>
      <c r="U224" s="1110" t="n">
        <f aca="false">T224</f>
        <v>0</v>
      </c>
      <c r="V224" s="1175" t="n">
        <f aca="false">U224</f>
        <v>0</v>
      </c>
      <c r="W224" s="1110" t="n">
        <f aca="false">V224</f>
        <v>0</v>
      </c>
      <c r="X224" s="1176" t="n">
        <f aca="false">W224</f>
        <v>0</v>
      </c>
      <c r="Y224" s="1086" t="n">
        <v>0</v>
      </c>
      <c r="Z224" s="1086" t="n">
        <v>0</v>
      </c>
      <c r="AA224" s="1087" t="n">
        <v>0</v>
      </c>
      <c r="AB224" s="1086" t="n">
        <v>0</v>
      </c>
      <c r="AC224" s="1086" t="n">
        <v>0</v>
      </c>
      <c r="AD224" s="1087" t="n">
        <v>0</v>
      </c>
      <c r="AE224" s="1086" t="n">
        <v>0</v>
      </c>
      <c r="AF224" s="1086" t="n">
        <v>0</v>
      </c>
      <c r="AG224" s="1087" t="n">
        <v>0</v>
      </c>
      <c r="AH224" s="1086" t="n">
        <v>0</v>
      </c>
      <c r="AI224" s="1086" t="n">
        <v>0</v>
      </c>
      <c r="AJ224" s="1087" t="n">
        <v>0</v>
      </c>
      <c r="AK224" s="1086" t="n">
        <v>0</v>
      </c>
      <c r="AL224" s="1086" t="n">
        <v>0</v>
      </c>
      <c r="AM224" s="1087" t="n">
        <v>0</v>
      </c>
      <c r="AN224" s="1086" t="n">
        <v>0</v>
      </c>
      <c r="AO224" s="1086" t="n">
        <v>0</v>
      </c>
      <c r="AP224" s="1087" t="n">
        <v>0</v>
      </c>
      <c r="AQ224" s="1086" t="n">
        <v>0</v>
      </c>
      <c r="AR224" s="1086" t="n">
        <v>0</v>
      </c>
      <c r="AS224" s="1087" t="n">
        <v>0</v>
      </c>
      <c r="AT224" s="1086" t="n">
        <v>0</v>
      </c>
      <c r="AU224" s="1086" t="n">
        <v>0</v>
      </c>
      <c r="AV224" s="1086" t="n">
        <v>0</v>
      </c>
      <c r="AW224" s="1172" t="n">
        <v>0</v>
      </c>
      <c r="AX224" s="807" t="n">
        <f aca="false">BB224-SUM(AY224:BA224)</f>
        <v>20</v>
      </c>
      <c r="AY224" s="807" t="n">
        <f aca="false">IF(AND($E224=MONTH(Summary!$E$24),$D224=YEAR(Summary!$E$24)),Summary!$E$25,1)*IF(G224="",0,INT((H224-MOD(H224,7)-G224)/7)+1-IF(BA224,IF(WEEKDAY(F224)=7,1,0),0))</f>
        <v>5</v>
      </c>
      <c r="AZ224" s="807" t="n">
        <f aca="false">IF(AND($E224=MONTH(Summary!$E$24),$D224=YEAR(Summary!$E$24)),Summary!$E$25,1)*IF(G224="",0,INT((H224-MOD(H224-1,7)-G224)/7)+1-IF(BA224,IF(WEEKDAY(F224)=1,1,0),0))</f>
        <v>5</v>
      </c>
      <c r="BA224" s="807" t="n">
        <v>0</v>
      </c>
      <c r="BB224" s="807" t="n">
        <f aca="false">IF(AND($E224=MONTH(Summary!$E$24),$D224=YEAR(Summary!$E$24)),Summary!$E$25,1)*IF(G224="",0,H224-G224+1)</f>
        <v>30</v>
      </c>
      <c r="BC224" s="1089" t="n">
        <f aca="false">Summary!$E$19</f>
        <v>0.015</v>
      </c>
      <c r="BD224" s="1090" t="n">
        <v>14184</v>
      </c>
      <c r="BE224" s="1091" t="n">
        <v>3546</v>
      </c>
      <c r="BF224" s="1091" t="n">
        <v>3546</v>
      </c>
      <c r="BG224" s="842"/>
      <c r="BH224" s="1092" t="n">
        <v>1</v>
      </c>
      <c r="BI224" s="1092" t="n">
        <v>1</v>
      </c>
      <c r="BJ224" s="1092" t="n">
        <v>1</v>
      </c>
      <c r="BK224" s="1092" t="n">
        <v>1</v>
      </c>
      <c r="BL224" s="1093" t="n">
        <v>2836.8</v>
      </c>
      <c r="BM224" s="1091" t="n">
        <v>709.2</v>
      </c>
      <c r="BN224" s="1091" t="n">
        <v>709.2</v>
      </c>
      <c r="BO224" s="842"/>
      <c r="BP224" s="1092" t="n">
        <v>1</v>
      </c>
      <c r="BQ224" s="1094" t="n">
        <v>1</v>
      </c>
      <c r="BR224" s="1094" t="n">
        <v>1</v>
      </c>
      <c r="BS224" s="1095" t="n">
        <v>1</v>
      </c>
      <c r="BT224" s="1093" t="n">
        <f aca="false">SUM(BD224:BF224)</f>
        <v>21276</v>
      </c>
      <c r="BU224" s="1098" t="n">
        <f aca="false">SUM(BD224:BG224)</f>
        <v>21276</v>
      </c>
      <c r="BV224" s="1090" t="n">
        <f aca="false">SUM(BL224:BN224)</f>
        <v>4255.2</v>
      </c>
      <c r="BW224" s="1098" t="n">
        <f aca="false">SUM(BL224:BO224)</f>
        <v>4255.2</v>
      </c>
      <c r="BX224" s="852" t="n">
        <v>17.2950034223135</v>
      </c>
      <c r="BY224" s="1099" t="n">
        <v>0</v>
      </c>
      <c r="BZ224" s="852" t="n">
        <v>0</v>
      </c>
      <c r="CA224" s="852" t="n">
        <v>0</v>
      </c>
      <c r="CB224" s="852" t="n">
        <v>0</v>
      </c>
      <c r="CC224" s="852" t="n">
        <v>0</v>
      </c>
      <c r="CD224" s="852" t="n">
        <v>0</v>
      </c>
      <c r="CE224" s="1100" t="n">
        <v>0</v>
      </c>
      <c r="CF224" s="852" t="n">
        <v>0</v>
      </c>
      <c r="CG224" s="852" t="n">
        <v>0</v>
      </c>
      <c r="CH224" s="852" t="n">
        <v>0</v>
      </c>
      <c r="CI224" s="852" t="n">
        <v>0</v>
      </c>
      <c r="CJ224" s="1101" t="n">
        <v>0</v>
      </c>
      <c r="CK224" s="852" t="n">
        <v>0</v>
      </c>
      <c r="CL224" s="852" t="n">
        <v>0</v>
      </c>
      <c r="CM224" s="852" t="n">
        <v>0</v>
      </c>
      <c r="CN224" s="852" t="n">
        <v>0</v>
      </c>
      <c r="CO224" s="852" t="n">
        <v>0</v>
      </c>
      <c r="CP224" s="852" t="n">
        <v>0</v>
      </c>
      <c r="CQ224" s="1102" t="n">
        <v>0</v>
      </c>
      <c r="CR224" s="1103" t="n">
        <v>0</v>
      </c>
      <c r="CS224" s="1103" t="n">
        <v>0</v>
      </c>
      <c r="CT224" s="1103" t="n">
        <v>0</v>
      </c>
      <c r="CU224" s="1103" t="n">
        <v>0</v>
      </c>
      <c r="CV224" s="1103" t="n">
        <v>0</v>
      </c>
      <c r="CW224" s="1103" t="n">
        <v>0</v>
      </c>
      <c r="CX224" s="1104" t="n">
        <v>0</v>
      </c>
      <c r="CY224" s="1105" t="n">
        <v>7696.49536</v>
      </c>
      <c r="CZ224" s="1099" t="n">
        <v>0</v>
      </c>
      <c r="DA224" s="852" t="n">
        <v>0</v>
      </c>
      <c r="DB224" s="852" t="n">
        <v>0</v>
      </c>
      <c r="DC224" s="852" t="n">
        <v>0</v>
      </c>
      <c r="DD224" s="852" t="n">
        <v>0</v>
      </c>
      <c r="DE224" s="1113" t="n">
        <v>0</v>
      </c>
      <c r="DF224" s="1109" t="n">
        <v>0</v>
      </c>
      <c r="DG224" s="1110" t="n">
        <v>0</v>
      </c>
      <c r="DH224" s="1111" t="n">
        <v>0</v>
      </c>
      <c r="DI224" s="1112" t="n">
        <v>0</v>
      </c>
      <c r="DJ224" s="1112" t="n">
        <v>0</v>
      </c>
      <c r="DK224" s="1112" t="n">
        <v>0</v>
      </c>
      <c r="DL224" s="1113" t="n">
        <v>0</v>
      </c>
      <c r="DM224" s="1114" t="n">
        <v>0</v>
      </c>
      <c r="DN224" s="1114" t="n">
        <v>0</v>
      </c>
      <c r="DO224" s="1114" t="n">
        <v>0</v>
      </c>
      <c r="DP224" s="1114" t="n">
        <v>0</v>
      </c>
      <c r="DQ224" s="1114" t="n">
        <v>0</v>
      </c>
      <c r="DR224" s="1109" t="n">
        <v>0</v>
      </c>
      <c r="DS224" s="852" t="n">
        <v>0</v>
      </c>
      <c r="DT224" s="852" t="n">
        <v>0</v>
      </c>
      <c r="DU224" s="852" t="n">
        <v>0</v>
      </c>
      <c r="DV224" s="852" t="n">
        <v>0</v>
      </c>
      <c r="DW224" s="852" t="n">
        <v>0</v>
      </c>
      <c r="DX224" s="852" t="n">
        <v>0</v>
      </c>
      <c r="DY224" s="852" t="n">
        <v>0</v>
      </c>
      <c r="DZ224" s="852" t="n">
        <v>0</v>
      </c>
      <c r="EA224" s="852" t="n">
        <v>0</v>
      </c>
      <c r="EB224" s="1113" t="n">
        <v>0</v>
      </c>
      <c r="EC224" s="1115" t="n">
        <f aca="false">DS224*BD224</f>
        <v>0</v>
      </c>
      <c r="ED224" s="1115" t="n">
        <f aca="false">DT224*BE224</f>
        <v>0</v>
      </c>
      <c r="EE224" s="1115" t="n">
        <f aca="false">DU224*BF224</f>
        <v>0</v>
      </c>
      <c r="EF224" s="1115" t="n">
        <f aca="false">DV224*BG224</f>
        <v>0</v>
      </c>
      <c r="EG224" s="1115" t="n">
        <f aca="false">DS224*BD224+DT224*BE224+DU224*BF224+DV224*BG224</f>
        <v>0</v>
      </c>
      <c r="EH224" s="1116" t="n">
        <v>0</v>
      </c>
      <c r="EI224" s="1117" t="n">
        <v>0</v>
      </c>
      <c r="EJ224" s="1117" t="n">
        <v>0</v>
      </c>
      <c r="EK224" s="1117" t="n">
        <v>0</v>
      </c>
      <c r="EL224" s="1118" t="n">
        <f aca="false">IF(C224&gt;=Summary!$E$26,MAX(0,SUM(EH224:EK224)),0)</f>
        <v>0</v>
      </c>
      <c r="EM224" s="1115" t="n">
        <f aca="false">IF(C224&gt;=Summary!$E$26,DX224*BL224,0)</f>
        <v>0</v>
      </c>
      <c r="EN224" s="1115" t="n">
        <f aca="false">IF(C224&gt;=Summary!$E$26,DY224*BM224,0)</f>
        <v>0</v>
      </c>
      <c r="EO224" s="1115" t="n">
        <f aca="false">IF(C224&gt;=Summary!$E$26,DZ224*BN224,0)</f>
        <v>0</v>
      </c>
      <c r="EP224" s="1115" t="n">
        <f aca="false">IF(C224&gt;=Summary!$E$26,EA224*BO224,0)</f>
        <v>0</v>
      </c>
      <c r="EQ224" s="1115" t="n">
        <f aca="false">IF(C224&gt;=Summary!$E$26,DX224*BL224+DY224*BM224+DZ224*BN224+EA224*BO224,0)</f>
        <v>0</v>
      </c>
      <c r="ER224" s="1119" t="n">
        <v>0</v>
      </c>
      <c r="ES224" s="1120" t="n">
        <v>0</v>
      </c>
      <c r="ET224" s="1120" t="n">
        <v>0</v>
      </c>
      <c r="EU224" s="1120" t="n">
        <v>0</v>
      </c>
      <c r="EV224" s="1143" t="n">
        <f aca="false">IF(C224&gt;=Summary!$E$26,MAX(0,SUM(ER224:EU224)),0)</f>
        <v>0</v>
      </c>
      <c r="EW224" s="1115"/>
      <c r="EX224" s="1165" t="n">
        <f aca="false">(EQ224-EV224)+IF(EZ224="Yes",(EG224-EL224),0)</f>
        <v>0</v>
      </c>
      <c r="EY224" s="1166" t="str">
        <f aca="false">IF(EX224,EX224/EQ224,"")</f>
        <v/>
      </c>
      <c r="EZ224" s="1122" t="s">
        <v>37</v>
      </c>
      <c r="FA224" s="1096" t="n">
        <f aca="false">FA223</f>
        <v>45</v>
      </c>
      <c r="FB224" s="1167" t="n">
        <f aca="false">IF(EZ224="No",IF((OR(MONTH(C224)=5,MONTH(C224)=6,MONTH(C224)=7,MONTH(C224)=8,MONTH(C224)=9)),$FA224*12*AX224*(1-$BC224),$FA224*10*AX224*(1-$BC224)),0)</f>
        <v>8865</v>
      </c>
      <c r="FC224" s="1129" t="n">
        <f aca="false">IF(EZ224="No",IF((OR(MONTH(C224)=5,MONTH(C224)=6,MONTH(C224)=7,MONTH(C224)=8,MONTH(C224)=9)),0,$FA224*3*AX224*(1-$BC224)),0)</f>
        <v>2659.5</v>
      </c>
      <c r="FD224" s="1129" t="n">
        <f aca="false">IF(EZ224="No",IF((OR(MONTH(C224)=5,MONTH(C224)=6,MONTH(C224)=7,MONTH(C224)=8,MONTH(C224)=9)),$FA224*12*AY224*(1-$BC224),$FA224*10*AY224*(1-$BC224)),0)</f>
        <v>2216.25</v>
      </c>
      <c r="FE224" s="1129" t="n">
        <f aca="false">IF(EZ224="No",IF((OR(MONTH(C224)=5,MONTH(C224)=6,MONTH(C224)=7,MONTH(C224)=8,MONTH(C224)=9)),0,$FA224*3*AY224*(1-$BC224)),0)</f>
        <v>664.875</v>
      </c>
      <c r="FF224" s="1129" t="n">
        <f aca="false">IF(EZ224="No",IF((OR(MONTH(C224)=5,MONTH(C224)=6,MONTH(C224)=7,MONTH(C224)=8,MONTH(C224)=9)),$FA224*12*(AZ224+BA224)*(1-$BC224),$FA224*10*(AZ224+BA224)*(1-$BC224)),0)</f>
        <v>2216.25</v>
      </c>
      <c r="FG224" s="1129" t="n">
        <f aca="false">IF(EZ224="No",IF((OR(MONTH(C224)=5,MONTH(C224)=6,MONTH(C224)=7,MONTH(C224)=8,MONTH(C224)=9)),0,$FA224*3*(AZ224+BA224)*(1-$BC224)),0)</f>
        <v>664.875</v>
      </c>
      <c r="FH224" s="1170" t="n">
        <f aca="false">IF(EZ224="No",IF((OR(MONTH(C224)=5,MONTH(C224)=6,MONTH(C224)=7,MONTH(C224)=8,MONTH(C224)=9)),Summary!$O$15*12*(AX224+AY224+AZ224+BA224)*(1-$BC224),Summary!$O$15*13*(AX224+AY224+AZ224+BA224)*(1-$BC224)+IF(Summary!$O$16="Yes",(CALC!FA224+Summary!$O$15)*6*(AX224+AY224+AZ224+BA224)*(1-$BC224),0)),0)</f>
        <v>0</v>
      </c>
      <c r="FI224" s="1126" t="n">
        <f aca="false">IF(MONTH(C224)=5,FI223*(IF(Summary!$E$70="no",(1+(Summary!$E$71*0.8)),1+HLOOKUP(YEAR(C224)-1,CCFMODEL!$I$127:$AF$128,2)*0.8)),+FI223)</f>
        <v>39.812819442007</v>
      </c>
      <c r="FJ224" s="1127" t="n">
        <f aca="false">IF(MONTH(C224)=5,FJ223*(IF(Summary!$E$70="no",(1+(Summary!$E$71*0.8)),1+HLOOKUP(YEAR(CALC!C224)-1,CCFMODEL!$I$127:$AF$128,2)*0.8)),FJ223)</f>
        <v>34.7970311658486</v>
      </c>
      <c r="FK224" s="1128" t="n">
        <f aca="false">SUM(FB224:FG224)*FI224+FH224*FJ224</f>
        <v>688234.256489114</v>
      </c>
      <c r="FL224" s="1126" t="n">
        <f aca="false">IF(MONTH(C224)=5,FL223*(IF(Summary!$E$70="no",(1+(Summary!$E$71*0.8)),1+HLOOKUP(YEAR(CALC!C224)-1,CCFMODEL!$I$127:$AF$128,2)*0.8)),+FL223)</f>
        <v>83.7308227409887</v>
      </c>
      <c r="FM224" s="1127" t="n">
        <f aca="false">IF(MONTH(C224)=5,FM223*(IF(Summary!$E$70="no",(1+(Summary!$E$71*0.8)),1+HLOOKUP(YEAR(CALC!C224)-1,CCFMODEL!$I$127:$AF$128,2)*0.8)),+FM223)</f>
        <v>39.9620988549879</v>
      </c>
      <c r="FN224" s="1128" t="n">
        <f aca="false">IF((OR(MONTH(C224)=5,MONTH(C224)=6,MONTH(C224)=7,MONTH(C224)=8,MONTH(C224)=9)),SUM(FB224:FG224)/(1-BC224)*FL224,SUM(FB224:FG224)/(1-BC224)*FM224)</f>
        <v>701334.834905037</v>
      </c>
      <c r="FO224" s="1129" t="n">
        <f aca="false">FK224+FN224</f>
        <v>1389569.09139415</v>
      </c>
      <c r="FP224" s="1169" t="n">
        <f aca="false">FB224</f>
        <v>8865</v>
      </c>
      <c r="FQ224" s="1129" t="n">
        <f aca="false">FC224</f>
        <v>2659.5</v>
      </c>
      <c r="FR224" s="1129" t="n">
        <f aca="false">FD224</f>
        <v>2216.25</v>
      </c>
      <c r="FS224" s="1129" t="n">
        <f aca="false">FE224</f>
        <v>664.875</v>
      </c>
      <c r="FT224" s="1129" t="n">
        <f aca="false">FF224</f>
        <v>2216.25</v>
      </c>
      <c r="FU224" s="1129" t="n">
        <f aca="false">FG224</f>
        <v>664.875</v>
      </c>
      <c r="FV224" s="1170" t="n">
        <f aca="false">FH224</f>
        <v>0</v>
      </c>
      <c r="FW224" s="1115" t="n">
        <f aca="false">IF(ER224&gt;0,MIN(FB224-FP224,BL224),0)</f>
        <v>0</v>
      </c>
      <c r="FX224" s="1115" t="n">
        <f aca="false">IF(ES224&gt;0,MIN(FD224-FR224,BM224),0)</f>
        <v>0</v>
      </c>
      <c r="FY224" s="1115" t="n">
        <f aca="false">IF(ET224&gt;0,MIN(FF224-FT224,BN224),0)</f>
        <v>0</v>
      </c>
      <c r="FZ224" s="1143" t="n">
        <f aca="false">IF(EU224&gt;0,MIN(FH224-FV224,BO224),0)</f>
        <v>0</v>
      </c>
      <c r="GA224" s="1132" t="n">
        <f aca="false">(SUM(FP224:FV224)+SUM(GU224:HB224)/(1-Summary!$O$25))*CY224/1000</f>
        <v>227204.006450112</v>
      </c>
      <c r="GB224" s="1133" t="n">
        <f aca="false">IF($C224&lt;Summary!$M$81,+Summary!$O$81,VLOOKUP(C224,GasTable,19))</f>
        <v>3.45166860204537</v>
      </c>
      <c r="GC224" s="1134" t="n">
        <f aca="false">IF(H224&lt;=Summary!$N$84,MIN(GA224,Summary!$O$75*(H224-G224+1)),0)</f>
        <v>0</v>
      </c>
      <c r="GD224" s="1135" t="n">
        <f aca="false">IF(C224&lt;Summary!$N$84,IF(Summary!$O$75*(H224-G224+1)*0.8&gt;GC224,1,0),0)</f>
        <v>0</v>
      </c>
      <c r="GE224" s="1136" t="n">
        <v>0</v>
      </c>
      <c r="GF224" s="1134" t="n">
        <f aca="false">ABS(MIN(0,GC224-$GA224))</f>
        <v>227204.006450112</v>
      </c>
      <c r="GG224" s="1135" t="n">
        <f aca="false">GF224*(IF(Summary!$O$74=1,VLOOKUP($C224,GasTable,16)+Summary!$O$92+Summary!$O$93,VLOOKUP($C224,GasTable,19)+Summary!$O$92+Summary!$O$93))</f>
        <v>796070.264058816</v>
      </c>
      <c r="GH224" s="1137" t="n">
        <v>5177.50290306805</v>
      </c>
      <c r="GI224" s="1138" t="n">
        <v>0</v>
      </c>
      <c r="GJ224" s="1139" t="n">
        <f aca="false">+GB224*GC224+GE224+GG224+GH224-GI224</f>
        <v>801247.766961884</v>
      </c>
      <c r="GK224" s="1115" t="n">
        <f aca="false">SUM(FP224:FV224,GU224:GX224,GY224:HB224)</f>
        <v>29092.2705</v>
      </c>
      <c r="GL224" s="1140" t="n">
        <v>0.51566518912</v>
      </c>
      <c r="GM224" s="1141" t="n">
        <f aca="false">IF(GK224&gt;GC224/(CY224/1000),GC224/(CY224/1000),+GK224)*GL224</f>
        <v>0</v>
      </c>
      <c r="GN224" s="1115" t="n">
        <f aca="false">IF(SUM(GU224:HB224)=0,0,IF(Summary!$O$16="Yes",SUM(GX224:HB224),IF(Summary!$O$17="Yes",SUM(GY224:HB224),SUM(GU224:HB224))))</f>
        <v>11805.5205</v>
      </c>
      <c r="GO224" s="1142" t="n">
        <v>3.93299316702503</v>
      </c>
      <c r="GP224" s="1143" t="n">
        <f aca="false">GN224*GO224</f>
        <v>46431.031459674</v>
      </c>
      <c r="GQ224" s="1115"/>
      <c r="GR224" s="1115"/>
      <c r="GS224" s="1115"/>
      <c r="GT224" s="1115"/>
      <c r="GU224" s="1150" t="n">
        <v>5132.835</v>
      </c>
      <c r="GV224" s="1115" t="n">
        <v>1283.20875</v>
      </c>
      <c r="GW224" s="1115" t="n">
        <v>1283.20875</v>
      </c>
      <c r="GX224" s="1115"/>
      <c r="GY224" s="1151" t="n">
        <v>2737.512</v>
      </c>
      <c r="GZ224" s="1115" t="n">
        <v>684.378</v>
      </c>
      <c r="HA224" s="1115" t="n">
        <v>684.378</v>
      </c>
      <c r="HB224" s="1141"/>
      <c r="HC224" s="1115" t="n">
        <v>11805.5205</v>
      </c>
      <c r="HD224" s="1115"/>
      <c r="HE224" s="1115" t="n">
        <v>20274.69825</v>
      </c>
      <c r="HF224" s="1115" t="n">
        <v>507405.3807624</v>
      </c>
      <c r="HG224" s="1115"/>
      <c r="HH224" s="1142" t="n">
        <v>42.2037095456834</v>
      </c>
      <c r="HI224" s="1115" t="n">
        <v>855667.476069376</v>
      </c>
      <c r="HJ224" s="1150" t="n">
        <f aca="false">MAX(FB224-FP224-FW224,0)</f>
        <v>0</v>
      </c>
      <c r="HK224" s="1115" t="n">
        <f aca="false">MAX(FD224-FR224-FX224,0)</f>
        <v>0</v>
      </c>
      <c r="HL224" s="1115" t="n">
        <f aca="false">MAX(FF224-FT224-FY224,0)</f>
        <v>0</v>
      </c>
      <c r="HM224" s="1141" t="n">
        <f aca="false">MAX(FH224-FV224-FZ224,0)</f>
        <v>0</v>
      </c>
      <c r="HN224" s="1115" t="n">
        <f aca="false">SUM(HJ224:HM224)</f>
        <v>0</v>
      </c>
      <c r="HO224" s="1142" t="n">
        <f aca="false">IF(ISERROR(+HP224/HN224),0,+HP224/HN224)</f>
        <v>0</v>
      </c>
      <c r="HP224" s="1143" t="n">
        <f aca="false">(HJ224*CE224+HK224*CF224+HL224*CG224+HM224*CH224)</f>
        <v>0</v>
      </c>
      <c r="HQ224" s="1142"/>
      <c r="HR224" s="1150"/>
      <c r="HS224" s="1200"/>
      <c r="HT224" s="1141"/>
      <c r="HU224" s="1150"/>
      <c r="HV224" s="1200"/>
      <c r="HW224" s="1141"/>
      <c r="HX224" s="1200"/>
      <c r="HY224" s="1200"/>
      <c r="HZ224" s="0"/>
      <c r="IA224" s="1142"/>
      <c r="IB224" s="1142"/>
      <c r="IC224" s="1142"/>
      <c r="ID224" s="1142"/>
      <c r="IE224" s="1142"/>
      <c r="IF224" s="1142"/>
      <c r="IG224" s="1142"/>
      <c r="IH224" s="1142"/>
      <c r="II224" s="1142"/>
      <c r="IJ224" s="1142"/>
      <c r="IK224" s="1142"/>
      <c r="IL224" s="1190"/>
      <c r="IM224" s="222"/>
      <c r="IN224" s="222"/>
      <c r="IR224" s="844"/>
    </row>
    <row r="225" customFormat="false" ht="13.5" hidden="false" customHeight="false" outlineLevel="0" collapsed="false">
      <c r="A225" s="0" t="str">
        <f aca="false">+D225&amp;"Q"&amp;ROUNDUP(E225/3,0)</f>
        <v>2017Q2</v>
      </c>
      <c r="B225" s="0" t="n">
        <f aca="false">YEAR(C225)</f>
        <v>2017</v>
      </c>
      <c r="C225" s="1153" t="n">
        <f aca="false">EOMONTH(C224,0)+1</f>
        <v>42856</v>
      </c>
      <c r="D225" s="841" t="n">
        <f aca="false">+YEAR(C225)</f>
        <v>2017</v>
      </c>
      <c r="E225" s="807" t="n">
        <f aca="false">MONTH(C225)</f>
        <v>5</v>
      </c>
      <c r="F225" s="1154" t="e">
        <f aca="false">IF(G225="","",Holiday(D225,E225))</f>
        <v>#VALUE!</v>
      </c>
      <c r="G225" s="1155" t="n">
        <v>42856</v>
      </c>
      <c r="H225" s="1156" t="n">
        <v>42886</v>
      </c>
      <c r="I225" s="1157" t="n">
        <f aca="false">I224</f>
        <v>0.0715</v>
      </c>
      <c r="J225" s="1158" t="n">
        <f aca="false">(1+I225/2)^(-2*(DATE(D226,E226,20)-$H$7)/365.25)</f>
        <v>0.292178955397787</v>
      </c>
      <c r="K225" s="1159"/>
      <c r="L225" s="1158"/>
      <c r="M225" s="1082" t="n">
        <v>0</v>
      </c>
      <c r="N225" s="1110" t="n">
        <f aca="false">M225</f>
        <v>0</v>
      </c>
      <c r="O225" s="1174" t="n">
        <f aca="false">N225</f>
        <v>0</v>
      </c>
      <c r="P225" s="1175" t="n">
        <f aca="false">M225</f>
        <v>0</v>
      </c>
      <c r="Q225" s="1110" t="n">
        <f aca="false">P225</f>
        <v>0</v>
      </c>
      <c r="R225" s="1174" t="n">
        <f aca="false">Q225</f>
        <v>0</v>
      </c>
      <c r="S225" s="1110" t="n">
        <f aca="false">R225</f>
        <v>0</v>
      </c>
      <c r="T225" s="1110" t="n">
        <f aca="false">S225</f>
        <v>0</v>
      </c>
      <c r="U225" s="1110" t="n">
        <f aca="false">T225</f>
        <v>0</v>
      </c>
      <c r="V225" s="1175" t="n">
        <f aca="false">U225</f>
        <v>0</v>
      </c>
      <c r="W225" s="1110" t="n">
        <f aca="false">V225</f>
        <v>0</v>
      </c>
      <c r="X225" s="1176" t="n">
        <f aca="false">W225</f>
        <v>0</v>
      </c>
      <c r="Y225" s="1086" t="n">
        <v>0</v>
      </c>
      <c r="Z225" s="1086" t="n">
        <v>0</v>
      </c>
      <c r="AA225" s="1087" t="n">
        <v>0</v>
      </c>
      <c r="AB225" s="1086" t="n">
        <v>0</v>
      </c>
      <c r="AC225" s="1086" t="n">
        <v>0</v>
      </c>
      <c r="AD225" s="1087" t="n">
        <v>0</v>
      </c>
      <c r="AE225" s="1086" t="n">
        <v>0</v>
      </c>
      <c r="AF225" s="1086" t="n">
        <v>0</v>
      </c>
      <c r="AG225" s="1087" t="n">
        <v>0</v>
      </c>
      <c r="AH225" s="1086" t="n">
        <v>0</v>
      </c>
      <c r="AI225" s="1086" t="n">
        <v>0</v>
      </c>
      <c r="AJ225" s="1087" t="n">
        <v>0</v>
      </c>
      <c r="AK225" s="1086" t="n">
        <v>0</v>
      </c>
      <c r="AL225" s="1086" t="n">
        <v>0</v>
      </c>
      <c r="AM225" s="1087" t="n">
        <v>0</v>
      </c>
      <c r="AN225" s="1086" t="n">
        <v>0</v>
      </c>
      <c r="AO225" s="1086" t="n">
        <v>0</v>
      </c>
      <c r="AP225" s="1087" t="n">
        <v>0</v>
      </c>
      <c r="AQ225" s="1086" t="n">
        <v>0</v>
      </c>
      <c r="AR225" s="1086" t="n">
        <v>0</v>
      </c>
      <c r="AS225" s="1087" t="n">
        <v>0</v>
      </c>
      <c r="AT225" s="1086" t="n">
        <v>0</v>
      </c>
      <c r="AU225" s="1086" t="n">
        <v>0</v>
      </c>
      <c r="AV225" s="1086" t="n">
        <v>0</v>
      </c>
      <c r="AW225" s="1172" t="n">
        <v>0</v>
      </c>
      <c r="AX225" s="807" t="e">
        <f aca="false">BB225-SUM(AY225:BA225)</f>
        <v>#VALUE!</v>
      </c>
      <c r="AY225" s="807" t="e">
        <f aca="false">IF(AND($E225=MONTH(Summary!$E$24),$D225=YEAR(Summary!$E$24)),Summary!$E$25,1)*IF(G225="",0,INT((H225-MOD(H225,7)-G225)/7)+1-IF(BA225,IF(WEEKDAY(F225)=7,1,0),0))</f>
        <v>#VALUE!</v>
      </c>
      <c r="AZ225" s="807" t="e">
        <f aca="false">IF(AND($E225=MONTH(Summary!$E$24),$D225=YEAR(Summary!$E$24)),Summary!$E$25,1)*IF(G225="",0,INT((H225-MOD(H225-1,7)-G225)/7)+1-IF(BA225,IF(WEEKDAY(F225)=1,1,0),0))</f>
        <v>#VALUE!</v>
      </c>
      <c r="BA225" s="807" t="n">
        <v>1</v>
      </c>
      <c r="BB225" s="807" t="n">
        <f aca="false">IF(AND($E225=MONTH(Summary!$E$24),$D225=YEAR(Summary!$E$24)),Summary!$E$25,1)*IF(G225="",0,H225-G225+1)</f>
        <v>31</v>
      </c>
      <c r="BC225" s="1089" t="n">
        <f aca="false">Summary!$E$19</f>
        <v>0.015</v>
      </c>
      <c r="BD225" s="1090" t="n">
        <v>15602.4</v>
      </c>
      <c r="BE225" s="1091" t="n">
        <v>2836.8</v>
      </c>
      <c r="BF225" s="1091" t="n">
        <v>3546</v>
      </c>
      <c r="BG225" s="842"/>
      <c r="BH225" s="1092" t="n">
        <v>1</v>
      </c>
      <c r="BI225" s="1092" t="n">
        <v>1</v>
      </c>
      <c r="BJ225" s="1092" t="n">
        <v>1</v>
      </c>
      <c r="BK225" s="1092" t="n">
        <v>1</v>
      </c>
      <c r="BL225" s="1093" t="n">
        <v>3120.48</v>
      </c>
      <c r="BM225" s="1091" t="n">
        <v>567.36</v>
      </c>
      <c r="BN225" s="1091" t="n">
        <v>709.2</v>
      </c>
      <c r="BO225" s="842"/>
      <c r="BP225" s="1092" t="n">
        <v>1</v>
      </c>
      <c r="BQ225" s="1094" t="n">
        <v>1</v>
      </c>
      <c r="BR225" s="1094" t="n">
        <v>1</v>
      </c>
      <c r="BS225" s="1095" t="n">
        <v>1</v>
      </c>
      <c r="BT225" s="1093" t="n">
        <f aca="false">SUM(BD225:BF225)</f>
        <v>21985.2</v>
      </c>
      <c r="BU225" s="1098" t="n">
        <f aca="false">SUM(BD225:BG225)</f>
        <v>21985.2</v>
      </c>
      <c r="BV225" s="1090" t="n">
        <f aca="false">SUM(BL225:BN225)</f>
        <v>4397.04</v>
      </c>
      <c r="BW225" s="1098" t="n">
        <f aca="false">SUM(BL225:BO225)</f>
        <v>4397.04</v>
      </c>
      <c r="BX225" s="852" t="n">
        <v>17.3771389459274</v>
      </c>
      <c r="BY225" s="1099" t="n">
        <v>0</v>
      </c>
      <c r="BZ225" s="852" t="n">
        <v>0</v>
      </c>
      <c r="CA225" s="852" t="n">
        <v>0</v>
      </c>
      <c r="CB225" s="852" t="n">
        <v>0</v>
      </c>
      <c r="CC225" s="852" t="n">
        <v>0</v>
      </c>
      <c r="CD225" s="852" t="n">
        <v>0</v>
      </c>
      <c r="CE225" s="1100" t="n">
        <v>0</v>
      </c>
      <c r="CF225" s="852" t="n">
        <v>0</v>
      </c>
      <c r="CG225" s="852" t="n">
        <v>0</v>
      </c>
      <c r="CH225" s="852" t="n">
        <v>0</v>
      </c>
      <c r="CI225" s="852" t="n">
        <v>0</v>
      </c>
      <c r="CJ225" s="1101" t="n">
        <v>0</v>
      </c>
      <c r="CK225" s="852" t="n">
        <v>0</v>
      </c>
      <c r="CL225" s="852" t="n">
        <v>0</v>
      </c>
      <c r="CM225" s="852" t="n">
        <v>0</v>
      </c>
      <c r="CN225" s="852" t="n">
        <v>0</v>
      </c>
      <c r="CO225" s="852" t="n">
        <v>0</v>
      </c>
      <c r="CP225" s="852" t="n">
        <v>0</v>
      </c>
      <c r="CQ225" s="1102" t="n">
        <v>0</v>
      </c>
      <c r="CR225" s="1103" t="n">
        <v>0</v>
      </c>
      <c r="CS225" s="1103" t="n">
        <v>0</v>
      </c>
      <c r="CT225" s="1103" t="n">
        <v>0</v>
      </c>
      <c r="CU225" s="1103" t="n">
        <v>0</v>
      </c>
      <c r="CV225" s="1103" t="n">
        <v>0</v>
      </c>
      <c r="CW225" s="1103" t="n">
        <v>0</v>
      </c>
      <c r="CX225" s="1104" t="n">
        <v>0</v>
      </c>
      <c r="CY225" s="1105" t="n">
        <v>7698.52632</v>
      </c>
      <c r="CZ225" s="1099" t="n">
        <v>0</v>
      </c>
      <c r="DA225" s="852" t="n">
        <v>0</v>
      </c>
      <c r="DB225" s="852" t="n">
        <v>0</v>
      </c>
      <c r="DC225" s="852" t="n">
        <v>0</v>
      </c>
      <c r="DD225" s="852" t="n">
        <v>0</v>
      </c>
      <c r="DE225" s="1113" t="n">
        <v>0</v>
      </c>
      <c r="DF225" s="1109" t="n">
        <v>0</v>
      </c>
      <c r="DG225" s="1110" t="n">
        <v>0</v>
      </c>
      <c r="DH225" s="1111" t="n">
        <v>0</v>
      </c>
      <c r="DI225" s="1112" t="n">
        <v>0</v>
      </c>
      <c r="DJ225" s="1112" t="n">
        <v>0</v>
      </c>
      <c r="DK225" s="1112" t="n">
        <v>0</v>
      </c>
      <c r="DL225" s="1113" t="n">
        <v>0</v>
      </c>
      <c r="DM225" s="1114" t="n">
        <v>0</v>
      </c>
      <c r="DN225" s="1114" t="n">
        <v>0</v>
      </c>
      <c r="DO225" s="1114" t="n">
        <v>0</v>
      </c>
      <c r="DP225" s="1114" t="n">
        <v>0</v>
      </c>
      <c r="DQ225" s="1114" t="n">
        <v>0</v>
      </c>
      <c r="DR225" s="1109" t="n">
        <v>0</v>
      </c>
      <c r="DS225" s="852" t="n">
        <v>0</v>
      </c>
      <c r="DT225" s="852" t="n">
        <v>0</v>
      </c>
      <c r="DU225" s="852" t="n">
        <v>0</v>
      </c>
      <c r="DV225" s="852" t="n">
        <v>0</v>
      </c>
      <c r="DW225" s="852" t="n">
        <v>0</v>
      </c>
      <c r="DX225" s="852" t="n">
        <v>0</v>
      </c>
      <c r="DY225" s="852" t="n">
        <v>0</v>
      </c>
      <c r="DZ225" s="852" t="n">
        <v>0</v>
      </c>
      <c r="EA225" s="852" t="n">
        <v>0</v>
      </c>
      <c r="EB225" s="1113" t="n">
        <v>0</v>
      </c>
      <c r="EC225" s="1115" t="n">
        <f aca="false">DS225*BD225</f>
        <v>0</v>
      </c>
      <c r="ED225" s="1115" t="n">
        <f aca="false">DT225*BE225</f>
        <v>0</v>
      </c>
      <c r="EE225" s="1115" t="n">
        <f aca="false">DU225*BF225</f>
        <v>0</v>
      </c>
      <c r="EF225" s="1115" t="n">
        <f aca="false">DV225*BG225</f>
        <v>0</v>
      </c>
      <c r="EG225" s="1115" t="n">
        <f aca="false">DS225*BD225+DT225*BE225+DU225*BF225+DV225*BG225</f>
        <v>0</v>
      </c>
      <c r="EH225" s="1116" t="n">
        <v>0</v>
      </c>
      <c r="EI225" s="1117" t="n">
        <v>0</v>
      </c>
      <c r="EJ225" s="1117" t="n">
        <v>0</v>
      </c>
      <c r="EK225" s="1117" t="n">
        <v>0</v>
      </c>
      <c r="EL225" s="1118" t="n">
        <f aca="false">IF(C225&gt;=Summary!$E$26,MAX(0,SUM(EH225:EK225)),0)</f>
        <v>0</v>
      </c>
      <c r="EM225" s="1115" t="n">
        <f aca="false">IF(C225&gt;=Summary!$E$26,DX225*BL225,0)</f>
        <v>0</v>
      </c>
      <c r="EN225" s="1115" t="n">
        <f aca="false">IF(C225&gt;=Summary!$E$26,DY225*BM225,0)</f>
        <v>0</v>
      </c>
      <c r="EO225" s="1115" t="n">
        <f aca="false">IF(C225&gt;=Summary!$E$26,DZ225*BN225,0)</f>
        <v>0</v>
      </c>
      <c r="EP225" s="1115" t="n">
        <f aca="false">IF(C225&gt;=Summary!$E$26,EA225*BO225,0)</f>
        <v>0</v>
      </c>
      <c r="EQ225" s="1115" t="n">
        <f aca="false">IF(C225&gt;=Summary!$E$26,DX225*BL225+DY225*BM225+DZ225*BN225+EA225*BO225,0)</f>
        <v>0</v>
      </c>
      <c r="ER225" s="1119" t="n">
        <v>0</v>
      </c>
      <c r="ES225" s="1120" t="n">
        <v>0</v>
      </c>
      <c r="ET225" s="1120" t="n">
        <v>0</v>
      </c>
      <c r="EU225" s="1120" t="n">
        <v>0</v>
      </c>
      <c r="EV225" s="1143" t="n">
        <f aca="false">IF(C225&gt;=Summary!$E$26,MAX(0,SUM(ER225:EU225)),0)</f>
        <v>0</v>
      </c>
      <c r="EW225" s="1115"/>
      <c r="EX225" s="1165" t="n">
        <f aca="false">(EQ225-EV225)+IF(EZ225="Yes",(EG225-EL225),0)</f>
        <v>0</v>
      </c>
      <c r="EY225" s="1166" t="str">
        <f aca="false">IF(EX225,EX225/EQ225,"")</f>
        <v/>
      </c>
      <c r="EZ225" s="1122" t="s">
        <v>37</v>
      </c>
      <c r="FA225" s="1096" t="n">
        <f aca="false">FA224</f>
        <v>45</v>
      </c>
      <c r="FB225" s="1167" t="e">
        <f aca="false">IF(EZ225="No",IF((OR(MONTH(C225)=5,MONTH(C225)=6,MONTH(C225)=7,MONTH(C225)=8,MONTH(C225)=9)),$FA225*12*AX225*(1-$BC225),$FA225*10*AX225*(1-$BC225)),0)</f>
        <v>#VALUE!</v>
      </c>
      <c r="FC225" s="1129" t="n">
        <f aca="false">IF(EZ225="No",IF((OR(MONTH(C225)=5,MONTH(C225)=6,MONTH(C225)=7,MONTH(C225)=8,MONTH(C225)=9)),0,$FA225*3*AX225*(1-$BC225)),0)</f>
        <v>0</v>
      </c>
      <c r="FD225" s="1129" t="e">
        <f aca="false">IF(EZ225="No",IF((OR(MONTH(C225)=5,MONTH(C225)=6,MONTH(C225)=7,MONTH(C225)=8,MONTH(C225)=9)),$FA225*12*AY225*(1-$BC225),$FA225*10*AY225*(1-$BC225)),0)</f>
        <v>#VALUE!</v>
      </c>
      <c r="FE225" s="1129" t="n">
        <f aca="false">IF(EZ225="No",IF((OR(MONTH(C225)=5,MONTH(C225)=6,MONTH(C225)=7,MONTH(C225)=8,MONTH(C225)=9)),0,$FA225*3*AY225*(1-$BC225)),0)</f>
        <v>0</v>
      </c>
      <c r="FF225" s="1129" t="e">
        <f aca="false">IF(EZ225="No",IF((OR(MONTH(C225)=5,MONTH(C225)=6,MONTH(C225)=7,MONTH(C225)=8,MONTH(C225)=9)),$FA225*12*(AZ225+BA225)*(1-$BC225),$FA225*10*(AZ225+BA225)*(1-$BC225)),0)</f>
        <v>#VALUE!</v>
      </c>
      <c r="FG225" s="1129" t="n">
        <f aca="false">IF(EZ225="No",IF((OR(MONTH(C225)=5,MONTH(C225)=6,MONTH(C225)=7,MONTH(C225)=8,MONTH(C225)=9)),0,$FA225*3*(AZ225+BA225)*(1-$BC225)),0)</f>
        <v>0</v>
      </c>
      <c r="FH225" s="1170" t="e">
        <f aca="false">IF(EZ225="No",IF((OR(MONTH(C225)=5,MONTH(C225)=6,MONTH(C225)=7,MONTH(C225)=8,MONTH(C225)=9)),Summary!$O$15*12*(AX225+AY225+AZ225+BA225)*(1-$BC225),Summary!$O$15*13*(AX225+AY225+AZ225+BA225)*(1-$BC225)+IF(Summary!$O$16="Yes",(CALC!FA225+Summary!$O$15)*6*(AX225+AY225+AZ225+BA225)*(1-$BC225),0)),0)</f>
        <v>#VALUE!</v>
      </c>
      <c r="FI225" s="1126" t="n">
        <f aca="false">IF(MONTH(C225)=5,FI224*(IF(Summary!$E$70="no",(1+(Summary!$E$71*0.8)),1+HLOOKUP(YEAR(C225)-1,CCFMODEL!$I$127:$AF$128,2)*0.8)),+FI224)</f>
        <v>40.7683271086151</v>
      </c>
      <c r="FJ225" s="1127" t="n">
        <f aca="false">IF(MONTH(C225)=5,FJ224*(IF(Summary!$E$70="no",(1+(Summary!$E$71*0.8)),1+HLOOKUP(YEAR(CALC!C225)-1,CCFMODEL!$I$127:$AF$128,2)*0.8)),FJ224)</f>
        <v>35.632159913829</v>
      </c>
      <c r="FK225" s="1128" t="e">
        <f aca="false">SUM(FB225:FG225)*FI225+FH225*FJ225</f>
        <v>#VALUE!</v>
      </c>
      <c r="FL225" s="1126" t="n">
        <f aca="false">IF(MONTH(C225)=5,FL224*(IF(Summary!$E$70="no",(1+(Summary!$E$71*0.8)),1+HLOOKUP(YEAR(CALC!C225)-1,CCFMODEL!$I$127:$AF$128,2)*0.8)),+FL224)</f>
        <v>85.7403624867725</v>
      </c>
      <c r="FM225" s="1127" t="n">
        <f aca="false">IF(MONTH(C225)=5,FM224*(IF(Summary!$E$70="no",(1+(Summary!$E$71*0.8)),1+HLOOKUP(YEAR(CALC!C225)-1,CCFMODEL!$I$127:$AF$128,2)*0.8)),+FM224)</f>
        <v>40.9211892275076</v>
      </c>
      <c r="FN225" s="1128" t="e">
        <f aca="false">IF((OR(MONTH(C225)=5,MONTH(C225)=6,MONTH(C225)=7,MONTH(C225)=8,MONTH(C225)=9)),SUM(FB225:FG225)/(1-BC225)*FL225,SUM(FB225:FG225)/(1-BC225)*FM225)</f>
        <v>#VALUE!</v>
      </c>
      <c r="FO225" s="1129" t="e">
        <f aca="false">FK225+FN225</f>
        <v>#VALUE!</v>
      </c>
      <c r="FP225" s="1169" t="e">
        <f aca="false">FB225</f>
        <v>#VALUE!</v>
      </c>
      <c r="FQ225" s="1129" t="n">
        <f aca="false">FC225</f>
        <v>0</v>
      </c>
      <c r="FR225" s="1129" t="e">
        <f aca="false">FD225</f>
        <v>#VALUE!</v>
      </c>
      <c r="FS225" s="1129" t="n">
        <f aca="false">FE225</f>
        <v>0</v>
      </c>
      <c r="FT225" s="1129" t="e">
        <f aca="false">FF225</f>
        <v>#VALUE!</v>
      </c>
      <c r="FU225" s="1129" t="n">
        <f aca="false">FG225</f>
        <v>0</v>
      </c>
      <c r="FV225" s="1170" t="e">
        <f aca="false">FH225</f>
        <v>#VALUE!</v>
      </c>
      <c r="FW225" s="1115" t="n">
        <f aca="false">IF(ER225&gt;0,MIN(FB225-FP225,BL225),0)</f>
        <v>0</v>
      </c>
      <c r="FX225" s="1115" t="n">
        <f aca="false">IF(ES225&gt;0,MIN(FD225-FR225,BM225),0)</f>
        <v>0</v>
      </c>
      <c r="FY225" s="1115" t="n">
        <f aca="false">IF(ET225&gt;0,MIN(FF225-FT225,BN225),0)</f>
        <v>0</v>
      </c>
      <c r="FZ225" s="1143" t="n">
        <f aca="false">IF(EU225&gt;0,MIN(FH225-FV225,BO225),0)</f>
        <v>0</v>
      </c>
      <c r="GA225" s="1132" t="e">
        <f aca="false">(SUM(FP225:FV225)+SUM(GU225:HB225)/(1-Summary!$O$25))*CY225/1000</f>
        <v>#VALUE!</v>
      </c>
      <c r="GB225" s="1133" t="n">
        <f aca="false">IF($C225&lt;Summary!$M$81,+Summary!$O$81,VLOOKUP(C225,GasTable,19))</f>
        <v>3.42563718516804</v>
      </c>
      <c r="GC225" s="1134" t="n">
        <f aca="false">IF(H225&lt;=Summary!$N$84,MIN(GA225,Summary!$O$75*(H225-G225+1)),0)</f>
        <v>0</v>
      </c>
      <c r="GD225" s="1135" t="n">
        <f aca="false">IF(C225&lt;Summary!$N$84,IF(Summary!$O$75*(H225-G225+1)*0.8&gt;GC225,1,0),0)</f>
        <v>0</v>
      </c>
      <c r="GE225" s="1136" t="n">
        <v>0</v>
      </c>
      <c r="GF225" s="1134" t="e">
        <f aca="false">ABS(MIN(0,GC225-$GA225))</f>
        <v>#VALUE!</v>
      </c>
      <c r="GG225" s="1135" t="e">
        <f aca="false">GF225*(IF(Summary!$O$74=1,VLOOKUP($C225,GasTable,16)+Summary!$O$92+Summary!$O$93,VLOOKUP($C225,GasTable,19)+Summary!$O$92+Summary!$O$93))</f>
        <v>#VALUE!</v>
      </c>
      <c r="GH225" s="1137" t="n">
        <v>5309.73763701046</v>
      </c>
      <c r="GI225" s="1138" t="n">
        <v>0</v>
      </c>
      <c r="GJ225" s="1139" t="e">
        <f aca="false">+GB225*GC225+GE225+GG225+GH225-GI225</f>
        <v>#VALUE!</v>
      </c>
      <c r="GK225" s="1115" t="e">
        <f aca="false">SUM(FP225:FV225,GU225:GX225,GY225:HB225)</f>
        <v>#VALUE!</v>
      </c>
      <c r="GL225" s="1140" t="n">
        <v>0.51580126344</v>
      </c>
      <c r="GM225" s="1141" t="e">
        <f aca="false">IF(GK225&gt;GC225/(CY225/1000),GC225/(CY225/1000),+GK225)*GL225</f>
        <v>#VALUE!</v>
      </c>
      <c r="GN225" s="1115" t="n">
        <f aca="false">IF(SUM(GU225:HB225)=0,0,IF(Summary!$O$16="Yes",SUM(GX225:HB225),IF(Summary!$O$17="Yes",SUM(GY225:HB225),SUM(GU225:HB225))))</f>
        <v>9547.0731</v>
      </c>
      <c r="GO225" s="1142" t="n">
        <v>3.93299316702503</v>
      </c>
      <c r="GP225" s="1143" t="n">
        <f aca="false">GN225*GO225</f>
        <v>37548.5732673885</v>
      </c>
      <c r="GQ225" s="1115"/>
      <c r="GR225" s="1115"/>
      <c r="GS225" s="1115"/>
      <c r="GT225" s="1115"/>
      <c r="GU225" s="1150" t="n">
        <v>3764.079</v>
      </c>
      <c r="GV225" s="1115" t="n">
        <v>684.378</v>
      </c>
      <c r="GW225" s="1115" t="n">
        <v>855.4725</v>
      </c>
      <c r="GX225" s="1115"/>
      <c r="GY225" s="1151" t="n">
        <v>3011.2632</v>
      </c>
      <c r="GZ225" s="1115" t="n">
        <v>547.5024</v>
      </c>
      <c r="HA225" s="1115" t="n">
        <v>684.378</v>
      </c>
      <c r="HB225" s="1141"/>
      <c r="HC225" s="1115" t="n">
        <v>9547.0731</v>
      </c>
      <c r="HD225" s="1115"/>
      <c r="HE225" s="1115" t="n">
        <v>22276.5039</v>
      </c>
      <c r="HF225" s="1115" t="n">
        <v>413145.145194605</v>
      </c>
      <c r="HG225" s="1115"/>
      <c r="HH225" s="1142" t="n">
        <v>43.8455256680459</v>
      </c>
      <c r="HI225" s="1115" t="n">
        <v>976725.023541775</v>
      </c>
      <c r="HJ225" s="1150" t="e">
        <f aca="false">MAX(FB225-FP225-FW225,0)</f>
        <v>#VALUE!</v>
      </c>
      <c r="HK225" s="1115" t="e">
        <f aca="false">MAX(FD225-FR225-FX225,0)</f>
        <v>#VALUE!</v>
      </c>
      <c r="HL225" s="1115" t="e">
        <f aca="false">MAX(FF225-FT225-FY225,0)</f>
        <v>#VALUE!</v>
      </c>
      <c r="HM225" s="1141" t="e">
        <f aca="false">MAX(FH225-FV225-FZ225,0)</f>
        <v>#VALUE!</v>
      </c>
      <c r="HN225" s="1115" t="e">
        <f aca="false">SUM(HJ225:HM225)</f>
        <v>#VALUE!</v>
      </c>
      <c r="HO225" s="1142" t="n">
        <f aca="false">IF(ISERROR(+HP225/HN225),0,+HP225/HN225)</f>
        <v>0</v>
      </c>
      <c r="HP225" s="1143" t="e">
        <f aca="false">(HJ225*CE225+HK225*CF225+HL225*CG225+HM225*CH225)</f>
        <v>#VALUE!</v>
      </c>
      <c r="HQ225" s="1142"/>
      <c r="HR225" s="1150"/>
      <c r="HS225" s="1200"/>
      <c r="HT225" s="1141"/>
      <c r="HU225" s="1150"/>
      <c r="HV225" s="1200"/>
      <c r="HW225" s="1141"/>
      <c r="HX225" s="1200"/>
      <c r="HY225" s="1200"/>
      <c r="HZ225" s="0"/>
      <c r="IA225" s="1142"/>
      <c r="IB225" s="1142"/>
      <c r="IC225" s="1142"/>
      <c r="ID225" s="1142"/>
      <c r="IE225" s="1142"/>
      <c r="IF225" s="1142"/>
      <c r="IG225" s="1142"/>
      <c r="IH225" s="1142"/>
      <c r="II225" s="1142"/>
      <c r="IJ225" s="1142"/>
      <c r="IK225" s="1142"/>
      <c r="IL225" s="1190"/>
      <c r="IM225" s="222"/>
      <c r="IN225" s="222"/>
      <c r="IR225" s="844"/>
    </row>
    <row r="226" customFormat="false" ht="13.5" hidden="false" customHeight="false" outlineLevel="0" collapsed="false">
      <c r="A226" s="0" t="str">
        <f aca="false">+D226&amp;"Q"&amp;ROUNDUP(E226/3,0)</f>
        <v>2017Q2</v>
      </c>
      <c r="B226" s="0" t="n">
        <f aca="false">YEAR(C226)</f>
        <v>2017</v>
      </c>
      <c r="C226" s="1153" t="n">
        <f aca="false">EOMONTH(C225,0)+1</f>
        <v>42887</v>
      </c>
      <c r="D226" s="841" t="n">
        <f aca="false">+YEAR(C226)</f>
        <v>2017</v>
      </c>
      <c r="E226" s="807" t="n">
        <f aca="false">MONTH(C226)</f>
        <v>6</v>
      </c>
      <c r="F226" s="1154" t="e">
        <f aca="false">IF(G226="","",Holiday(D226,E226))</f>
        <v>#VALUE!</v>
      </c>
      <c r="G226" s="1155" t="n">
        <v>42887</v>
      </c>
      <c r="H226" s="1156" t="n">
        <v>42916</v>
      </c>
      <c r="I226" s="1157" t="n">
        <f aca="false">I225</f>
        <v>0.0715</v>
      </c>
      <c r="J226" s="1158" t="n">
        <f aca="false">(1+I226/2)^(-2*(DATE(D227,E227,20)-$H$7)/365.25)</f>
        <v>0.290497892990762</v>
      </c>
      <c r="K226" s="1159"/>
      <c r="L226" s="1158"/>
      <c r="M226" s="1082" t="n">
        <v>0</v>
      </c>
      <c r="N226" s="1110" t="n">
        <f aca="false">M226</f>
        <v>0</v>
      </c>
      <c r="O226" s="1174" t="n">
        <f aca="false">N226</f>
        <v>0</v>
      </c>
      <c r="P226" s="1175" t="n">
        <f aca="false">M226</f>
        <v>0</v>
      </c>
      <c r="Q226" s="1110" t="n">
        <f aca="false">P226</f>
        <v>0</v>
      </c>
      <c r="R226" s="1174" t="n">
        <f aca="false">Q226</f>
        <v>0</v>
      </c>
      <c r="S226" s="1110" t="n">
        <f aca="false">R226</f>
        <v>0</v>
      </c>
      <c r="T226" s="1110" t="n">
        <f aca="false">S226</f>
        <v>0</v>
      </c>
      <c r="U226" s="1110" t="n">
        <f aca="false">T226</f>
        <v>0</v>
      </c>
      <c r="V226" s="1175" t="n">
        <f aca="false">U226</f>
        <v>0</v>
      </c>
      <c r="W226" s="1110" t="n">
        <f aca="false">V226</f>
        <v>0</v>
      </c>
      <c r="X226" s="1176" t="n">
        <f aca="false">W226</f>
        <v>0</v>
      </c>
      <c r="Y226" s="1086" t="n">
        <v>0</v>
      </c>
      <c r="Z226" s="1086" t="n">
        <v>0</v>
      </c>
      <c r="AA226" s="1087" t="n">
        <v>0</v>
      </c>
      <c r="AB226" s="1086" t="n">
        <v>0</v>
      </c>
      <c r="AC226" s="1086" t="n">
        <v>0</v>
      </c>
      <c r="AD226" s="1087" t="n">
        <v>0</v>
      </c>
      <c r="AE226" s="1086" t="n">
        <v>0</v>
      </c>
      <c r="AF226" s="1086" t="n">
        <v>0</v>
      </c>
      <c r="AG226" s="1087" t="n">
        <v>0</v>
      </c>
      <c r="AH226" s="1086" t="n">
        <v>0</v>
      </c>
      <c r="AI226" s="1086" t="n">
        <v>0</v>
      </c>
      <c r="AJ226" s="1087" t="n">
        <v>0</v>
      </c>
      <c r="AK226" s="1086" t="n">
        <v>0</v>
      </c>
      <c r="AL226" s="1086" t="n">
        <v>0</v>
      </c>
      <c r="AM226" s="1087" t="n">
        <v>0</v>
      </c>
      <c r="AN226" s="1086" t="n">
        <v>0</v>
      </c>
      <c r="AO226" s="1086" t="n">
        <v>0</v>
      </c>
      <c r="AP226" s="1087" t="n">
        <v>0</v>
      </c>
      <c r="AQ226" s="1086" t="n">
        <v>0</v>
      </c>
      <c r="AR226" s="1086" t="n">
        <v>0</v>
      </c>
      <c r="AS226" s="1087" t="n">
        <v>0</v>
      </c>
      <c r="AT226" s="1086" t="n">
        <v>0</v>
      </c>
      <c r="AU226" s="1086" t="n">
        <v>0</v>
      </c>
      <c r="AV226" s="1086" t="n">
        <v>0</v>
      </c>
      <c r="AW226" s="1172" t="n">
        <v>0</v>
      </c>
      <c r="AX226" s="807" t="n">
        <f aca="false">BB226-SUM(AY226:BA226)</f>
        <v>22</v>
      </c>
      <c r="AY226" s="807" t="n">
        <f aca="false">IF(AND($E226=MONTH(Summary!$E$24),$D226=YEAR(Summary!$E$24)),Summary!$E$25,1)*IF(G226="",0,INT((H226-MOD(H226,7)-G226)/7)+1-IF(BA226,IF(WEEKDAY(F226)=7,1,0),0))</f>
        <v>4</v>
      </c>
      <c r="AZ226" s="807" t="n">
        <f aca="false">IF(AND($E226=MONTH(Summary!$E$24),$D226=YEAR(Summary!$E$24)),Summary!$E$25,1)*IF(G226="",0,INT((H226-MOD(H226-1,7)-G226)/7)+1-IF(BA226,IF(WEEKDAY(F226)=1,1,0),0))</f>
        <v>4</v>
      </c>
      <c r="BA226" s="807" t="n">
        <v>0</v>
      </c>
      <c r="BB226" s="807" t="n">
        <f aca="false">IF(AND($E226=MONTH(Summary!$E$24),$D226=YEAR(Summary!$E$24)),Summary!$E$25,1)*IF(G226="",0,H226-G226+1)</f>
        <v>30</v>
      </c>
      <c r="BC226" s="1089" t="n">
        <f aca="false">Summary!$E$19</f>
        <v>0.015</v>
      </c>
      <c r="BD226" s="1090" t="n">
        <v>15602.4</v>
      </c>
      <c r="BE226" s="1091" t="n">
        <v>2836.8</v>
      </c>
      <c r="BF226" s="1091" t="n">
        <v>2836.8</v>
      </c>
      <c r="BG226" s="842"/>
      <c r="BH226" s="1092" t="n">
        <v>1</v>
      </c>
      <c r="BI226" s="1092" t="n">
        <v>1</v>
      </c>
      <c r="BJ226" s="1092" t="n">
        <v>1</v>
      </c>
      <c r="BK226" s="1092" t="n">
        <v>1</v>
      </c>
      <c r="BL226" s="1093" t="n">
        <v>3120.48</v>
      </c>
      <c r="BM226" s="1091" t="n">
        <v>567.36</v>
      </c>
      <c r="BN226" s="1091" t="n">
        <v>567.36</v>
      </c>
      <c r="BO226" s="842"/>
      <c r="BP226" s="1092" t="n">
        <v>1</v>
      </c>
      <c r="BQ226" s="1094" t="n">
        <v>1</v>
      </c>
      <c r="BR226" s="1094" t="n">
        <v>1</v>
      </c>
      <c r="BS226" s="1095" t="n">
        <v>1</v>
      </c>
      <c r="BT226" s="1093" t="n">
        <f aca="false">SUM(BD226:BF226)</f>
        <v>21276</v>
      </c>
      <c r="BU226" s="1098" t="n">
        <f aca="false">SUM(BD226:BG226)</f>
        <v>21276</v>
      </c>
      <c r="BV226" s="1090" t="n">
        <f aca="false">SUM(BL226:BN226)</f>
        <v>4255.2</v>
      </c>
      <c r="BW226" s="1098" t="n">
        <f aca="false">SUM(BL226:BO226)</f>
        <v>4255.2</v>
      </c>
      <c r="BX226" s="852" t="n">
        <v>17.4620123203285</v>
      </c>
      <c r="BY226" s="1099" t="n">
        <v>0</v>
      </c>
      <c r="BZ226" s="852" t="n">
        <v>0</v>
      </c>
      <c r="CA226" s="852" t="n">
        <v>0</v>
      </c>
      <c r="CB226" s="852" t="n">
        <v>0</v>
      </c>
      <c r="CC226" s="852" t="n">
        <v>0</v>
      </c>
      <c r="CD226" s="852" t="n">
        <v>0</v>
      </c>
      <c r="CE226" s="1100" t="n">
        <v>0</v>
      </c>
      <c r="CF226" s="852" t="n">
        <v>0</v>
      </c>
      <c r="CG226" s="852" t="n">
        <v>0</v>
      </c>
      <c r="CH226" s="852" t="n">
        <v>0</v>
      </c>
      <c r="CI226" s="852" t="n">
        <v>0</v>
      </c>
      <c r="CJ226" s="1101" t="n">
        <v>0</v>
      </c>
      <c r="CK226" s="852" t="n">
        <v>0</v>
      </c>
      <c r="CL226" s="852" t="n">
        <v>0</v>
      </c>
      <c r="CM226" s="852" t="n">
        <v>0</v>
      </c>
      <c r="CN226" s="852" t="n">
        <v>0</v>
      </c>
      <c r="CO226" s="852" t="n">
        <v>0</v>
      </c>
      <c r="CP226" s="852" t="n">
        <v>0</v>
      </c>
      <c r="CQ226" s="1102" t="n">
        <v>0</v>
      </c>
      <c r="CR226" s="1103" t="n">
        <v>0</v>
      </c>
      <c r="CS226" s="1103" t="n">
        <v>0</v>
      </c>
      <c r="CT226" s="1103" t="n">
        <v>0</v>
      </c>
      <c r="CU226" s="1103" t="n">
        <v>0</v>
      </c>
      <c r="CV226" s="1103" t="n">
        <v>0</v>
      </c>
      <c r="CW226" s="1103" t="n">
        <v>0</v>
      </c>
      <c r="CX226" s="1104" t="n">
        <v>0</v>
      </c>
      <c r="CY226" s="1105" t="n">
        <v>7700.55728</v>
      </c>
      <c r="CZ226" s="1099" t="n">
        <v>0</v>
      </c>
      <c r="DA226" s="852" t="n">
        <v>0</v>
      </c>
      <c r="DB226" s="852" t="n">
        <v>0</v>
      </c>
      <c r="DC226" s="852" t="n">
        <v>0</v>
      </c>
      <c r="DD226" s="852" t="n">
        <v>0</v>
      </c>
      <c r="DE226" s="1113" t="n">
        <v>0</v>
      </c>
      <c r="DF226" s="1109" t="n">
        <v>0</v>
      </c>
      <c r="DG226" s="1110" t="n">
        <v>0</v>
      </c>
      <c r="DH226" s="1111" t="n">
        <v>0</v>
      </c>
      <c r="DI226" s="1112" t="n">
        <v>0</v>
      </c>
      <c r="DJ226" s="1112" t="n">
        <v>0</v>
      </c>
      <c r="DK226" s="1112" t="n">
        <v>0</v>
      </c>
      <c r="DL226" s="1113" t="n">
        <v>0</v>
      </c>
      <c r="DM226" s="1114" t="n">
        <v>0</v>
      </c>
      <c r="DN226" s="1114" t="n">
        <v>0</v>
      </c>
      <c r="DO226" s="1114" t="n">
        <v>0</v>
      </c>
      <c r="DP226" s="1114" t="n">
        <v>0</v>
      </c>
      <c r="DQ226" s="1114" t="n">
        <v>0</v>
      </c>
      <c r="DR226" s="1109" t="n">
        <v>0</v>
      </c>
      <c r="DS226" s="852" t="n">
        <v>0</v>
      </c>
      <c r="DT226" s="852" t="n">
        <v>0</v>
      </c>
      <c r="DU226" s="852" t="n">
        <v>0</v>
      </c>
      <c r="DV226" s="852" t="n">
        <v>0</v>
      </c>
      <c r="DW226" s="852" t="n">
        <v>0</v>
      </c>
      <c r="DX226" s="852" t="n">
        <v>0</v>
      </c>
      <c r="DY226" s="852" t="n">
        <v>0</v>
      </c>
      <c r="DZ226" s="852" t="n">
        <v>0</v>
      </c>
      <c r="EA226" s="852" t="n">
        <v>0</v>
      </c>
      <c r="EB226" s="1113" t="n">
        <v>0</v>
      </c>
      <c r="EC226" s="1115" t="n">
        <f aca="false">DS226*BD226</f>
        <v>0</v>
      </c>
      <c r="ED226" s="1115" t="n">
        <f aca="false">DT226*BE226</f>
        <v>0</v>
      </c>
      <c r="EE226" s="1115" t="n">
        <f aca="false">DU226*BF226</f>
        <v>0</v>
      </c>
      <c r="EF226" s="1115" t="n">
        <f aca="false">DV226*BG226</f>
        <v>0</v>
      </c>
      <c r="EG226" s="1115" t="n">
        <f aca="false">DS226*BD226+DT226*BE226+DU226*BF226+DV226*BG226</f>
        <v>0</v>
      </c>
      <c r="EH226" s="1116" t="n">
        <v>0</v>
      </c>
      <c r="EI226" s="1117" t="n">
        <v>0</v>
      </c>
      <c r="EJ226" s="1117" t="n">
        <v>0</v>
      </c>
      <c r="EK226" s="1117" t="n">
        <v>0</v>
      </c>
      <c r="EL226" s="1118" t="n">
        <f aca="false">IF(C226&gt;=Summary!$E$26,MAX(0,SUM(EH226:EK226)),0)</f>
        <v>0</v>
      </c>
      <c r="EM226" s="1115" t="n">
        <f aca="false">IF(C226&gt;=Summary!$E$26,DX226*BL226,0)</f>
        <v>0</v>
      </c>
      <c r="EN226" s="1115" t="n">
        <f aca="false">IF(C226&gt;=Summary!$E$26,DY226*BM226,0)</f>
        <v>0</v>
      </c>
      <c r="EO226" s="1115" t="n">
        <f aca="false">IF(C226&gt;=Summary!$E$26,DZ226*BN226,0)</f>
        <v>0</v>
      </c>
      <c r="EP226" s="1115" t="n">
        <f aca="false">IF(C226&gt;=Summary!$E$26,EA226*BO226,0)</f>
        <v>0</v>
      </c>
      <c r="EQ226" s="1115" t="n">
        <f aca="false">IF(C226&gt;=Summary!$E$26,DX226*BL226+DY226*BM226+DZ226*BN226+EA226*BO226,0)</f>
        <v>0</v>
      </c>
      <c r="ER226" s="1119" t="n">
        <v>0</v>
      </c>
      <c r="ES226" s="1120" t="n">
        <v>0</v>
      </c>
      <c r="ET226" s="1120" t="n">
        <v>0</v>
      </c>
      <c r="EU226" s="1120" t="n">
        <v>0</v>
      </c>
      <c r="EV226" s="1143" t="n">
        <f aca="false">IF(C226&gt;=Summary!$E$26,MAX(0,SUM(ER226:EU226)),0)</f>
        <v>0</v>
      </c>
      <c r="EW226" s="1115"/>
      <c r="EX226" s="1165" t="n">
        <f aca="false">(EQ226-EV226)+IF(EZ226="Yes",(EG226-EL226),0)</f>
        <v>0</v>
      </c>
      <c r="EY226" s="1166" t="str">
        <f aca="false">IF(EX226,EX226/EQ226,"")</f>
        <v/>
      </c>
      <c r="EZ226" s="1122" t="s">
        <v>37</v>
      </c>
      <c r="FA226" s="1096" t="n">
        <f aca="false">FA225</f>
        <v>45</v>
      </c>
      <c r="FB226" s="1167" t="n">
        <f aca="false">IF(EZ226="No",IF((OR(MONTH(C226)=5,MONTH(C226)=6,MONTH(C226)=7,MONTH(C226)=8,MONTH(C226)=9)),$FA226*12*AX226*(1-$BC226),$FA226*10*AX226*(1-$BC226)),0)</f>
        <v>11701.8</v>
      </c>
      <c r="FC226" s="1129" t="n">
        <f aca="false">IF(EZ226="No",IF((OR(MONTH(C226)=5,MONTH(C226)=6,MONTH(C226)=7,MONTH(C226)=8,MONTH(C226)=9)),0,$FA226*3*AX226*(1-$BC226)),0)</f>
        <v>0</v>
      </c>
      <c r="FD226" s="1129" t="n">
        <f aca="false">IF(EZ226="No",IF((OR(MONTH(C226)=5,MONTH(C226)=6,MONTH(C226)=7,MONTH(C226)=8,MONTH(C226)=9)),$FA226*12*AY226*(1-$BC226),$FA226*10*AY226*(1-$BC226)),0)</f>
        <v>2127.6</v>
      </c>
      <c r="FE226" s="1129" t="n">
        <f aca="false">IF(EZ226="No",IF((OR(MONTH(C226)=5,MONTH(C226)=6,MONTH(C226)=7,MONTH(C226)=8,MONTH(C226)=9)),0,$FA226*3*AY226*(1-$BC226)),0)</f>
        <v>0</v>
      </c>
      <c r="FF226" s="1129" t="n">
        <f aca="false">IF(EZ226="No",IF((OR(MONTH(C226)=5,MONTH(C226)=6,MONTH(C226)=7,MONTH(C226)=8,MONTH(C226)=9)),$FA226*12*(AZ226+BA226)*(1-$BC226),$FA226*10*(AZ226+BA226)*(1-$BC226)),0)</f>
        <v>2127.6</v>
      </c>
      <c r="FG226" s="1129" t="n">
        <f aca="false">IF(EZ226="No",IF((OR(MONTH(C226)=5,MONTH(C226)=6,MONTH(C226)=7,MONTH(C226)=8,MONTH(C226)=9)),0,$FA226*3*(AZ226+BA226)*(1-$BC226)),0)</f>
        <v>0</v>
      </c>
      <c r="FH226" s="1170" t="n">
        <f aca="false">IF(EZ226="No",IF((OR(MONTH(C226)=5,MONTH(C226)=6,MONTH(C226)=7,MONTH(C226)=8,MONTH(C226)=9)),Summary!$O$15*12*(AX226+AY226+AZ226+BA226)*(1-$BC226),Summary!$O$15*13*(AX226+AY226+AZ226+BA226)*(1-$BC226)+IF(Summary!$O$16="Yes",(CALC!FA226+Summary!$O$15)*6*(AX226+AY226+AZ226+BA226)*(1-$BC226),0)),0)</f>
        <v>0</v>
      </c>
      <c r="FI226" s="1126" t="n">
        <f aca="false">IF(MONTH(C226)=5,FI225*(IF(Summary!$E$70="no",(1+(Summary!$E$71*0.8)),1+HLOOKUP(YEAR(C226)-1,CCFMODEL!$I$127:$AF$128,2)*0.8)),+FI225)</f>
        <v>40.7683271086151</v>
      </c>
      <c r="FJ226" s="1127" t="n">
        <f aca="false">IF(MONTH(C226)=5,FJ225*(IF(Summary!$E$70="no",(1+(Summary!$E$71*0.8)),1+HLOOKUP(YEAR(CALC!C226)-1,CCFMODEL!$I$127:$AF$128,2)*0.8)),FJ225)</f>
        <v>35.632159913829</v>
      </c>
      <c r="FK226" s="1128" t="n">
        <f aca="false">SUM(FB226:FG226)*FI226+FH226*FJ226</f>
        <v>650540.195672172</v>
      </c>
      <c r="FL226" s="1126" t="n">
        <f aca="false">IF(MONTH(C226)=5,FL225*(IF(Summary!$E$70="no",(1+(Summary!$E$71*0.8)),1+HLOOKUP(YEAR(CALC!C226)-1,CCFMODEL!$I$127:$AF$128,2)*0.8)),+FL225)</f>
        <v>85.7403624867725</v>
      </c>
      <c r="FM226" s="1127" t="n">
        <f aca="false">IF(MONTH(C226)=5,FM225*(IF(Summary!$E$70="no",(1+(Summary!$E$71*0.8)),1+HLOOKUP(YEAR(CALC!C226)-1,CCFMODEL!$I$127:$AF$128,2)*0.8)),+FM225)</f>
        <v>40.9211892275076</v>
      </c>
      <c r="FN226" s="1128" t="n">
        <f aca="false">IF((OR(MONTH(C226)=5,MONTH(C226)=6,MONTH(C226)=7,MONTH(C226)=8,MONTH(C226)=9)),SUM(FB226:FG226)/(1-BC226)*FL226,SUM(FB226:FG226)/(1-BC226)*FM226)</f>
        <v>1388993.87228571</v>
      </c>
      <c r="FO226" s="1129" t="n">
        <f aca="false">FK226+FN226</f>
        <v>2039534.06795789</v>
      </c>
      <c r="FP226" s="1169" t="n">
        <f aca="false">FB226</f>
        <v>11701.8</v>
      </c>
      <c r="FQ226" s="1129" t="n">
        <f aca="false">FC226</f>
        <v>0</v>
      </c>
      <c r="FR226" s="1129" t="n">
        <f aca="false">FD226</f>
        <v>2127.6</v>
      </c>
      <c r="FS226" s="1129" t="n">
        <f aca="false">FE226</f>
        <v>0</v>
      </c>
      <c r="FT226" s="1129" t="n">
        <f aca="false">FF226</f>
        <v>2127.6</v>
      </c>
      <c r="FU226" s="1129" t="n">
        <f aca="false">FG226</f>
        <v>0</v>
      </c>
      <c r="FV226" s="1170" t="n">
        <f aca="false">FH226</f>
        <v>0</v>
      </c>
      <c r="FW226" s="1115" t="n">
        <f aca="false">IF(ER226&gt;0,MIN(FB226-FP226,BL226),0)</f>
        <v>0</v>
      </c>
      <c r="FX226" s="1115" t="n">
        <f aca="false">IF(ES226&gt;0,MIN(FD226-FR226,BM226),0)</f>
        <v>0</v>
      </c>
      <c r="FY226" s="1115" t="n">
        <f aca="false">IF(ET226&gt;0,MIN(FF226-FT226,BN226),0)</f>
        <v>0</v>
      </c>
      <c r="FZ226" s="1143" t="n">
        <f aca="false">IF(EU226&gt;0,MIN(FH226-FV226,BO226),0)</f>
        <v>0</v>
      </c>
      <c r="GA226" s="1132" t="n">
        <f aca="false">(SUM(FP226:FV226)+SUM(GU226:HB226)/(1-Summary!$O$25))*CY226/1000</f>
        <v>196604.468027136</v>
      </c>
      <c r="GB226" s="1133" t="n">
        <f aca="false">IF($C226&lt;Summary!$M$81,+Summary!$O$81,VLOOKUP(C226,GasTable,19))</f>
        <v>3.46701690467702</v>
      </c>
      <c r="GC226" s="1134" t="n">
        <f aca="false">IF(H226&lt;=Summary!$N$84,MIN(GA226,Summary!$O$75*(H226-G226+1)),0)</f>
        <v>0</v>
      </c>
      <c r="GD226" s="1135" t="n">
        <f aca="false">IF(C226&lt;Summary!$N$84,IF(Summary!$O$75*(H226-G226+1)*0.8&gt;GC226,1,0),0)</f>
        <v>0</v>
      </c>
      <c r="GE226" s="1136" t="n">
        <v>0</v>
      </c>
      <c r="GF226" s="1134" t="n">
        <f aca="false">ABS(MIN(0,GC226-$GA226))</f>
        <v>196604.468027136</v>
      </c>
      <c r="GG226" s="1135" t="n">
        <f aca="false">GF226*(IF(Summary!$O$74=1,VLOOKUP($C226,GasTable,16)+Summary!$O$92+Summary!$O$93,VLOOKUP($C226,GasTable,19)+Summary!$O$92+Summary!$O$93))</f>
        <v>691874.106969328</v>
      </c>
      <c r="GH226" s="1137" t="n">
        <v>5200.52535701554</v>
      </c>
      <c r="GI226" s="1138" t="n">
        <v>0</v>
      </c>
      <c r="GJ226" s="1139" t="n">
        <f aca="false">+GB226*GC226+GE226+GG226+GH226-GI226</f>
        <v>697074.632326343</v>
      </c>
      <c r="GK226" s="1115" t="n">
        <f aca="false">SUM(FP226:FV226,GU226:GX226,GY226:HB226)</f>
        <v>25196.103</v>
      </c>
      <c r="GL226" s="1140" t="n">
        <v>0.51593733776</v>
      </c>
      <c r="GM226" s="1141" t="n">
        <f aca="false">IF(GK226&gt;GC226/(CY226/1000),GC226/(CY226/1000),+GK226)*GL226</f>
        <v>0</v>
      </c>
      <c r="GN226" s="1115" t="n">
        <f aca="false">IF(SUM(GU226:HB226)=0,0,IF(Summary!$O$16="Yes",SUM(GX226:HB226),IF(Summary!$O$17="Yes",SUM(GY226:HB226),SUM(GU226:HB226))))</f>
        <v>9239.103</v>
      </c>
      <c r="GO226" s="1142" t="n">
        <v>3.93299316702503</v>
      </c>
      <c r="GP226" s="1143" t="n">
        <f aca="false">GN226*GO226</f>
        <v>36337.3289684405</v>
      </c>
      <c r="GQ226" s="1115"/>
      <c r="GR226" s="1115"/>
      <c r="GS226" s="1115"/>
      <c r="GT226" s="1115"/>
      <c r="GU226" s="1150" t="n">
        <v>3764.079</v>
      </c>
      <c r="GV226" s="1115" t="n">
        <v>684.378</v>
      </c>
      <c r="GW226" s="1115" t="n">
        <v>684.378</v>
      </c>
      <c r="GX226" s="1115"/>
      <c r="GY226" s="1151" t="n">
        <v>3011.2632</v>
      </c>
      <c r="GZ226" s="1115" t="n">
        <v>547.5024</v>
      </c>
      <c r="HA226" s="1115" t="n">
        <v>547.5024</v>
      </c>
      <c r="HB226" s="1141"/>
      <c r="HC226" s="1115" t="n">
        <v>9239.103</v>
      </c>
      <c r="HD226" s="1115"/>
      <c r="HE226" s="1115" t="n">
        <v>21557.907</v>
      </c>
      <c r="HF226" s="1115" t="n">
        <v>403861.391139641</v>
      </c>
      <c r="HG226" s="1115"/>
      <c r="HH226" s="1142" t="n">
        <v>45.2208444973274</v>
      </c>
      <c r="HI226" s="1115" t="n">
        <v>974866.760134846</v>
      </c>
      <c r="HJ226" s="1150" t="n">
        <f aca="false">MAX(FB226-FP226-FW226,0)</f>
        <v>0</v>
      </c>
      <c r="HK226" s="1115" t="n">
        <f aca="false">MAX(FD226-FR226-FX226,0)</f>
        <v>0</v>
      </c>
      <c r="HL226" s="1115" t="n">
        <f aca="false">MAX(FF226-FT226-FY226,0)</f>
        <v>0</v>
      </c>
      <c r="HM226" s="1141" t="n">
        <f aca="false">MAX(FH226-FV226-FZ226,0)</f>
        <v>0</v>
      </c>
      <c r="HN226" s="1115" t="n">
        <f aca="false">SUM(HJ226:HM226)</f>
        <v>0</v>
      </c>
      <c r="HO226" s="1142" t="n">
        <f aca="false">IF(ISERROR(+HP226/HN226),0,+HP226/HN226)</f>
        <v>0</v>
      </c>
      <c r="HP226" s="1143" t="n">
        <f aca="false">(HJ226*CE226+HK226*CF226+HL226*CG226+HM226*CH226)</f>
        <v>0</v>
      </c>
      <c r="HQ226" s="1142"/>
      <c r="HR226" s="1150"/>
      <c r="HS226" s="1200"/>
      <c r="HT226" s="1141"/>
      <c r="HU226" s="1150"/>
      <c r="HV226" s="1200"/>
      <c r="HW226" s="1141"/>
      <c r="HX226" s="1200"/>
      <c r="HY226" s="1200"/>
      <c r="HZ226" s="0"/>
      <c r="IA226" s="1142"/>
      <c r="IB226" s="1142"/>
      <c r="IC226" s="1142"/>
      <c r="ID226" s="1142"/>
      <c r="IE226" s="1142"/>
      <c r="IF226" s="1142"/>
      <c r="IG226" s="1142"/>
      <c r="IH226" s="1142"/>
      <c r="II226" s="1142"/>
      <c r="IJ226" s="1142"/>
      <c r="IK226" s="1142"/>
      <c r="IL226" s="1190"/>
      <c r="IM226" s="222"/>
      <c r="IN226" s="222"/>
      <c r="IR226" s="844"/>
    </row>
    <row r="227" customFormat="false" ht="13.5" hidden="false" customHeight="false" outlineLevel="0" collapsed="false">
      <c r="A227" s="0" t="str">
        <f aca="false">+D227&amp;"Q"&amp;ROUNDUP(E227/3,0)</f>
        <v>2017Q3</v>
      </c>
      <c r="B227" s="0" t="n">
        <f aca="false">YEAR(C227)</f>
        <v>2017</v>
      </c>
      <c r="C227" s="1153" t="n">
        <f aca="false">EOMONTH(C226,0)+1</f>
        <v>42917</v>
      </c>
      <c r="D227" s="841" t="n">
        <f aca="false">+YEAR(C227)</f>
        <v>2017</v>
      </c>
      <c r="E227" s="807" t="n">
        <f aca="false">MONTH(C227)</f>
        <v>7</v>
      </c>
      <c r="F227" s="1154" t="e">
        <f aca="false">IF(G227="","",Holiday(D227,E227))</f>
        <v>#VALUE!</v>
      </c>
      <c r="G227" s="1155" t="n">
        <v>42917</v>
      </c>
      <c r="H227" s="1156" t="n">
        <v>42947</v>
      </c>
      <c r="I227" s="1157" t="n">
        <f aca="false">I226</f>
        <v>0.0715</v>
      </c>
      <c r="J227" s="1158" t="n">
        <f aca="false">(1+I227/2)^(-2*(DATE(D228,E228,20)-$H$7)/365.25)</f>
        <v>0.288770955550405</v>
      </c>
      <c r="K227" s="1159"/>
      <c r="L227" s="1158"/>
      <c r="M227" s="1082" t="n">
        <v>0</v>
      </c>
      <c r="N227" s="1110" t="n">
        <f aca="false">M227</f>
        <v>0</v>
      </c>
      <c r="O227" s="1174" t="n">
        <f aca="false">N227</f>
        <v>0</v>
      </c>
      <c r="P227" s="1175" t="n">
        <f aca="false">M227</f>
        <v>0</v>
      </c>
      <c r="Q227" s="1110" t="n">
        <f aca="false">P227</f>
        <v>0</v>
      </c>
      <c r="R227" s="1174" t="n">
        <f aca="false">Q227</f>
        <v>0</v>
      </c>
      <c r="S227" s="1110" t="n">
        <f aca="false">R227</f>
        <v>0</v>
      </c>
      <c r="T227" s="1110" t="n">
        <f aca="false">S227</f>
        <v>0</v>
      </c>
      <c r="U227" s="1110" t="n">
        <f aca="false">T227</f>
        <v>0</v>
      </c>
      <c r="V227" s="1175" t="n">
        <f aca="false">U227</f>
        <v>0</v>
      </c>
      <c r="W227" s="1110" t="n">
        <f aca="false">V227</f>
        <v>0</v>
      </c>
      <c r="X227" s="1176" t="n">
        <f aca="false">W227</f>
        <v>0</v>
      </c>
      <c r="Y227" s="1086" t="n">
        <v>0</v>
      </c>
      <c r="Z227" s="1086" t="n">
        <v>0</v>
      </c>
      <c r="AA227" s="1087" t="n">
        <v>0</v>
      </c>
      <c r="AB227" s="1086" t="n">
        <v>0</v>
      </c>
      <c r="AC227" s="1086" t="n">
        <v>0</v>
      </c>
      <c r="AD227" s="1087" t="n">
        <v>0</v>
      </c>
      <c r="AE227" s="1086" t="n">
        <v>0</v>
      </c>
      <c r="AF227" s="1086" t="n">
        <v>0</v>
      </c>
      <c r="AG227" s="1087" t="n">
        <v>0</v>
      </c>
      <c r="AH227" s="1086" t="n">
        <v>0</v>
      </c>
      <c r="AI227" s="1086" t="n">
        <v>0</v>
      </c>
      <c r="AJ227" s="1087" t="n">
        <v>0</v>
      </c>
      <c r="AK227" s="1086" t="n">
        <v>0</v>
      </c>
      <c r="AL227" s="1086" t="n">
        <v>0</v>
      </c>
      <c r="AM227" s="1087" t="n">
        <v>0</v>
      </c>
      <c r="AN227" s="1086" t="n">
        <v>0</v>
      </c>
      <c r="AO227" s="1086" t="n">
        <v>0</v>
      </c>
      <c r="AP227" s="1087" t="n">
        <v>0</v>
      </c>
      <c r="AQ227" s="1086" t="n">
        <v>0</v>
      </c>
      <c r="AR227" s="1086" t="n">
        <v>0</v>
      </c>
      <c r="AS227" s="1087" t="n">
        <v>0</v>
      </c>
      <c r="AT227" s="1086" t="n">
        <v>0</v>
      </c>
      <c r="AU227" s="1086" t="n">
        <v>0</v>
      </c>
      <c r="AV227" s="1086" t="n">
        <v>0</v>
      </c>
      <c r="AW227" s="1172" t="n">
        <v>0</v>
      </c>
      <c r="AX227" s="807" t="e">
        <f aca="false">BB227-SUM(AY227:BA227)</f>
        <v>#VALUE!</v>
      </c>
      <c r="AY227" s="807" t="e">
        <f aca="false">IF(AND($E227=MONTH(Summary!$E$24),$D227=YEAR(Summary!$E$24)),Summary!$E$25,1)*IF(G227="",0,INT((H227-MOD(H227,7)-G227)/7)+1-IF(BA227,IF(WEEKDAY(F227)=7,1,0),0))</f>
        <v>#VALUE!</v>
      </c>
      <c r="AZ227" s="807" t="e">
        <f aca="false">IF(AND($E227=MONTH(Summary!$E$24),$D227=YEAR(Summary!$E$24)),Summary!$E$25,1)*IF(G227="",0,INT((H227-MOD(H227-1,7)-G227)/7)+1-IF(BA227,IF(WEEKDAY(F227)=1,1,0),0))</f>
        <v>#VALUE!</v>
      </c>
      <c r="BA227" s="807" t="n">
        <v>1</v>
      </c>
      <c r="BB227" s="807" t="n">
        <f aca="false">IF(AND($E227=MONTH(Summary!$E$24),$D227=YEAR(Summary!$E$24)),Summary!$E$25,1)*IF(G227="",0,H227-G227+1)</f>
        <v>31</v>
      </c>
      <c r="BC227" s="1089" t="n">
        <f aca="false">Summary!$E$19</f>
        <v>0.015</v>
      </c>
      <c r="BD227" s="1090" t="n">
        <v>14184</v>
      </c>
      <c r="BE227" s="1091" t="n">
        <v>3546</v>
      </c>
      <c r="BF227" s="1091" t="n">
        <v>4255.2</v>
      </c>
      <c r="BG227" s="842"/>
      <c r="BH227" s="1092" t="n">
        <v>1</v>
      </c>
      <c r="BI227" s="1092" t="n">
        <v>1</v>
      </c>
      <c r="BJ227" s="1092" t="n">
        <v>1</v>
      </c>
      <c r="BK227" s="1092" t="n">
        <v>1</v>
      </c>
      <c r="BL227" s="1093" t="n">
        <v>2836.8</v>
      </c>
      <c r="BM227" s="1091" t="n">
        <v>709.2</v>
      </c>
      <c r="BN227" s="1091" t="n">
        <v>851.04</v>
      </c>
      <c r="BO227" s="842"/>
      <c r="BP227" s="1092" t="n">
        <v>1</v>
      </c>
      <c r="BQ227" s="1094" t="n">
        <v>1</v>
      </c>
      <c r="BR227" s="1094" t="n">
        <v>1</v>
      </c>
      <c r="BS227" s="1095" t="n">
        <v>1</v>
      </c>
      <c r="BT227" s="1093" t="n">
        <f aca="false">SUM(BD227:BF227)</f>
        <v>21985.2</v>
      </c>
      <c r="BU227" s="1098" t="n">
        <f aca="false">SUM(BD227:BG227)</f>
        <v>21985.2</v>
      </c>
      <c r="BV227" s="1090" t="n">
        <f aca="false">SUM(BL227:BN227)</f>
        <v>4397.04</v>
      </c>
      <c r="BW227" s="1098" t="n">
        <f aca="false">SUM(BL227:BO227)</f>
        <v>4397.04</v>
      </c>
      <c r="BX227" s="852" t="n">
        <v>17.5441478439425</v>
      </c>
      <c r="BY227" s="1099" t="n">
        <v>0</v>
      </c>
      <c r="BZ227" s="852" t="n">
        <v>0</v>
      </c>
      <c r="CA227" s="852" t="n">
        <v>0</v>
      </c>
      <c r="CB227" s="852" t="n">
        <v>0</v>
      </c>
      <c r="CC227" s="852" t="n">
        <v>0</v>
      </c>
      <c r="CD227" s="852" t="n">
        <v>0</v>
      </c>
      <c r="CE227" s="1100" t="n">
        <v>0</v>
      </c>
      <c r="CF227" s="852" t="n">
        <v>0</v>
      </c>
      <c r="CG227" s="852" t="n">
        <v>0</v>
      </c>
      <c r="CH227" s="852" t="n">
        <v>0</v>
      </c>
      <c r="CI227" s="852" t="n">
        <v>0</v>
      </c>
      <c r="CJ227" s="1101" t="n">
        <v>0</v>
      </c>
      <c r="CK227" s="852" t="n">
        <v>0</v>
      </c>
      <c r="CL227" s="852" t="n">
        <v>0</v>
      </c>
      <c r="CM227" s="852" t="n">
        <v>0</v>
      </c>
      <c r="CN227" s="852" t="n">
        <v>0</v>
      </c>
      <c r="CO227" s="852" t="n">
        <v>0</v>
      </c>
      <c r="CP227" s="852" t="n">
        <v>0</v>
      </c>
      <c r="CQ227" s="1102" t="n">
        <v>0</v>
      </c>
      <c r="CR227" s="1103" t="n">
        <v>0</v>
      </c>
      <c r="CS227" s="1103" t="n">
        <v>0</v>
      </c>
      <c r="CT227" s="1103" t="n">
        <v>0</v>
      </c>
      <c r="CU227" s="1103" t="n">
        <v>0</v>
      </c>
      <c r="CV227" s="1103" t="n">
        <v>0</v>
      </c>
      <c r="CW227" s="1103" t="n">
        <v>0</v>
      </c>
      <c r="CX227" s="1104" t="n">
        <v>0</v>
      </c>
      <c r="CY227" s="1105" t="n">
        <v>7702.58824</v>
      </c>
      <c r="CZ227" s="1099" t="n">
        <v>0</v>
      </c>
      <c r="DA227" s="852" t="n">
        <v>0</v>
      </c>
      <c r="DB227" s="852" t="n">
        <v>0</v>
      </c>
      <c r="DC227" s="852" t="n">
        <v>0</v>
      </c>
      <c r="DD227" s="852" t="n">
        <v>0</v>
      </c>
      <c r="DE227" s="1113" t="n">
        <v>0</v>
      </c>
      <c r="DF227" s="1109" t="n">
        <v>0</v>
      </c>
      <c r="DG227" s="1110" t="n">
        <v>0</v>
      </c>
      <c r="DH227" s="1111" t="n">
        <v>0</v>
      </c>
      <c r="DI227" s="1112" t="n">
        <v>0</v>
      </c>
      <c r="DJ227" s="1112" t="n">
        <v>0</v>
      </c>
      <c r="DK227" s="1112" t="n">
        <v>0</v>
      </c>
      <c r="DL227" s="1113" t="n">
        <v>0</v>
      </c>
      <c r="DM227" s="1114" t="n">
        <v>0</v>
      </c>
      <c r="DN227" s="1114" t="n">
        <v>0</v>
      </c>
      <c r="DO227" s="1114" t="n">
        <v>0</v>
      </c>
      <c r="DP227" s="1114" t="n">
        <v>0</v>
      </c>
      <c r="DQ227" s="1114" t="n">
        <v>0</v>
      </c>
      <c r="DR227" s="1109" t="n">
        <v>0</v>
      </c>
      <c r="DS227" s="852" t="n">
        <v>0</v>
      </c>
      <c r="DT227" s="852" t="n">
        <v>0</v>
      </c>
      <c r="DU227" s="852" t="n">
        <v>0</v>
      </c>
      <c r="DV227" s="852" t="n">
        <v>0</v>
      </c>
      <c r="DW227" s="852" t="n">
        <v>0</v>
      </c>
      <c r="DX227" s="852" t="n">
        <v>0</v>
      </c>
      <c r="DY227" s="852" t="n">
        <v>0</v>
      </c>
      <c r="DZ227" s="852" t="n">
        <v>0</v>
      </c>
      <c r="EA227" s="852" t="n">
        <v>0</v>
      </c>
      <c r="EB227" s="1113" t="n">
        <v>0</v>
      </c>
      <c r="EC227" s="1115" t="n">
        <f aca="false">DS227*BD227</f>
        <v>0</v>
      </c>
      <c r="ED227" s="1115" t="n">
        <f aca="false">DT227*BE227</f>
        <v>0</v>
      </c>
      <c r="EE227" s="1115" t="n">
        <f aca="false">DU227*BF227</f>
        <v>0</v>
      </c>
      <c r="EF227" s="1115" t="n">
        <f aca="false">DV227*BG227</f>
        <v>0</v>
      </c>
      <c r="EG227" s="1115" t="n">
        <f aca="false">DS227*BD227+DT227*BE227+DU227*BF227+DV227*BG227</f>
        <v>0</v>
      </c>
      <c r="EH227" s="1116" t="n">
        <v>0</v>
      </c>
      <c r="EI227" s="1117" t="n">
        <v>0</v>
      </c>
      <c r="EJ227" s="1117" t="n">
        <v>0</v>
      </c>
      <c r="EK227" s="1117" t="n">
        <v>0</v>
      </c>
      <c r="EL227" s="1118" t="n">
        <f aca="false">IF(C227&gt;=Summary!$E$26,MAX(0,SUM(EH227:EK227)),0)</f>
        <v>0</v>
      </c>
      <c r="EM227" s="1115" t="n">
        <f aca="false">IF(C227&gt;=Summary!$E$26,DX227*BL227,0)</f>
        <v>0</v>
      </c>
      <c r="EN227" s="1115" t="n">
        <f aca="false">IF(C227&gt;=Summary!$E$26,DY227*BM227,0)</f>
        <v>0</v>
      </c>
      <c r="EO227" s="1115" t="n">
        <f aca="false">IF(C227&gt;=Summary!$E$26,DZ227*BN227,0)</f>
        <v>0</v>
      </c>
      <c r="EP227" s="1115" t="n">
        <f aca="false">IF(C227&gt;=Summary!$E$26,EA227*BO227,0)</f>
        <v>0</v>
      </c>
      <c r="EQ227" s="1115" t="n">
        <f aca="false">IF(C227&gt;=Summary!$E$26,DX227*BL227+DY227*BM227+DZ227*BN227+EA227*BO227,0)</f>
        <v>0</v>
      </c>
      <c r="ER227" s="1119" t="n">
        <v>0</v>
      </c>
      <c r="ES227" s="1120" t="n">
        <v>0</v>
      </c>
      <c r="ET227" s="1120" t="n">
        <v>0</v>
      </c>
      <c r="EU227" s="1120" t="n">
        <v>0</v>
      </c>
      <c r="EV227" s="1143" t="n">
        <f aca="false">IF(C227&gt;=Summary!$E$26,MAX(0,SUM(ER227:EU227)),0)</f>
        <v>0</v>
      </c>
      <c r="EW227" s="1115"/>
      <c r="EX227" s="1165" t="n">
        <f aca="false">(EQ227-EV227)+IF(EZ227="Yes",(EG227-EL227),0)</f>
        <v>0</v>
      </c>
      <c r="EY227" s="1166" t="str">
        <f aca="false">IF(EX227,EX227/EQ227,"")</f>
        <v/>
      </c>
      <c r="EZ227" s="1122" t="s">
        <v>37</v>
      </c>
      <c r="FA227" s="1096" t="n">
        <f aca="false">FA226</f>
        <v>45</v>
      </c>
      <c r="FB227" s="1167" t="e">
        <f aca="false">IF(EZ227="No",IF((OR(MONTH(C227)=5,MONTH(C227)=6,MONTH(C227)=7,MONTH(C227)=8,MONTH(C227)=9)),$FA227*12*AX227*(1-$BC227),$FA227*10*AX227*(1-$BC227)),0)</f>
        <v>#VALUE!</v>
      </c>
      <c r="FC227" s="1129" t="n">
        <f aca="false">IF(EZ227="No",IF((OR(MONTH(C227)=5,MONTH(C227)=6,MONTH(C227)=7,MONTH(C227)=8,MONTH(C227)=9)),0,$FA227*3*AX227*(1-$BC227)),0)</f>
        <v>0</v>
      </c>
      <c r="FD227" s="1129" t="e">
        <f aca="false">IF(EZ227="No",IF((OR(MONTH(C227)=5,MONTH(C227)=6,MONTH(C227)=7,MONTH(C227)=8,MONTH(C227)=9)),$FA227*12*AY227*(1-$BC227),$FA227*10*AY227*(1-$BC227)),0)</f>
        <v>#VALUE!</v>
      </c>
      <c r="FE227" s="1129" t="n">
        <f aca="false">IF(EZ227="No",IF((OR(MONTH(C227)=5,MONTH(C227)=6,MONTH(C227)=7,MONTH(C227)=8,MONTH(C227)=9)),0,$FA227*3*AY227*(1-$BC227)),0)</f>
        <v>0</v>
      </c>
      <c r="FF227" s="1129" t="e">
        <f aca="false">IF(EZ227="No",IF((OR(MONTH(C227)=5,MONTH(C227)=6,MONTH(C227)=7,MONTH(C227)=8,MONTH(C227)=9)),$FA227*12*(AZ227+BA227)*(1-$BC227),$FA227*10*(AZ227+BA227)*(1-$BC227)),0)</f>
        <v>#VALUE!</v>
      </c>
      <c r="FG227" s="1129" t="n">
        <f aca="false">IF(EZ227="No",IF((OR(MONTH(C227)=5,MONTH(C227)=6,MONTH(C227)=7,MONTH(C227)=8,MONTH(C227)=9)),0,$FA227*3*(AZ227+BA227)*(1-$BC227)),0)</f>
        <v>0</v>
      </c>
      <c r="FH227" s="1170" t="e">
        <f aca="false">IF(EZ227="No",IF((OR(MONTH(C227)=5,MONTH(C227)=6,MONTH(C227)=7,MONTH(C227)=8,MONTH(C227)=9)),Summary!$O$15*12*(AX227+AY227+AZ227+BA227)*(1-$BC227),Summary!$O$15*13*(AX227+AY227+AZ227+BA227)*(1-$BC227)+IF(Summary!$O$16="Yes",(CALC!FA227+Summary!$O$15)*6*(AX227+AY227+AZ227+BA227)*(1-$BC227),0)),0)</f>
        <v>#VALUE!</v>
      </c>
      <c r="FI227" s="1126" t="n">
        <f aca="false">IF(MONTH(C227)=5,FI226*(IF(Summary!$E$70="no",(1+(Summary!$E$71*0.8)),1+HLOOKUP(YEAR(C227)-1,CCFMODEL!$I$127:$AF$128,2)*0.8)),+FI226)</f>
        <v>40.7683271086151</v>
      </c>
      <c r="FJ227" s="1127" t="n">
        <f aca="false">IF(MONTH(C227)=5,FJ226*(IF(Summary!$E$70="no",(1+(Summary!$E$71*0.8)),1+HLOOKUP(YEAR(CALC!C227)-1,CCFMODEL!$I$127:$AF$128,2)*0.8)),FJ226)</f>
        <v>35.632159913829</v>
      </c>
      <c r="FK227" s="1128" t="e">
        <f aca="false">SUM(FB227:FG227)*FI227+FH227*FJ227</f>
        <v>#VALUE!</v>
      </c>
      <c r="FL227" s="1126" t="n">
        <f aca="false">IF(MONTH(C227)=5,FL226*(IF(Summary!$E$70="no",(1+(Summary!$E$71*0.8)),1+HLOOKUP(YEAR(CALC!C227)-1,CCFMODEL!$I$127:$AF$128,2)*0.8)),+FL226)</f>
        <v>85.7403624867725</v>
      </c>
      <c r="FM227" s="1127" t="n">
        <f aca="false">IF(MONTH(C227)=5,FM226*(IF(Summary!$E$70="no",(1+(Summary!$E$71*0.8)),1+HLOOKUP(YEAR(CALC!C227)-1,CCFMODEL!$I$127:$AF$128,2)*0.8)),+FM226)</f>
        <v>40.9211892275076</v>
      </c>
      <c r="FN227" s="1128" t="e">
        <f aca="false">IF((OR(MONTH(C227)=5,MONTH(C227)=6,MONTH(C227)=7,MONTH(C227)=8,MONTH(C227)=9)),SUM(FB227:FG227)/(1-BC227)*FL227,SUM(FB227:FG227)/(1-BC227)*FM227)</f>
        <v>#VALUE!</v>
      </c>
      <c r="FO227" s="1129" t="e">
        <f aca="false">FK227+FN227</f>
        <v>#VALUE!</v>
      </c>
      <c r="FP227" s="1169" t="e">
        <f aca="false">FB227</f>
        <v>#VALUE!</v>
      </c>
      <c r="FQ227" s="1129" t="n">
        <f aca="false">FC227</f>
        <v>0</v>
      </c>
      <c r="FR227" s="1129" t="e">
        <f aca="false">FD227</f>
        <v>#VALUE!</v>
      </c>
      <c r="FS227" s="1129" t="n">
        <f aca="false">FE227</f>
        <v>0</v>
      </c>
      <c r="FT227" s="1129" t="e">
        <f aca="false">FF227</f>
        <v>#VALUE!</v>
      </c>
      <c r="FU227" s="1129" t="n">
        <f aca="false">FG227</f>
        <v>0</v>
      </c>
      <c r="FV227" s="1170" t="e">
        <f aca="false">FH227</f>
        <v>#VALUE!</v>
      </c>
      <c r="FW227" s="1115" t="n">
        <f aca="false">IF(ER227&gt;0,MIN(FB227-FP227,BL227),0)</f>
        <v>0</v>
      </c>
      <c r="FX227" s="1115" t="n">
        <f aca="false">IF(ES227&gt;0,MIN(FD227-FR227,BM227),0)</f>
        <v>0</v>
      </c>
      <c r="FY227" s="1115" t="n">
        <f aca="false">IF(ET227&gt;0,MIN(FF227-FT227,BN227),0)</f>
        <v>0</v>
      </c>
      <c r="FZ227" s="1143" t="n">
        <f aca="false">IF(EU227&gt;0,MIN(FH227-FV227,BO227),0)</f>
        <v>0</v>
      </c>
      <c r="GA227" s="1132" t="e">
        <f aca="false">(SUM(FP227:FV227)+SUM(GU227:HB227)/(1-Summary!$O$25))*CY227/1000</f>
        <v>#VALUE!</v>
      </c>
      <c r="GB227" s="1133" t="n">
        <f aca="false">IF($C227&lt;Summary!$M$81,+Summary!$O$81,VLOOKUP(C227,GasTable,19))</f>
        <v>3.56165291145584</v>
      </c>
      <c r="GC227" s="1134" t="n">
        <f aca="false">IF(H227&lt;=Summary!$N$84,MIN(GA227,Summary!$O$75*(H227-G227+1)),0)</f>
        <v>0</v>
      </c>
      <c r="GD227" s="1135" t="n">
        <f aca="false">IF(C227&lt;Summary!$N$84,IF(Summary!$O$75*(H227-G227+1)*0.8&gt;GC227,1,0),0)</f>
        <v>0</v>
      </c>
      <c r="GE227" s="1136" t="n">
        <v>0</v>
      </c>
      <c r="GF227" s="1134" t="e">
        <f aca="false">ABS(MIN(0,GC227-$GA227))</f>
        <v>#VALUE!</v>
      </c>
      <c r="GG227" s="1135" t="e">
        <f aca="false">GF227*(IF(Summary!$O$74=1,VLOOKUP($C227,GasTable,16)+Summary!$O$92+Summary!$O$93,VLOOKUP($C227,GasTable,19)+Summary!$O$92+Summary!$O$93))</f>
        <v>#VALUE!</v>
      </c>
      <c r="GH227" s="1137" t="n">
        <v>5520.56201275656</v>
      </c>
      <c r="GI227" s="1138" t="n">
        <v>0</v>
      </c>
      <c r="GJ227" s="1139" t="e">
        <f aca="false">+GB227*GC227+GE227+GG227+GH227-GI227</f>
        <v>#VALUE!</v>
      </c>
      <c r="GK227" s="1115" t="e">
        <f aca="false">SUM(FP227:FV227,GU227:GX227,GY227:HB227)</f>
        <v>#VALUE!</v>
      </c>
      <c r="GL227" s="1140" t="n">
        <v>0.51607341208</v>
      </c>
      <c r="GM227" s="1141" t="e">
        <f aca="false">IF(GK227&gt;GC227/(CY227/1000),GC227/(CY227/1000),+GK227)*GL227</f>
        <v>#VALUE!</v>
      </c>
      <c r="GN227" s="1115" t="n">
        <f aca="false">IF(SUM(GU227:HB227)=0,0,IF(Summary!$O$16="Yes",SUM(GX227:HB227),IF(Summary!$O$17="Yes",SUM(GY227:HB227),SUM(GU227:HB227))))</f>
        <v>9547.0731</v>
      </c>
      <c r="GO227" s="1142" t="n">
        <v>3.93299316702503</v>
      </c>
      <c r="GP227" s="1143" t="n">
        <f aca="false">GN227*GO227</f>
        <v>37548.5732673885</v>
      </c>
      <c r="GQ227" s="1115"/>
      <c r="GR227" s="1115"/>
      <c r="GS227" s="1115"/>
      <c r="GT227" s="1115"/>
      <c r="GU227" s="1150" t="n">
        <v>3421.89</v>
      </c>
      <c r="GV227" s="1115" t="n">
        <v>855.4725</v>
      </c>
      <c r="GW227" s="1115" t="n">
        <v>1026.567</v>
      </c>
      <c r="GX227" s="1115"/>
      <c r="GY227" s="1151" t="n">
        <v>2737.512</v>
      </c>
      <c r="GZ227" s="1115" t="n">
        <v>684.378</v>
      </c>
      <c r="HA227" s="1115" t="n">
        <v>821.2536</v>
      </c>
      <c r="HB227" s="1141"/>
      <c r="HC227" s="1115" t="n">
        <v>9547.0731</v>
      </c>
      <c r="HD227" s="1115"/>
      <c r="HE227" s="1115" t="n">
        <v>22276.5039</v>
      </c>
      <c r="HF227" s="1115" t="n">
        <v>542148.439117531</v>
      </c>
      <c r="HG227" s="1115"/>
      <c r="HH227" s="1142" t="n">
        <v>60.1358771704357</v>
      </c>
      <c r="HI227" s="1115" t="n">
        <v>1339617.10231713</v>
      </c>
      <c r="HJ227" s="1150" t="e">
        <f aca="false">MAX(FB227-FP227-FW227,0)</f>
        <v>#VALUE!</v>
      </c>
      <c r="HK227" s="1115" t="e">
        <f aca="false">MAX(FD227-FR227-FX227,0)</f>
        <v>#VALUE!</v>
      </c>
      <c r="HL227" s="1115" t="e">
        <f aca="false">MAX(FF227-FT227-FY227,0)</f>
        <v>#VALUE!</v>
      </c>
      <c r="HM227" s="1141" t="e">
        <f aca="false">MAX(FH227-FV227-FZ227,0)</f>
        <v>#VALUE!</v>
      </c>
      <c r="HN227" s="1115" t="e">
        <f aca="false">SUM(HJ227:HM227)</f>
        <v>#VALUE!</v>
      </c>
      <c r="HO227" s="1142" t="n">
        <f aca="false">IF(ISERROR(+HP227/HN227),0,+HP227/HN227)</f>
        <v>0</v>
      </c>
      <c r="HP227" s="1143" t="e">
        <f aca="false">(HJ227*CE227+HK227*CF227+HL227*CG227+HM227*CH227)</f>
        <v>#VALUE!</v>
      </c>
      <c r="HQ227" s="1142"/>
      <c r="HR227" s="1150"/>
      <c r="HS227" s="1200"/>
      <c r="HT227" s="1141"/>
      <c r="HU227" s="1150"/>
      <c r="HV227" s="1200"/>
      <c r="HW227" s="1141"/>
      <c r="HX227" s="1200"/>
      <c r="HY227" s="1200"/>
      <c r="HZ227" s="0"/>
      <c r="IA227" s="1142"/>
      <c r="IB227" s="1142"/>
      <c r="IC227" s="1142"/>
      <c r="ID227" s="1142"/>
      <c r="IE227" s="1142"/>
      <c r="IF227" s="1142"/>
      <c r="IG227" s="1142"/>
      <c r="IH227" s="1142"/>
      <c r="II227" s="1142"/>
      <c r="IJ227" s="1142"/>
      <c r="IK227" s="1142"/>
      <c r="IL227" s="1190"/>
      <c r="IM227" s="222"/>
      <c r="IN227" s="222"/>
      <c r="IR227" s="844"/>
    </row>
    <row r="228" customFormat="false" ht="13.5" hidden="false" customHeight="false" outlineLevel="0" collapsed="false">
      <c r="A228" s="0" t="str">
        <f aca="false">+D228&amp;"Q"&amp;ROUNDUP(E228/3,0)</f>
        <v>2017Q3</v>
      </c>
      <c r="B228" s="0" t="n">
        <f aca="false">YEAR(C228)</f>
        <v>2017</v>
      </c>
      <c r="C228" s="1153" t="n">
        <f aca="false">EOMONTH(C227,0)+1</f>
        <v>42948</v>
      </c>
      <c r="D228" s="841" t="n">
        <f aca="false">+YEAR(C228)</f>
        <v>2017</v>
      </c>
      <c r="E228" s="807" t="n">
        <f aca="false">MONTH(C228)</f>
        <v>8</v>
      </c>
      <c r="F228" s="1154" t="e">
        <f aca="false">IF(G228="","",Holiday(D228,E228))</f>
        <v>#VALUE!</v>
      </c>
      <c r="G228" s="1155" t="n">
        <v>42948</v>
      </c>
      <c r="H228" s="1156" t="n">
        <v>42978</v>
      </c>
      <c r="I228" s="1157" t="n">
        <f aca="false">I227</f>
        <v>0.0715</v>
      </c>
      <c r="J228" s="1158" t="n">
        <f aca="false">(1+I228/2)^(-2*(DATE(D229,E229,20)-$H$7)/365.25)</f>
        <v>0.287054284321939</v>
      </c>
      <c r="K228" s="1159"/>
      <c r="L228" s="1158"/>
      <c r="M228" s="1082" t="n">
        <v>0</v>
      </c>
      <c r="N228" s="1110" t="n">
        <f aca="false">M228</f>
        <v>0</v>
      </c>
      <c r="O228" s="1174" t="n">
        <f aca="false">N228</f>
        <v>0</v>
      </c>
      <c r="P228" s="1175" t="n">
        <f aca="false">M228</f>
        <v>0</v>
      </c>
      <c r="Q228" s="1110" t="n">
        <f aca="false">P228</f>
        <v>0</v>
      </c>
      <c r="R228" s="1174" t="n">
        <f aca="false">Q228</f>
        <v>0</v>
      </c>
      <c r="S228" s="1110" t="n">
        <f aca="false">R228</f>
        <v>0</v>
      </c>
      <c r="T228" s="1110" t="n">
        <f aca="false">S228</f>
        <v>0</v>
      </c>
      <c r="U228" s="1110" t="n">
        <f aca="false">T228</f>
        <v>0</v>
      </c>
      <c r="V228" s="1175" t="n">
        <f aca="false">U228</f>
        <v>0</v>
      </c>
      <c r="W228" s="1110" t="n">
        <f aca="false">V228</f>
        <v>0</v>
      </c>
      <c r="X228" s="1176" t="n">
        <f aca="false">W228</f>
        <v>0</v>
      </c>
      <c r="Y228" s="1086" t="n">
        <v>0</v>
      </c>
      <c r="Z228" s="1086" t="n">
        <v>0</v>
      </c>
      <c r="AA228" s="1087" t="n">
        <v>0</v>
      </c>
      <c r="AB228" s="1086" t="n">
        <v>0</v>
      </c>
      <c r="AC228" s="1086" t="n">
        <v>0</v>
      </c>
      <c r="AD228" s="1087" t="n">
        <v>0</v>
      </c>
      <c r="AE228" s="1086" t="n">
        <v>0</v>
      </c>
      <c r="AF228" s="1086" t="n">
        <v>0</v>
      </c>
      <c r="AG228" s="1087" t="n">
        <v>0</v>
      </c>
      <c r="AH228" s="1086" t="n">
        <v>0</v>
      </c>
      <c r="AI228" s="1086" t="n">
        <v>0</v>
      </c>
      <c r="AJ228" s="1087" t="n">
        <v>0</v>
      </c>
      <c r="AK228" s="1086" t="n">
        <v>0</v>
      </c>
      <c r="AL228" s="1086" t="n">
        <v>0</v>
      </c>
      <c r="AM228" s="1087" t="n">
        <v>0</v>
      </c>
      <c r="AN228" s="1086" t="n">
        <v>0</v>
      </c>
      <c r="AO228" s="1086" t="n">
        <v>0</v>
      </c>
      <c r="AP228" s="1087" t="n">
        <v>0</v>
      </c>
      <c r="AQ228" s="1086" t="n">
        <v>0</v>
      </c>
      <c r="AR228" s="1086" t="n">
        <v>0</v>
      </c>
      <c r="AS228" s="1087" t="n">
        <v>0</v>
      </c>
      <c r="AT228" s="1086" t="n">
        <v>0</v>
      </c>
      <c r="AU228" s="1086" t="n">
        <v>0</v>
      </c>
      <c r="AV228" s="1086" t="n">
        <v>0</v>
      </c>
      <c r="AW228" s="1172" t="n">
        <v>0</v>
      </c>
      <c r="AX228" s="807" t="n">
        <f aca="false">BB228-SUM(AY228:BA228)</f>
        <v>23</v>
      </c>
      <c r="AY228" s="807" t="n">
        <f aca="false">IF(AND($E228=MONTH(Summary!$E$24),$D228=YEAR(Summary!$E$24)),Summary!$E$25,1)*IF(G228="",0,INT((H228-MOD(H228,7)-G228)/7)+1-IF(BA228,IF(WEEKDAY(F228)=7,1,0),0))</f>
        <v>4</v>
      </c>
      <c r="AZ228" s="807" t="n">
        <f aca="false">IF(AND($E228=MONTH(Summary!$E$24),$D228=YEAR(Summary!$E$24)),Summary!$E$25,1)*IF(G228="",0,INT((H228-MOD(H228-1,7)-G228)/7)+1-IF(BA228,IF(WEEKDAY(F228)=1,1,0),0))</f>
        <v>4</v>
      </c>
      <c r="BA228" s="807" t="n">
        <v>0</v>
      </c>
      <c r="BB228" s="807" t="n">
        <f aca="false">IF(AND($E228=MONTH(Summary!$E$24),$D228=YEAR(Summary!$E$24)),Summary!$E$25,1)*IF(G228="",0,H228-G228+1)</f>
        <v>31</v>
      </c>
      <c r="BC228" s="1089" t="n">
        <f aca="false">Summary!$E$19</f>
        <v>0.015</v>
      </c>
      <c r="BD228" s="1090" t="n">
        <v>16311.6</v>
      </c>
      <c r="BE228" s="1091" t="n">
        <v>2836.8</v>
      </c>
      <c r="BF228" s="1091" t="n">
        <v>2836.8</v>
      </c>
      <c r="BG228" s="842"/>
      <c r="BH228" s="1092" t="n">
        <v>1</v>
      </c>
      <c r="BI228" s="1092" t="n">
        <v>1</v>
      </c>
      <c r="BJ228" s="1092" t="n">
        <v>1</v>
      </c>
      <c r="BK228" s="1092" t="n">
        <v>1</v>
      </c>
      <c r="BL228" s="1093" t="n">
        <v>3262.32</v>
      </c>
      <c r="BM228" s="1091" t="n">
        <v>567.36</v>
      </c>
      <c r="BN228" s="1091" t="n">
        <v>567.36</v>
      </c>
      <c r="BO228" s="842"/>
      <c r="BP228" s="1092" t="n">
        <v>1</v>
      </c>
      <c r="BQ228" s="1094" t="n">
        <v>1</v>
      </c>
      <c r="BR228" s="1094" t="n">
        <v>1</v>
      </c>
      <c r="BS228" s="1095" t="n">
        <v>1</v>
      </c>
      <c r="BT228" s="1093" t="n">
        <f aca="false">SUM(BD228:BF228)</f>
        <v>21985.2</v>
      </c>
      <c r="BU228" s="1098" t="n">
        <f aca="false">SUM(BD228:BG228)</f>
        <v>21985.2</v>
      </c>
      <c r="BV228" s="1090" t="n">
        <f aca="false">SUM(BL228:BN228)</f>
        <v>4397.04</v>
      </c>
      <c r="BW228" s="1098" t="n">
        <f aca="false">SUM(BL228:BO228)</f>
        <v>4397.04</v>
      </c>
      <c r="BX228" s="852" t="n">
        <v>17.6290212183436</v>
      </c>
      <c r="BY228" s="1099" t="n">
        <v>0</v>
      </c>
      <c r="BZ228" s="852" t="n">
        <v>0</v>
      </c>
      <c r="CA228" s="852" t="n">
        <v>0</v>
      </c>
      <c r="CB228" s="852" t="n">
        <v>0</v>
      </c>
      <c r="CC228" s="852" t="n">
        <v>0</v>
      </c>
      <c r="CD228" s="852" t="n">
        <v>0</v>
      </c>
      <c r="CE228" s="1100" t="n">
        <v>0</v>
      </c>
      <c r="CF228" s="852" t="n">
        <v>0</v>
      </c>
      <c r="CG228" s="852" t="n">
        <v>0</v>
      </c>
      <c r="CH228" s="852" t="n">
        <v>0</v>
      </c>
      <c r="CI228" s="852" t="n">
        <v>0</v>
      </c>
      <c r="CJ228" s="1101" t="n">
        <v>0</v>
      </c>
      <c r="CK228" s="852" t="n">
        <v>0</v>
      </c>
      <c r="CL228" s="852" t="n">
        <v>0</v>
      </c>
      <c r="CM228" s="852" t="n">
        <v>0</v>
      </c>
      <c r="CN228" s="852" t="n">
        <v>0</v>
      </c>
      <c r="CO228" s="852" t="n">
        <v>0</v>
      </c>
      <c r="CP228" s="852" t="n">
        <v>0</v>
      </c>
      <c r="CQ228" s="1102" t="n">
        <v>0</v>
      </c>
      <c r="CR228" s="1103" t="n">
        <v>0</v>
      </c>
      <c r="CS228" s="1103" t="n">
        <v>0</v>
      </c>
      <c r="CT228" s="1103" t="n">
        <v>0</v>
      </c>
      <c r="CU228" s="1103" t="n">
        <v>0</v>
      </c>
      <c r="CV228" s="1103" t="n">
        <v>0</v>
      </c>
      <c r="CW228" s="1103" t="n">
        <v>0</v>
      </c>
      <c r="CX228" s="1104" t="n">
        <v>0</v>
      </c>
      <c r="CY228" s="1105" t="n">
        <v>7704.6192</v>
      </c>
      <c r="CZ228" s="1099" t="n">
        <v>0</v>
      </c>
      <c r="DA228" s="852" t="n">
        <v>0</v>
      </c>
      <c r="DB228" s="852" t="n">
        <v>0</v>
      </c>
      <c r="DC228" s="852" t="n">
        <v>0</v>
      </c>
      <c r="DD228" s="852" t="n">
        <v>0</v>
      </c>
      <c r="DE228" s="1113" t="n">
        <v>0</v>
      </c>
      <c r="DF228" s="1109" t="n">
        <v>0</v>
      </c>
      <c r="DG228" s="1110" t="n">
        <v>0</v>
      </c>
      <c r="DH228" s="1111" t="n">
        <v>0</v>
      </c>
      <c r="DI228" s="1112" t="n">
        <v>0</v>
      </c>
      <c r="DJ228" s="1112" t="n">
        <v>0</v>
      </c>
      <c r="DK228" s="1112" t="n">
        <v>0</v>
      </c>
      <c r="DL228" s="1113" t="n">
        <v>0</v>
      </c>
      <c r="DM228" s="1114" t="n">
        <v>0</v>
      </c>
      <c r="DN228" s="1114" t="n">
        <v>0</v>
      </c>
      <c r="DO228" s="1114" t="n">
        <v>0</v>
      </c>
      <c r="DP228" s="1114" t="n">
        <v>0</v>
      </c>
      <c r="DQ228" s="1114" t="n">
        <v>0</v>
      </c>
      <c r="DR228" s="1109" t="n">
        <v>0</v>
      </c>
      <c r="DS228" s="852" t="n">
        <v>0</v>
      </c>
      <c r="DT228" s="852" t="n">
        <v>0</v>
      </c>
      <c r="DU228" s="852" t="n">
        <v>0</v>
      </c>
      <c r="DV228" s="852" t="n">
        <v>0</v>
      </c>
      <c r="DW228" s="852" t="n">
        <v>0</v>
      </c>
      <c r="DX228" s="852" t="n">
        <v>0</v>
      </c>
      <c r="DY228" s="852" t="n">
        <v>0</v>
      </c>
      <c r="DZ228" s="852" t="n">
        <v>0</v>
      </c>
      <c r="EA228" s="852" t="n">
        <v>0</v>
      </c>
      <c r="EB228" s="1113" t="n">
        <v>0</v>
      </c>
      <c r="EC228" s="1115" t="n">
        <f aca="false">DS228*BD228</f>
        <v>0</v>
      </c>
      <c r="ED228" s="1115" t="n">
        <f aca="false">DT228*BE228</f>
        <v>0</v>
      </c>
      <c r="EE228" s="1115" t="n">
        <f aca="false">DU228*BF228</f>
        <v>0</v>
      </c>
      <c r="EF228" s="1115" t="n">
        <f aca="false">DV228*BG228</f>
        <v>0</v>
      </c>
      <c r="EG228" s="1115" t="n">
        <f aca="false">DS228*BD228+DT228*BE228+DU228*BF228+DV228*BG228</f>
        <v>0</v>
      </c>
      <c r="EH228" s="1116" t="n">
        <v>0</v>
      </c>
      <c r="EI228" s="1117" t="n">
        <v>0</v>
      </c>
      <c r="EJ228" s="1117" t="n">
        <v>0</v>
      </c>
      <c r="EK228" s="1117" t="n">
        <v>0</v>
      </c>
      <c r="EL228" s="1118" t="n">
        <f aca="false">IF(C228&gt;=Summary!$E$26,MAX(0,SUM(EH228:EK228)),0)</f>
        <v>0</v>
      </c>
      <c r="EM228" s="1115" t="n">
        <f aca="false">IF(C228&gt;=Summary!$E$26,DX228*BL228,0)</f>
        <v>0</v>
      </c>
      <c r="EN228" s="1115" t="n">
        <f aca="false">IF(C228&gt;=Summary!$E$26,DY228*BM228,0)</f>
        <v>0</v>
      </c>
      <c r="EO228" s="1115" t="n">
        <f aca="false">IF(C228&gt;=Summary!$E$26,DZ228*BN228,0)</f>
        <v>0</v>
      </c>
      <c r="EP228" s="1115" t="n">
        <f aca="false">IF(C228&gt;=Summary!$E$26,EA228*BO228,0)</f>
        <v>0</v>
      </c>
      <c r="EQ228" s="1115" t="n">
        <f aca="false">IF(C228&gt;=Summary!$E$26,DX228*BL228+DY228*BM228+DZ228*BN228+EA228*BO228,0)</f>
        <v>0</v>
      </c>
      <c r="ER228" s="1119" t="n">
        <v>0</v>
      </c>
      <c r="ES228" s="1120" t="n">
        <v>0</v>
      </c>
      <c r="ET228" s="1120" t="n">
        <v>0</v>
      </c>
      <c r="EU228" s="1120" t="n">
        <v>0</v>
      </c>
      <c r="EV228" s="1143" t="n">
        <f aca="false">IF(C228&gt;=Summary!$E$26,MAX(0,SUM(ER228:EU228)),0)</f>
        <v>0</v>
      </c>
      <c r="EW228" s="1115"/>
      <c r="EX228" s="1165" t="n">
        <f aca="false">(EQ228-EV228)+IF(EZ228="Yes",(EG228-EL228),0)</f>
        <v>0</v>
      </c>
      <c r="EY228" s="1166" t="str">
        <f aca="false">IF(EX228,EX228/EQ228,"")</f>
        <v/>
      </c>
      <c r="EZ228" s="1122" t="s">
        <v>37</v>
      </c>
      <c r="FA228" s="1096" t="n">
        <f aca="false">FA227</f>
        <v>45</v>
      </c>
      <c r="FB228" s="1167" t="n">
        <f aca="false">IF(EZ228="No",IF((OR(MONTH(C228)=5,MONTH(C228)=6,MONTH(C228)=7,MONTH(C228)=8,MONTH(C228)=9)),$FA228*12*AX228*(1-$BC228),$FA228*10*AX228*(1-$BC228)),0)</f>
        <v>12233.7</v>
      </c>
      <c r="FC228" s="1129" t="n">
        <f aca="false">IF(EZ228="No",IF((OR(MONTH(C228)=5,MONTH(C228)=6,MONTH(C228)=7,MONTH(C228)=8,MONTH(C228)=9)),0,$FA228*3*AX228*(1-$BC228)),0)</f>
        <v>0</v>
      </c>
      <c r="FD228" s="1129" t="n">
        <f aca="false">IF(EZ228="No",IF((OR(MONTH(C228)=5,MONTH(C228)=6,MONTH(C228)=7,MONTH(C228)=8,MONTH(C228)=9)),$FA228*12*AY228*(1-$BC228),$FA228*10*AY228*(1-$BC228)),0)</f>
        <v>2127.6</v>
      </c>
      <c r="FE228" s="1129" t="n">
        <f aca="false">IF(EZ228="No",IF((OR(MONTH(C228)=5,MONTH(C228)=6,MONTH(C228)=7,MONTH(C228)=8,MONTH(C228)=9)),0,$FA228*3*AY228*(1-$BC228)),0)</f>
        <v>0</v>
      </c>
      <c r="FF228" s="1129" t="n">
        <f aca="false">IF(EZ228="No",IF((OR(MONTH(C228)=5,MONTH(C228)=6,MONTH(C228)=7,MONTH(C228)=8,MONTH(C228)=9)),$FA228*12*(AZ228+BA228)*(1-$BC228),$FA228*10*(AZ228+BA228)*(1-$BC228)),0)</f>
        <v>2127.6</v>
      </c>
      <c r="FG228" s="1129" t="n">
        <f aca="false">IF(EZ228="No",IF((OR(MONTH(C228)=5,MONTH(C228)=6,MONTH(C228)=7,MONTH(C228)=8,MONTH(C228)=9)),0,$FA228*3*(AZ228+BA228)*(1-$BC228)),0)</f>
        <v>0</v>
      </c>
      <c r="FH228" s="1170" t="n">
        <f aca="false">IF(EZ228="No",IF((OR(MONTH(C228)=5,MONTH(C228)=6,MONTH(C228)=7,MONTH(C228)=8,MONTH(C228)=9)),Summary!$O$15*12*(AX228+AY228+AZ228+BA228)*(1-$BC228),Summary!$O$15*13*(AX228+AY228+AZ228+BA228)*(1-$BC228)+IF(Summary!$O$16="Yes",(CALC!FA228+Summary!$O$15)*6*(AX228+AY228+AZ228+BA228)*(1-$BC228),0)),0)</f>
        <v>0</v>
      </c>
      <c r="FI228" s="1126" t="n">
        <f aca="false">IF(MONTH(C228)=5,FI227*(IF(Summary!$E$70="no",(1+(Summary!$E$71*0.8)),1+HLOOKUP(YEAR(C228)-1,CCFMODEL!$I$127:$AF$128,2)*0.8)),+FI227)</f>
        <v>40.7683271086151</v>
      </c>
      <c r="FJ228" s="1127" t="n">
        <f aca="false">IF(MONTH(C228)=5,FJ227*(IF(Summary!$E$70="no",(1+(Summary!$E$71*0.8)),1+HLOOKUP(YEAR(CALC!C228)-1,CCFMODEL!$I$127:$AF$128,2)*0.8)),FJ227)</f>
        <v>35.632159913829</v>
      </c>
      <c r="FK228" s="1128" t="n">
        <f aca="false">SUM(FB228:FG228)*FI228+FH228*FJ228</f>
        <v>672224.868861244</v>
      </c>
      <c r="FL228" s="1126" t="n">
        <f aca="false">IF(MONTH(C228)=5,FL227*(IF(Summary!$E$70="no",(1+(Summary!$E$71*0.8)),1+HLOOKUP(YEAR(CALC!C228)-1,CCFMODEL!$I$127:$AF$128,2)*0.8)),+FL227)</f>
        <v>85.7403624867725</v>
      </c>
      <c r="FM228" s="1127" t="n">
        <f aca="false">IF(MONTH(C228)=5,FM227*(IF(Summary!$E$70="no",(1+(Summary!$E$71*0.8)),1+HLOOKUP(YEAR(CALC!C228)-1,CCFMODEL!$I$127:$AF$128,2)*0.8)),+FM227)</f>
        <v>40.9211892275076</v>
      </c>
      <c r="FN228" s="1128" t="n">
        <f aca="false">IF((OR(MONTH(C228)=5,MONTH(C228)=6,MONTH(C228)=7,MONTH(C228)=8,MONTH(C228)=9)),SUM(FB228:FG228)/(1-BC228)*FL228,SUM(FB228:FG228)/(1-BC228)*FM228)</f>
        <v>1435293.66802857</v>
      </c>
      <c r="FO228" s="1129" t="n">
        <f aca="false">FK228+FN228</f>
        <v>2107518.53688982</v>
      </c>
      <c r="FP228" s="1169" t="n">
        <f aca="false">FB228</f>
        <v>12233.7</v>
      </c>
      <c r="FQ228" s="1129" t="n">
        <f aca="false">FC228</f>
        <v>0</v>
      </c>
      <c r="FR228" s="1129" t="n">
        <f aca="false">FD228</f>
        <v>2127.6</v>
      </c>
      <c r="FS228" s="1129" t="n">
        <f aca="false">FE228</f>
        <v>0</v>
      </c>
      <c r="FT228" s="1129" t="n">
        <f aca="false">FF228</f>
        <v>2127.6</v>
      </c>
      <c r="FU228" s="1129" t="n">
        <f aca="false">FG228</f>
        <v>0</v>
      </c>
      <c r="FV228" s="1170" t="n">
        <f aca="false">FH228</f>
        <v>0</v>
      </c>
      <c r="FW228" s="1115" t="n">
        <f aca="false">IF(ER228&gt;0,MIN(FB228-FP228,BL228),0)</f>
        <v>0</v>
      </c>
      <c r="FX228" s="1115" t="n">
        <f aca="false">IF(ES228&gt;0,MIN(FD228-FR228,BM228),0)</f>
        <v>0</v>
      </c>
      <c r="FY228" s="1115" t="n">
        <f aca="false">IF(ET228&gt;0,MIN(FF228-FT228,BN228),0)</f>
        <v>0</v>
      </c>
      <c r="FZ228" s="1143" t="n">
        <f aca="false">IF(EU228&gt;0,MIN(FH228-FV228,BO228),0)</f>
        <v>0</v>
      </c>
      <c r="GA228" s="1132" t="n">
        <f aca="false">(SUM(FP228:FV228)+SUM(GU228:HB228)/(1-Summary!$O$25))*CY228/1000</f>
        <v>203265.112843008</v>
      </c>
      <c r="GB228" s="1133" t="n">
        <f aca="false">IF($C228&lt;Summary!$M$81,+Summary!$O$81,VLOOKUP(C228,GasTable,19))</f>
        <v>3.69605569588168</v>
      </c>
      <c r="GC228" s="1134" t="n">
        <f aca="false">IF(H228&lt;=Summary!$N$84,MIN(GA228,Summary!$O$75*(H228-G228+1)),0)</f>
        <v>0</v>
      </c>
      <c r="GD228" s="1135" t="n">
        <f aca="false">IF(C228&lt;Summary!$N$84,IF(Summary!$O$75*(H228-G228+1)*0.8&gt;GC228,1,0),0)</f>
        <v>0</v>
      </c>
      <c r="GE228" s="1136" t="n">
        <v>0</v>
      </c>
      <c r="GF228" s="1134" t="n">
        <f aca="false">ABS(MIN(0,GC228-$GA228))</f>
        <v>203265.112843008</v>
      </c>
      <c r="GG228" s="1135" t="n">
        <f aca="false">GF228*(IF(Summary!$O$74=1,VLOOKUP($C228,GasTable,16)+Summary!$O$92+Summary!$O$93,VLOOKUP($C228,GasTable,19)+Summary!$O$92+Summary!$O$93))</f>
        <v>761869.290476553</v>
      </c>
      <c r="GH228" s="1137" t="n">
        <v>5728.8863286166</v>
      </c>
      <c r="GI228" s="1138" t="n">
        <v>0</v>
      </c>
      <c r="GJ228" s="1139" t="n">
        <f aca="false">+GB228*GC228+GE228+GG228+GH228-GI228</f>
        <v>767598.176805169</v>
      </c>
      <c r="GK228" s="1115" t="n">
        <f aca="false">SUM(FP228:FV228,GU228:GX228,GY228:HB228)</f>
        <v>26035.9731</v>
      </c>
      <c r="GL228" s="1140" t="n">
        <v>0.5162094864</v>
      </c>
      <c r="GM228" s="1141" t="n">
        <f aca="false">IF(GK228&gt;GC228/(CY228/1000),GC228/(CY228/1000),+GK228)*GL228</f>
        <v>0</v>
      </c>
      <c r="GN228" s="1115" t="n">
        <f aca="false">IF(SUM(GU228:HB228)=0,0,IF(Summary!$O$16="Yes",SUM(GX228:HB228),IF(Summary!$O$17="Yes",SUM(GY228:HB228),SUM(GU228:HB228))))</f>
        <v>9547.0731</v>
      </c>
      <c r="GO228" s="1142" t="n">
        <v>3.93299316702503</v>
      </c>
      <c r="GP228" s="1143" t="n">
        <f aca="false">GN228*GO228</f>
        <v>37548.5732673885</v>
      </c>
      <c r="GQ228" s="1115"/>
      <c r="GR228" s="1115"/>
      <c r="GS228" s="1115"/>
      <c r="GT228" s="1115"/>
      <c r="GU228" s="1150" t="n">
        <v>3935.1735</v>
      </c>
      <c r="GV228" s="1115" t="n">
        <v>684.378</v>
      </c>
      <c r="GW228" s="1115" t="n">
        <v>684.378</v>
      </c>
      <c r="GX228" s="1115"/>
      <c r="GY228" s="1151" t="n">
        <v>3148.1388</v>
      </c>
      <c r="GZ228" s="1115" t="n">
        <v>547.5024</v>
      </c>
      <c r="HA228" s="1115" t="n">
        <v>547.5024</v>
      </c>
      <c r="HB228" s="1141"/>
      <c r="HC228" s="1115" t="n">
        <v>9547.0731</v>
      </c>
      <c r="HD228" s="1115"/>
      <c r="HE228" s="1115" t="n">
        <v>22276.5039</v>
      </c>
      <c r="HF228" s="1115" t="n">
        <v>669337.853361268</v>
      </c>
      <c r="HG228" s="1115"/>
      <c r="HH228" s="1142" t="n">
        <v>73.8182415137591</v>
      </c>
      <c r="HI228" s="1115" t="n">
        <v>1644412.3449724</v>
      </c>
      <c r="HJ228" s="1150" t="n">
        <f aca="false">MAX(FB228-FP228-FW228,0)</f>
        <v>0</v>
      </c>
      <c r="HK228" s="1115" t="n">
        <f aca="false">MAX(FD228-FR228-FX228,0)</f>
        <v>0</v>
      </c>
      <c r="HL228" s="1115" t="n">
        <f aca="false">MAX(FF228-FT228-FY228,0)</f>
        <v>0</v>
      </c>
      <c r="HM228" s="1141" t="n">
        <f aca="false">MAX(FH228-FV228-FZ228,0)</f>
        <v>0</v>
      </c>
      <c r="HN228" s="1115" t="n">
        <f aca="false">SUM(HJ228:HM228)</f>
        <v>0</v>
      </c>
      <c r="HO228" s="1142" t="n">
        <f aca="false">IF(ISERROR(+HP228/HN228),0,+HP228/HN228)</f>
        <v>0</v>
      </c>
      <c r="HP228" s="1143" t="n">
        <f aca="false">(HJ228*CE228+HK228*CF228+HL228*CG228+HM228*CH228)</f>
        <v>0</v>
      </c>
      <c r="HQ228" s="1142"/>
      <c r="HR228" s="1150"/>
      <c r="HS228" s="1200"/>
      <c r="HT228" s="1141"/>
      <c r="HU228" s="1150"/>
      <c r="HV228" s="1200"/>
      <c r="HW228" s="1141"/>
      <c r="HX228" s="1200"/>
      <c r="HY228" s="1200"/>
      <c r="HZ228" s="0"/>
      <c r="IA228" s="1142"/>
      <c r="IB228" s="1142"/>
      <c r="IC228" s="1142"/>
      <c r="ID228" s="1142"/>
      <c r="IE228" s="1142"/>
      <c r="IF228" s="1142"/>
      <c r="IG228" s="1142"/>
      <c r="IH228" s="1142"/>
      <c r="II228" s="1142"/>
      <c r="IJ228" s="1142"/>
      <c r="IK228" s="1142"/>
      <c r="IL228" s="1190"/>
      <c r="IM228" s="222"/>
      <c r="IN228" s="222"/>
      <c r="IR228" s="844"/>
    </row>
    <row r="229" customFormat="false" ht="13.5" hidden="false" customHeight="false" outlineLevel="0" collapsed="false">
      <c r="A229" s="0" t="str">
        <f aca="false">+D229&amp;"Q"&amp;ROUNDUP(E229/3,0)</f>
        <v>2017Q3</v>
      </c>
      <c r="B229" s="0" t="n">
        <f aca="false">YEAR(C229)</f>
        <v>2017</v>
      </c>
      <c r="C229" s="1153" t="n">
        <f aca="false">EOMONTH(C228,0)+1</f>
        <v>42979</v>
      </c>
      <c r="D229" s="841" t="n">
        <f aca="false">+YEAR(C229)</f>
        <v>2017</v>
      </c>
      <c r="E229" s="807" t="n">
        <f aca="false">MONTH(C229)</f>
        <v>9</v>
      </c>
      <c r="F229" s="1154" t="e">
        <f aca="false">IF(G229="","",Holiday(D229,E229))</f>
        <v>#VALUE!</v>
      </c>
      <c r="G229" s="1155" t="n">
        <v>42979</v>
      </c>
      <c r="H229" s="1156" t="n">
        <v>43008</v>
      </c>
      <c r="I229" s="1157" t="n">
        <f aca="false">I228</f>
        <v>0.0715</v>
      </c>
      <c r="J229" s="1158" t="n">
        <f aca="false">(1+I229/2)^(-2*(DATE(D230,E230,20)-$H$7)/365.25)</f>
        <v>0.285402706899149</v>
      </c>
      <c r="K229" s="1159"/>
      <c r="L229" s="1158"/>
      <c r="M229" s="1082" t="n">
        <v>0</v>
      </c>
      <c r="N229" s="1110" t="n">
        <f aca="false">M229</f>
        <v>0</v>
      </c>
      <c r="O229" s="1174" t="n">
        <f aca="false">N229</f>
        <v>0</v>
      </c>
      <c r="P229" s="1175" t="n">
        <f aca="false">M229</f>
        <v>0</v>
      </c>
      <c r="Q229" s="1110" t="n">
        <f aca="false">P229</f>
        <v>0</v>
      </c>
      <c r="R229" s="1174" t="n">
        <f aca="false">Q229</f>
        <v>0</v>
      </c>
      <c r="S229" s="1110" t="n">
        <f aca="false">R229</f>
        <v>0</v>
      </c>
      <c r="T229" s="1110" t="n">
        <f aca="false">S229</f>
        <v>0</v>
      </c>
      <c r="U229" s="1110" t="n">
        <f aca="false">T229</f>
        <v>0</v>
      </c>
      <c r="V229" s="1175" t="n">
        <f aca="false">U229</f>
        <v>0</v>
      </c>
      <c r="W229" s="1110" t="n">
        <f aca="false">V229</f>
        <v>0</v>
      </c>
      <c r="X229" s="1176" t="n">
        <f aca="false">W229</f>
        <v>0</v>
      </c>
      <c r="Y229" s="1086" t="n">
        <v>0</v>
      </c>
      <c r="Z229" s="1086" t="n">
        <v>0</v>
      </c>
      <c r="AA229" s="1087" t="n">
        <v>0</v>
      </c>
      <c r="AB229" s="1086" t="n">
        <v>0</v>
      </c>
      <c r="AC229" s="1086" t="n">
        <v>0</v>
      </c>
      <c r="AD229" s="1087" t="n">
        <v>0</v>
      </c>
      <c r="AE229" s="1086" t="n">
        <v>0</v>
      </c>
      <c r="AF229" s="1086" t="n">
        <v>0</v>
      </c>
      <c r="AG229" s="1087" t="n">
        <v>0</v>
      </c>
      <c r="AH229" s="1086" t="n">
        <v>0</v>
      </c>
      <c r="AI229" s="1086" t="n">
        <v>0</v>
      </c>
      <c r="AJ229" s="1087" t="n">
        <v>0</v>
      </c>
      <c r="AK229" s="1086" t="n">
        <v>0</v>
      </c>
      <c r="AL229" s="1086" t="n">
        <v>0</v>
      </c>
      <c r="AM229" s="1087" t="n">
        <v>0</v>
      </c>
      <c r="AN229" s="1086" t="n">
        <v>0</v>
      </c>
      <c r="AO229" s="1086" t="n">
        <v>0</v>
      </c>
      <c r="AP229" s="1087" t="n">
        <v>0</v>
      </c>
      <c r="AQ229" s="1086" t="n">
        <v>0</v>
      </c>
      <c r="AR229" s="1086" t="n">
        <v>0</v>
      </c>
      <c r="AS229" s="1087" t="n">
        <v>0</v>
      </c>
      <c r="AT229" s="1086" t="n">
        <v>0</v>
      </c>
      <c r="AU229" s="1086" t="n">
        <v>0</v>
      </c>
      <c r="AV229" s="1086" t="n">
        <v>0</v>
      </c>
      <c r="AW229" s="1172" t="n">
        <v>0</v>
      </c>
      <c r="AX229" s="807" t="e">
        <f aca="false">BB229-SUM(AY229:BA229)</f>
        <v>#VALUE!</v>
      </c>
      <c r="AY229" s="807" t="e">
        <f aca="false">IF(AND($E229=MONTH(Summary!$E$24),$D229=YEAR(Summary!$E$24)),Summary!$E$25,1)*IF(G229="",0,INT((H229-MOD(H229,7)-G229)/7)+1-IF(BA229,IF(WEEKDAY(F229)=7,1,0),0))</f>
        <v>#VALUE!</v>
      </c>
      <c r="AZ229" s="807" t="e">
        <f aca="false">IF(AND($E229=MONTH(Summary!$E$24),$D229=YEAR(Summary!$E$24)),Summary!$E$25,1)*IF(G229="",0,INT((H229-MOD(H229-1,7)-G229)/7)+1-IF(BA229,IF(WEEKDAY(F229)=1,1,0),0))</f>
        <v>#VALUE!</v>
      </c>
      <c r="BA229" s="807" t="n">
        <v>1</v>
      </c>
      <c r="BB229" s="807" t="n">
        <f aca="false">IF(AND($E229=MONTH(Summary!$E$24),$D229=YEAR(Summary!$E$24)),Summary!$E$25,1)*IF(G229="",0,H229-G229+1)</f>
        <v>30</v>
      </c>
      <c r="BC229" s="1089" t="n">
        <f aca="false">Summary!$E$19</f>
        <v>0.015</v>
      </c>
      <c r="BD229" s="1090" t="n">
        <v>14184</v>
      </c>
      <c r="BE229" s="1091" t="n">
        <v>3546</v>
      </c>
      <c r="BF229" s="1091" t="n">
        <v>3546</v>
      </c>
      <c r="BG229" s="842"/>
      <c r="BH229" s="1092" t="n">
        <v>1</v>
      </c>
      <c r="BI229" s="1092" t="n">
        <v>1</v>
      </c>
      <c r="BJ229" s="1092" t="n">
        <v>1</v>
      </c>
      <c r="BK229" s="1092" t="n">
        <v>1</v>
      </c>
      <c r="BL229" s="1093" t="n">
        <v>2836.8</v>
      </c>
      <c r="BM229" s="1091" t="n">
        <v>709.2</v>
      </c>
      <c r="BN229" s="1091" t="n">
        <v>709.2</v>
      </c>
      <c r="BO229" s="842"/>
      <c r="BP229" s="1092" t="n">
        <v>1</v>
      </c>
      <c r="BQ229" s="1094" t="n">
        <v>1</v>
      </c>
      <c r="BR229" s="1094" t="n">
        <v>1</v>
      </c>
      <c r="BS229" s="1095" t="n">
        <v>1</v>
      </c>
      <c r="BT229" s="1093" t="n">
        <f aca="false">SUM(BD229:BF229)</f>
        <v>21276</v>
      </c>
      <c r="BU229" s="1098" t="n">
        <f aca="false">SUM(BD229:BG229)</f>
        <v>21276</v>
      </c>
      <c r="BV229" s="1090" t="n">
        <f aca="false">SUM(BL229:BN229)</f>
        <v>4255.2</v>
      </c>
      <c r="BW229" s="1098" t="n">
        <f aca="false">SUM(BL229:BO229)</f>
        <v>4255.2</v>
      </c>
      <c r="BX229" s="852" t="n">
        <v>17.7138945927447</v>
      </c>
      <c r="BY229" s="1099" t="n">
        <v>0</v>
      </c>
      <c r="BZ229" s="852" t="n">
        <v>0</v>
      </c>
      <c r="CA229" s="852" t="n">
        <v>0</v>
      </c>
      <c r="CB229" s="852" t="n">
        <v>0</v>
      </c>
      <c r="CC229" s="852" t="n">
        <v>0</v>
      </c>
      <c r="CD229" s="852" t="n">
        <v>0</v>
      </c>
      <c r="CE229" s="1100" t="n">
        <v>0</v>
      </c>
      <c r="CF229" s="852" t="n">
        <v>0</v>
      </c>
      <c r="CG229" s="852" t="n">
        <v>0</v>
      </c>
      <c r="CH229" s="852" t="n">
        <v>0</v>
      </c>
      <c r="CI229" s="852" t="n">
        <v>0</v>
      </c>
      <c r="CJ229" s="1101" t="n">
        <v>0</v>
      </c>
      <c r="CK229" s="852" t="n">
        <v>0</v>
      </c>
      <c r="CL229" s="852" t="n">
        <v>0</v>
      </c>
      <c r="CM229" s="852" t="n">
        <v>0</v>
      </c>
      <c r="CN229" s="852" t="n">
        <v>0</v>
      </c>
      <c r="CO229" s="852" t="n">
        <v>0</v>
      </c>
      <c r="CP229" s="852" t="n">
        <v>0</v>
      </c>
      <c r="CQ229" s="1102" t="n">
        <v>0</v>
      </c>
      <c r="CR229" s="1103" t="n">
        <v>0</v>
      </c>
      <c r="CS229" s="1103" t="n">
        <v>0</v>
      </c>
      <c r="CT229" s="1103" t="n">
        <v>0</v>
      </c>
      <c r="CU229" s="1103" t="n">
        <v>0</v>
      </c>
      <c r="CV229" s="1103" t="n">
        <v>0</v>
      </c>
      <c r="CW229" s="1103" t="n">
        <v>0</v>
      </c>
      <c r="CX229" s="1104" t="n">
        <v>0</v>
      </c>
      <c r="CY229" s="1105" t="n">
        <v>7706.65016</v>
      </c>
      <c r="CZ229" s="1099" t="n">
        <v>0</v>
      </c>
      <c r="DA229" s="852" t="n">
        <v>0</v>
      </c>
      <c r="DB229" s="852" t="n">
        <v>0</v>
      </c>
      <c r="DC229" s="852" t="n">
        <v>0</v>
      </c>
      <c r="DD229" s="852" t="n">
        <v>0</v>
      </c>
      <c r="DE229" s="1113" t="n">
        <v>0</v>
      </c>
      <c r="DF229" s="1109" t="n">
        <v>0</v>
      </c>
      <c r="DG229" s="1110" t="n">
        <v>0</v>
      </c>
      <c r="DH229" s="1111" t="n">
        <v>0</v>
      </c>
      <c r="DI229" s="1112" t="n">
        <v>0</v>
      </c>
      <c r="DJ229" s="1112" t="n">
        <v>0</v>
      </c>
      <c r="DK229" s="1112" t="n">
        <v>0</v>
      </c>
      <c r="DL229" s="1113" t="n">
        <v>0</v>
      </c>
      <c r="DM229" s="1114" t="n">
        <v>0</v>
      </c>
      <c r="DN229" s="1114" t="n">
        <v>0</v>
      </c>
      <c r="DO229" s="1114" t="n">
        <v>0</v>
      </c>
      <c r="DP229" s="1114" t="n">
        <v>0</v>
      </c>
      <c r="DQ229" s="1114" t="n">
        <v>0</v>
      </c>
      <c r="DR229" s="1109" t="n">
        <v>0</v>
      </c>
      <c r="DS229" s="852" t="n">
        <v>0</v>
      </c>
      <c r="DT229" s="852" t="n">
        <v>0</v>
      </c>
      <c r="DU229" s="852" t="n">
        <v>0</v>
      </c>
      <c r="DV229" s="852" t="n">
        <v>0</v>
      </c>
      <c r="DW229" s="852" t="n">
        <v>0</v>
      </c>
      <c r="DX229" s="852" t="n">
        <v>0</v>
      </c>
      <c r="DY229" s="852" t="n">
        <v>0</v>
      </c>
      <c r="DZ229" s="852" t="n">
        <v>0</v>
      </c>
      <c r="EA229" s="852" t="n">
        <v>0</v>
      </c>
      <c r="EB229" s="1113" t="n">
        <v>0</v>
      </c>
      <c r="EC229" s="1115" t="n">
        <f aca="false">DS229*BD229</f>
        <v>0</v>
      </c>
      <c r="ED229" s="1115" t="n">
        <f aca="false">DT229*BE229</f>
        <v>0</v>
      </c>
      <c r="EE229" s="1115" t="n">
        <f aca="false">DU229*BF229</f>
        <v>0</v>
      </c>
      <c r="EF229" s="1115" t="n">
        <f aca="false">DV229*BG229</f>
        <v>0</v>
      </c>
      <c r="EG229" s="1115" t="n">
        <f aca="false">DS229*BD229+DT229*BE229+DU229*BF229+DV229*BG229</f>
        <v>0</v>
      </c>
      <c r="EH229" s="1116" t="n">
        <v>0</v>
      </c>
      <c r="EI229" s="1117" t="n">
        <v>0</v>
      </c>
      <c r="EJ229" s="1117" t="n">
        <v>0</v>
      </c>
      <c r="EK229" s="1117" t="n">
        <v>0</v>
      </c>
      <c r="EL229" s="1118" t="n">
        <f aca="false">IF(C229&gt;=Summary!$E$26,MAX(0,SUM(EH229:EK229)),0)</f>
        <v>0</v>
      </c>
      <c r="EM229" s="1115" t="n">
        <f aca="false">IF(C229&gt;=Summary!$E$26,DX229*BL229,0)</f>
        <v>0</v>
      </c>
      <c r="EN229" s="1115" t="n">
        <f aca="false">IF(C229&gt;=Summary!$E$26,DY229*BM229,0)</f>
        <v>0</v>
      </c>
      <c r="EO229" s="1115" t="n">
        <f aca="false">IF(C229&gt;=Summary!$E$26,DZ229*BN229,0)</f>
        <v>0</v>
      </c>
      <c r="EP229" s="1115" t="n">
        <f aca="false">IF(C229&gt;=Summary!$E$26,EA229*BO229,0)</f>
        <v>0</v>
      </c>
      <c r="EQ229" s="1115" t="n">
        <f aca="false">IF(C229&gt;=Summary!$E$26,DX229*BL229+DY229*BM229+DZ229*BN229+EA229*BO229,0)</f>
        <v>0</v>
      </c>
      <c r="ER229" s="1119" t="n">
        <v>0</v>
      </c>
      <c r="ES229" s="1120" t="n">
        <v>0</v>
      </c>
      <c r="ET229" s="1120" t="n">
        <v>0</v>
      </c>
      <c r="EU229" s="1120" t="n">
        <v>0</v>
      </c>
      <c r="EV229" s="1143" t="n">
        <f aca="false">IF(C229&gt;=Summary!$E$26,MAX(0,SUM(ER229:EU229)),0)</f>
        <v>0</v>
      </c>
      <c r="EW229" s="1115"/>
      <c r="EX229" s="1165" t="n">
        <f aca="false">(EQ229-EV229)+IF(EZ229="Yes",(EG229-EL229),0)</f>
        <v>0</v>
      </c>
      <c r="EY229" s="1166" t="str">
        <f aca="false">IF(EX229,EX229/EQ229,"")</f>
        <v/>
      </c>
      <c r="EZ229" s="1122" t="s">
        <v>37</v>
      </c>
      <c r="FA229" s="1096" t="n">
        <f aca="false">FA228</f>
        <v>45</v>
      </c>
      <c r="FB229" s="1167" t="e">
        <f aca="false">IF(EZ229="No",IF((OR(MONTH(C229)=5,MONTH(C229)=6,MONTH(C229)=7,MONTH(C229)=8,MONTH(C229)=9)),$FA229*12*AX229*(1-$BC229),$FA229*10*AX229*(1-$BC229)),0)</f>
        <v>#VALUE!</v>
      </c>
      <c r="FC229" s="1129" t="n">
        <f aca="false">IF(EZ229="No",IF((OR(MONTH(C229)=5,MONTH(C229)=6,MONTH(C229)=7,MONTH(C229)=8,MONTH(C229)=9)),0,$FA229*3*AX229*(1-$BC229)),0)</f>
        <v>0</v>
      </c>
      <c r="FD229" s="1129" t="e">
        <f aca="false">IF(EZ229="No",IF((OR(MONTH(C229)=5,MONTH(C229)=6,MONTH(C229)=7,MONTH(C229)=8,MONTH(C229)=9)),$FA229*12*AY229*(1-$BC229),$FA229*10*AY229*(1-$BC229)),0)</f>
        <v>#VALUE!</v>
      </c>
      <c r="FE229" s="1129" t="n">
        <f aca="false">IF(EZ229="No",IF((OR(MONTH(C229)=5,MONTH(C229)=6,MONTH(C229)=7,MONTH(C229)=8,MONTH(C229)=9)),0,$FA229*3*AY229*(1-$BC229)),0)</f>
        <v>0</v>
      </c>
      <c r="FF229" s="1129" t="e">
        <f aca="false">IF(EZ229="No",IF((OR(MONTH(C229)=5,MONTH(C229)=6,MONTH(C229)=7,MONTH(C229)=8,MONTH(C229)=9)),$FA229*12*(AZ229+BA229)*(1-$BC229),$FA229*10*(AZ229+BA229)*(1-$BC229)),0)</f>
        <v>#VALUE!</v>
      </c>
      <c r="FG229" s="1129" t="n">
        <f aca="false">IF(EZ229="No",IF((OR(MONTH(C229)=5,MONTH(C229)=6,MONTH(C229)=7,MONTH(C229)=8,MONTH(C229)=9)),0,$FA229*3*(AZ229+BA229)*(1-$BC229)),0)</f>
        <v>0</v>
      </c>
      <c r="FH229" s="1170" t="e">
        <f aca="false">IF(EZ229="No",IF((OR(MONTH(C229)=5,MONTH(C229)=6,MONTH(C229)=7,MONTH(C229)=8,MONTH(C229)=9)),Summary!$O$15*12*(AX229+AY229+AZ229+BA229)*(1-$BC229),Summary!$O$15*13*(AX229+AY229+AZ229+BA229)*(1-$BC229)+IF(Summary!$O$16="Yes",(CALC!FA229+Summary!$O$15)*6*(AX229+AY229+AZ229+BA229)*(1-$BC229),0)),0)</f>
        <v>#VALUE!</v>
      </c>
      <c r="FI229" s="1126" t="n">
        <f aca="false">IF(MONTH(C229)=5,FI228*(IF(Summary!$E$70="no",(1+(Summary!$E$71*0.8)),1+HLOOKUP(YEAR(C229)-1,CCFMODEL!$I$127:$AF$128,2)*0.8)),+FI228)</f>
        <v>40.7683271086151</v>
      </c>
      <c r="FJ229" s="1127" t="n">
        <f aca="false">IF(MONTH(C229)=5,FJ228*(IF(Summary!$E$70="no",(1+(Summary!$E$71*0.8)),1+HLOOKUP(YEAR(CALC!C229)-1,CCFMODEL!$I$127:$AF$128,2)*0.8)),FJ228)</f>
        <v>35.632159913829</v>
      </c>
      <c r="FK229" s="1128" t="e">
        <f aca="false">SUM(FB229:FG229)*FI229+FH229*FJ229</f>
        <v>#VALUE!</v>
      </c>
      <c r="FL229" s="1126" t="n">
        <f aca="false">IF(MONTH(C229)=5,FL228*(IF(Summary!$E$70="no",(1+(Summary!$E$71*0.8)),1+HLOOKUP(YEAR(CALC!C229)-1,CCFMODEL!$I$127:$AF$128,2)*0.8)),+FL228)</f>
        <v>85.7403624867725</v>
      </c>
      <c r="FM229" s="1127" t="n">
        <f aca="false">IF(MONTH(C229)=5,FM228*(IF(Summary!$E$70="no",(1+(Summary!$E$71*0.8)),1+HLOOKUP(YEAR(CALC!C229)-1,CCFMODEL!$I$127:$AF$128,2)*0.8)),+FM228)</f>
        <v>40.9211892275076</v>
      </c>
      <c r="FN229" s="1128" t="e">
        <f aca="false">IF((OR(MONTH(C229)=5,MONTH(C229)=6,MONTH(C229)=7,MONTH(C229)=8,MONTH(C229)=9)),SUM(FB229:FG229)/(1-BC229)*FL229,SUM(FB229:FG229)/(1-BC229)*FM229)</f>
        <v>#VALUE!</v>
      </c>
      <c r="FO229" s="1129" t="e">
        <f aca="false">FK229+FN229</f>
        <v>#VALUE!</v>
      </c>
      <c r="FP229" s="1169" t="e">
        <f aca="false">FB229</f>
        <v>#VALUE!</v>
      </c>
      <c r="FQ229" s="1129" t="n">
        <f aca="false">FC229</f>
        <v>0</v>
      </c>
      <c r="FR229" s="1129" t="e">
        <f aca="false">FD229</f>
        <v>#VALUE!</v>
      </c>
      <c r="FS229" s="1129" t="n">
        <f aca="false">FE229</f>
        <v>0</v>
      </c>
      <c r="FT229" s="1129" t="e">
        <f aca="false">FF229</f>
        <v>#VALUE!</v>
      </c>
      <c r="FU229" s="1129" t="n">
        <f aca="false">FG229</f>
        <v>0</v>
      </c>
      <c r="FV229" s="1170" t="e">
        <f aca="false">FH229</f>
        <v>#VALUE!</v>
      </c>
      <c r="FW229" s="1115" t="n">
        <f aca="false">IF(ER229&gt;0,MIN(FB229-FP229,BL229),0)</f>
        <v>0</v>
      </c>
      <c r="FX229" s="1115" t="n">
        <f aca="false">IF(ES229&gt;0,MIN(FD229-FR229,BM229),0)</f>
        <v>0</v>
      </c>
      <c r="FY229" s="1115" t="n">
        <f aca="false">IF(ET229&gt;0,MIN(FF229-FT229,BN229),0)</f>
        <v>0</v>
      </c>
      <c r="FZ229" s="1143" t="n">
        <f aca="false">IF(EU229&gt;0,MIN(FH229-FV229,BO229),0)</f>
        <v>0</v>
      </c>
      <c r="GA229" s="1132" t="e">
        <f aca="false">(SUM(FP229:FV229)+SUM(GU229:HB229)/(1-Summary!$O$25))*CY229/1000</f>
        <v>#VALUE!</v>
      </c>
      <c r="GB229" s="1133" t="n">
        <f aca="false">IF($C229&lt;Summary!$M$81,+Summary!$O$81,VLOOKUP(C229,GasTable,19))</f>
        <v>3.85607539465559</v>
      </c>
      <c r="GC229" s="1134" t="n">
        <f aca="false">IF(H229&lt;=Summary!$N$84,MIN(GA229,Summary!$O$75*(H229-G229+1)),0)</f>
        <v>0</v>
      </c>
      <c r="GD229" s="1135" t="n">
        <f aca="false">IF(C229&lt;Summary!$N$84,IF(Summary!$O$75*(H229-G229+1)*0.8&gt;GC229,1,0),0)</f>
        <v>0</v>
      </c>
      <c r="GE229" s="1136" t="n">
        <v>0</v>
      </c>
      <c r="GF229" s="1134" t="e">
        <f aca="false">ABS(MIN(0,GC229-$GA229))</f>
        <v>#VALUE!</v>
      </c>
      <c r="GG229" s="1135" t="e">
        <f aca="false">GF229*(IF(Summary!$O$74=1,VLOOKUP($C229,GasTable,16)+Summary!$O$92+Summary!$O$93,VLOOKUP($C229,GasTable,19)+Summary!$O$92+Summary!$O$93))</f>
        <v>#VALUE!</v>
      </c>
      <c r="GH229" s="1137" t="n">
        <v>5784.11309198339</v>
      </c>
      <c r="GI229" s="1138" t="n">
        <v>0</v>
      </c>
      <c r="GJ229" s="1139" t="e">
        <f aca="false">+GB229*GC229+GE229+GG229+GH229-GI229</f>
        <v>#VALUE!</v>
      </c>
      <c r="GK229" s="1115" t="e">
        <f aca="false">SUM(FP229:FV229,GU229:GX229,GY229:HB229)</f>
        <v>#VALUE!</v>
      </c>
      <c r="GL229" s="1140" t="n">
        <v>0.51634556072</v>
      </c>
      <c r="GM229" s="1141" t="e">
        <f aca="false">IF(GK229&gt;GC229/(CY229/1000),GC229/(CY229/1000),+GK229)*GL229</f>
        <v>#VALUE!</v>
      </c>
      <c r="GN229" s="1115" t="n">
        <f aca="false">IF(SUM(GU229:HB229)=0,0,IF(Summary!$O$16="Yes",SUM(GX229:HB229),IF(Summary!$O$17="Yes",SUM(GY229:HB229),SUM(GU229:HB229))))</f>
        <v>9239.103</v>
      </c>
      <c r="GO229" s="1142" t="n">
        <v>3.93299316702503</v>
      </c>
      <c r="GP229" s="1143" t="n">
        <f aca="false">GN229*GO229</f>
        <v>36337.3289684405</v>
      </c>
      <c r="GQ229" s="1115"/>
      <c r="GR229" s="1115"/>
      <c r="GS229" s="1115"/>
      <c r="GT229" s="1115"/>
      <c r="GU229" s="1150" t="n">
        <v>3421.89</v>
      </c>
      <c r="GV229" s="1115" t="n">
        <v>855.4725</v>
      </c>
      <c r="GW229" s="1115" t="n">
        <v>855.4725</v>
      </c>
      <c r="GX229" s="1115"/>
      <c r="GY229" s="1151" t="n">
        <v>2737.512</v>
      </c>
      <c r="GZ229" s="1115" t="n">
        <v>684.378</v>
      </c>
      <c r="HA229" s="1115" t="n">
        <v>684.378</v>
      </c>
      <c r="HB229" s="1141"/>
      <c r="HC229" s="1115" t="n">
        <v>9239.103</v>
      </c>
      <c r="HD229" s="1115"/>
      <c r="HE229" s="1115" t="n">
        <v>21557.907</v>
      </c>
      <c r="HF229" s="1115" t="n">
        <v>568562.703332098</v>
      </c>
      <c r="HG229" s="1115"/>
      <c r="HH229" s="1142" t="n">
        <v>63.8736224689294</v>
      </c>
      <c r="HI229" s="1115" t="n">
        <v>1376981.61293829</v>
      </c>
      <c r="HJ229" s="1150" t="e">
        <f aca="false">MAX(FB229-FP229-FW229,0)</f>
        <v>#VALUE!</v>
      </c>
      <c r="HK229" s="1115" t="e">
        <f aca="false">MAX(FD229-FR229-FX229,0)</f>
        <v>#VALUE!</v>
      </c>
      <c r="HL229" s="1115" t="e">
        <f aca="false">MAX(FF229-FT229-FY229,0)</f>
        <v>#VALUE!</v>
      </c>
      <c r="HM229" s="1141" t="e">
        <f aca="false">MAX(FH229-FV229-FZ229,0)</f>
        <v>#VALUE!</v>
      </c>
      <c r="HN229" s="1115" t="e">
        <f aca="false">SUM(HJ229:HM229)</f>
        <v>#VALUE!</v>
      </c>
      <c r="HO229" s="1142" t="n">
        <f aca="false">IF(ISERROR(+HP229/HN229),0,+HP229/HN229)</f>
        <v>0</v>
      </c>
      <c r="HP229" s="1143" t="e">
        <f aca="false">(HJ229*CE229+HK229*CF229+HL229*CG229+HM229*CH229)</f>
        <v>#VALUE!</v>
      </c>
      <c r="HQ229" s="1142"/>
      <c r="HR229" s="1150"/>
      <c r="HS229" s="1200"/>
      <c r="HT229" s="1141"/>
      <c r="HU229" s="1150"/>
      <c r="HV229" s="1200"/>
      <c r="HW229" s="1141"/>
      <c r="HX229" s="1200"/>
      <c r="HY229" s="1200"/>
      <c r="HZ229" s="0"/>
      <c r="IA229" s="1142"/>
      <c r="IB229" s="1142"/>
      <c r="IC229" s="1142"/>
      <c r="ID229" s="1142"/>
      <c r="IE229" s="1142"/>
      <c r="IF229" s="1142"/>
      <c r="IG229" s="1142"/>
      <c r="IH229" s="1142"/>
      <c r="II229" s="1142"/>
      <c r="IJ229" s="1142"/>
      <c r="IK229" s="1142"/>
      <c r="IL229" s="1190"/>
      <c r="IM229" s="222"/>
      <c r="IN229" s="222"/>
      <c r="IR229" s="844"/>
    </row>
    <row r="230" customFormat="false" ht="13.5" hidden="false" customHeight="false" outlineLevel="0" collapsed="false">
      <c r="A230" s="0" t="str">
        <f aca="false">+D230&amp;"Q"&amp;ROUNDUP(E230/3,0)</f>
        <v>2017Q4</v>
      </c>
      <c r="B230" s="0" t="n">
        <f aca="false">YEAR(C230)</f>
        <v>2017</v>
      </c>
      <c r="C230" s="1153" t="n">
        <f aca="false">EOMONTH(C229,0)+1</f>
        <v>43009</v>
      </c>
      <c r="D230" s="841" t="n">
        <f aca="false">+YEAR(C230)</f>
        <v>2017</v>
      </c>
      <c r="E230" s="807" t="n">
        <f aca="false">MONTH(C230)</f>
        <v>10</v>
      </c>
      <c r="F230" s="1154" t="e">
        <f aca="false">IF(G230="","",Holiday(D230,E230))</f>
        <v>#VALUE!</v>
      </c>
      <c r="G230" s="1155" t="n">
        <v>43009</v>
      </c>
      <c r="H230" s="1156" t="n">
        <v>43039</v>
      </c>
      <c r="I230" s="1157" t="n">
        <f aca="false">I229</f>
        <v>0.0715</v>
      </c>
      <c r="J230" s="1158" t="n">
        <f aca="false">(1+I230/2)^(-2*(DATE(D231,E231,20)-$H$7)/365.25)</f>
        <v>0.283706059067907</v>
      </c>
      <c r="K230" s="1159"/>
      <c r="L230" s="1158"/>
      <c r="M230" s="1082" t="n">
        <v>0</v>
      </c>
      <c r="N230" s="1110" t="n">
        <f aca="false">M230</f>
        <v>0</v>
      </c>
      <c r="O230" s="1174" t="n">
        <f aca="false">N230</f>
        <v>0</v>
      </c>
      <c r="P230" s="1175" t="n">
        <f aca="false">M230</f>
        <v>0</v>
      </c>
      <c r="Q230" s="1110" t="n">
        <f aca="false">P230</f>
        <v>0</v>
      </c>
      <c r="R230" s="1174" t="n">
        <f aca="false">Q230</f>
        <v>0</v>
      </c>
      <c r="S230" s="1110" t="n">
        <f aca="false">R230</f>
        <v>0</v>
      </c>
      <c r="T230" s="1110" t="n">
        <f aca="false">S230</f>
        <v>0</v>
      </c>
      <c r="U230" s="1110" t="n">
        <f aca="false">T230</f>
        <v>0</v>
      </c>
      <c r="V230" s="1175" t="n">
        <f aca="false">U230</f>
        <v>0</v>
      </c>
      <c r="W230" s="1110" t="n">
        <f aca="false">V230</f>
        <v>0</v>
      </c>
      <c r="X230" s="1176" t="n">
        <f aca="false">W230</f>
        <v>0</v>
      </c>
      <c r="Y230" s="1086" t="n">
        <v>0</v>
      </c>
      <c r="Z230" s="1086" t="n">
        <v>0</v>
      </c>
      <c r="AA230" s="1087" t="n">
        <v>0</v>
      </c>
      <c r="AB230" s="1086" t="n">
        <v>0</v>
      </c>
      <c r="AC230" s="1086" t="n">
        <v>0</v>
      </c>
      <c r="AD230" s="1087" t="n">
        <v>0</v>
      </c>
      <c r="AE230" s="1086" t="n">
        <v>0</v>
      </c>
      <c r="AF230" s="1086" t="n">
        <v>0</v>
      </c>
      <c r="AG230" s="1087" t="n">
        <v>0</v>
      </c>
      <c r="AH230" s="1086" t="n">
        <v>0</v>
      </c>
      <c r="AI230" s="1086" t="n">
        <v>0</v>
      </c>
      <c r="AJ230" s="1087" t="n">
        <v>0</v>
      </c>
      <c r="AK230" s="1086" t="n">
        <v>0</v>
      </c>
      <c r="AL230" s="1086" t="n">
        <v>0</v>
      </c>
      <c r="AM230" s="1087" t="n">
        <v>0</v>
      </c>
      <c r="AN230" s="1086" t="n">
        <v>0</v>
      </c>
      <c r="AO230" s="1086" t="n">
        <v>0</v>
      </c>
      <c r="AP230" s="1087" t="n">
        <v>0</v>
      </c>
      <c r="AQ230" s="1086" t="n">
        <v>0</v>
      </c>
      <c r="AR230" s="1086" t="n">
        <v>0</v>
      </c>
      <c r="AS230" s="1087" t="n">
        <v>0</v>
      </c>
      <c r="AT230" s="1086" t="n">
        <v>0</v>
      </c>
      <c r="AU230" s="1086" t="n">
        <v>0</v>
      </c>
      <c r="AV230" s="1086" t="n">
        <v>0</v>
      </c>
      <c r="AW230" s="1172" t="n">
        <v>0</v>
      </c>
      <c r="AX230" s="807" t="n">
        <f aca="false">BB230-SUM(AY230:BA230)</f>
        <v>22</v>
      </c>
      <c r="AY230" s="807" t="n">
        <f aca="false">IF(AND($E230=MONTH(Summary!$E$24),$D230=YEAR(Summary!$E$24)),Summary!$E$25,1)*IF(G230="",0,INT((H230-MOD(H230,7)-G230)/7)+1-IF(BA230,IF(WEEKDAY(F230)=7,1,0),0))</f>
        <v>4</v>
      </c>
      <c r="AZ230" s="807" t="n">
        <f aca="false">IF(AND($E230=MONTH(Summary!$E$24),$D230=YEAR(Summary!$E$24)),Summary!$E$25,1)*IF(G230="",0,INT((H230-MOD(H230-1,7)-G230)/7)+1-IF(BA230,IF(WEEKDAY(F230)=1,1,0),0))</f>
        <v>5</v>
      </c>
      <c r="BA230" s="807" t="n">
        <v>0</v>
      </c>
      <c r="BB230" s="807" t="n">
        <f aca="false">IF(AND($E230=MONTH(Summary!$E$24),$D230=YEAR(Summary!$E$24)),Summary!$E$25,1)*IF(G230="",0,H230-G230+1)</f>
        <v>31</v>
      </c>
      <c r="BC230" s="1089" t="n">
        <f aca="false">Summary!$E$19</f>
        <v>0.015</v>
      </c>
      <c r="BD230" s="1090" t="n">
        <v>15602.4</v>
      </c>
      <c r="BE230" s="1091" t="n">
        <v>2836.8</v>
      </c>
      <c r="BF230" s="1091" t="n">
        <v>3546</v>
      </c>
      <c r="BG230" s="842"/>
      <c r="BH230" s="1092" t="n">
        <v>1</v>
      </c>
      <c r="BI230" s="1092" t="n">
        <v>1</v>
      </c>
      <c r="BJ230" s="1092" t="n">
        <v>1</v>
      </c>
      <c r="BK230" s="1092" t="n">
        <v>1</v>
      </c>
      <c r="BL230" s="1093" t="n">
        <v>3120.48</v>
      </c>
      <c r="BM230" s="1091" t="n">
        <v>567.36</v>
      </c>
      <c r="BN230" s="1091" t="n">
        <v>709.2</v>
      </c>
      <c r="BO230" s="842"/>
      <c r="BP230" s="1092" t="n">
        <v>1</v>
      </c>
      <c r="BQ230" s="1094" t="n">
        <v>1</v>
      </c>
      <c r="BR230" s="1094" t="n">
        <v>1</v>
      </c>
      <c r="BS230" s="1095" t="n">
        <v>1</v>
      </c>
      <c r="BT230" s="1093" t="n">
        <f aca="false">SUM(BD230:BF230)</f>
        <v>21985.2</v>
      </c>
      <c r="BU230" s="1098" t="n">
        <f aca="false">SUM(BD230:BG230)</f>
        <v>21985.2</v>
      </c>
      <c r="BV230" s="1090" t="n">
        <f aca="false">SUM(BL230:BN230)</f>
        <v>4397.04</v>
      </c>
      <c r="BW230" s="1098" t="n">
        <f aca="false">SUM(BL230:BO230)</f>
        <v>4397.04</v>
      </c>
      <c r="BX230" s="852" t="n">
        <v>17.7960301163587</v>
      </c>
      <c r="BY230" s="1099" t="n">
        <v>0</v>
      </c>
      <c r="BZ230" s="852" t="n">
        <v>0</v>
      </c>
      <c r="CA230" s="852" t="n">
        <v>0</v>
      </c>
      <c r="CB230" s="852" t="n">
        <v>0</v>
      </c>
      <c r="CC230" s="852" t="n">
        <v>0</v>
      </c>
      <c r="CD230" s="852" t="n">
        <v>0</v>
      </c>
      <c r="CE230" s="1100" t="n">
        <v>0</v>
      </c>
      <c r="CF230" s="852" t="n">
        <v>0</v>
      </c>
      <c r="CG230" s="852" t="n">
        <v>0</v>
      </c>
      <c r="CH230" s="852" t="n">
        <v>0</v>
      </c>
      <c r="CI230" s="852" t="n">
        <v>0</v>
      </c>
      <c r="CJ230" s="1101" t="n">
        <v>0</v>
      </c>
      <c r="CK230" s="852" t="n">
        <v>0</v>
      </c>
      <c r="CL230" s="852" t="n">
        <v>0</v>
      </c>
      <c r="CM230" s="852" t="n">
        <v>0</v>
      </c>
      <c r="CN230" s="852" t="n">
        <v>0</v>
      </c>
      <c r="CO230" s="852" t="n">
        <v>0</v>
      </c>
      <c r="CP230" s="852" t="n">
        <v>0</v>
      </c>
      <c r="CQ230" s="1102" t="n">
        <v>0</v>
      </c>
      <c r="CR230" s="1103" t="n">
        <v>0</v>
      </c>
      <c r="CS230" s="1103" t="n">
        <v>0</v>
      </c>
      <c r="CT230" s="1103" t="n">
        <v>0</v>
      </c>
      <c r="CU230" s="1103" t="n">
        <v>0</v>
      </c>
      <c r="CV230" s="1103" t="n">
        <v>0</v>
      </c>
      <c r="CW230" s="1103" t="n">
        <v>0</v>
      </c>
      <c r="CX230" s="1104" t="n">
        <v>0</v>
      </c>
      <c r="CY230" s="1105" t="n">
        <v>7708.68112</v>
      </c>
      <c r="CZ230" s="1099" t="n">
        <v>0</v>
      </c>
      <c r="DA230" s="852" t="n">
        <v>0</v>
      </c>
      <c r="DB230" s="852" t="n">
        <v>0</v>
      </c>
      <c r="DC230" s="852" t="n">
        <v>0</v>
      </c>
      <c r="DD230" s="852" t="n">
        <v>0</v>
      </c>
      <c r="DE230" s="1113" t="n">
        <v>0</v>
      </c>
      <c r="DF230" s="1109" t="n">
        <v>0</v>
      </c>
      <c r="DG230" s="1110" t="n">
        <v>0</v>
      </c>
      <c r="DH230" s="1111" t="n">
        <v>0</v>
      </c>
      <c r="DI230" s="1112" t="n">
        <v>0</v>
      </c>
      <c r="DJ230" s="1112" t="n">
        <v>0</v>
      </c>
      <c r="DK230" s="1112" t="n">
        <v>0</v>
      </c>
      <c r="DL230" s="1113" t="n">
        <v>0</v>
      </c>
      <c r="DM230" s="1114" t="n">
        <v>0</v>
      </c>
      <c r="DN230" s="1114" t="n">
        <v>0</v>
      </c>
      <c r="DO230" s="1114" t="n">
        <v>0</v>
      </c>
      <c r="DP230" s="1114" t="n">
        <v>0</v>
      </c>
      <c r="DQ230" s="1114" t="n">
        <v>0</v>
      </c>
      <c r="DR230" s="1109" t="n">
        <v>0</v>
      </c>
      <c r="DS230" s="852" t="n">
        <v>0</v>
      </c>
      <c r="DT230" s="852" t="n">
        <v>0</v>
      </c>
      <c r="DU230" s="852" t="n">
        <v>0</v>
      </c>
      <c r="DV230" s="852" t="n">
        <v>0</v>
      </c>
      <c r="DW230" s="852" t="n">
        <v>0</v>
      </c>
      <c r="DX230" s="852" t="n">
        <v>0</v>
      </c>
      <c r="DY230" s="852" t="n">
        <v>0</v>
      </c>
      <c r="DZ230" s="852" t="n">
        <v>0</v>
      </c>
      <c r="EA230" s="852" t="n">
        <v>0</v>
      </c>
      <c r="EB230" s="1113" t="n">
        <v>0</v>
      </c>
      <c r="EC230" s="1115" t="n">
        <f aca="false">DS230*BD230</f>
        <v>0</v>
      </c>
      <c r="ED230" s="1115" t="n">
        <f aca="false">DT230*BE230</f>
        <v>0</v>
      </c>
      <c r="EE230" s="1115" t="n">
        <f aca="false">DU230*BF230</f>
        <v>0</v>
      </c>
      <c r="EF230" s="1115" t="n">
        <f aca="false">DV230*BG230</f>
        <v>0</v>
      </c>
      <c r="EG230" s="1115" t="n">
        <f aca="false">DS230*BD230+DT230*BE230+DU230*BF230+DV230*BG230</f>
        <v>0</v>
      </c>
      <c r="EH230" s="1116" t="n">
        <v>0</v>
      </c>
      <c r="EI230" s="1117" t="n">
        <v>0</v>
      </c>
      <c r="EJ230" s="1117" t="n">
        <v>0</v>
      </c>
      <c r="EK230" s="1117" t="n">
        <v>0</v>
      </c>
      <c r="EL230" s="1118" t="n">
        <f aca="false">IF(C230&gt;=Summary!$E$26,MAX(0,SUM(EH230:EK230)),0)</f>
        <v>0</v>
      </c>
      <c r="EM230" s="1115" t="n">
        <f aca="false">IF(C230&gt;=Summary!$E$26,DX230*BL230,0)</f>
        <v>0</v>
      </c>
      <c r="EN230" s="1115" t="n">
        <f aca="false">IF(C230&gt;=Summary!$E$26,DY230*BM230,0)</f>
        <v>0</v>
      </c>
      <c r="EO230" s="1115" t="n">
        <f aca="false">IF(C230&gt;=Summary!$E$26,DZ230*BN230,0)</f>
        <v>0</v>
      </c>
      <c r="EP230" s="1115" t="n">
        <f aca="false">IF(C230&gt;=Summary!$E$26,EA230*BO230,0)</f>
        <v>0</v>
      </c>
      <c r="EQ230" s="1115" t="n">
        <f aca="false">IF(C230&gt;=Summary!$E$26,DX230*BL230+DY230*BM230+DZ230*BN230+EA230*BO230,0)</f>
        <v>0</v>
      </c>
      <c r="ER230" s="1119" t="n">
        <v>0</v>
      </c>
      <c r="ES230" s="1120" t="n">
        <v>0</v>
      </c>
      <c r="ET230" s="1120" t="n">
        <v>0</v>
      </c>
      <c r="EU230" s="1120" t="n">
        <v>0</v>
      </c>
      <c r="EV230" s="1143" t="n">
        <f aca="false">IF(C230&gt;=Summary!$E$26,MAX(0,SUM(ER230:EU230)),0)</f>
        <v>0</v>
      </c>
      <c r="EW230" s="1115"/>
      <c r="EX230" s="1165" t="n">
        <f aca="false">(EQ230-EV230)+IF(EZ230="Yes",(EG230-EL230),0)</f>
        <v>0</v>
      </c>
      <c r="EY230" s="1166" t="str">
        <f aca="false">IF(EX230,EX230/EQ230,"")</f>
        <v/>
      </c>
      <c r="EZ230" s="1122" t="s">
        <v>37</v>
      </c>
      <c r="FA230" s="1096" t="n">
        <f aca="false">FA229</f>
        <v>45</v>
      </c>
      <c r="FB230" s="1167" t="n">
        <f aca="false">IF(EZ230="No",IF((OR(MONTH(C230)=5,MONTH(C230)=6,MONTH(C230)=7,MONTH(C230)=8,MONTH(C230)=9)),$FA230*12*AX230*(1-$BC230),$FA230*10*AX230*(1-$BC230)),0)</f>
        <v>9751.5</v>
      </c>
      <c r="FC230" s="1129" t="n">
        <f aca="false">IF(EZ230="No",IF((OR(MONTH(C230)=5,MONTH(C230)=6,MONTH(C230)=7,MONTH(C230)=8,MONTH(C230)=9)),0,$FA230*3*AX230*(1-$BC230)),0)</f>
        <v>2925.45</v>
      </c>
      <c r="FD230" s="1129" t="n">
        <f aca="false">IF(EZ230="No",IF((OR(MONTH(C230)=5,MONTH(C230)=6,MONTH(C230)=7,MONTH(C230)=8,MONTH(C230)=9)),$FA230*12*AY230*(1-$BC230),$FA230*10*AY230*(1-$BC230)),0)</f>
        <v>1773</v>
      </c>
      <c r="FE230" s="1129" t="n">
        <f aca="false">IF(EZ230="No",IF((OR(MONTH(C230)=5,MONTH(C230)=6,MONTH(C230)=7,MONTH(C230)=8,MONTH(C230)=9)),0,$FA230*3*AY230*(1-$BC230)),0)</f>
        <v>531.9</v>
      </c>
      <c r="FF230" s="1129" t="n">
        <f aca="false">IF(EZ230="No",IF((OR(MONTH(C230)=5,MONTH(C230)=6,MONTH(C230)=7,MONTH(C230)=8,MONTH(C230)=9)),$FA230*12*(AZ230+BA230)*(1-$BC230),$FA230*10*(AZ230+BA230)*(1-$BC230)),0)</f>
        <v>2216.25</v>
      </c>
      <c r="FG230" s="1129" t="n">
        <f aca="false">IF(EZ230="No",IF((OR(MONTH(C230)=5,MONTH(C230)=6,MONTH(C230)=7,MONTH(C230)=8,MONTH(C230)=9)),0,$FA230*3*(AZ230+BA230)*(1-$BC230)),0)</f>
        <v>664.875</v>
      </c>
      <c r="FH230" s="1170" t="n">
        <f aca="false">IF(EZ230="No",IF((OR(MONTH(C230)=5,MONTH(C230)=6,MONTH(C230)=7,MONTH(C230)=8,MONTH(C230)=9)),Summary!$O$15*12*(AX230+AY230+AZ230+BA230)*(1-$BC230),Summary!$O$15*13*(AX230+AY230+AZ230+BA230)*(1-$BC230)+IF(Summary!$O$16="Yes",(CALC!FA230+Summary!$O$15)*6*(AX230+AY230+AZ230+BA230)*(1-$BC230),0)),0)</f>
        <v>0</v>
      </c>
      <c r="FI230" s="1126" t="n">
        <f aca="false">IF(MONTH(C230)=5,FI229*(IF(Summary!$E$70="no",(1+(Summary!$E$71*0.8)),1+HLOOKUP(YEAR(C230)-1,CCFMODEL!$I$127:$AF$128,2)*0.8)),+FI229)</f>
        <v>40.7683271086151</v>
      </c>
      <c r="FJ230" s="1127" t="n">
        <f aca="false">IF(MONTH(C230)=5,FJ229*(IF(Summary!$E$70="no",(1+(Summary!$E$71*0.8)),1+HLOOKUP(YEAR(CALC!C230)-1,CCFMODEL!$I$127:$AF$128,2)*0.8)),FJ229)</f>
        <v>35.632159913829</v>
      </c>
      <c r="FK230" s="1128" t="n">
        <f aca="false">SUM(FB230:FG230)*FI230+FH230*FJ230</f>
        <v>728243.607933014</v>
      </c>
      <c r="FL230" s="1126" t="n">
        <f aca="false">IF(MONTH(C230)=5,FL229*(IF(Summary!$E$70="no",(1+(Summary!$E$71*0.8)),1+HLOOKUP(YEAR(CALC!C230)-1,CCFMODEL!$I$127:$AF$128,2)*0.8)),+FL229)</f>
        <v>85.7403624867725</v>
      </c>
      <c r="FM230" s="1127" t="n">
        <f aca="false">IF(MONTH(C230)=5,FM229*(IF(Summary!$E$70="no",(1+(Summary!$E$71*0.8)),1+HLOOKUP(YEAR(CALC!C230)-1,CCFMODEL!$I$127:$AF$128,2)*0.8)),+FM229)</f>
        <v>40.9211892275076</v>
      </c>
      <c r="FN230" s="1128" t="n">
        <f aca="false">IF((OR(MONTH(C230)=5,MONTH(C230)=6,MONTH(C230)=7,MONTH(C230)=8,MONTH(C230)=9)),SUM(FB230:FG230)/(1-BC230)*FL230,SUM(FB230:FG230)/(1-BC230)*FM230)</f>
        <v>742105.76664085</v>
      </c>
      <c r="FO230" s="1129" t="n">
        <f aca="false">FK230+FN230</f>
        <v>1470349.37457386</v>
      </c>
      <c r="FP230" s="1169" t="n">
        <f aca="false">FB230</f>
        <v>9751.5</v>
      </c>
      <c r="FQ230" s="1129" t="n">
        <f aca="false">FC230</f>
        <v>2925.45</v>
      </c>
      <c r="FR230" s="1129" t="n">
        <f aca="false">FD230</f>
        <v>1773</v>
      </c>
      <c r="FS230" s="1129" t="n">
        <f aca="false">FE230</f>
        <v>531.9</v>
      </c>
      <c r="FT230" s="1129" t="n">
        <f aca="false">FF230</f>
        <v>2216.25</v>
      </c>
      <c r="FU230" s="1129" t="n">
        <f aca="false">FG230</f>
        <v>664.875</v>
      </c>
      <c r="FV230" s="1170" t="n">
        <f aca="false">FH230</f>
        <v>0</v>
      </c>
      <c r="FW230" s="1115" t="n">
        <f aca="false">IF(ER230&gt;0,MIN(FB230-FP230,BL230),0)</f>
        <v>0</v>
      </c>
      <c r="FX230" s="1115" t="n">
        <f aca="false">IF(ES230&gt;0,MIN(FD230-FR230,BM230),0)</f>
        <v>0</v>
      </c>
      <c r="FY230" s="1115" t="n">
        <f aca="false">IF(ET230&gt;0,MIN(FF230-FT230,BN230),0)</f>
        <v>0</v>
      </c>
      <c r="FZ230" s="1143" t="n">
        <f aca="false">IF(EU230&gt;0,MIN(FH230-FV230,BO230),0)</f>
        <v>0</v>
      </c>
      <c r="GA230" s="1132" t="n">
        <f aca="false">(SUM(FP230:FV230)+SUM(GU230:HB230)/(1-Summary!$O$25))*CY230/1000</f>
        <v>235149.193421201</v>
      </c>
      <c r="GB230" s="1133" t="n">
        <f aca="false">IF($C230&lt;Summary!$M$81,+Summary!$O$81,VLOOKUP(C230,GasTable,19))</f>
        <v>4.02743713634049</v>
      </c>
      <c r="GC230" s="1134" t="n">
        <f aca="false">IF(H230&lt;=Summary!$N$84,MIN(GA230,Summary!$O$75*(H230-G230+1)),0)</f>
        <v>0</v>
      </c>
      <c r="GD230" s="1135" t="n">
        <f aca="false">IF(C230&lt;Summary!$N$84,IF(Summary!$O$75*(H230-G230+1)*0.8&gt;GC230,1,0),0)</f>
        <v>0</v>
      </c>
      <c r="GE230" s="1136" t="n">
        <v>0</v>
      </c>
      <c r="GF230" s="1134" t="n">
        <f aca="false">ABS(MIN(0,GC230-$GA230))</f>
        <v>235149.193421201</v>
      </c>
      <c r="GG230" s="1135" t="n">
        <f aca="false">GF230*(IF(Summary!$O$74=1,VLOOKUP($C230,GasTable,16)+Summary!$O$92+Summary!$O$93,VLOOKUP($C230,GasTable,19)+Summary!$O$92+Summary!$O$93))</f>
        <v>959299.867142302</v>
      </c>
      <c r="GH230" s="1137" t="n">
        <v>6242.52756132776</v>
      </c>
      <c r="GI230" s="1138" t="n">
        <v>0</v>
      </c>
      <c r="GJ230" s="1139" t="n">
        <f aca="false">+GB230*GC230+GE230+GG230+GH230-GI230</f>
        <v>965542.394703629</v>
      </c>
      <c r="GK230" s="1115" t="n">
        <f aca="false">SUM(FP230:FV230,GU230:GX230,GY230:HB230)</f>
        <v>30062.01285</v>
      </c>
      <c r="GL230" s="1140" t="n">
        <v>0.51648163504</v>
      </c>
      <c r="GM230" s="1141" t="n">
        <f aca="false">IF(GK230&gt;GC230/(CY230/1000),GC230/(CY230/1000),+GK230)*GL230</f>
        <v>0</v>
      </c>
      <c r="GN230" s="1115" t="n">
        <f aca="false">IF(SUM(GU230:HB230)=0,0,IF(Summary!$O$16="Yes",SUM(GX230:HB230),IF(Summary!$O$17="Yes",SUM(GY230:HB230),SUM(GU230:HB230))))</f>
        <v>12199.03785</v>
      </c>
      <c r="GO230" s="1142" t="n">
        <v>3.93299316702503</v>
      </c>
      <c r="GP230" s="1143" t="n">
        <f aca="false">GN230*GO230</f>
        <v>47978.7325083298</v>
      </c>
      <c r="GQ230" s="1115"/>
      <c r="GR230" s="1115"/>
      <c r="GS230" s="1115"/>
      <c r="GT230" s="1115"/>
      <c r="GU230" s="1150" t="n">
        <v>5646.1185</v>
      </c>
      <c r="GV230" s="1115" t="n">
        <v>1026.567</v>
      </c>
      <c r="GW230" s="1115" t="n">
        <v>1283.20875</v>
      </c>
      <c r="GX230" s="1115"/>
      <c r="GY230" s="1151" t="n">
        <v>3011.2632</v>
      </c>
      <c r="GZ230" s="1115" t="n">
        <v>547.5024</v>
      </c>
      <c r="HA230" s="1115" t="n">
        <v>684.378</v>
      </c>
      <c r="HB230" s="1141"/>
      <c r="HC230" s="1115" t="n">
        <v>12199.03785</v>
      </c>
      <c r="HD230" s="1115"/>
      <c r="HE230" s="1115" t="n">
        <v>20950.521525</v>
      </c>
      <c r="HF230" s="1115" t="n">
        <v>691350.122307612</v>
      </c>
      <c r="HG230" s="1115"/>
      <c r="HH230" s="1142" t="n">
        <v>55.7761539962407</v>
      </c>
      <c r="HI230" s="1115" t="n">
        <v>1168539.51487996</v>
      </c>
      <c r="HJ230" s="1150" t="n">
        <f aca="false">MAX(FB230-FP230-FW230,0)</f>
        <v>0</v>
      </c>
      <c r="HK230" s="1115" t="n">
        <f aca="false">MAX(FD230-FR230-FX230,0)</f>
        <v>0</v>
      </c>
      <c r="HL230" s="1115" t="n">
        <f aca="false">MAX(FF230-FT230-FY230,0)</f>
        <v>0</v>
      </c>
      <c r="HM230" s="1141" t="n">
        <f aca="false">MAX(FH230-FV230-FZ230,0)</f>
        <v>0</v>
      </c>
      <c r="HN230" s="1115" t="n">
        <f aca="false">SUM(HJ230:HM230)</f>
        <v>0</v>
      </c>
      <c r="HO230" s="1142" t="n">
        <f aca="false">IF(ISERROR(+HP230/HN230),0,+HP230/HN230)</f>
        <v>0</v>
      </c>
      <c r="HP230" s="1143" t="n">
        <f aca="false">(HJ230*CE230+HK230*CF230+HL230*CG230+HM230*CH230)</f>
        <v>0</v>
      </c>
      <c r="HQ230" s="1142"/>
      <c r="HR230" s="1150"/>
      <c r="HS230" s="1200"/>
      <c r="HT230" s="1141"/>
      <c r="HU230" s="1150"/>
      <c r="HV230" s="1200"/>
      <c r="HW230" s="1141"/>
      <c r="HX230" s="1200"/>
      <c r="HY230" s="1200"/>
      <c r="HZ230" s="0"/>
      <c r="IA230" s="1142"/>
      <c r="IB230" s="1142"/>
      <c r="IC230" s="1142"/>
      <c r="ID230" s="1142"/>
      <c r="IE230" s="1142"/>
      <c r="IF230" s="1142"/>
      <c r="IG230" s="1142"/>
      <c r="IH230" s="1142"/>
      <c r="II230" s="1142"/>
      <c r="IJ230" s="1142"/>
      <c r="IK230" s="1142"/>
      <c r="IL230" s="1190"/>
      <c r="IM230" s="222"/>
      <c r="IN230" s="222"/>
      <c r="IR230" s="844"/>
    </row>
    <row r="231" customFormat="false" ht="13.5" hidden="false" customHeight="false" outlineLevel="0" collapsed="false">
      <c r="A231" s="0" t="str">
        <f aca="false">+D231&amp;"Q"&amp;ROUNDUP(E231/3,0)</f>
        <v>2017Q4</v>
      </c>
      <c r="B231" s="0" t="n">
        <f aca="false">YEAR(C231)</f>
        <v>2017</v>
      </c>
      <c r="C231" s="1153" t="n">
        <f aca="false">EOMONTH(C230,0)+1</f>
        <v>43040</v>
      </c>
      <c r="D231" s="841" t="n">
        <f aca="false">+YEAR(C231)</f>
        <v>2017</v>
      </c>
      <c r="E231" s="807" t="n">
        <f aca="false">MONTH(C231)</f>
        <v>11</v>
      </c>
      <c r="F231" s="1154" t="e">
        <f aca="false">IF(G231="","",Holiday(D231,E231))</f>
        <v>#VALUE!</v>
      </c>
      <c r="G231" s="1155" t="n">
        <v>43040</v>
      </c>
      <c r="H231" s="1156" t="n">
        <v>43069</v>
      </c>
      <c r="I231" s="1157" t="n">
        <f aca="false">I230</f>
        <v>0.0715</v>
      </c>
      <c r="J231" s="1158" t="n">
        <f aca="false">(1+I231/2)^(-2*(DATE(D232,E232,20)-$H$7)/365.25)</f>
        <v>0.282073745782732</v>
      </c>
      <c r="K231" s="1159"/>
      <c r="L231" s="1158"/>
      <c r="M231" s="1082" t="n">
        <v>0</v>
      </c>
      <c r="N231" s="1110" t="n">
        <f aca="false">M231</f>
        <v>0</v>
      </c>
      <c r="O231" s="1174" t="n">
        <f aca="false">N231</f>
        <v>0</v>
      </c>
      <c r="P231" s="1175" t="n">
        <f aca="false">M231</f>
        <v>0</v>
      </c>
      <c r="Q231" s="1110" t="n">
        <f aca="false">P231</f>
        <v>0</v>
      </c>
      <c r="R231" s="1174" t="n">
        <f aca="false">Q231</f>
        <v>0</v>
      </c>
      <c r="S231" s="1110" t="n">
        <f aca="false">R231</f>
        <v>0</v>
      </c>
      <c r="T231" s="1110" t="n">
        <f aca="false">S231</f>
        <v>0</v>
      </c>
      <c r="U231" s="1110" t="n">
        <f aca="false">T231</f>
        <v>0</v>
      </c>
      <c r="V231" s="1175" t="n">
        <f aca="false">U231</f>
        <v>0</v>
      </c>
      <c r="W231" s="1110" t="n">
        <f aca="false">V231</f>
        <v>0</v>
      </c>
      <c r="X231" s="1176" t="n">
        <f aca="false">W231</f>
        <v>0</v>
      </c>
      <c r="Y231" s="1086" t="n">
        <v>0</v>
      </c>
      <c r="Z231" s="1086" t="n">
        <v>0</v>
      </c>
      <c r="AA231" s="1087" t="n">
        <v>0</v>
      </c>
      <c r="AB231" s="1086" t="n">
        <v>0</v>
      </c>
      <c r="AC231" s="1086" t="n">
        <v>0</v>
      </c>
      <c r="AD231" s="1087" t="n">
        <v>0</v>
      </c>
      <c r="AE231" s="1086" t="n">
        <v>0</v>
      </c>
      <c r="AF231" s="1086" t="n">
        <v>0</v>
      </c>
      <c r="AG231" s="1087" t="n">
        <v>0</v>
      </c>
      <c r="AH231" s="1086" t="n">
        <v>0</v>
      </c>
      <c r="AI231" s="1086" t="n">
        <v>0</v>
      </c>
      <c r="AJ231" s="1087" t="n">
        <v>0</v>
      </c>
      <c r="AK231" s="1086" t="n">
        <v>0</v>
      </c>
      <c r="AL231" s="1086" t="n">
        <v>0</v>
      </c>
      <c r="AM231" s="1087" t="n">
        <v>0</v>
      </c>
      <c r="AN231" s="1086" t="n">
        <v>0</v>
      </c>
      <c r="AO231" s="1086" t="n">
        <v>0</v>
      </c>
      <c r="AP231" s="1087" t="n">
        <v>0</v>
      </c>
      <c r="AQ231" s="1086" t="n">
        <v>0</v>
      </c>
      <c r="AR231" s="1086" t="n">
        <v>0</v>
      </c>
      <c r="AS231" s="1087" t="n">
        <v>0</v>
      </c>
      <c r="AT231" s="1086" t="n">
        <v>0</v>
      </c>
      <c r="AU231" s="1086" t="n">
        <v>0</v>
      </c>
      <c r="AV231" s="1086" t="n">
        <v>0</v>
      </c>
      <c r="AW231" s="1172" t="n">
        <v>0</v>
      </c>
      <c r="AX231" s="807" t="e">
        <f aca="false">BB231-SUM(AY231:BA231)</f>
        <v>#VALUE!</v>
      </c>
      <c r="AY231" s="807" t="e">
        <f aca="false">IF(AND($E231=MONTH(Summary!$E$24),$D231=YEAR(Summary!$E$24)),Summary!$E$25,1)*IF(G231="",0,INT((H231-MOD(H231,7)-G231)/7)+1-IF(BA231,IF(WEEKDAY(F231)=7,1,0),0))</f>
        <v>#VALUE!</v>
      </c>
      <c r="AZ231" s="807" t="e">
        <f aca="false">IF(AND($E231=MONTH(Summary!$E$24),$D231=YEAR(Summary!$E$24)),Summary!$E$25,1)*IF(G231="",0,INT((H231-MOD(H231-1,7)-G231)/7)+1-IF(BA231,IF(WEEKDAY(F231)=1,1,0),0))</f>
        <v>#VALUE!</v>
      </c>
      <c r="BA231" s="807" t="n">
        <v>1</v>
      </c>
      <c r="BB231" s="807" t="n">
        <f aca="false">IF(AND($E231=MONTH(Summary!$E$24),$D231=YEAR(Summary!$E$24)),Summary!$E$25,1)*IF(G231="",0,H231-G231+1)</f>
        <v>30</v>
      </c>
      <c r="BC231" s="1089" t="n">
        <f aca="false">Summary!$E$19</f>
        <v>0.015</v>
      </c>
      <c r="BD231" s="1090" t="n">
        <v>14893.2</v>
      </c>
      <c r="BE231" s="1091" t="n">
        <v>2836.8</v>
      </c>
      <c r="BF231" s="1091" t="n">
        <v>3546</v>
      </c>
      <c r="BG231" s="842"/>
      <c r="BH231" s="1092" t="n">
        <v>1</v>
      </c>
      <c r="BI231" s="1092" t="n">
        <v>1</v>
      </c>
      <c r="BJ231" s="1092" t="n">
        <v>1</v>
      </c>
      <c r="BK231" s="1092" t="n">
        <v>1</v>
      </c>
      <c r="BL231" s="1093" t="n">
        <v>2978.64</v>
      </c>
      <c r="BM231" s="1091" t="n">
        <v>567.36</v>
      </c>
      <c r="BN231" s="1091" t="n">
        <v>709.2</v>
      </c>
      <c r="BO231" s="842"/>
      <c r="BP231" s="1092" t="n">
        <v>1</v>
      </c>
      <c r="BQ231" s="1094" t="n">
        <v>1</v>
      </c>
      <c r="BR231" s="1094" t="n">
        <v>1</v>
      </c>
      <c r="BS231" s="1095" t="n">
        <v>1</v>
      </c>
      <c r="BT231" s="1093" t="n">
        <f aca="false">SUM(BD231:BF231)</f>
        <v>21276</v>
      </c>
      <c r="BU231" s="1098" t="n">
        <f aca="false">SUM(BD231:BG231)</f>
        <v>21276</v>
      </c>
      <c r="BV231" s="1090" t="n">
        <f aca="false">SUM(BL231:BN231)</f>
        <v>4255.2</v>
      </c>
      <c r="BW231" s="1098" t="n">
        <f aca="false">SUM(BL231:BO231)</f>
        <v>4255.2</v>
      </c>
      <c r="BX231" s="852" t="n">
        <v>17.8809034907598</v>
      </c>
      <c r="BY231" s="1099" t="n">
        <v>0</v>
      </c>
      <c r="BZ231" s="852" t="n">
        <v>0</v>
      </c>
      <c r="CA231" s="852" t="n">
        <v>0</v>
      </c>
      <c r="CB231" s="852" t="n">
        <v>0</v>
      </c>
      <c r="CC231" s="852" t="n">
        <v>0</v>
      </c>
      <c r="CD231" s="852" t="n">
        <v>0</v>
      </c>
      <c r="CE231" s="1100" t="n">
        <v>0</v>
      </c>
      <c r="CF231" s="852" t="n">
        <v>0</v>
      </c>
      <c r="CG231" s="852" t="n">
        <v>0</v>
      </c>
      <c r="CH231" s="852" t="n">
        <v>0</v>
      </c>
      <c r="CI231" s="852" t="n">
        <v>0</v>
      </c>
      <c r="CJ231" s="1101" t="n">
        <v>0</v>
      </c>
      <c r="CK231" s="852" t="n">
        <v>0</v>
      </c>
      <c r="CL231" s="852" t="n">
        <v>0</v>
      </c>
      <c r="CM231" s="852" t="n">
        <v>0</v>
      </c>
      <c r="CN231" s="852" t="n">
        <v>0</v>
      </c>
      <c r="CO231" s="852" t="n">
        <v>0</v>
      </c>
      <c r="CP231" s="852" t="n">
        <v>0</v>
      </c>
      <c r="CQ231" s="1102" t="n">
        <v>0</v>
      </c>
      <c r="CR231" s="1103" t="n">
        <v>0</v>
      </c>
      <c r="CS231" s="1103" t="n">
        <v>0</v>
      </c>
      <c r="CT231" s="1103" t="n">
        <v>0</v>
      </c>
      <c r="CU231" s="1103" t="n">
        <v>0</v>
      </c>
      <c r="CV231" s="1103" t="n">
        <v>0</v>
      </c>
      <c r="CW231" s="1103" t="n">
        <v>0</v>
      </c>
      <c r="CX231" s="1104" t="n">
        <v>0</v>
      </c>
      <c r="CY231" s="1105" t="n">
        <v>7710.71208</v>
      </c>
      <c r="CZ231" s="1099" t="n">
        <v>0</v>
      </c>
      <c r="DA231" s="852" t="n">
        <v>0</v>
      </c>
      <c r="DB231" s="852" t="n">
        <v>0</v>
      </c>
      <c r="DC231" s="852" t="n">
        <v>0</v>
      </c>
      <c r="DD231" s="852" t="n">
        <v>0</v>
      </c>
      <c r="DE231" s="1113" t="n">
        <v>0</v>
      </c>
      <c r="DF231" s="1109" t="n">
        <v>0</v>
      </c>
      <c r="DG231" s="1110" t="n">
        <v>0</v>
      </c>
      <c r="DH231" s="1111" t="n">
        <v>0</v>
      </c>
      <c r="DI231" s="1112" t="n">
        <v>0</v>
      </c>
      <c r="DJ231" s="1112" t="n">
        <v>0</v>
      </c>
      <c r="DK231" s="1112" t="n">
        <v>0</v>
      </c>
      <c r="DL231" s="1113" t="n">
        <v>0</v>
      </c>
      <c r="DM231" s="1114" t="n">
        <v>0</v>
      </c>
      <c r="DN231" s="1114" t="n">
        <v>0</v>
      </c>
      <c r="DO231" s="1114" t="n">
        <v>0</v>
      </c>
      <c r="DP231" s="1114" t="n">
        <v>0</v>
      </c>
      <c r="DQ231" s="1114" t="n">
        <v>0</v>
      </c>
      <c r="DR231" s="1109" t="n">
        <v>0</v>
      </c>
      <c r="DS231" s="852" t="n">
        <v>0</v>
      </c>
      <c r="DT231" s="852" t="n">
        <v>0</v>
      </c>
      <c r="DU231" s="852" t="n">
        <v>0</v>
      </c>
      <c r="DV231" s="852" t="n">
        <v>0</v>
      </c>
      <c r="DW231" s="852" t="n">
        <v>0</v>
      </c>
      <c r="DX231" s="852" t="n">
        <v>0</v>
      </c>
      <c r="DY231" s="852" t="n">
        <v>0</v>
      </c>
      <c r="DZ231" s="852" t="n">
        <v>0</v>
      </c>
      <c r="EA231" s="852" t="n">
        <v>0</v>
      </c>
      <c r="EB231" s="1113" t="n">
        <v>0</v>
      </c>
      <c r="EC231" s="1115" t="n">
        <f aca="false">DS231*BD231</f>
        <v>0</v>
      </c>
      <c r="ED231" s="1115" t="n">
        <f aca="false">DT231*BE231</f>
        <v>0</v>
      </c>
      <c r="EE231" s="1115" t="n">
        <f aca="false">DU231*BF231</f>
        <v>0</v>
      </c>
      <c r="EF231" s="1115" t="n">
        <f aca="false">DV231*BG231</f>
        <v>0</v>
      </c>
      <c r="EG231" s="1115" t="n">
        <f aca="false">DS231*BD231+DT231*BE231+DU231*BF231+DV231*BG231</f>
        <v>0</v>
      </c>
      <c r="EH231" s="1116" t="n">
        <v>0</v>
      </c>
      <c r="EI231" s="1117" t="n">
        <v>0</v>
      </c>
      <c r="EJ231" s="1117" t="n">
        <v>0</v>
      </c>
      <c r="EK231" s="1117" t="n">
        <v>0</v>
      </c>
      <c r="EL231" s="1118" t="n">
        <f aca="false">IF(C231&gt;=Summary!$E$26,MAX(0,SUM(EH231:EK231)),0)</f>
        <v>0</v>
      </c>
      <c r="EM231" s="1115" t="n">
        <f aca="false">IF(C231&gt;=Summary!$E$26,DX231*BL231,0)</f>
        <v>0</v>
      </c>
      <c r="EN231" s="1115" t="n">
        <f aca="false">IF(C231&gt;=Summary!$E$26,DY231*BM231,0)</f>
        <v>0</v>
      </c>
      <c r="EO231" s="1115" t="n">
        <f aca="false">IF(C231&gt;=Summary!$E$26,DZ231*BN231,0)</f>
        <v>0</v>
      </c>
      <c r="EP231" s="1115" t="n">
        <f aca="false">IF(C231&gt;=Summary!$E$26,EA231*BO231,0)</f>
        <v>0</v>
      </c>
      <c r="EQ231" s="1115" t="n">
        <f aca="false">IF(C231&gt;=Summary!$E$26,DX231*BL231+DY231*BM231+DZ231*BN231+EA231*BO231,0)</f>
        <v>0</v>
      </c>
      <c r="ER231" s="1119" t="n">
        <v>0</v>
      </c>
      <c r="ES231" s="1120" t="n">
        <v>0</v>
      </c>
      <c r="ET231" s="1120" t="n">
        <v>0</v>
      </c>
      <c r="EU231" s="1120" t="n">
        <v>0</v>
      </c>
      <c r="EV231" s="1143" t="n">
        <f aca="false">IF(C231&gt;=Summary!$E$26,MAX(0,SUM(ER231:EU231)),0)</f>
        <v>0</v>
      </c>
      <c r="EW231" s="1115"/>
      <c r="EX231" s="1165" t="n">
        <f aca="false">(EQ231-EV231)+IF(EZ231="Yes",(EG231-EL231),0)</f>
        <v>0</v>
      </c>
      <c r="EY231" s="1166" t="str">
        <f aca="false">IF(EX231,EX231/EQ231,"")</f>
        <v/>
      </c>
      <c r="EZ231" s="1122" t="s">
        <v>37</v>
      </c>
      <c r="FA231" s="1096" t="n">
        <f aca="false">FA230</f>
        <v>45</v>
      </c>
      <c r="FB231" s="1167" t="e">
        <f aca="false">IF(EZ231="No",IF((OR(MONTH(C231)=5,MONTH(C231)=6,MONTH(C231)=7,MONTH(C231)=8,MONTH(C231)=9)),$FA231*12*AX231*(1-$BC231),$FA231*10*AX231*(1-$BC231)),0)</f>
        <v>#VALUE!</v>
      </c>
      <c r="FC231" s="1129" t="e">
        <f aca="false">IF(EZ231="No",IF((OR(MONTH(C231)=5,MONTH(C231)=6,MONTH(C231)=7,MONTH(C231)=8,MONTH(C231)=9)),0,$FA231*3*AX231*(1-$BC231)),0)</f>
        <v>#VALUE!</v>
      </c>
      <c r="FD231" s="1129" t="e">
        <f aca="false">IF(EZ231="No",IF((OR(MONTH(C231)=5,MONTH(C231)=6,MONTH(C231)=7,MONTH(C231)=8,MONTH(C231)=9)),$FA231*12*AY231*(1-$BC231),$FA231*10*AY231*(1-$BC231)),0)</f>
        <v>#VALUE!</v>
      </c>
      <c r="FE231" s="1129" t="e">
        <f aca="false">IF(EZ231="No",IF((OR(MONTH(C231)=5,MONTH(C231)=6,MONTH(C231)=7,MONTH(C231)=8,MONTH(C231)=9)),0,$FA231*3*AY231*(1-$BC231)),0)</f>
        <v>#VALUE!</v>
      </c>
      <c r="FF231" s="1129" t="e">
        <f aca="false">IF(EZ231="No",IF((OR(MONTH(C231)=5,MONTH(C231)=6,MONTH(C231)=7,MONTH(C231)=8,MONTH(C231)=9)),$FA231*12*(AZ231+BA231)*(1-$BC231),$FA231*10*(AZ231+BA231)*(1-$BC231)),0)</f>
        <v>#VALUE!</v>
      </c>
      <c r="FG231" s="1129" t="e">
        <f aca="false">IF(EZ231="No",IF((OR(MONTH(C231)=5,MONTH(C231)=6,MONTH(C231)=7,MONTH(C231)=8,MONTH(C231)=9)),0,$FA231*3*(AZ231+BA231)*(1-$BC231)),0)</f>
        <v>#VALUE!</v>
      </c>
      <c r="FH231" s="1170" t="e">
        <f aca="false">IF(EZ231="No",IF((OR(MONTH(C231)=5,MONTH(C231)=6,MONTH(C231)=7,MONTH(C231)=8,MONTH(C231)=9)),Summary!$O$15*12*(AX231+AY231+AZ231+BA231)*(1-$BC231),Summary!$O$15*13*(AX231+AY231+AZ231+BA231)*(1-$BC231)+IF(Summary!$O$16="Yes",(CALC!FA231+Summary!$O$15)*6*(AX231+AY231+AZ231+BA231)*(1-$BC231),0)),0)</f>
        <v>#VALUE!</v>
      </c>
      <c r="FI231" s="1126" t="n">
        <f aca="false">IF(MONTH(C231)=5,FI230*(IF(Summary!$E$70="no",(1+(Summary!$E$71*0.8)),1+HLOOKUP(YEAR(C231)-1,CCFMODEL!$I$127:$AF$128,2)*0.8)),+FI230)</f>
        <v>40.7683271086151</v>
      </c>
      <c r="FJ231" s="1127" t="n">
        <f aca="false">IF(MONTH(C231)=5,FJ230*(IF(Summary!$E$70="no",(1+(Summary!$E$71*0.8)),1+HLOOKUP(YEAR(CALC!C231)-1,CCFMODEL!$I$127:$AF$128,2)*0.8)),FJ230)</f>
        <v>35.632159913829</v>
      </c>
      <c r="FK231" s="1128" t="e">
        <f aca="false">SUM(FB231:FG231)*FI231+FH231*FJ231</f>
        <v>#VALUE!</v>
      </c>
      <c r="FL231" s="1126" t="n">
        <f aca="false">IF(MONTH(C231)=5,FL230*(IF(Summary!$E$70="no",(1+(Summary!$E$71*0.8)),1+HLOOKUP(YEAR(CALC!C231)-1,CCFMODEL!$I$127:$AF$128,2)*0.8)),+FL230)</f>
        <v>85.7403624867725</v>
      </c>
      <c r="FM231" s="1127" t="n">
        <f aca="false">IF(MONTH(C231)=5,FM230*(IF(Summary!$E$70="no",(1+(Summary!$E$71*0.8)),1+HLOOKUP(YEAR(CALC!C231)-1,CCFMODEL!$I$127:$AF$128,2)*0.8)),+FM230)</f>
        <v>40.9211892275076</v>
      </c>
      <c r="FN231" s="1128" t="e">
        <f aca="false">IF((OR(MONTH(C231)=5,MONTH(C231)=6,MONTH(C231)=7,MONTH(C231)=8,MONTH(C231)=9)),SUM(FB231:FG231)/(1-BC231)*FL231,SUM(FB231:FG231)/(1-BC231)*FM231)</f>
        <v>#VALUE!</v>
      </c>
      <c r="FO231" s="1129" t="e">
        <f aca="false">FK231+FN231</f>
        <v>#VALUE!</v>
      </c>
      <c r="FP231" s="1169" t="e">
        <f aca="false">FB231</f>
        <v>#VALUE!</v>
      </c>
      <c r="FQ231" s="1129" t="e">
        <f aca="false">FC231</f>
        <v>#VALUE!</v>
      </c>
      <c r="FR231" s="1129" t="e">
        <f aca="false">FD231</f>
        <v>#VALUE!</v>
      </c>
      <c r="FS231" s="1129" t="e">
        <f aca="false">FE231</f>
        <v>#VALUE!</v>
      </c>
      <c r="FT231" s="1129" t="e">
        <f aca="false">FF231</f>
        <v>#VALUE!</v>
      </c>
      <c r="FU231" s="1129" t="e">
        <f aca="false">FG231</f>
        <v>#VALUE!</v>
      </c>
      <c r="FV231" s="1170" t="e">
        <f aca="false">FH231</f>
        <v>#VALUE!</v>
      </c>
      <c r="FW231" s="1115" t="n">
        <f aca="false">IF(ER231&gt;0,MIN(FB231-FP231,BL231),0)</f>
        <v>0</v>
      </c>
      <c r="FX231" s="1115" t="n">
        <f aca="false">IF(ES231&gt;0,MIN(FD231-FR231,BM231),0)</f>
        <v>0</v>
      </c>
      <c r="FY231" s="1115" t="n">
        <f aca="false">IF(ET231&gt;0,MIN(FF231-FT231,BN231),0)</f>
        <v>0</v>
      </c>
      <c r="FZ231" s="1143" t="n">
        <f aca="false">IF(EU231&gt;0,MIN(FH231-FV231,BO231),0)</f>
        <v>0</v>
      </c>
      <c r="GA231" s="1132" t="e">
        <f aca="false">(SUM(FP231:FV231)+SUM(GU231:HB231)/(1-Summary!$O$25))*CY231/1000</f>
        <v>#VALUE!</v>
      </c>
      <c r="GB231" s="1133" t="n">
        <f aca="false">IF($C231&lt;Summary!$M$81,+Summary!$O$81,VLOOKUP(C231,GasTable,19))</f>
        <v>4.19641695596515</v>
      </c>
      <c r="GC231" s="1134" t="n">
        <f aca="false">IF(H231&lt;=Summary!$N$84,MIN(GA231,Summary!$O$75*(H231-G231+1)),0)</f>
        <v>0</v>
      </c>
      <c r="GD231" s="1135" t="n">
        <f aca="false">IF(C231&lt;Summary!$N$84,IF(Summary!$O$75*(H231-G231+1)*0.8&gt;GC231,1,0),0)</f>
        <v>0</v>
      </c>
      <c r="GE231" s="1136" t="n">
        <v>0</v>
      </c>
      <c r="GF231" s="1134" t="e">
        <f aca="false">ABS(MIN(0,GC231-$GA231))</f>
        <v>#VALUE!</v>
      </c>
      <c r="GG231" s="1135" t="e">
        <f aca="false">GF231*(IF(Summary!$O$74=1,VLOOKUP($C231,GasTable,16)+Summary!$O$92+Summary!$O$93,VLOOKUP($C231,GasTable,19)+Summary!$O$92+Summary!$O$93))</f>
        <v>#VALUE!</v>
      </c>
      <c r="GH231" s="1137" t="n">
        <v>6294.62543394772</v>
      </c>
      <c r="GI231" s="1138" t="n">
        <v>0</v>
      </c>
      <c r="GJ231" s="1139" t="e">
        <f aca="false">+GB231*GC231+GE231+GG231+GH231-GI231</f>
        <v>#VALUE!</v>
      </c>
      <c r="GK231" s="1115" t="e">
        <f aca="false">SUM(FP231:FV231,GU231:GX231,GY231:HB231)</f>
        <v>#VALUE!</v>
      </c>
      <c r="GL231" s="1140" t="n">
        <v>0.51661770936</v>
      </c>
      <c r="GM231" s="1141" t="e">
        <f aca="false">IF(GK231&gt;GC231/(CY231/1000),GC231/(CY231/1000),+GK231)*GL231</f>
        <v>#VALUE!</v>
      </c>
      <c r="GN231" s="1115" t="n">
        <f aca="false">IF(SUM(GU231:HB231)=0,0,IF(Summary!$O$16="Yes",SUM(GX231:HB231),IF(Summary!$O$17="Yes",SUM(GY231:HB231),SUM(GU231:HB231))))</f>
        <v>11805.5205</v>
      </c>
      <c r="GO231" s="1142" t="n">
        <v>3.93299316702503</v>
      </c>
      <c r="GP231" s="1143" t="n">
        <f aca="false">GN231*GO231</f>
        <v>46431.031459674</v>
      </c>
      <c r="GQ231" s="1115"/>
      <c r="GR231" s="1115"/>
      <c r="GS231" s="1115"/>
      <c r="GT231" s="1115"/>
      <c r="GU231" s="1150" t="n">
        <v>5389.47675</v>
      </c>
      <c r="GV231" s="1115" t="n">
        <v>1026.567</v>
      </c>
      <c r="GW231" s="1115" t="n">
        <v>1283.20875</v>
      </c>
      <c r="GX231" s="1115"/>
      <c r="GY231" s="1151" t="n">
        <v>2874.3876</v>
      </c>
      <c r="GZ231" s="1115" t="n">
        <v>547.5024</v>
      </c>
      <c r="HA231" s="1115" t="n">
        <v>684.378</v>
      </c>
      <c r="HB231" s="1141"/>
      <c r="HC231" s="1115" t="n">
        <v>11805.5205</v>
      </c>
      <c r="HD231" s="1115"/>
      <c r="HE231" s="1115" t="n">
        <v>20274.69825</v>
      </c>
      <c r="HF231" s="1115" t="n">
        <v>695190.69291191</v>
      </c>
      <c r="HG231" s="1115"/>
      <c r="HH231" s="1142" t="n">
        <v>58.5402637082273</v>
      </c>
      <c r="HI231" s="1115" t="n">
        <v>1186886.18215973</v>
      </c>
      <c r="HJ231" s="1150" t="e">
        <f aca="false">MAX(FB231-FP231-FW231,0)</f>
        <v>#VALUE!</v>
      </c>
      <c r="HK231" s="1115" t="e">
        <f aca="false">MAX(FD231-FR231-FX231,0)</f>
        <v>#VALUE!</v>
      </c>
      <c r="HL231" s="1115" t="e">
        <f aca="false">MAX(FF231-FT231-FY231,0)</f>
        <v>#VALUE!</v>
      </c>
      <c r="HM231" s="1141" t="e">
        <f aca="false">MAX(FH231-FV231-FZ231,0)</f>
        <v>#VALUE!</v>
      </c>
      <c r="HN231" s="1115" t="e">
        <f aca="false">SUM(HJ231:HM231)</f>
        <v>#VALUE!</v>
      </c>
      <c r="HO231" s="1142" t="n">
        <f aca="false">IF(ISERROR(+HP231/HN231),0,+HP231/HN231)</f>
        <v>0</v>
      </c>
      <c r="HP231" s="1143" t="e">
        <f aca="false">(HJ231*CE231+HK231*CF231+HL231*CG231+HM231*CH231)</f>
        <v>#VALUE!</v>
      </c>
      <c r="HQ231" s="1142"/>
      <c r="HR231" s="1150"/>
      <c r="HS231" s="1200"/>
      <c r="HT231" s="1141"/>
      <c r="HU231" s="1150"/>
      <c r="HV231" s="1200"/>
      <c r="HW231" s="1141"/>
      <c r="HX231" s="1200"/>
      <c r="HY231" s="1200"/>
      <c r="HZ231" s="0"/>
      <c r="IA231" s="1142"/>
      <c r="IB231" s="1142"/>
      <c r="IC231" s="1142"/>
      <c r="ID231" s="1142"/>
      <c r="IE231" s="1142"/>
      <c r="IF231" s="1142"/>
      <c r="IG231" s="1142"/>
      <c r="IH231" s="1142"/>
      <c r="II231" s="1142"/>
      <c r="IJ231" s="1142"/>
      <c r="IK231" s="1142"/>
      <c r="IL231" s="1190"/>
      <c r="IM231" s="222"/>
      <c r="IN231" s="222"/>
      <c r="IR231" s="844"/>
    </row>
    <row r="232" customFormat="false" ht="13.5" hidden="false" customHeight="false" outlineLevel="0" collapsed="false">
      <c r="A232" s="0" t="str">
        <f aca="false">+D232&amp;"Q"&amp;ROUNDUP(E232/3,0)</f>
        <v>2017Q4</v>
      </c>
      <c r="B232" s="0" t="n">
        <f aca="false">YEAR(C232)</f>
        <v>2017</v>
      </c>
      <c r="C232" s="1153" t="n">
        <f aca="false">EOMONTH(C231,0)+1</f>
        <v>43070</v>
      </c>
      <c r="D232" s="841" t="n">
        <f aca="false">+YEAR(C232)</f>
        <v>2017</v>
      </c>
      <c r="E232" s="807" t="n">
        <f aca="false">MONTH(C232)</f>
        <v>12</v>
      </c>
      <c r="F232" s="1154" t="e">
        <f aca="false">IF(G232="","",Holiday(D232,E232))</f>
        <v>#VALUE!</v>
      </c>
      <c r="G232" s="1155" t="n">
        <v>43070</v>
      </c>
      <c r="H232" s="1156" t="n">
        <v>43100</v>
      </c>
      <c r="I232" s="1157" t="n">
        <f aca="false">I231</f>
        <v>0.0715</v>
      </c>
      <c r="J232" s="1158" t="n">
        <f aca="false">(1+I232/2)^(-2*(DATE(D233,E233,20)-$H$7)/365.25)</f>
        <v>0.28039688779413</v>
      </c>
      <c r="K232" s="1159"/>
      <c r="L232" s="1158"/>
      <c r="M232" s="1082" t="n">
        <v>0</v>
      </c>
      <c r="N232" s="1110" t="n">
        <f aca="false">M232</f>
        <v>0</v>
      </c>
      <c r="O232" s="1174" t="n">
        <f aca="false">N232</f>
        <v>0</v>
      </c>
      <c r="P232" s="1175" t="n">
        <f aca="false">M232</f>
        <v>0</v>
      </c>
      <c r="Q232" s="1110" t="n">
        <f aca="false">P232</f>
        <v>0</v>
      </c>
      <c r="R232" s="1174" t="n">
        <f aca="false">Q232</f>
        <v>0</v>
      </c>
      <c r="S232" s="1110" t="n">
        <f aca="false">R232</f>
        <v>0</v>
      </c>
      <c r="T232" s="1110" t="n">
        <f aca="false">S232</f>
        <v>0</v>
      </c>
      <c r="U232" s="1110" t="n">
        <f aca="false">T232</f>
        <v>0</v>
      </c>
      <c r="V232" s="1175" t="n">
        <f aca="false">U232</f>
        <v>0</v>
      </c>
      <c r="W232" s="1110" t="n">
        <f aca="false">V232</f>
        <v>0</v>
      </c>
      <c r="X232" s="1176" t="n">
        <f aca="false">W232</f>
        <v>0</v>
      </c>
      <c r="Y232" s="1086" t="n">
        <v>0</v>
      </c>
      <c r="Z232" s="1086" t="n">
        <v>0</v>
      </c>
      <c r="AA232" s="1087" t="n">
        <v>0</v>
      </c>
      <c r="AB232" s="1086" t="n">
        <v>0</v>
      </c>
      <c r="AC232" s="1086" t="n">
        <v>0</v>
      </c>
      <c r="AD232" s="1087" t="n">
        <v>0</v>
      </c>
      <c r="AE232" s="1086" t="n">
        <v>0</v>
      </c>
      <c r="AF232" s="1086" t="n">
        <v>0</v>
      </c>
      <c r="AG232" s="1087" t="n">
        <v>0</v>
      </c>
      <c r="AH232" s="1086" t="n">
        <v>0</v>
      </c>
      <c r="AI232" s="1086" t="n">
        <v>0</v>
      </c>
      <c r="AJ232" s="1087" t="n">
        <v>0</v>
      </c>
      <c r="AK232" s="1086" t="n">
        <v>0</v>
      </c>
      <c r="AL232" s="1086" t="n">
        <v>0</v>
      </c>
      <c r="AM232" s="1087" t="n">
        <v>0</v>
      </c>
      <c r="AN232" s="1086" t="n">
        <v>0</v>
      </c>
      <c r="AO232" s="1086" t="n">
        <v>0</v>
      </c>
      <c r="AP232" s="1087" t="n">
        <v>0</v>
      </c>
      <c r="AQ232" s="1086" t="n">
        <v>0</v>
      </c>
      <c r="AR232" s="1086" t="n">
        <v>0</v>
      </c>
      <c r="AS232" s="1087" t="n">
        <v>0</v>
      </c>
      <c r="AT232" s="1086" t="n">
        <v>0</v>
      </c>
      <c r="AU232" s="1086" t="n">
        <v>0</v>
      </c>
      <c r="AV232" s="1086" t="n">
        <v>0</v>
      </c>
      <c r="AW232" s="1172" t="n">
        <v>0</v>
      </c>
      <c r="AX232" s="807" t="e">
        <f aca="false">BB232-SUM(AY232:BA232)</f>
        <v>#VALUE!</v>
      </c>
      <c r="AY232" s="807" t="e">
        <f aca="false">IF(AND($E232=MONTH(Summary!$E$24),$D232=YEAR(Summary!$E$24)),Summary!$E$25,1)*IF(G232="",0,INT((H232-MOD(H232,7)-G232)/7)+1-IF(BA232,IF(WEEKDAY(F232)=7,1,0),0))</f>
        <v>#VALUE!</v>
      </c>
      <c r="AZ232" s="807" t="e">
        <f aca="false">IF(AND($E232=MONTH(Summary!$E$24),$D232=YEAR(Summary!$E$24)),Summary!$E$25,1)*IF(G232="",0,INT((H232-MOD(H232-1,7)-G232)/7)+1-IF(BA232,IF(WEEKDAY(F232)=1,1,0),0))</f>
        <v>#VALUE!</v>
      </c>
      <c r="BA232" s="807" t="n">
        <v>1</v>
      </c>
      <c r="BB232" s="807" t="n">
        <f aca="false">IF(AND($E232=MONTH(Summary!$E$24),$D232=YEAR(Summary!$E$24)),Summary!$E$25,1)*IF(G232="",0,H232-G232+1)</f>
        <v>31</v>
      </c>
      <c r="BC232" s="1089" t="n">
        <f aca="false">Summary!$E$19</f>
        <v>0.015</v>
      </c>
      <c r="BD232" s="1090" t="n">
        <v>14184</v>
      </c>
      <c r="BE232" s="1091" t="n">
        <v>3546</v>
      </c>
      <c r="BF232" s="1091" t="n">
        <v>4255.2</v>
      </c>
      <c r="BG232" s="842"/>
      <c r="BH232" s="1092" t="n">
        <v>1</v>
      </c>
      <c r="BI232" s="1092" t="n">
        <v>1</v>
      </c>
      <c r="BJ232" s="1092" t="n">
        <v>1</v>
      </c>
      <c r="BK232" s="1092" t="n">
        <v>1</v>
      </c>
      <c r="BL232" s="1093" t="n">
        <v>2836.8</v>
      </c>
      <c r="BM232" s="1091" t="n">
        <v>709.2</v>
      </c>
      <c r="BN232" s="1091" t="n">
        <v>851.04</v>
      </c>
      <c r="BO232" s="842"/>
      <c r="BP232" s="1092" t="n">
        <v>1</v>
      </c>
      <c r="BQ232" s="1094" t="n">
        <v>1</v>
      </c>
      <c r="BR232" s="1094" t="n">
        <v>1</v>
      </c>
      <c r="BS232" s="1095" t="n">
        <v>1</v>
      </c>
      <c r="BT232" s="1093" t="n">
        <f aca="false">SUM(BD232:BF232)</f>
        <v>21985.2</v>
      </c>
      <c r="BU232" s="1098" t="n">
        <f aca="false">SUM(BD232:BG232)</f>
        <v>21985.2</v>
      </c>
      <c r="BV232" s="1090" t="n">
        <f aca="false">SUM(BL232:BN232)</f>
        <v>4397.04</v>
      </c>
      <c r="BW232" s="1098" t="n">
        <f aca="false">SUM(BL232:BO232)</f>
        <v>4397.04</v>
      </c>
      <c r="BX232" s="852" t="n">
        <v>17.9630390143737</v>
      </c>
      <c r="BY232" s="1099" t="n">
        <v>0</v>
      </c>
      <c r="BZ232" s="852" t="n">
        <v>0</v>
      </c>
      <c r="CA232" s="852" t="n">
        <v>0</v>
      </c>
      <c r="CB232" s="852" t="n">
        <v>0</v>
      </c>
      <c r="CC232" s="852" t="n">
        <v>0</v>
      </c>
      <c r="CD232" s="852" t="n">
        <v>0</v>
      </c>
      <c r="CE232" s="1100" t="n">
        <v>0</v>
      </c>
      <c r="CF232" s="852" t="n">
        <v>0</v>
      </c>
      <c r="CG232" s="852" t="n">
        <v>0</v>
      </c>
      <c r="CH232" s="852" t="n">
        <v>0</v>
      </c>
      <c r="CI232" s="852" t="n">
        <v>0</v>
      </c>
      <c r="CJ232" s="1101" t="n">
        <v>0</v>
      </c>
      <c r="CK232" s="852" t="n">
        <v>0</v>
      </c>
      <c r="CL232" s="852" t="n">
        <v>0</v>
      </c>
      <c r="CM232" s="852" t="n">
        <v>0</v>
      </c>
      <c r="CN232" s="852" t="n">
        <v>0</v>
      </c>
      <c r="CO232" s="852" t="n">
        <v>0</v>
      </c>
      <c r="CP232" s="852" t="n">
        <v>0</v>
      </c>
      <c r="CQ232" s="1102" t="n">
        <v>0</v>
      </c>
      <c r="CR232" s="1103" t="n">
        <v>0</v>
      </c>
      <c r="CS232" s="1103" t="n">
        <v>0</v>
      </c>
      <c r="CT232" s="1103" t="n">
        <v>0</v>
      </c>
      <c r="CU232" s="1103" t="n">
        <v>0</v>
      </c>
      <c r="CV232" s="1103" t="n">
        <v>0</v>
      </c>
      <c r="CW232" s="1103" t="n">
        <v>0</v>
      </c>
      <c r="CX232" s="1104" t="n">
        <v>0</v>
      </c>
      <c r="CY232" s="1105" t="n">
        <v>7712.74304</v>
      </c>
      <c r="CZ232" s="1099" t="n">
        <v>0</v>
      </c>
      <c r="DA232" s="852" t="n">
        <v>0</v>
      </c>
      <c r="DB232" s="852" t="n">
        <v>0</v>
      </c>
      <c r="DC232" s="852" t="n">
        <v>0</v>
      </c>
      <c r="DD232" s="852" t="n">
        <v>0</v>
      </c>
      <c r="DE232" s="1113" t="n">
        <v>0</v>
      </c>
      <c r="DF232" s="1109" t="n">
        <v>0</v>
      </c>
      <c r="DG232" s="1110" t="n">
        <v>0</v>
      </c>
      <c r="DH232" s="1111" t="n">
        <v>0</v>
      </c>
      <c r="DI232" s="1112" t="n">
        <v>0</v>
      </c>
      <c r="DJ232" s="1112" t="n">
        <v>0</v>
      </c>
      <c r="DK232" s="1112" t="n">
        <v>0</v>
      </c>
      <c r="DL232" s="1113" t="n">
        <v>0</v>
      </c>
      <c r="DM232" s="1114" t="n">
        <v>0</v>
      </c>
      <c r="DN232" s="1114" t="n">
        <v>0</v>
      </c>
      <c r="DO232" s="1114" t="n">
        <v>0</v>
      </c>
      <c r="DP232" s="1114" t="n">
        <v>0</v>
      </c>
      <c r="DQ232" s="1114" t="n">
        <v>0</v>
      </c>
      <c r="DR232" s="1109" t="n">
        <v>0</v>
      </c>
      <c r="DS232" s="852" t="n">
        <v>0</v>
      </c>
      <c r="DT232" s="852" t="n">
        <v>0</v>
      </c>
      <c r="DU232" s="852" t="n">
        <v>0</v>
      </c>
      <c r="DV232" s="852" t="n">
        <v>0</v>
      </c>
      <c r="DW232" s="852" t="n">
        <v>0</v>
      </c>
      <c r="DX232" s="852" t="n">
        <v>0</v>
      </c>
      <c r="DY232" s="852" t="n">
        <v>0</v>
      </c>
      <c r="DZ232" s="852" t="n">
        <v>0</v>
      </c>
      <c r="EA232" s="852" t="n">
        <v>0</v>
      </c>
      <c r="EB232" s="1113" t="n">
        <v>0</v>
      </c>
      <c r="EC232" s="1115" t="n">
        <f aca="false">DS232*BD232</f>
        <v>0</v>
      </c>
      <c r="ED232" s="1115" t="n">
        <f aca="false">DT232*BE232</f>
        <v>0</v>
      </c>
      <c r="EE232" s="1115" t="n">
        <f aca="false">DU232*BF232</f>
        <v>0</v>
      </c>
      <c r="EF232" s="1115" t="n">
        <f aca="false">DV232*BG232</f>
        <v>0</v>
      </c>
      <c r="EG232" s="1115" t="n">
        <f aca="false">DS232*BD232+DT232*BE232+DU232*BF232+DV232*BG232</f>
        <v>0</v>
      </c>
      <c r="EH232" s="1116" t="n">
        <v>0</v>
      </c>
      <c r="EI232" s="1117" t="n">
        <v>0</v>
      </c>
      <c r="EJ232" s="1117" t="n">
        <v>0</v>
      </c>
      <c r="EK232" s="1117" t="n">
        <v>0</v>
      </c>
      <c r="EL232" s="1118" t="n">
        <f aca="false">IF(C232&gt;=Summary!$E$26,MAX(0,SUM(EH232:EK232)),0)</f>
        <v>0</v>
      </c>
      <c r="EM232" s="1115" t="n">
        <f aca="false">IF(C232&gt;=Summary!$E$26,DX232*BL232,0)</f>
        <v>0</v>
      </c>
      <c r="EN232" s="1115" t="n">
        <f aca="false">IF(C232&gt;=Summary!$E$26,DY232*BM232,0)</f>
        <v>0</v>
      </c>
      <c r="EO232" s="1115" t="n">
        <f aca="false">IF(C232&gt;=Summary!$E$26,DZ232*BN232,0)</f>
        <v>0</v>
      </c>
      <c r="EP232" s="1115" t="n">
        <f aca="false">IF(C232&gt;=Summary!$E$26,EA232*BO232,0)</f>
        <v>0</v>
      </c>
      <c r="EQ232" s="1115" t="n">
        <f aca="false">IF(C232&gt;=Summary!$E$26,DX232*BL232+DY232*BM232+DZ232*BN232+EA232*BO232,0)</f>
        <v>0</v>
      </c>
      <c r="ER232" s="1119" t="n">
        <v>0</v>
      </c>
      <c r="ES232" s="1120" t="n">
        <v>0</v>
      </c>
      <c r="ET232" s="1120" t="n">
        <v>0</v>
      </c>
      <c r="EU232" s="1120" t="n">
        <v>0</v>
      </c>
      <c r="EV232" s="1143" t="n">
        <f aca="false">IF(C232&gt;=Summary!$E$26,MAX(0,SUM(ER232:EU232)),0)</f>
        <v>0</v>
      </c>
      <c r="EW232" s="1115"/>
      <c r="EX232" s="1165" t="n">
        <f aca="false">(EQ232-EV232)+IF(EZ232="Yes",(EG232-EL232),0)</f>
        <v>0</v>
      </c>
      <c r="EY232" s="1166" t="str">
        <f aca="false">IF(EX232,EX232/EQ232,"")</f>
        <v/>
      </c>
      <c r="EZ232" s="1122" t="s">
        <v>37</v>
      </c>
      <c r="FA232" s="1096" t="n">
        <f aca="false">FA231</f>
        <v>45</v>
      </c>
      <c r="FB232" s="1167" t="e">
        <f aca="false">IF(EZ232="No",IF((OR(MONTH(C232)=5,MONTH(C232)=6,MONTH(C232)=7,MONTH(C232)=8,MONTH(C232)=9)),$FA232*12*AX232*(1-$BC232),$FA232*10*AX232*(1-$BC232)),0)</f>
        <v>#VALUE!</v>
      </c>
      <c r="FC232" s="1129" t="e">
        <f aca="false">IF(EZ232="No",IF((OR(MONTH(C232)=5,MONTH(C232)=6,MONTH(C232)=7,MONTH(C232)=8,MONTH(C232)=9)),0,$FA232*3*AX232*(1-$BC232)),0)</f>
        <v>#VALUE!</v>
      </c>
      <c r="FD232" s="1129" t="e">
        <f aca="false">IF(EZ232="No",IF((OR(MONTH(C232)=5,MONTH(C232)=6,MONTH(C232)=7,MONTH(C232)=8,MONTH(C232)=9)),$FA232*12*AY232*(1-$BC232),$FA232*10*AY232*(1-$BC232)),0)</f>
        <v>#VALUE!</v>
      </c>
      <c r="FE232" s="1129" t="e">
        <f aca="false">IF(EZ232="No",IF((OR(MONTH(C232)=5,MONTH(C232)=6,MONTH(C232)=7,MONTH(C232)=8,MONTH(C232)=9)),0,$FA232*3*AY232*(1-$BC232)),0)</f>
        <v>#VALUE!</v>
      </c>
      <c r="FF232" s="1129" t="e">
        <f aca="false">IF(EZ232="No",IF((OR(MONTH(C232)=5,MONTH(C232)=6,MONTH(C232)=7,MONTH(C232)=8,MONTH(C232)=9)),$FA232*12*(AZ232+BA232)*(1-$BC232),$FA232*10*(AZ232+BA232)*(1-$BC232)),0)</f>
        <v>#VALUE!</v>
      </c>
      <c r="FG232" s="1129" t="e">
        <f aca="false">IF(EZ232="No",IF((OR(MONTH(C232)=5,MONTH(C232)=6,MONTH(C232)=7,MONTH(C232)=8,MONTH(C232)=9)),0,$FA232*3*(AZ232+BA232)*(1-$BC232)),0)</f>
        <v>#VALUE!</v>
      </c>
      <c r="FH232" s="1170" t="e">
        <f aca="false">IF(EZ232="No",IF((OR(MONTH(C232)=5,MONTH(C232)=6,MONTH(C232)=7,MONTH(C232)=8,MONTH(C232)=9)),Summary!$O$15*12*(AX232+AY232+AZ232+BA232)*(1-$BC232),Summary!$O$15*13*(AX232+AY232+AZ232+BA232)*(1-$BC232)+IF(Summary!$O$16="Yes",(CALC!FA232+Summary!$O$15)*6*(AX232+AY232+AZ232+BA232)*(1-$BC232),0)),0)</f>
        <v>#VALUE!</v>
      </c>
      <c r="FI232" s="1126" t="n">
        <f aca="false">IF(MONTH(C232)=5,FI231*(IF(Summary!$E$70="no",(1+(Summary!$E$71*0.8)),1+HLOOKUP(YEAR(C232)-1,CCFMODEL!$I$127:$AF$128,2)*0.8)),+FI231)</f>
        <v>40.7683271086151</v>
      </c>
      <c r="FJ232" s="1127" t="n">
        <f aca="false">IF(MONTH(C232)=5,FJ231*(IF(Summary!$E$70="no",(1+(Summary!$E$71*0.8)),1+HLOOKUP(YEAR(CALC!C232)-1,CCFMODEL!$I$127:$AF$128,2)*0.8)),FJ231)</f>
        <v>35.632159913829</v>
      </c>
      <c r="FK232" s="1128" t="e">
        <f aca="false">SUM(FB232:FG232)*FI232+FH232*FJ232</f>
        <v>#VALUE!</v>
      </c>
      <c r="FL232" s="1126" t="n">
        <f aca="false">IF(MONTH(C232)=5,FL231*(IF(Summary!$E$70="no",(1+(Summary!$E$71*0.8)),1+HLOOKUP(YEAR(CALC!C232)-1,CCFMODEL!$I$127:$AF$128,2)*0.8)),+FL231)</f>
        <v>85.7403624867725</v>
      </c>
      <c r="FM232" s="1127" t="n">
        <f aca="false">IF(MONTH(C232)=5,FM231*(IF(Summary!$E$70="no",(1+(Summary!$E$71*0.8)),1+HLOOKUP(YEAR(CALC!C232)-1,CCFMODEL!$I$127:$AF$128,2)*0.8)),+FM231)</f>
        <v>40.9211892275076</v>
      </c>
      <c r="FN232" s="1128" t="e">
        <f aca="false">IF((OR(MONTH(C232)=5,MONTH(C232)=6,MONTH(C232)=7,MONTH(C232)=8,MONTH(C232)=9)),SUM(FB232:FG232)/(1-BC232)*FL232,SUM(FB232:FG232)/(1-BC232)*FM232)</f>
        <v>#VALUE!</v>
      </c>
      <c r="FO232" s="1129" t="e">
        <f aca="false">FK232+FN232</f>
        <v>#VALUE!</v>
      </c>
      <c r="FP232" s="1169" t="e">
        <f aca="false">FB232</f>
        <v>#VALUE!</v>
      </c>
      <c r="FQ232" s="1129" t="e">
        <f aca="false">FC232</f>
        <v>#VALUE!</v>
      </c>
      <c r="FR232" s="1129" t="e">
        <f aca="false">FD232</f>
        <v>#VALUE!</v>
      </c>
      <c r="FS232" s="1129" t="e">
        <f aca="false">FE232</f>
        <v>#VALUE!</v>
      </c>
      <c r="FT232" s="1129" t="e">
        <f aca="false">FF232</f>
        <v>#VALUE!</v>
      </c>
      <c r="FU232" s="1129" t="e">
        <f aca="false">FG232</f>
        <v>#VALUE!</v>
      </c>
      <c r="FV232" s="1170" t="e">
        <f aca="false">FH232</f>
        <v>#VALUE!</v>
      </c>
      <c r="FW232" s="1115" t="n">
        <f aca="false">IF(ER232&gt;0,MIN(FB232-FP232,BL232),0)</f>
        <v>0</v>
      </c>
      <c r="FX232" s="1115" t="n">
        <f aca="false">IF(ES232&gt;0,MIN(FD232-FR232,BM232),0)</f>
        <v>0</v>
      </c>
      <c r="FY232" s="1115" t="n">
        <f aca="false">IF(ET232&gt;0,MIN(FF232-FT232,BN232),0)</f>
        <v>0</v>
      </c>
      <c r="FZ232" s="1143" t="n">
        <f aca="false">IF(EU232&gt;0,MIN(FH232-FV232,BO232),0)</f>
        <v>0</v>
      </c>
      <c r="GA232" s="1132" t="e">
        <f aca="false">(SUM(FP232:FV232)+SUM(GU232:HB232)/(1-Summary!$O$25))*CY232/1000</f>
        <v>#VALUE!</v>
      </c>
      <c r="GB232" s="1133" t="n">
        <f aca="false">IF($C232&lt;Summary!$M$81,+Summary!$O$81,VLOOKUP(C232,GasTable,19))</f>
        <v>4.37491197622545</v>
      </c>
      <c r="GC232" s="1134" t="n">
        <f aca="false">IF(H232&lt;=Summary!$N$84,MIN(GA232,Summary!$O$75*(H232-G232+1)),0)</f>
        <v>0</v>
      </c>
      <c r="GD232" s="1135" t="n">
        <f aca="false">IF(C232&lt;Summary!$N$84,IF(Summary!$O$75*(H232-G232+1)*0.8&gt;GC232,1,0),0)</f>
        <v>0</v>
      </c>
      <c r="GE232" s="1136" t="n">
        <v>0</v>
      </c>
      <c r="GF232" s="1134" t="e">
        <f aca="false">ABS(MIN(0,GC232-$GA232))</f>
        <v>#VALUE!</v>
      </c>
      <c r="GG232" s="1135" t="e">
        <f aca="false">GF232*(IF(Summary!$O$74=1,VLOOKUP($C232,GasTable,16)+Summary!$O$92+Summary!$O$93,VLOOKUP($C232,GasTable,19)+Summary!$O$92+Summary!$O$93))</f>
        <v>#VALUE!</v>
      </c>
      <c r="GH232" s="1137" t="n">
        <v>6781.11356314944</v>
      </c>
      <c r="GI232" s="1138" t="n">
        <v>0</v>
      </c>
      <c r="GJ232" s="1139" t="e">
        <f aca="false">+GB232*GC232+GE232+GG232+GH232-GI232</f>
        <v>#VALUE!</v>
      </c>
      <c r="GK232" s="1115" t="e">
        <f aca="false">SUM(FP232:FV232,GU232:GX232,GY232:HB232)</f>
        <v>#VALUE!</v>
      </c>
      <c r="GL232" s="1140" t="n">
        <v>0.51675378368</v>
      </c>
      <c r="GM232" s="1141" t="e">
        <f aca="false">IF(GK232&gt;GC232/(CY232/1000),GC232/(CY232/1000),+GK232)*GL232</f>
        <v>#VALUE!</v>
      </c>
      <c r="GN232" s="1115" t="n">
        <f aca="false">IF(SUM(GU232:HB232)=0,0,IF(Summary!$O$16="Yes",SUM(GX232:HB232),IF(Summary!$O$17="Yes",SUM(GY232:HB232),SUM(GU232:HB232))))</f>
        <v>12199.03785</v>
      </c>
      <c r="GO232" s="1142" t="n">
        <v>3.93299316702503</v>
      </c>
      <c r="GP232" s="1143" t="n">
        <f aca="false">GN232*GO232</f>
        <v>47978.7325083298</v>
      </c>
      <c r="GQ232" s="1115"/>
      <c r="GR232" s="1115"/>
      <c r="GS232" s="1115"/>
      <c r="GT232" s="1115"/>
      <c r="GU232" s="1150" t="n">
        <v>5132.835</v>
      </c>
      <c r="GV232" s="1115" t="n">
        <v>1283.20875</v>
      </c>
      <c r="GW232" s="1115" t="n">
        <v>1539.8505</v>
      </c>
      <c r="GX232" s="1115"/>
      <c r="GY232" s="1151" t="n">
        <v>2737.512</v>
      </c>
      <c r="GZ232" s="1115" t="n">
        <v>684.378</v>
      </c>
      <c r="HA232" s="1115" t="n">
        <v>821.2536</v>
      </c>
      <c r="HB232" s="1141"/>
      <c r="HC232" s="1115" t="n">
        <v>12199.03785</v>
      </c>
      <c r="HD232" s="1115"/>
      <c r="HE232" s="1115" t="n">
        <v>20950.521525</v>
      </c>
      <c r="HF232" s="1115" t="n">
        <v>694348.594534365</v>
      </c>
      <c r="HG232" s="1115"/>
      <c r="HH232" s="1142" t="n">
        <v>56.551027996975</v>
      </c>
      <c r="HI232" s="1115" t="n">
        <v>1184773.5293115</v>
      </c>
      <c r="HJ232" s="1150" t="e">
        <f aca="false">MAX(FB232-FP232-FW232,0)</f>
        <v>#VALUE!</v>
      </c>
      <c r="HK232" s="1115" t="e">
        <f aca="false">MAX(FD232-FR232-FX232,0)</f>
        <v>#VALUE!</v>
      </c>
      <c r="HL232" s="1115" t="e">
        <f aca="false">MAX(FF232-FT232-FY232,0)</f>
        <v>#VALUE!</v>
      </c>
      <c r="HM232" s="1141" t="e">
        <f aca="false">MAX(FH232-FV232-FZ232,0)</f>
        <v>#VALUE!</v>
      </c>
      <c r="HN232" s="1115" t="e">
        <f aca="false">SUM(HJ232:HM232)</f>
        <v>#VALUE!</v>
      </c>
      <c r="HO232" s="1142" t="n">
        <f aca="false">IF(ISERROR(+HP232/HN232),0,+HP232/HN232)</f>
        <v>0</v>
      </c>
      <c r="HP232" s="1143" t="e">
        <f aca="false">(HJ232*CE232+HK232*CF232+HL232*CG232+HM232*CH232)</f>
        <v>#VALUE!</v>
      </c>
      <c r="HQ232" s="1142"/>
      <c r="HR232" s="1150"/>
      <c r="HS232" s="1200"/>
      <c r="HT232" s="1141"/>
      <c r="HU232" s="1150"/>
      <c r="HV232" s="1200"/>
      <c r="HW232" s="1141"/>
      <c r="HX232" s="1200"/>
      <c r="HY232" s="1200"/>
      <c r="HZ232" s="0"/>
      <c r="IA232" s="1142"/>
      <c r="IB232" s="1142"/>
      <c r="IC232" s="1142"/>
      <c r="ID232" s="1142"/>
      <c r="IE232" s="1142"/>
      <c r="IF232" s="1142"/>
      <c r="IG232" s="1142"/>
      <c r="IH232" s="1142"/>
      <c r="II232" s="1142"/>
      <c r="IJ232" s="1142"/>
      <c r="IK232" s="1142"/>
      <c r="IL232" s="1190"/>
      <c r="IM232" s="222"/>
      <c r="IN232" s="222"/>
      <c r="IR232" s="844"/>
    </row>
    <row r="233" customFormat="false" ht="13.5" hidden="false" customHeight="false" outlineLevel="0" collapsed="false">
      <c r="A233" s="0" t="str">
        <f aca="false">+D233&amp;"Q"&amp;ROUNDUP(E233/3,0)</f>
        <v>2018Q1</v>
      </c>
      <c r="B233" s="0" t="n">
        <f aca="false">YEAR(C233)</f>
        <v>2018</v>
      </c>
      <c r="C233" s="1153" t="n">
        <f aca="false">EOMONTH(C232,0)+1</f>
        <v>43101</v>
      </c>
      <c r="D233" s="841" t="n">
        <f aca="false">+YEAR(C233)</f>
        <v>2018</v>
      </c>
      <c r="E233" s="807" t="n">
        <f aca="false">MONTH(C233)</f>
        <v>1</v>
      </c>
      <c r="F233" s="1154" t="e">
        <f aca="false">IF(G233="","",Holiday(D233,E233))</f>
        <v>#VALUE!</v>
      </c>
      <c r="G233" s="1155" t="n">
        <v>43101</v>
      </c>
      <c r="H233" s="1156" t="n">
        <v>43131</v>
      </c>
      <c r="I233" s="1157" t="n">
        <f aca="false">I232</f>
        <v>0.0715</v>
      </c>
      <c r="J233" s="1158" t="n">
        <f aca="false">(1+I233/2)^(-2*(DATE(D234,E234,20)-$H$7)/365.25)</f>
        <v>0.278729998307581</v>
      </c>
      <c r="K233" s="1159"/>
      <c r="L233" s="1158"/>
      <c r="M233" s="1082" t="n">
        <v>0</v>
      </c>
      <c r="N233" s="1110" t="n">
        <f aca="false">M233</f>
        <v>0</v>
      </c>
      <c r="O233" s="1174" t="n">
        <f aca="false">N233</f>
        <v>0</v>
      </c>
      <c r="P233" s="1175" t="n">
        <f aca="false">M233</f>
        <v>0</v>
      </c>
      <c r="Q233" s="1110" t="n">
        <f aca="false">P233</f>
        <v>0</v>
      </c>
      <c r="R233" s="1174" t="n">
        <f aca="false">Q233</f>
        <v>0</v>
      </c>
      <c r="S233" s="1110" t="n">
        <f aca="false">R233</f>
        <v>0</v>
      </c>
      <c r="T233" s="1110" t="n">
        <f aca="false">S233</f>
        <v>0</v>
      </c>
      <c r="U233" s="1110" t="n">
        <f aca="false">T233</f>
        <v>0</v>
      </c>
      <c r="V233" s="1175" t="n">
        <f aca="false">U233</f>
        <v>0</v>
      </c>
      <c r="W233" s="1110" t="n">
        <f aca="false">V233</f>
        <v>0</v>
      </c>
      <c r="X233" s="1176" t="n">
        <f aca="false">W233</f>
        <v>0</v>
      </c>
      <c r="Y233" s="1086" t="n">
        <v>0</v>
      </c>
      <c r="Z233" s="1086" t="n">
        <v>0</v>
      </c>
      <c r="AA233" s="1087" t="n">
        <v>0</v>
      </c>
      <c r="AB233" s="1086" t="n">
        <v>0</v>
      </c>
      <c r="AC233" s="1086" t="n">
        <v>0</v>
      </c>
      <c r="AD233" s="1087" t="n">
        <v>0</v>
      </c>
      <c r="AE233" s="1086" t="n">
        <v>0</v>
      </c>
      <c r="AF233" s="1086" t="n">
        <v>0</v>
      </c>
      <c r="AG233" s="1087" t="n">
        <v>0</v>
      </c>
      <c r="AH233" s="1086" t="n">
        <v>0</v>
      </c>
      <c r="AI233" s="1086" t="n">
        <v>0</v>
      </c>
      <c r="AJ233" s="1087" t="n">
        <v>0</v>
      </c>
      <c r="AK233" s="1086" t="n">
        <v>0</v>
      </c>
      <c r="AL233" s="1086" t="n">
        <v>0</v>
      </c>
      <c r="AM233" s="1087" t="n">
        <v>0</v>
      </c>
      <c r="AN233" s="1086" t="n">
        <v>0</v>
      </c>
      <c r="AO233" s="1086" t="n">
        <v>0</v>
      </c>
      <c r="AP233" s="1087" t="n">
        <v>0</v>
      </c>
      <c r="AQ233" s="1086" t="n">
        <v>0</v>
      </c>
      <c r="AR233" s="1086" t="n">
        <v>0</v>
      </c>
      <c r="AS233" s="1087" t="n">
        <v>0</v>
      </c>
      <c r="AT233" s="1086" t="n">
        <v>0</v>
      </c>
      <c r="AU233" s="1086" t="n">
        <v>0</v>
      </c>
      <c r="AV233" s="1086" t="n">
        <v>0</v>
      </c>
      <c r="AW233" s="1172" t="n">
        <v>0</v>
      </c>
      <c r="AX233" s="807" t="e">
        <f aca="false">BB233-SUM(AY233:BA233)</f>
        <v>#VALUE!</v>
      </c>
      <c r="AY233" s="807" t="e">
        <f aca="false">IF(AND($E233=MONTH(Summary!$E$24),$D233=YEAR(Summary!$E$24)),Summary!$E$25,1)*IF(G233="",0,INT((H233-MOD(H233,7)-G233)/7)+1-IF(BA233,IF(WEEKDAY(F233)=7,1,0),0))</f>
        <v>#VALUE!</v>
      </c>
      <c r="AZ233" s="807" t="e">
        <f aca="false">IF(AND($E233=MONTH(Summary!$E$24),$D233=YEAR(Summary!$E$24)),Summary!$E$25,1)*IF(G233="",0,INT((H233-MOD(H233-1,7)-G233)/7)+1-IF(BA233,IF(WEEKDAY(F233)=1,1,0),0))</f>
        <v>#VALUE!</v>
      </c>
      <c r="BA233" s="807" t="n">
        <v>1</v>
      </c>
      <c r="BB233" s="807" t="n">
        <f aca="false">IF(AND($E233=MONTH(Summary!$E$24),$D233=YEAR(Summary!$E$24)),Summary!$E$25,1)*IF(G233="",0,H233-G233+1)</f>
        <v>31</v>
      </c>
      <c r="BC233" s="1089" t="n">
        <f aca="false">Summary!$E$19</f>
        <v>0.015</v>
      </c>
      <c r="BD233" s="1090" t="n">
        <v>15602.4</v>
      </c>
      <c r="BE233" s="1091" t="n">
        <v>2836.8</v>
      </c>
      <c r="BF233" s="1091" t="n">
        <v>3546</v>
      </c>
      <c r="BG233" s="842"/>
      <c r="BH233" s="1092" t="n">
        <v>1</v>
      </c>
      <c r="BI233" s="1092" t="n">
        <v>1</v>
      </c>
      <c r="BJ233" s="1092" t="n">
        <v>1</v>
      </c>
      <c r="BK233" s="1092" t="n">
        <v>1</v>
      </c>
      <c r="BL233" s="1093" t="n">
        <v>3120.48</v>
      </c>
      <c r="BM233" s="1091" t="n">
        <v>567.36</v>
      </c>
      <c r="BN233" s="1091" t="n">
        <v>709.2</v>
      </c>
      <c r="BO233" s="842"/>
      <c r="BP233" s="1092" t="n">
        <v>1</v>
      </c>
      <c r="BQ233" s="1094" t="n">
        <v>1</v>
      </c>
      <c r="BR233" s="1094" t="n">
        <v>1</v>
      </c>
      <c r="BS233" s="1095" t="n">
        <v>1</v>
      </c>
      <c r="BT233" s="1093" t="n">
        <f aca="false">SUM(BD233:BF233)</f>
        <v>21985.2</v>
      </c>
      <c r="BU233" s="1098" t="n">
        <f aca="false">SUM(BD233:BG233)</f>
        <v>21985.2</v>
      </c>
      <c r="BV233" s="1090" t="n">
        <f aca="false">SUM(BL233:BN233)</f>
        <v>4397.04</v>
      </c>
      <c r="BW233" s="1098" t="n">
        <f aca="false">SUM(BL233:BO233)</f>
        <v>4397.04</v>
      </c>
      <c r="BX233" s="852" t="n">
        <v>18.0479123887748</v>
      </c>
      <c r="BY233" s="1099" t="n">
        <v>0</v>
      </c>
      <c r="BZ233" s="852" t="n">
        <v>0</v>
      </c>
      <c r="CA233" s="852" t="n">
        <v>0</v>
      </c>
      <c r="CB233" s="852" t="n">
        <v>0</v>
      </c>
      <c r="CC233" s="852" t="n">
        <v>0</v>
      </c>
      <c r="CD233" s="852" t="n">
        <v>0</v>
      </c>
      <c r="CE233" s="1100" t="n">
        <v>0</v>
      </c>
      <c r="CF233" s="852" t="n">
        <v>0</v>
      </c>
      <c r="CG233" s="852" t="n">
        <v>0</v>
      </c>
      <c r="CH233" s="852" t="n">
        <v>0</v>
      </c>
      <c r="CI233" s="852" t="n">
        <v>0</v>
      </c>
      <c r="CJ233" s="1101" t="n">
        <v>0</v>
      </c>
      <c r="CK233" s="852" t="n">
        <v>0</v>
      </c>
      <c r="CL233" s="852" t="n">
        <v>0</v>
      </c>
      <c r="CM233" s="852" t="n">
        <v>0</v>
      </c>
      <c r="CN233" s="852" t="n">
        <v>0</v>
      </c>
      <c r="CO233" s="852" t="n">
        <v>0</v>
      </c>
      <c r="CP233" s="852" t="n">
        <v>0</v>
      </c>
      <c r="CQ233" s="1102" t="n">
        <v>0</v>
      </c>
      <c r="CR233" s="1103" t="n">
        <v>0</v>
      </c>
      <c r="CS233" s="1103" t="n">
        <v>0</v>
      </c>
      <c r="CT233" s="1103" t="n">
        <v>0</v>
      </c>
      <c r="CU233" s="1103" t="n">
        <v>0</v>
      </c>
      <c r="CV233" s="1103" t="n">
        <v>0</v>
      </c>
      <c r="CW233" s="1103" t="n">
        <v>0</v>
      </c>
      <c r="CX233" s="1104" t="n">
        <v>0</v>
      </c>
      <c r="CY233" s="1105" t="n">
        <v>7714.774</v>
      </c>
      <c r="CZ233" s="1099" t="n">
        <v>0</v>
      </c>
      <c r="DA233" s="852" t="n">
        <v>0</v>
      </c>
      <c r="DB233" s="852" t="n">
        <v>0</v>
      </c>
      <c r="DC233" s="852" t="n">
        <v>0</v>
      </c>
      <c r="DD233" s="852" t="n">
        <v>0</v>
      </c>
      <c r="DE233" s="1113" t="n">
        <v>0</v>
      </c>
      <c r="DF233" s="1109" t="n">
        <v>0</v>
      </c>
      <c r="DG233" s="1110" t="n">
        <v>0</v>
      </c>
      <c r="DH233" s="1111" t="n">
        <v>0</v>
      </c>
      <c r="DI233" s="1112" t="n">
        <v>0</v>
      </c>
      <c r="DJ233" s="1112" t="n">
        <v>0</v>
      </c>
      <c r="DK233" s="1112" t="n">
        <v>0</v>
      </c>
      <c r="DL233" s="1113" t="n">
        <v>0</v>
      </c>
      <c r="DM233" s="1114" t="n">
        <v>0</v>
      </c>
      <c r="DN233" s="1114" t="n">
        <v>0</v>
      </c>
      <c r="DO233" s="1114" t="n">
        <v>0</v>
      </c>
      <c r="DP233" s="1114" t="n">
        <v>0</v>
      </c>
      <c r="DQ233" s="1114" t="n">
        <v>0</v>
      </c>
      <c r="DR233" s="1109" t="n">
        <v>0</v>
      </c>
      <c r="DS233" s="852" t="n">
        <v>0</v>
      </c>
      <c r="DT233" s="852" t="n">
        <v>0</v>
      </c>
      <c r="DU233" s="852" t="n">
        <v>0</v>
      </c>
      <c r="DV233" s="852" t="n">
        <v>0</v>
      </c>
      <c r="DW233" s="852" t="n">
        <v>0</v>
      </c>
      <c r="DX233" s="852" t="n">
        <v>0</v>
      </c>
      <c r="DY233" s="852" t="n">
        <v>0</v>
      </c>
      <c r="DZ233" s="852" t="n">
        <v>0</v>
      </c>
      <c r="EA233" s="852" t="n">
        <v>0</v>
      </c>
      <c r="EB233" s="1113" t="n">
        <v>0</v>
      </c>
      <c r="EC233" s="1115" t="n">
        <f aca="false">DS233*BD233</f>
        <v>0</v>
      </c>
      <c r="ED233" s="1115" t="n">
        <f aca="false">DT233*BE233</f>
        <v>0</v>
      </c>
      <c r="EE233" s="1115" t="n">
        <f aca="false">DU233*BF233</f>
        <v>0</v>
      </c>
      <c r="EF233" s="1115" t="n">
        <f aca="false">DV233*BG233</f>
        <v>0</v>
      </c>
      <c r="EG233" s="1115" t="n">
        <f aca="false">DS233*BD233+DT233*BE233+DU233*BF233+DV233*BG233</f>
        <v>0</v>
      </c>
      <c r="EH233" s="1116" t="n">
        <v>0</v>
      </c>
      <c r="EI233" s="1117" t="n">
        <v>0</v>
      </c>
      <c r="EJ233" s="1117" t="n">
        <v>0</v>
      </c>
      <c r="EK233" s="1117" t="n">
        <v>0</v>
      </c>
      <c r="EL233" s="1118" t="n">
        <f aca="false">IF(C233&gt;=Summary!$E$26,MAX(0,SUM(EH233:EK233)),0)</f>
        <v>0</v>
      </c>
      <c r="EM233" s="1115" t="n">
        <f aca="false">IF(C233&gt;=Summary!$E$26,DX233*BL233,0)</f>
        <v>0</v>
      </c>
      <c r="EN233" s="1115" t="n">
        <f aca="false">IF(C233&gt;=Summary!$E$26,DY233*BM233,0)</f>
        <v>0</v>
      </c>
      <c r="EO233" s="1115" t="n">
        <f aca="false">IF(C233&gt;=Summary!$E$26,DZ233*BN233,0)</f>
        <v>0</v>
      </c>
      <c r="EP233" s="1115" t="n">
        <f aca="false">IF(C233&gt;=Summary!$E$26,EA233*BO233,0)</f>
        <v>0</v>
      </c>
      <c r="EQ233" s="1115" t="n">
        <f aca="false">IF(C233&gt;=Summary!$E$26,DX233*BL233+DY233*BM233+DZ233*BN233+EA233*BO233,0)</f>
        <v>0</v>
      </c>
      <c r="ER233" s="1119" t="n">
        <v>0</v>
      </c>
      <c r="ES233" s="1120" t="n">
        <v>0</v>
      </c>
      <c r="ET233" s="1120" t="n">
        <v>0</v>
      </c>
      <c r="EU233" s="1120" t="n">
        <v>0</v>
      </c>
      <c r="EV233" s="1143" t="n">
        <f aca="false">IF(C233&gt;=Summary!$E$26,MAX(0,SUM(ER233:EU233)),0)</f>
        <v>0</v>
      </c>
      <c r="EW233" s="1115"/>
      <c r="EX233" s="1165" t="n">
        <f aca="false">(EQ233-EV233)+IF(EZ233="Yes",(EG233-EL233),0)</f>
        <v>0</v>
      </c>
      <c r="EY233" s="1166" t="str">
        <f aca="false">IF(EX233,EX233/EQ233,"")</f>
        <v/>
      </c>
      <c r="EZ233" s="1122" t="s">
        <v>37</v>
      </c>
      <c r="FA233" s="1096" t="n">
        <f aca="false">FA232</f>
        <v>45</v>
      </c>
      <c r="FB233" s="1167" t="e">
        <f aca="false">IF(EZ233="No",IF((OR(MONTH(C233)=5,MONTH(C233)=6,MONTH(C233)=7,MONTH(C233)=8,MONTH(C233)=9)),$FA233*12*AX233*(1-$BC233),$FA233*10*AX233*(1-$BC233)),0)</f>
        <v>#VALUE!</v>
      </c>
      <c r="FC233" s="1129" t="e">
        <f aca="false">IF(EZ233="No",IF((OR(MONTH(C233)=5,MONTH(C233)=6,MONTH(C233)=7,MONTH(C233)=8,MONTH(C233)=9)),0,$FA233*3*AX233*(1-$BC233)),0)</f>
        <v>#VALUE!</v>
      </c>
      <c r="FD233" s="1129" t="e">
        <f aca="false">IF(EZ233="No",IF((OR(MONTH(C233)=5,MONTH(C233)=6,MONTH(C233)=7,MONTH(C233)=8,MONTH(C233)=9)),$FA233*12*AY233*(1-$BC233),$FA233*10*AY233*(1-$BC233)),0)</f>
        <v>#VALUE!</v>
      </c>
      <c r="FE233" s="1129" t="e">
        <f aca="false">IF(EZ233="No",IF((OR(MONTH(C233)=5,MONTH(C233)=6,MONTH(C233)=7,MONTH(C233)=8,MONTH(C233)=9)),0,$FA233*3*AY233*(1-$BC233)),0)</f>
        <v>#VALUE!</v>
      </c>
      <c r="FF233" s="1129" t="e">
        <f aca="false">IF(EZ233="No",IF((OR(MONTH(C233)=5,MONTH(C233)=6,MONTH(C233)=7,MONTH(C233)=8,MONTH(C233)=9)),$FA233*12*(AZ233+BA233)*(1-$BC233),$FA233*10*(AZ233+BA233)*(1-$BC233)),0)</f>
        <v>#VALUE!</v>
      </c>
      <c r="FG233" s="1129" t="e">
        <f aca="false">IF(EZ233="No",IF((OR(MONTH(C233)=5,MONTH(C233)=6,MONTH(C233)=7,MONTH(C233)=8,MONTH(C233)=9)),0,$FA233*3*(AZ233+BA233)*(1-$BC233)),0)</f>
        <v>#VALUE!</v>
      </c>
      <c r="FH233" s="1170" t="e">
        <f aca="false">IF(EZ233="No",IF((OR(MONTH(C233)=5,MONTH(C233)=6,MONTH(C233)=7,MONTH(C233)=8,MONTH(C233)=9)),Summary!$O$15*12*(AX233+AY233+AZ233+BA233)*(1-$BC233),Summary!$O$15*13*(AX233+AY233+AZ233+BA233)*(1-$BC233)+IF(Summary!$O$16="Yes",(CALC!FA233+Summary!$O$15)*6*(AX233+AY233+AZ233+BA233)*(1-$BC233),0)),0)</f>
        <v>#VALUE!</v>
      </c>
      <c r="FI233" s="1126" t="n">
        <f aca="false">IF(MONTH(C233)=5,FI232*(IF(Summary!$E$70="no",(1+(Summary!$E$71*0.8)),1+HLOOKUP(YEAR(C233)-1,CCFMODEL!$I$127:$AF$128,2)*0.8)),+FI232)</f>
        <v>40.7683271086151</v>
      </c>
      <c r="FJ233" s="1127" t="n">
        <f aca="false">IF(MONTH(C233)=5,FJ232*(IF(Summary!$E$70="no",(1+(Summary!$E$71*0.8)),1+HLOOKUP(YEAR(CALC!C233)-1,CCFMODEL!$I$127:$AF$128,2)*0.8)),FJ232)</f>
        <v>35.632159913829</v>
      </c>
      <c r="FK233" s="1128" t="e">
        <f aca="false">SUM(FB233:FG233)*FI233+FH233*FJ233</f>
        <v>#VALUE!</v>
      </c>
      <c r="FL233" s="1126" t="n">
        <f aca="false">IF(MONTH(C233)=5,FL232*(IF(Summary!$E$70="no",(1+(Summary!$E$71*0.8)),1+HLOOKUP(YEAR(CALC!C233)-1,CCFMODEL!$I$127:$AF$128,2)*0.8)),+FL232)</f>
        <v>85.7403624867725</v>
      </c>
      <c r="FM233" s="1127" t="n">
        <f aca="false">IF(MONTH(C233)=5,FM232*(IF(Summary!$E$70="no",(1+(Summary!$E$71*0.8)),1+HLOOKUP(YEAR(CALC!C233)-1,CCFMODEL!$I$127:$AF$128,2)*0.8)),+FM232)</f>
        <v>40.9211892275076</v>
      </c>
      <c r="FN233" s="1128" t="e">
        <f aca="false">IF((OR(MONTH(C233)=5,MONTH(C233)=6,MONTH(C233)=7,MONTH(C233)=8,MONTH(C233)=9)),SUM(FB233:FG233)/(1-BC233)*FL233,SUM(FB233:FG233)/(1-BC233)*FM233)</f>
        <v>#VALUE!</v>
      </c>
      <c r="FO233" s="1129" t="e">
        <f aca="false">FK233+FN233</f>
        <v>#VALUE!</v>
      </c>
      <c r="FP233" s="1169" t="e">
        <f aca="false">FB233</f>
        <v>#VALUE!</v>
      </c>
      <c r="FQ233" s="1129" t="e">
        <f aca="false">FC233</f>
        <v>#VALUE!</v>
      </c>
      <c r="FR233" s="1129" t="e">
        <f aca="false">FD233</f>
        <v>#VALUE!</v>
      </c>
      <c r="FS233" s="1129" t="e">
        <f aca="false">FE233</f>
        <v>#VALUE!</v>
      </c>
      <c r="FT233" s="1129" t="e">
        <f aca="false">FF233</f>
        <v>#VALUE!</v>
      </c>
      <c r="FU233" s="1129" t="e">
        <f aca="false">FG233</f>
        <v>#VALUE!</v>
      </c>
      <c r="FV233" s="1170" t="e">
        <f aca="false">FH233</f>
        <v>#VALUE!</v>
      </c>
      <c r="FW233" s="1115" t="n">
        <f aca="false">IF(ER233&gt;0,MIN(FB233-FP233,BL233),0)</f>
        <v>0</v>
      </c>
      <c r="FX233" s="1115" t="n">
        <f aca="false">IF(ES233&gt;0,MIN(FD233-FR233,BM233),0)</f>
        <v>0</v>
      </c>
      <c r="FY233" s="1115" t="n">
        <f aca="false">IF(ET233&gt;0,MIN(FF233-FT233,BN233),0)</f>
        <v>0</v>
      </c>
      <c r="FZ233" s="1143" t="n">
        <f aca="false">IF(EU233&gt;0,MIN(FH233-FV233,BO233),0)</f>
        <v>0</v>
      </c>
      <c r="GA233" s="1132" t="e">
        <f aca="false">(SUM(FP233:FV233)+SUM(GU233:HB233)/(1-Summary!$O$25))*CY233/1000</f>
        <v>#VALUE!</v>
      </c>
      <c r="GB233" s="1133" t="n">
        <f aca="false">IF($C233&lt;Summary!$M$81,+Summary!$O$81,VLOOKUP(C233,GasTable,19))</f>
        <v>4.15452921114819</v>
      </c>
      <c r="GC233" s="1134" t="n">
        <f aca="false">IF(H233&lt;=Summary!$N$84,MIN(GA233,Summary!$O$75*(H233-G233+1)),0)</f>
        <v>0</v>
      </c>
      <c r="GD233" s="1135" t="n">
        <f aca="false">IF(C233&lt;Summary!$N$84,IF(Summary!$O$75*(H233-G233+1)*0.8&gt;GC233,1,0),0)</f>
        <v>0</v>
      </c>
      <c r="GE233" s="1136" t="n">
        <v>0</v>
      </c>
      <c r="GF233" s="1134" t="e">
        <f aca="false">ABS(MIN(0,GC233-$GA233))</f>
        <v>#VALUE!</v>
      </c>
      <c r="GG233" s="1135" t="e">
        <f aca="false">GF233*(IF(Summary!$O$74=1,VLOOKUP($C233,GasTable,16)+Summary!$O$92+Summary!$O$93,VLOOKUP($C233,GasTable,19)+Summary!$O$92+Summary!$O$93))</f>
        <v>#VALUE!</v>
      </c>
      <c r="GH233" s="1137" t="n">
        <v>6439.52027727969</v>
      </c>
      <c r="GI233" s="1138" t="n">
        <v>0</v>
      </c>
      <c r="GJ233" s="1139" t="e">
        <f aca="false">+GB233*GC233+GE233+GG233+GH233-GI233</f>
        <v>#VALUE!</v>
      </c>
      <c r="GK233" s="1115" t="e">
        <f aca="false">SUM(FP233:FV233,GU233:GX233,GY233:HB233)</f>
        <v>#VALUE!</v>
      </c>
      <c r="GL233" s="1140" t="n">
        <v>0.516889858</v>
      </c>
      <c r="GM233" s="1141" t="e">
        <f aca="false">IF(GK233&gt;GC233/(CY233/1000),GC233/(CY233/1000),+GK233)*GL233</f>
        <v>#VALUE!</v>
      </c>
      <c r="GN233" s="1115" t="n">
        <f aca="false">IF(SUM(GU233:HB233)=0,0,IF(Summary!$O$16="Yes",SUM(GX233:HB233),IF(Summary!$O$17="Yes",SUM(GY233:HB233),SUM(GU233:HB233))))</f>
        <v>12199.03785</v>
      </c>
      <c r="GO233" s="1142" t="n">
        <v>4.05098296203579</v>
      </c>
      <c r="GP233" s="1143" t="n">
        <f aca="false">GN233*GO233</f>
        <v>49418.0944835797</v>
      </c>
      <c r="GQ233" s="1115"/>
      <c r="GR233" s="1115"/>
      <c r="GS233" s="1115"/>
      <c r="GT233" s="1115"/>
      <c r="GU233" s="1150" t="n">
        <v>5646.1185</v>
      </c>
      <c r="GV233" s="1115" t="n">
        <v>1026.567</v>
      </c>
      <c r="GW233" s="1115" t="n">
        <v>1283.20875</v>
      </c>
      <c r="GX233" s="1115"/>
      <c r="GY233" s="1151" t="n">
        <v>3011.2632</v>
      </c>
      <c r="GZ233" s="1115" t="n">
        <v>547.5024</v>
      </c>
      <c r="HA233" s="1115" t="n">
        <v>684.378</v>
      </c>
      <c r="HB233" s="1141"/>
      <c r="HC233" s="1115" t="n">
        <v>12199.03785</v>
      </c>
      <c r="HD233" s="1115"/>
      <c r="HE233" s="1115" t="n">
        <v>20950.521525</v>
      </c>
      <c r="HF233" s="1115" t="n">
        <v>662496.783308475</v>
      </c>
      <c r="HG233" s="1115"/>
      <c r="HH233" s="1142" t="n">
        <v>53.8914328575589</v>
      </c>
      <c r="HI233" s="1115" t="n">
        <v>1129053.62409538</v>
      </c>
      <c r="HJ233" s="1150" t="e">
        <f aca="false">MAX(FB233-FP233-FW233,0)</f>
        <v>#VALUE!</v>
      </c>
      <c r="HK233" s="1115" t="e">
        <f aca="false">MAX(FD233-FR233-FX233,0)</f>
        <v>#VALUE!</v>
      </c>
      <c r="HL233" s="1115" t="e">
        <f aca="false">MAX(FF233-FT233-FY233,0)</f>
        <v>#VALUE!</v>
      </c>
      <c r="HM233" s="1141" t="e">
        <f aca="false">MAX(FH233-FV233-FZ233,0)</f>
        <v>#VALUE!</v>
      </c>
      <c r="HN233" s="1115" t="e">
        <f aca="false">SUM(HJ233:HM233)</f>
        <v>#VALUE!</v>
      </c>
      <c r="HO233" s="1142" t="n">
        <f aca="false">IF(ISERROR(+HP233/HN233),0,+HP233/HN233)</f>
        <v>0</v>
      </c>
      <c r="HP233" s="1143" t="e">
        <f aca="false">(HJ233*CE233+HK233*CF233+HL233*CG233+HM233*CH233)</f>
        <v>#VALUE!</v>
      </c>
      <c r="HQ233" s="1142"/>
      <c r="HR233" s="1150"/>
      <c r="HS233" s="1200"/>
      <c r="HT233" s="1141"/>
      <c r="HU233" s="1150"/>
      <c r="HV233" s="1200"/>
      <c r="HW233" s="1141"/>
      <c r="HX233" s="1200"/>
      <c r="HY233" s="1200"/>
      <c r="HZ233" s="0"/>
      <c r="IA233" s="1142"/>
      <c r="IB233" s="1142"/>
      <c r="IC233" s="1142"/>
      <c r="ID233" s="1142"/>
      <c r="IE233" s="1142"/>
      <c r="IF233" s="1142"/>
      <c r="IG233" s="1142"/>
      <c r="IH233" s="1142"/>
      <c r="II233" s="1142"/>
      <c r="IJ233" s="1142"/>
      <c r="IK233" s="1142"/>
      <c r="IL233" s="1190"/>
      <c r="IM233" s="222"/>
      <c r="IN233" s="222"/>
      <c r="IR233" s="844"/>
    </row>
    <row r="234" customFormat="false" ht="13.5" hidden="false" customHeight="false" outlineLevel="0" collapsed="false">
      <c r="A234" s="0" t="str">
        <f aca="false">+D234&amp;"Q"&amp;ROUNDUP(E234/3,0)</f>
        <v>2018Q1</v>
      </c>
      <c r="B234" s="0" t="n">
        <f aca="false">YEAR(C234)</f>
        <v>2018</v>
      </c>
      <c r="C234" s="1153" t="n">
        <f aca="false">EOMONTH(C233,0)+1</f>
        <v>43132</v>
      </c>
      <c r="D234" s="841" t="n">
        <f aca="false">+YEAR(C234)</f>
        <v>2018</v>
      </c>
      <c r="E234" s="807" t="n">
        <f aca="false">MONTH(C234)</f>
        <v>2</v>
      </c>
      <c r="F234" s="1154" t="e">
        <f aca="false">IF(G234="","",Holiday(D234,E234))</f>
        <v>#VALUE!</v>
      </c>
      <c r="G234" s="1155" t="n">
        <v>43132</v>
      </c>
      <c r="H234" s="1156" t="n">
        <v>43159</v>
      </c>
      <c r="I234" s="1157" t="n">
        <f aca="false">I233</f>
        <v>0.0715</v>
      </c>
      <c r="J234" s="1158" t="n">
        <f aca="false">(1+I234/2)^(-2*(DATE(D235,E235,20)-$H$7)/365.25)</f>
        <v>0.277232939547515</v>
      </c>
      <c r="K234" s="1159"/>
      <c r="L234" s="1158"/>
      <c r="M234" s="1082" t="n">
        <v>0</v>
      </c>
      <c r="N234" s="1110" t="n">
        <f aca="false">M234</f>
        <v>0</v>
      </c>
      <c r="O234" s="1174" t="n">
        <f aca="false">N234</f>
        <v>0</v>
      </c>
      <c r="P234" s="1175" t="n">
        <f aca="false">M234</f>
        <v>0</v>
      </c>
      <c r="Q234" s="1110" t="n">
        <f aca="false">P234</f>
        <v>0</v>
      </c>
      <c r="R234" s="1174" t="n">
        <f aca="false">Q234</f>
        <v>0</v>
      </c>
      <c r="S234" s="1110" t="n">
        <f aca="false">R234</f>
        <v>0</v>
      </c>
      <c r="T234" s="1110" t="n">
        <f aca="false">S234</f>
        <v>0</v>
      </c>
      <c r="U234" s="1110" t="n">
        <f aca="false">T234</f>
        <v>0</v>
      </c>
      <c r="V234" s="1175" t="n">
        <f aca="false">U234</f>
        <v>0</v>
      </c>
      <c r="W234" s="1110" t="n">
        <f aca="false">V234</f>
        <v>0</v>
      </c>
      <c r="X234" s="1176" t="n">
        <f aca="false">W234</f>
        <v>0</v>
      </c>
      <c r="Y234" s="1086" t="n">
        <v>0</v>
      </c>
      <c r="Z234" s="1086" t="n">
        <v>0</v>
      </c>
      <c r="AA234" s="1087" t="n">
        <v>0</v>
      </c>
      <c r="AB234" s="1086" t="n">
        <v>0</v>
      </c>
      <c r="AC234" s="1086" t="n">
        <v>0</v>
      </c>
      <c r="AD234" s="1087" t="n">
        <v>0</v>
      </c>
      <c r="AE234" s="1086" t="n">
        <v>0</v>
      </c>
      <c r="AF234" s="1086" t="n">
        <v>0</v>
      </c>
      <c r="AG234" s="1087" t="n">
        <v>0</v>
      </c>
      <c r="AH234" s="1086" t="n">
        <v>0</v>
      </c>
      <c r="AI234" s="1086" t="n">
        <v>0</v>
      </c>
      <c r="AJ234" s="1087" t="n">
        <v>0</v>
      </c>
      <c r="AK234" s="1086" t="n">
        <v>0</v>
      </c>
      <c r="AL234" s="1086" t="n">
        <v>0</v>
      </c>
      <c r="AM234" s="1087" t="n">
        <v>0</v>
      </c>
      <c r="AN234" s="1086" t="n">
        <v>0</v>
      </c>
      <c r="AO234" s="1086" t="n">
        <v>0</v>
      </c>
      <c r="AP234" s="1087" t="n">
        <v>0</v>
      </c>
      <c r="AQ234" s="1086" t="n">
        <v>0</v>
      </c>
      <c r="AR234" s="1086" t="n">
        <v>0</v>
      </c>
      <c r="AS234" s="1087" t="n">
        <v>0</v>
      </c>
      <c r="AT234" s="1086" t="n">
        <v>0</v>
      </c>
      <c r="AU234" s="1086" t="n">
        <v>0</v>
      </c>
      <c r="AV234" s="1086" t="n">
        <v>0</v>
      </c>
      <c r="AW234" s="1172" t="n">
        <v>0</v>
      </c>
      <c r="AX234" s="807" t="n">
        <f aca="false">BB234-SUM(AY234:BA234)</f>
        <v>20</v>
      </c>
      <c r="AY234" s="807" t="n">
        <f aca="false">IF(AND($E234=MONTH(Summary!$E$24),$D234=YEAR(Summary!$E$24)),Summary!$E$25,1)*IF(G234="",0,INT((H234-MOD(H234,7)-G234)/7)+1-IF(BA234,IF(WEEKDAY(F234)=7,1,0),0))</f>
        <v>4</v>
      </c>
      <c r="AZ234" s="807" t="n">
        <f aca="false">IF(AND($E234=MONTH(Summary!$E$24),$D234=YEAR(Summary!$E$24)),Summary!$E$25,1)*IF(G234="",0,INT((H234-MOD(H234-1,7)-G234)/7)+1-IF(BA234,IF(WEEKDAY(F234)=1,1,0),0))</f>
        <v>4</v>
      </c>
      <c r="BA234" s="807" t="n">
        <v>0</v>
      </c>
      <c r="BB234" s="807" t="n">
        <f aca="false">IF(AND($E234=MONTH(Summary!$E$24),$D234=YEAR(Summary!$E$24)),Summary!$E$25,1)*IF(G234="",0,H234-G234+1)</f>
        <v>28</v>
      </c>
      <c r="BC234" s="1089" t="n">
        <f aca="false">Summary!$E$19</f>
        <v>0.015</v>
      </c>
      <c r="BD234" s="1090" t="n">
        <v>14184</v>
      </c>
      <c r="BE234" s="1091" t="n">
        <v>2836.8</v>
      </c>
      <c r="BF234" s="1091" t="n">
        <v>2836.8</v>
      </c>
      <c r="BG234" s="842"/>
      <c r="BH234" s="1092" t="n">
        <v>1</v>
      </c>
      <c r="BI234" s="1092" t="n">
        <v>1</v>
      </c>
      <c r="BJ234" s="1092" t="n">
        <v>1</v>
      </c>
      <c r="BK234" s="1092" t="n">
        <v>1</v>
      </c>
      <c r="BL234" s="1093" t="n">
        <v>2836.8</v>
      </c>
      <c r="BM234" s="1091" t="n">
        <v>567.36</v>
      </c>
      <c r="BN234" s="1091" t="n">
        <v>567.36</v>
      </c>
      <c r="BO234" s="842"/>
      <c r="BP234" s="1092" t="n">
        <v>1</v>
      </c>
      <c r="BQ234" s="1094" t="n">
        <v>1</v>
      </c>
      <c r="BR234" s="1094" t="n">
        <v>1</v>
      </c>
      <c r="BS234" s="1095" t="n">
        <v>1</v>
      </c>
      <c r="BT234" s="1093" t="n">
        <f aca="false">SUM(BD234:BF234)</f>
        <v>19857.6</v>
      </c>
      <c r="BU234" s="1098" t="n">
        <f aca="false">SUM(BD234:BG234)</f>
        <v>19857.6</v>
      </c>
      <c r="BV234" s="1090" t="n">
        <f aca="false">SUM(BL234:BN234)</f>
        <v>3971.52</v>
      </c>
      <c r="BW234" s="1098" t="n">
        <f aca="false">SUM(BL234:BO234)</f>
        <v>3971.52</v>
      </c>
      <c r="BX234" s="852" t="n">
        <v>18.1327857631759</v>
      </c>
      <c r="BY234" s="1099" t="n">
        <v>0</v>
      </c>
      <c r="BZ234" s="852" t="n">
        <v>0</v>
      </c>
      <c r="CA234" s="852" t="n">
        <v>0</v>
      </c>
      <c r="CB234" s="852" t="n">
        <v>0</v>
      </c>
      <c r="CC234" s="852" t="n">
        <v>0</v>
      </c>
      <c r="CD234" s="852" t="n">
        <v>0</v>
      </c>
      <c r="CE234" s="1100" t="n">
        <v>0</v>
      </c>
      <c r="CF234" s="852" t="n">
        <v>0</v>
      </c>
      <c r="CG234" s="852" t="n">
        <v>0</v>
      </c>
      <c r="CH234" s="852" t="n">
        <v>0</v>
      </c>
      <c r="CI234" s="852" t="n">
        <v>0</v>
      </c>
      <c r="CJ234" s="1101" t="n">
        <v>0</v>
      </c>
      <c r="CK234" s="852" t="n">
        <v>0</v>
      </c>
      <c r="CL234" s="852" t="n">
        <v>0</v>
      </c>
      <c r="CM234" s="852" t="n">
        <v>0</v>
      </c>
      <c r="CN234" s="852" t="n">
        <v>0</v>
      </c>
      <c r="CO234" s="852" t="n">
        <v>0</v>
      </c>
      <c r="CP234" s="852" t="n">
        <v>0</v>
      </c>
      <c r="CQ234" s="1102" t="n">
        <v>0</v>
      </c>
      <c r="CR234" s="1103" t="n">
        <v>0</v>
      </c>
      <c r="CS234" s="1103" t="n">
        <v>0</v>
      </c>
      <c r="CT234" s="1103" t="n">
        <v>0</v>
      </c>
      <c r="CU234" s="1103" t="n">
        <v>0</v>
      </c>
      <c r="CV234" s="1103" t="n">
        <v>0</v>
      </c>
      <c r="CW234" s="1103" t="n">
        <v>0</v>
      </c>
      <c r="CX234" s="1104" t="n">
        <v>0</v>
      </c>
      <c r="CY234" s="1105" t="n">
        <v>7716.80496</v>
      </c>
      <c r="CZ234" s="1099" t="n">
        <v>0</v>
      </c>
      <c r="DA234" s="852" t="n">
        <v>0</v>
      </c>
      <c r="DB234" s="852" t="n">
        <v>0</v>
      </c>
      <c r="DC234" s="852" t="n">
        <v>0</v>
      </c>
      <c r="DD234" s="852" t="n">
        <v>0</v>
      </c>
      <c r="DE234" s="1113" t="n">
        <v>0</v>
      </c>
      <c r="DF234" s="1109" t="n">
        <v>0</v>
      </c>
      <c r="DG234" s="1110" t="n">
        <v>0</v>
      </c>
      <c r="DH234" s="1111" t="n">
        <v>0</v>
      </c>
      <c r="DI234" s="1112" t="n">
        <v>0</v>
      </c>
      <c r="DJ234" s="1112" t="n">
        <v>0</v>
      </c>
      <c r="DK234" s="1112" t="n">
        <v>0</v>
      </c>
      <c r="DL234" s="1113" t="n">
        <v>0</v>
      </c>
      <c r="DM234" s="1114" t="n">
        <v>0</v>
      </c>
      <c r="DN234" s="1114" t="n">
        <v>0</v>
      </c>
      <c r="DO234" s="1114" t="n">
        <v>0</v>
      </c>
      <c r="DP234" s="1114" t="n">
        <v>0</v>
      </c>
      <c r="DQ234" s="1114" t="n">
        <v>0</v>
      </c>
      <c r="DR234" s="1109" t="n">
        <v>0</v>
      </c>
      <c r="DS234" s="852" t="n">
        <v>0</v>
      </c>
      <c r="DT234" s="852" t="n">
        <v>0</v>
      </c>
      <c r="DU234" s="852" t="n">
        <v>0</v>
      </c>
      <c r="DV234" s="852" t="n">
        <v>0</v>
      </c>
      <c r="DW234" s="852" t="n">
        <v>0</v>
      </c>
      <c r="DX234" s="852" t="n">
        <v>0</v>
      </c>
      <c r="DY234" s="852" t="n">
        <v>0</v>
      </c>
      <c r="DZ234" s="852" t="n">
        <v>0</v>
      </c>
      <c r="EA234" s="852" t="n">
        <v>0</v>
      </c>
      <c r="EB234" s="1113" t="n">
        <v>0</v>
      </c>
      <c r="EC234" s="1115" t="n">
        <f aca="false">DS234*BD234</f>
        <v>0</v>
      </c>
      <c r="ED234" s="1115" t="n">
        <f aca="false">DT234*BE234</f>
        <v>0</v>
      </c>
      <c r="EE234" s="1115" t="n">
        <f aca="false">DU234*BF234</f>
        <v>0</v>
      </c>
      <c r="EF234" s="1115" t="n">
        <f aca="false">DV234*BG234</f>
        <v>0</v>
      </c>
      <c r="EG234" s="1115" t="n">
        <f aca="false">DS234*BD234+DT234*BE234+DU234*BF234+DV234*BG234</f>
        <v>0</v>
      </c>
      <c r="EH234" s="1116" t="n">
        <v>0</v>
      </c>
      <c r="EI234" s="1117" t="n">
        <v>0</v>
      </c>
      <c r="EJ234" s="1117" t="n">
        <v>0</v>
      </c>
      <c r="EK234" s="1117" t="n">
        <v>0</v>
      </c>
      <c r="EL234" s="1118" t="n">
        <f aca="false">IF(C234&gt;=Summary!$E$26,MAX(0,SUM(EH234:EK234)),0)</f>
        <v>0</v>
      </c>
      <c r="EM234" s="1115" t="n">
        <f aca="false">IF(C234&gt;=Summary!$E$26,DX234*BL234,0)</f>
        <v>0</v>
      </c>
      <c r="EN234" s="1115" t="n">
        <f aca="false">IF(C234&gt;=Summary!$E$26,DY234*BM234,0)</f>
        <v>0</v>
      </c>
      <c r="EO234" s="1115" t="n">
        <f aca="false">IF(C234&gt;=Summary!$E$26,DZ234*BN234,0)</f>
        <v>0</v>
      </c>
      <c r="EP234" s="1115" t="n">
        <f aca="false">IF(C234&gt;=Summary!$E$26,EA234*BO234,0)</f>
        <v>0</v>
      </c>
      <c r="EQ234" s="1115" t="n">
        <f aca="false">IF(C234&gt;=Summary!$E$26,DX234*BL234+DY234*BM234+DZ234*BN234+EA234*BO234,0)</f>
        <v>0</v>
      </c>
      <c r="ER234" s="1119" t="n">
        <v>0</v>
      </c>
      <c r="ES234" s="1120" t="n">
        <v>0</v>
      </c>
      <c r="ET234" s="1120" t="n">
        <v>0</v>
      </c>
      <c r="EU234" s="1120" t="n">
        <v>0</v>
      </c>
      <c r="EV234" s="1143" t="n">
        <f aca="false">IF(C234&gt;=Summary!$E$26,MAX(0,SUM(ER234:EU234)),0)</f>
        <v>0</v>
      </c>
      <c r="EW234" s="1115"/>
      <c r="EX234" s="1165" t="n">
        <f aca="false">(EQ234-EV234)+IF(EZ234="Yes",(EG234-EL234),0)</f>
        <v>0</v>
      </c>
      <c r="EY234" s="1166" t="str">
        <f aca="false">IF(EX234,EX234/EQ234,"")</f>
        <v/>
      </c>
      <c r="EZ234" s="1122" t="s">
        <v>37</v>
      </c>
      <c r="FA234" s="1096" t="n">
        <f aca="false">FA233</f>
        <v>45</v>
      </c>
      <c r="FB234" s="1167" t="n">
        <f aca="false">IF(EZ234="No",IF((OR(MONTH(C234)=5,MONTH(C234)=6,MONTH(C234)=7,MONTH(C234)=8,MONTH(C234)=9)),$FA234*12*AX234*(1-$BC234),$FA234*10*AX234*(1-$BC234)),0)</f>
        <v>8865</v>
      </c>
      <c r="FC234" s="1129" t="n">
        <f aca="false">IF(EZ234="No",IF((OR(MONTH(C234)=5,MONTH(C234)=6,MONTH(C234)=7,MONTH(C234)=8,MONTH(C234)=9)),0,$FA234*3*AX234*(1-$BC234)),0)</f>
        <v>2659.5</v>
      </c>
      <c r="FD234" s="1129" t="n">
        <f aca="false">IF(EZ234="No",IF((OR(MONTH(C234)=5,MONTH(C234)=6,MONTH(C234)=7,MONTH(C234)=8,MONTH(C234)=9)),$FA234*12*AY234*(1-$BC234),$FA234*10*AY234*(1-$BC234)),0)</f>
        <v>1773</v>
      </c>
      <c r="FE234" s="1129" t="n">
        <f aca="false">IF(EZ234="No",IF((OR(MONTH(C234)=5,MONTH(C234)=6,MONTH(C234)=7,MONTH(C234)=8,MONTH(C234)=9)),0,$FA234*3*AY234*(1-$BC234)),0)</f>
        <v>531.9</v>
      </c>
      <c r="FF234" s="1129" t="n">
        <f aca="false">IF(EZ234="No",IF((OR(MONTH(C234)=5,MONTH(C234)=6,MONTH(C234)=7,MONTH(C234)=8,MONTH(C234)=9)),$FA234*12*(AZ234+BA234)*(1-$BC234),$FA234*10*(AZ234+BA234)*(1-$BC234)),0)</f>
        <v>1773</v>
      </c>
      <c r="FG234" s="1129" t="n">
        <f aca="false">IF(EZ234="No",IF((OR(MONTH(C234)=5,MONTH(C234)=6,MONTH(C234)=7,MONTH(C234)=8,MONTH(C234)=9)),0,$FA234*3*(AZ234+BA234)*(1-$BC234)),0)</f>
        <v>531.9</v>
      </c>
      <c r="FH234" s="1170" t="n">
        <f aca="false">IF(EZ234="No",IF((OR(MONTH(C234)=5,MONTH(C234)=6,MONTH(C234)=7,MONTH(C234)=8,MONTH(C234)=9)),Summary!$O$15*12*(AX234+AY234+AZ234+BA234)*(1-$BC234),Summary!$O$15*13*(AX234+AY234+AZ234+BA234)*(1-$BC234)+IF(Summary!$O$16="Yes",(CALC!FA234+Summary!$O$15)*6*(AX234+AY234+AZ234+BA234)*(1-$BC234),0)),0)</f>
        <v>0</v>
      </c>
      <c r="FI234" s="1126" t="n">
        <f aca="false">IF(MONTH(C234)=5,FI233*(IF(Summary!$E$70="no",(1+(Summary!$E$71*0.8)),1+HLOOKUP(YEAR(C234)-1,CCFMODEL!$I$127:$AF$128,2)*0.8)),+FI233)</f>
        <v>40.7683271086151</v>
      </c>
      <c r="FJ234" s="1127" t="n">
        <f aca="false">IF(MONTH(C234)=5,FJ233*(IF(Summary!$E$70="no",(1+(Summary!$E$71*0.8)),1+HLOOKUP(YEAR(CALC!C234)-1,CCFMODEL!$I$127:$AF$128,2)*0.8)),FJ233)</f>
        <v>35.632159913829</v>
      </c>
      <c r="FK234" s="1128" t="n">
        <f aca="false">SUM(FB234:FG234)*FI234+FH234*FJ234</f>
        <v>657768.420068529</v>
      </c>
      <c r="FL234" s="1126" t="n">
        <f aca="false">IF(MONTH(C234)=5,FL233*(IF(Summary!$E$70="no",(1+(Summary!$E$71*0.8)),1+HLOOKUP(YEAR(CALC!C234)-1,CCFMODEL!$I$127:$AF$128,2)*0.8)),+FL233)</f>
        <v>85.7403624867725</v>
      </c>
      <c r="FM234" s="1127" t="n">
        <f aca="false">IF(MONTH(C234)=5,FM233*(IF(Summary!$E$70="no",(1+(Summary!$E$71*0.8)),1+HLOOKUP(YEAR(CALC!C234)-1,CCFMODEL!$I$127:$AF$128,2)*0.8)),+FM233)</f>
        <v>40.9211892275076</v>
      </c>
      <c r="FN234" s="1128" t="n">
        <f aca="false">IF((OR(MONTH(C234)=5,MONTH(C234)=6,MONTH(C234)=7,MONTH(C234)=8,MONTH(C234)=9)),SUM(FB234:FG234)/(1-BC234)*FL234,SUM(FB234:FG234)/(1-BC234)*FM234)</f>
        <v>670289.079546574</v>
      </c>
      <c r="FO234" s="1129" t="n">
        <f aca="false">FK234+FN234</f>
        <v>1328057.4996151</v>
      </c>
      <c r="FP234" s="1169" t="n">
        <f aca="false">FB234</f>
        <v>8865</v>
      </c>
      <c r="FQ234" s="1129" t="n">
        <f aca="false">FC234</f>
        <v>2659.5</v>
      </c>
      <c r="FR234" s="1129" t="n">
        <f aca="false">FD234</f>
        <v>1773</v>
      </c>
      <c r="FS234" s="1129" t="n">
        <f aca="false">FE234</f>
        <v>531.9</v>
      </c>
      <c r="FT234" s="1129" t="n">
        <f aca="false">FF234</f>
        <v>1773</v>
      </c>
      <c r="FU234" s="1129" t="n">
        <f aca="false">FG234</f>
        <v>531.9</v>
      </c>
      <c r="FV234" s="1170" t="n">
        <f aca="false">FH234</f>
        <v>0</v>
      </c>
      <c r="FW234" s="1115" t="n">
        <f aca="false">IF(ER234&gt;0,MIN(FB234-FP234,BL234),0)</f>
        <v>0</v>
      </c>
      <c r="FX234" s="1115" t="n">
        <f aca="false">IF(ES234&gt;0,MIN(FD234-FR234,BM234),0)</f>
        <v>0</v>
      </c>
      <c r="FY234" s="1115" t="n">
        <f aca="false">IF(ET234&gt;0,MIN(FF234-FT234,BN234),0)</f>
        <v>0</v>
      </c>
      <c r="FZ234" s="1143" t="n">
        <f aca="false">IF(EU234&gt;0,MIN(FH234-FV234,BO234),0)</f>
        <v>0</v>
      </c>
      <c r="GA234" s="1132" t="n">
        <f aca="false">(SUM(FP234:FV234)+SUM(GU234:HB234)/(1-Summary!$O$25))*CY234/1000</f>
        <v>212616.651316003</v>
      </c>
      <c r="GB234" s="1133" t="n">
        <f aca="false">IF($C234&lt;Summary!$M$81,+Summary!$O$81,VLOOKUP(C234,GasTable,19))</f>
        <v>3.83719477639813</v>
      </c>
      <c r="GC234" s="1134" t="n">
        <f aca="false">IF(H234&lt;=Summary!$N$84,MIN(GA234,Summary!$O$75*(H234-G234+1)),0)</f>
        <v>0</v>
      </c>
      <c r="GD234" s="1135" t="n">
        <f aca="false">IF(C234&lt;Summary!$N$84,IF(Summary!$O$75*(H234-G234+1)*0.8&gt;GC234,1,0),0)</f>
        <v>0</v>
      </c>
      <c r="GE234" s="1136" t="n">
        <v>0</v>
      </c>
      <c r="GF234" s="1134" t="n">
        <f aca="false">ABS(MIN(0,GC234-$GA234))</f>
        <v>212616.651316003</v>
      </c>
      <c r="GG234" s="1135" t="n">
        <f aca="false">GF234*(IF(Summary!$O$74=1,VLOOKUP($C234,GasTable,16)+Summary!$O$92+Summary!$O$93,VLOOKUP($C234,GasTable,19)+Summary!$O$92+Summary!$O$93))</f>
        <v>826928.831338594</v>
      </c>
      <c r="GH234" s="1137" t="n">
        <v>5372.07268695739</v>
      </c>
      <c r="GI234" s="1138" t="n">
        <v>0</v>
      </c>
      <c r="GJ234" s="1139" t="n">
        <f aca="false">+GB234*GC234+GE234+GG234+GH234-GI234</f>
        <v>832300.904025552</v>
      </c>
      <c r="GK234" s="1115" t="n">
        <f aca="false">SUM(FP234:FV234,GU234:GX234,GY234:HB234)</f>
        <v>27152.7858</v>
      </c>
      <c r="GL234" s="1140" t="n">
        <v>0.51702593232</v>
      </c>
      <c r="GM234" s="1141" t="n">
        <f aca="false">IF(GK234&gt;GC234/(CY234/1000),GC234/(CY234/1000),+GK234)*GL234</f>
        <v>0</v>
      </c>
      <c r="GN234" s="1115" t="n">
        <f aca="false">IF(SUM(GU234:HB234)=0,0,IF(Summary!$O$16="Yes",SUM(GX234:HB234),IF(Summary!$O$17="Yes",SUM(GY234:HB234),SUM(GU234:HB234))))</f>
        <v>11018.4858</v>
      </c>
      <c r="GO234" s="1142" t="n">
        <v>4.05098296203579</v>
      </c>
      <c r="GP234" s="1143" t="n">
        <f aca="false">GN234*GO234</f>
        <v>44635.6982432332</v>
      </c>
      <c r="GQ234" s="1115"/>
      <c r="GR234" s="1115"/>
      <c r="GS234" s="1115"/>
      <c r="GT234" s="1115"/>
      <c r="GU234" s="1150" t="n">
        <v>5132.835</v>
      </c>
      <c r="GV234" s="1115" t="n">
        <v>1026.567</v>
      </c>
      <c r="GW234" s="1115" t="n">
        <v>1026.567</v>
      </c>
      <c r="GX234" s="1115"/>
      <c r="GY234" s="1151" t="n">
        <v>2737.512</v>
      </c>
      <c r="GZ234" s="1115" t="n">
        <v>547.5024</v>
      </c>
      <c r="HA234" s="1115" t="n">
        <v>547.5024</v>
      </c>
      <c r="HB234" s="1141"/>
      <c r="HC234" s="1115" t="n">
        <v>11018.4858</v>
      </c>
      <c r="HD234" s="1115"/>
      <c r="HE234" s="1115" t="n">
        <v>18923.0517</v>
      </c>
      <c r="HF234" s="1115" t="n">
        <v>468730.820810147</v>
      </c>
      <c r="HG234" s="1115"/>
      <c r="HH234" s="1142" t="n">
        <v>42.2227996942503</v>
      </c>
      <c r="HI234" s="1115" t="n">
        <v>798984.221533042</v>
      </c>
      <c r="HJ234" s="1150" t="n">
        <f aca="false">MAX(FB234-FP234-FW234,0)</f>
        <v>0</v>
      </c>
      <c r="HK234" s="1115" t="n">
        <f aca="false">MAX(FD234-FR234-FX234,0)</f>
        <v>0</v>
      </c>
      <c r="HL234" s="1115" t="n">
        <f aca="false">MAX(FF234-FT234-FY234,0)</f>
        <v>0</v>
      </c>
      <c r="HM234" s="1141" t="n">
        <f aca="false">MAX(FH234-FV234-FZ234,0)</f>
        <v>0</v>
      </c>
      <c r="HN234" s="1115" t="n">
        <f aca="false">SUM(HJ234:HM234)</f>
        <v>0</v>
      </c>
      <c r="HO234" s="1142" t="n">
        <f aca="false">IF(ISERROR(+HP234/HN234),0,+HP234/HN234)</f>
        <v>0</v>
      </c>
      <c r="HP234" s="1143" t="n">
        <f aca="false">(HJ234*CE234+HK234*CF234+HL234*CG234+HM234*CH234)</f>
        <v>0</v>
      </c>
      <c r="HQ234" s="1142"/>
      <c r="HR234" s="1150"/>
      <c r="HS234" s="1200"/>
      <c r="HT234" s="1141"/>
      <c r="HU234" s="1150"/>
      <c r="HV234" s="1200"/>
      <c r="HW234" s="1141"/>
      <c r="HX234" s="1200"/>
      <c r="HY234" s="1200"/>
      <c r="HZ234" s="0"/>
      <c r="IA234" s="1142"/>
      <c r="IB234" s="1142"/>
      <c r="IC234" s="1142"/>
      <c r="ID234" s="1142"/>
      <c r="IE234" s="1142"/>
      <c r="IF234" s="1142"/>
      <c r="IG234" s="1142"/>
      <c r="IH234" s="1142"/>
      <c r="II234" s="1142"/>
      <c r="IJ234" s="1142"/>
      <c r="IK234" s="1142"/>
      <c r="IL234" s="1190"/>
      <c r="IM234" s="222"/>
      <c r="IN234" s="222"/>
      <c r="IR234" s="844"/>
    </row>
    <row r="235" customFormat="false" ht="13.5" hidden="false" customHeight="false" outlineLevel="0" collapsed="false">
      <c r="A235" s="0" t="str">
        <f aca="false">+D235&amp;"Q"&amp;ROUNDUP(E235/3,0)</f>
        <v>2018Q1</v>
      </c>
      <c r="B235" s="0" t="n">
        <f aca="false">YEAR(C235)</f>
        <v>2018</v>
      </c>
      <c r="C235" s="1153" t="n">
        <f aca="false">EOMONTH(C234,0)+1</f>
        <v>43160</v>
      </c>
      <c r="D235" s="841" t="n">
        <f aca="false">+YEAR(C235)</f>
        <v>2018</v>
      </c>
      <c r="E235" s="807" t="n">
        <f aca="false">MONTH(C235)</f>
        <v>3</v>
      </c>
      <c r="F235" s="1154" t="e">
        <f aca="false">IF(G235="","",Holiday(D235,E235))</f>
        <v>#VALUE!</v>
      </c>
      <c r="G235" s="1155" t="n">
        <v>43160</v>
      </c>
      <c r="H235" s="1156" t="n">
        <v>43190</v>
      </c>
      <c r="I235" s="1157" t="n">
        <f aca="false">I234</f>
        <v>0.0715</v>
      </c>
      <c r="J235" s="1158" t="n">
        <f aca="false">(1+I235/2)^(-2*(DATE(D236,E236,20)-$H$7)/365.25)</f>
        <v>0.275584858943296</v>
      </c>
      <c r="K235" s="1159"/>
      <c r="L235" s="1158"/>
      <c r="M235" s="1082" t="n">
        <v>0</v>
      </c>
      <c r="N235" s="1110" t="n">
        <f aca="false">M235</f>
        <v>0</v>
      </c>
      <c r="O235" s="1174" t="n">
        <f aca="false">N235</f>
        <v>0</v>
      </c>
      <c r="P235" s="1175" t="n">
        <f aca="false">M235</f>
        <v>0</v>
      </c>
      <c r="Q235" s="1110" t="n">
        <f aca="false">P235</f>
        <v>0</v>
      </c>
      <c r="R235" s="1174" t="n">
        <f aca="false">Q235</f>
        <v>0</v>
      </c>
      <c r="S235" s="1110" t="n">
        <f aca="false">R235</f>
        <v>0</v>
      </c>
      <c r="T235" s="1110" t="n">
        <f aca="false">S235</f>
        <v>0</v>
      </c>
      <c r="U235" s="1110" t="n">
        <f aca="false">T235</f>
        <v>0</v>
      </c>
      <c r="V235" s="1175" t="n">
        <f aca="false">U235</f>
        <v>0</v>
      </c>
      <c r="W235" s="1110" t="n">
        <f aca="false">V235</f>
        <v>0</v>
      </c>
      <c r="X235" s="1176" t="n">
        <f aca="false">W235</f>
        <v>0</v>
      </c>
      <c r="Y235" s="1086" t="n">
        <v>0</v>
      </c>
      <c r="Z235" s="1086" t="n">
        <v>0</v>
      </c>
      <c r="AA235" s="1087" t="n">
        <v>0</v>
      </c>
      <c r="AB235" s="1086" t="n">
        <v>0</v>
      </c>
      <c r="AC235" s="1086" t="n">
        <v>0</v>
      </c>
      <c r="AD235" s="1087" t="n">
        <v>0</v>
      </c>
      <c r="AE235" s="1086" t="n">
        <v>0</v>
      </c>
      <c r="AF235" s="1086" t="n">
        <v>0</v>
      </c>
      <c r="AG235" s="1087" t="n">
        <v>0</v>
      </c>
      <c r="AH235" s="1086" t="n">
        <v>0</v>
      </c>
      <c r="AI235" s="1086" t="n">
        <v>0</v>
      </c>
      <c r="AJ235" s="1087" t="n">
        <v>0</v>
      </c>
      <c r="AK235" s="1086" t="n">
        <v>0</v>
      </c>
      <c r="AL235" s="1086" t="n">
        <v>0</v>
      </c>
      <c r="AM235" s="1087" t="n">
        <v>0</v>
      </c>
      <c r="AN235" s="1086" t="n">
        <v>0</v>
      </c>
      <c r="AO235" s="1086" t="n">
        <v>0</v>
      </c>
      <c r="AP235" s="1087" t="n">
        <v>0</v>
      </c>
      <c r="AQ235" s="1086" t="n">
        <v>0</v>
      </c>
      <c r="AR235" s="1086" t="n">
        <v>0</v>
      </c>
      <c r="AS235" s="1087" t="n">
        <v>0</v>
      </c>
      <c r="AT235" s="1086" t="n">
        <v>0</v>
      </c>
      <c r="AU235" s="1086" t="n">
        <v>0</v>
      </c>
      <c r="AV235" s="1086" t="n">
        <v>0</v>
      </c>
      <c r="AW235" s="1172" t="n">
        <v>0</v>
      </c>
      <c r="AX235" s="807" t="n">
        <f aca="false">BB235-SUM(AY235:BA235)</f>
        <v>22</v>
      </c>
      <c r="AY235" s="807" t="n">
        <f aca="false">IF(AND($E235=MONTH(Summary!$E$24),$D235=YEAR(Summary!$E$24)),Summary!$E$25,1)*IF(G235="",0,INT((H235-MOD(H235,7)-G235)/7)+1-IF(BA235,IF(WEEKDAY(F235)=7,1,0),0))</f>
        <v>5</v>
      </c>
      <c r="AZ235" s="807" t="n">
        <f aca="false">IF(AND($E235=MONTH(Summary!$E$24),$D235=YEAR(Summary!$E$24)),Summary!$E$25,1)*IF(G235="",0,INT((H235-MOD(H235-1,7)-G235)/7)+1-IF(BA235,IF(WEEKDAY(F235)=1,1,0),0))</f>
        <v>4</v>
      </c>
      <c r="BA235" s="807" t="n">
        <v>0</v>
      </c>
      <c r="BB235" s="807" t="n">
        <f aca="false">IF(AND($E235=MONTH(Summary!$E$24),$D235=YEAR(Summary!$E$24)),Summary!$E$25,1)*IF(G235="",0,H235-G235+1)</f>
        <v>31</v>
      </c>
      <c r="BC235" s="1089" t="n">
        <f aca="false">Summary!$E$19</f>
        <v>0.015</v>
      </c>
      <c r="BD235" s="1090" t="n">
        <v>15602.4</v>
      </c>
      <c r="BE235" s="1091" t="n">
        <v>3546</v>
      </c>
      <c r="BF235" s="1091" t="n">
        <v>2836.8</v>
      </c>
      <c r="BG235" s="842"/>
      <c r="BH235" s="1092" t="n">
        <v>1</v>
      </c>
      <c r="BI235" s="1092" t="n">
        <v>1</v>
      </c>
      <c r="BJ235" s="1092" t="n">
        <v>1</v>
      </c>
      <c r="BK235" s="1092" t="n">
        <v>1</v>
      </c>
      <c r="BL235" s="1093" t="n">
        <v>3120.48</v>
      </c>
      <c r="BM235" s="1091" t="n">
        <v>709.2</v>
      </c>
      <c r="BN235" s="1091" t="n">
        <v>567.36</v>
      </c>
      <c r="BO235" s="842"/>
      <c r="BP235" s="1092" t="n">
        <v>1</v>
      </c>
      <c r="BQ235" s="1094" t="n">
        <v>1</v>
      </c>
      <c r="BR235" s="1094" t="n">
        <v>1</v>
      </c>
      <c r="BS235" s="1095" t="n">
        <v>1</v>
      </c>
      <c r="BT235" s="1093" t="n">
        <f aca="false">SUM(BD235:BF235)</f>
        <v>21985.2</v>
      </c>
      <c r="BU235" s="1098" t="n">
        <f aca="false">SUM(BD235:BG235)</f>
        <v>21985.2</v>
      </c>
      <c r="BV235" s="1090" t="n">
        <f aca="false">SUM(BL235:BN235)</f>
        <v>4397.04</v>
      </c>
      <c r="BW235" s="1098" t="n">
        <f aca="false">SUM(BL235:BO235)</f>
        <v>4397.04</v>
      </c>
      <c r="BX235" s="852" t="n">
        <v>18.2094455852156</v>
      </c>
      <c r="BY235" s="1099" t="n">
        <v>0</v>
      </c>
      <c r="BZ235" s="852" t="n">
        <v>0</v>
      </c>
      <c r="CA235" s="852" t="n">
        <v>0</v>
      </c>
      <c r="CB235" s="852" t="n">
        <v>0</v>
      </c>
      <c r="CC235" s="852" t="n">
        <v>0</v>
      </c>
      <c r="CD235" s="852" t="n">
        <v>0</v>
      </c>
      <c r="CE235" s="1100" t="n">
        <v>0</v>
      </c>
      <c r="CF235" s="852" t="n">
        <v>0</v>
      </c>
      <c r="CG235" s="852" t="n">
        <v>0</v>
      </c>
      <c r="CH235" s="852" t="n">
        <v>0</v>
      </c>
      <c r="CI235" s="852" t="n">
        <v>0</v>
      </c>
      <c r="CJ235" s="1101" t="n">
        <v>0</v>
      </c>
      <c r="CK235" s="852" t="n">
        <v>0</v>
      </c>
      <c r="CL235" s="852" t="n">
        <v>0</v>
      </c>
      <c r="CM235" s="852" t="n">
        <v>0</v>
      </c>
      <c r="CN235" s="852" t="n">
        <v>0</v>
      </c>
      <c r="CO235" s="852" t="n">
        <v>0</v>
      </c>
      <c r="CP235" s="852" t="n">
        <v>0</v>
      </c>
      <c r="CQ235" s="1102" t="n">
        <v>0</v>
      </c>
      <c r="CR235" s="1103" t="n">
        <v>0</v>
      </c>
      <c r="CS235" s="1103" t="n">
        <v>0</v>
      </c>
      <c r="CT235" s="1103" t="n">
        <v>0</v>
      </c>
      <c r="CU235" s="1103" t="n">
        <v>0</v>
      </c>
      <c r="CV235" s="1103" t="n">
        <v>0</v>
      </c>
      <c r="CW235" s="1103" t="n">
        <v>0</v>
      </c>
      <c r="CX235" s="1104" t="n">
        <v>0</v>
      </c>
      <c r="CY235" s="1105" t="n">
        <v>7718.83592</v>
      </c>
      <c r="CZ235" s="1099" t="n">
        <v>0</v>
      </c>
      <c r="DA235" s="852" t="n">
        <v>0</v>
      </c>
      <c r="DB235" s="852" t="n">
        <v>0</v>
      </c>
      <c r="DC235" s="852" t="n">
        <v>0</v>
      </c>
      <c r="DD235" s="852" t="n">
        <v>0</v>
      </c>
      <c r="DE235" s="1113" t="n">
        <v>0</v>
      </c>
      <c r="DF235" s="1109" t="n">
        <v>0</v>
      </c>
      <c r="DG235" s="1110" t="n">
        <v>0</v>
      </c>
      <c r="DH235" s="1111" t="n">
        <v>0</v>
      </c>
      <c r="DI235" s="1112" t="n">
        <v>0</v>
      </c>
      <c r="DJ235" s="1112" t="n">
        <v>0</v>
      </c>
      <c r="DK235" s="1112" t="n">
        <v>0</v>
      </c>
      <c r="DL235" s="1113" t="n">
        <v>0</v>
      </c>
      <c r="DM235" s="1114" t="n">
        <v>0</v>
      </c>
      <c r="DN235" s="1114" t="n">
        <v>0</v>
      </c>
      <c r="DO235" s="1114" t="n">
        <v>0</v>
      </c>
      <c r="DP235" s="1114" t="n">
        <v>0</v>
      </c>
      <c r="DQ235" s="1114" t="n">
        <v>0</v>
      </c>
      <c r="DR235" s="1109" t="n">
        <v>0</v>
      </c>
      <c r="DS235" s="852" t="n">
        <v>0</v>
      </c>
      <c r="DT235" s="852" t="n">
        <v>0</v>
      </c>
      <c r="DU235" s="852" t="n">
        <v>0</v>
      </c>
      <c r="DV235" s="852" t="n">
        <v>0</v>
      </c>
      <c r="DW235" s="852" t="n">
        <v>0</v>
      </c>
      <c r="DX235" s="852" t="n">
        <v>0</v>
      </c>
      <c r="DY235" s="852" t="n">
        <v>0</v>
      </c>
      <c r="DZ235" s="852" t="n">
        <v>0</v>
      </c>
      <c r="EA235" s="852" t="n">
        <v>0</v>
      </c>
      <c r="EB235" s="1113" t="n">
        <v>0</v>
      </c>
      <c r="EC235" s="1115" t="n">
        <f aca="false">DS235*BD235</f>
        <v>0</v>
      </c>
      <c r="ED235" s="1115" t="n">
        <f aca="false">DT235*BE235</f>
        <v>0</v>
      </c>
      <c r="EE235" s="1115" t="n">
        <f aca="false">DU235*BF235</f>
        <v>0</v>
      </c>
      <c r="EF235" s="1115" t="n">
        <f aca="false">DV235*BG235</f>
        <v>0</v>
      </c>
      <c r="EG235" s="1115" t="n">
        <f aca="false">DS235*BD235+DT235*BE235+DU235*BF235+DV235*BG235</f>
        <v>0</v>
      </c>
      <c r="EH235" s="1116" t="n">
        <v>0</v>
      </c>
      <c r="EI235" s="1117" t="n">
        <v>0</v>
      </c>
      <c r="EJ235" s="1117" t="n">
        <v>0</v>
      </c>
      <c r="EK235" s="1117" t="n">
        <v>0</v>
      </c>
      <c r="EL235" s="1118" t="n">
        <f aca="false">IF(C235&gt;=Summary!$E$26,MAX(0,SUM(EH235:EK235)),0)</f>
        <v>0</v>
      </c>
      <c r="EM235" s="1115" t="n">
        <f aca="false">IF(C235&gt;=Summary!$E$26,DX235*BL235,0)</f>
        <v>0</v>
      </c>
      <c r="EN235" s="1115" t="n">
        <f aca="false">IF(C235&gt;=Summary!$E$26,DY235*BM235,0)</f>
        <v>0</v>
      </c>
      <c r="EO235" s="1115" t="n">
        <f aca="false">IF(C235&gt;=Summary!$E$26,DZ235*BN235,0)</f>
        <v>0</v>
      </c>
      <c r="EP235" s="1115" t="n">
        <f aca="false">IF(C235&gt;=Summary!$E$26,EA235*BO235,0)</f>
        <v>0</v>
      </c>
      <c r="EQ235" s="1115" t="n">
        <f aca="false">IF(C235&gt;=Summary!$E$26,DX235*BL235+DY235*BM235+DZ235*BN235+EA235*BO235,0)</f>
        <v>0</v>
      </c>
      <c r="ER235" s="1119" t="n">
        <v>0</v>
      </c>
      <c r="ES235" s="1120" t="n">
        <v>0</v>
      </c>
      <c r="ET235" s="1120" t="n">
        <v>0</v>
      </c>
      <c r="EU235" s="1120" t="n">
        <v>0</v>
      </c>
      <c r="EV235" s="1143" t="n">
        <f aca="false">IF(C235&gt;=Summary!$E$26,MAX(0,SUM(ER235:EU235)),0)</f>
        <v>0</v>
      </c>
      <c r="EW235" s="1115"/>
      <c r="EX235" s="1165" t="n">
        <f aca="false">(EQ235-EV235)+IF(EZ235="Yes",(EG235-EL235),0)</f>
        <v>0</v>
      </c>
      <c r="EY235" s="1166" t="str">
        <f aca="false">IF(EX235,EX235/EQ235,"")</f>
        <v/>
      </c>
      <c r="EZ235" s="1122" t="s">
        <v>37</v>
      </c>
      <c r="FA235" s="1096" t="n">
        <f aca="false">FA234</f>
        <v>45</v>
      </c>
      <c r="FB235" s="1167" t="n">
        <f aca="false">IF(EZ235="No",IF((OR(MONTH(C235)=5,MONTH(C235)=6,MONTH(C235)=7,MONTH(C235)=8,MONTH(C235)=9)),$FA235*12*AX235*(1-$BC235),$FA235*10*AX235*(1-$BC235)),0)</f>
        <v>9751.5</v>
      </c>
      <c r="FC235" s="1129" t="n">
        <f aca="false">IF(EZ235="No",IF((OR(MONTH(C235)=5,MONTH(C235)=6,MONTH(C235)=7,MONTH(C235)=8,MONTH(C235)=9)),0,$FA235*3*AX235*(1-$BC235)),0)</f>
        <v>2925.45</v>
      </c>
      <c r="FD235" s="1129" t="n">
        <f aca="false">IF(EZ235="No",IF((OR(MONTH(C235)=5,MONTH(C235)=6,MONTH(C235)=7,MONTH(C235)=8,MONTH(C235)=9)),$FA235*12*AY235*(1-$BC235),$FA235*10*AY235*(1-$BC235)),0)</f>
        <v>2216.25</v>
      </c>
      <c r="FE235" s="1129" t="n">
        <f aca="false">IF(EZ235="No",IF((OR(MONTH(C235)=5,MONTH(C235)=6,MONTH(C235)=7,MONTH(C235)=8,MONTH(C235)=9)),0,$FA235*3*AY235*(1-$BC235)),0)</f>
        <v>664.875</v>
      </c>
      <c r="FF235" s="1129" t="n">
        <f aca="false">IF(EZ235="No",IF((OR(MONTH(C235)=5,MONTH(C235)=6,MONTH(C235)=7,MONTH(C235)=8,MONTH(C235)=9)),$FA235*12*(AZ235+BA235)*(1-$BC235),$FA235*10*(AZ235+BA235)*(1-$BC235)),0)</f>
        <v>1773</v>
      </c>
      <c r="FG235" s="1129" t="n">
        <f aca="false">IF(EZ235="No",IF((OR(MONTH(C235)=5,MONTH(C235)=6,MONTH(C235)=7,MONTH(C235)=8,MONTH(C235)=9)),0,$FA235*3*(AZ235+BA235)*(1-$BC235)),0)</f>
        <v>531.9</v>
      </c>
      <c r="FH235" s="1170" t="n">
        <f aca="false">IF(EZ235="No",IF((OR(MONTH(C235)=5,MONTH(C235)=6,MONTH(C235)=7,MONTH(C235)=8,MONTH(C235)=9)),Summary!$O$15*12*(AX235+AY235+AZ235+BA235)*(1-$BC235),Summary!$O$15*13*(AX235+AY235+AZ235+BA235)*(1-$BC235)+IF(Summary!$O$16="Yes",(CALC!FA235+Summary!$O$15)*6*(AX235+AY235+AZ235+BA235)*(1-$BC235),0)),0)</f>
        <v>0</v>
      </c>
      <c r="FI235" s="1126" t="n">
        <f aca="false">IF(MONTH(C235)=5,FI234*(IF(Summary!$E$70="no",(1+(Summary!$E$71*0.8)),1+HLOOKUP(YEAR(C235)-1,CCFMODEL!$I$127:$AF$128,2)*0.8)),+FI234)</f>
        <v>40.7683271086151</v>
      </c>
      <c r="FJ235" s="1127" t="n">
        <f aca="false">IF(MONTH(C235)=5,FJ234*(IF(Summary!$E$70="no",(1+(Summary!$E$71*0.8)),1+HLOOKUP(YEAR(CALC!C235)-1,CCFMODEL!$I$127:$AF$128,2)*0.8)),FJ234)</f>
        <v>35.632159913829</v>
      </c>
      <c r="FK235" s="1128" t="n">
        <f aca="false">SUM(FB235:FG235)*FI235+FH235*FJ235</f>
        <v>728243.607933014</v>
      </c>
      <c r="FL235" s="1126" t="n">
        <f aca="false">IF(MONTH(C235)=5,FL234*(IF(Summary!$E$70="no",(1+(Summary!$E$71*0.8)),1+HLOOKUP(YEAR(CALC!C235)-1,CCFMODEL!$I$127:$AF$128,2)*0.8)),+FL234)</f>
        <v>85.7403624867725</v>
      </c>
      <c r="FM235" s="1127" t="n">
        <f aca="false">IF(MONTH(C235)=5,FM234*(IF(Summary!$E$70="no",(1+(Summary!$E$71*0.8)),1+HLOOKUP(YEAR(CALC!C235)-1,CCFMODEL!$I$127:$AF$128,2)*0.8)),+FM234)</f>
        <v>40.9211892275076</v>
      </c>
      <c r="FN235" s="1128" t="n">
        <f aca="false">IF((OR(MONTH(C235)=5,MONTH(C235)=6,MONTH(C235)=7,MONTH(C235)=8,MONTH(C235)=9)),SUM(FB235:FG235)/(1-BC235)*FL235,SUM(FB235:FG235)/(1-BC235)*FM235)</f>
        <v>742105.76664085</v>
      </c>
      <c r="FO235" s="1129" t="n">
        <f aca="false">FK235+FN235</f>
        <v>1470349.37457386</v>
      </c>
      <c r="FP235" s="1169" t="n">
        <f aca="false">FB235</f>
        <v>9751.5</v>
      </c>
      <c r="FQ235" s="1129" t="n">
        <f aca="false">FC235</f>
        <v>2925.45</v>
      </c>
      <c r="FR235" s="1129" t="n">
        <f aca="false">FD235</f>
        <v>2216.25</v>
      </c>
      <c r="FS235" s="1129" t="n">
        <f aca="false">FE235</f>
        <v>664.875</v>
      </c>
      <c r="FT235" s="1129" t="n">
        <f aca="false">FF235</f>
        <v>1773</v>
      </c>
      <c r="FU235" s="1129" t="n">
        <f aca="false">FG235</f>
        <v>531.9</v>
      </c>
      <c r="FV235" s="1170" t="n">
        <f aca="false">FH235</f>
        <v>0</v>
      </c>
      <c r="FW235" s="1115" t="n">
        <f aca="false">IF(ER235&gt;0,MIN(FB235-FP235,BL235),0)</f>
        <v>0</v>
      </c>
      <c r="FX235" s="1115" t="n">
        <f aca="false">IF(ES235&gt;0,MIN(FD235-FR235,BM235),0)</f>
        <v>0</v>
      </c>
      <c r="FY235" s="1115" t="n">
        <f aca="false">IF(ET235&gt;0,MIN(FF235-FT235,BN235),0)</f>
        <v>0</v>
      </c>
      <c r="FZ235" s="1143" t="n">
        <f aca="false">IF(EU235&gt;0,MIN(FH235-FV235,BO235),0)</f>
        <v>0</v>
      </c>
      <c r="GA235" s="1132" t="n">
        <f aca="false">(SUM(FP235:FV235)+SUM(GU235:HB235)/(1-Summary!$O$25))*CY235/1000</f>
        <v>235458.960162383</v>
      </c>
      <c r="GB235" s="1133" t="n">
        <f aca="false">IF($C235&lt;Summary!$M$81,+Summary!$O$81,VLOOKUP(C235,GasTable,19))</f>
        <v>3.63120094749179</v>
      </c>
      <c r="GC235" s="1134" t="n">
        <f aca="false">IF(H235&lt;=Summary!$N$84,MIN(GA235,Summary!$O$75*(H235-G235+1)),0)</f>
        <v>0</v>
      </c>
      <c r="GD235" s="1135" t="n">
        <f aca="false">IF(C235&lt;Summary!$N$84,IF(Summary!$O$75*(H235-G235+1)*0.8&gt;GC235,1,0),0)</f>
        <v>0</v>
      </c>
      <c r="GE235" s="1136" t="n">
        <v>0</v>
      </c>
      <c r="GF235" s="1134" t="n">
        <f aca="false">ABS(MIN(0,GC235-$GA235))</f>
        <v>235458.960162383</v>
      </c>
      <c r="GG235" s="1135" t="n">
        <f aca="false">GF235*(IF(Summary!$O$74=1,VLOOKUP($C235,GasTable,16)+Summary!$O$92+Summary!$O$93,VLOOKUP($C235,GasTable,19)+Summary!$O$92+Summary!$O$93))</f>
        <v>867266.211061536</v>
      </c>
      <c r="GH235" s="1137" t="n">
        <v>5628.36146861227</v>
      </c>
      <c r="GI235" s="1138" t="n">
        <v>0</v>
      </c>
      <c r="GJ235" s="1139" t="n">
        <f aca="false">+GB235*GC235+GE235+GG235+GH235-GI235</f>
        <v>872894.572530148</v>
      </c>
      <c r="GK235" s="1115" t="n">
        <f aca="false">SUM(FP235:FV235,GU235:GX235,GY235:HB235)</f>
        <v>30062.01285</v>
      </c>
      <c r="GL235" s="1140" t="n">
        <v>0.51716200664</v>
      </c>
      <c r="GM235" s="1141" t="n">
        <f aca="false">IF(GK235&gt;GC235/(CY235/1000),GC235/(CY235/1000),+GK235)*GL235</f>
        <v>0</v>
      </c>
      <c r="GN235" s="1115" t="n">
        <f aca="false">IF(SUM(GU235:HB235)=0,0,IF(Summary!$O$16="Yes",SUM(GX235:HB235),IF(Summary!$O$17="Yes",SUM(GY235:HB235),SUM(GU235:HB235))))</f>
        <v>12199.03785</v>
      </c>
      <c r="GO235" s="1142" t="n">
        <v>4.05098296203579</v>
      </c>
      <c r="GP235" s="1143" t="n">
        <f aca="false">GN235*GO235</f>
        <v>49418.0944835797</v>
      </c>
      <c r="GQ235" s="1115"/>
      <c r="GR235" s="1115"/>
      <c r="GS235" s="1115"/>
      <c r="GT235" s="1115"/>
      <c r="GU235" s="1150" t="n">
        <v>5646.1185</v>
      </c>
      <c r="GV235" s="1115" t="n">
        <v>1283.20875</v>
      </c>
      <c r="GW235" s="1115" t="n">
        <v>1026.567</v>
      </c>
      <c r="GX235" s="1115"/>
      <c r="GY235" s="1151" t="n">
        <v>3011.2632</v>
      </c>
      <c r="GZ235" s="1115" t="n">
        <v>684.378</v>
      </c>
      <c r="HA235" s="1115" t="n">
        <v>547.5024</v>
      </c>
      <c r="HB235" s="1141"/>
      <c r="HC235" s="1115" t="n">
        <v>12199.03785</v>
      </c>
      <c r="HD235" s="1115"/>
      <c r="HE235" s="1115" t="n">
        <v>20950.521525</v>
      </c>
      <c r="HF235" s="1115" t="n">
        <v>521416.837130168</v>
      </c>
      <c r="HG235" s="1115"/>
      <c r="HH235" s="1142" t="n">
        <v>42.0410346662171</v>
      </c>
      <c r="HI235" s="1115" t="n">
        <v>880781.601707852</v>
      </c>
      <c r="HJ235" s="1150" t="n">
        <f aca="false">MAX(FB235-FP235-FW235,0)</f>
        <v>0</v>
      </c>
      <c r="HK235" s="1115" t="n">
        <f aca="false">MAX(FD235-FR235-FX235,0)</f>
        <v>0</v>
      </c>
      <c r="HL235" s="1115" t="n">
        <f aca="false">MAX(FF235-FT235-FY235,0)</f>
        <v>0</v>
      </c>
      <c r="HM235" s="1141" t="n">
        <f aca="false">MAX(FH235-FV235-FZ235,0)</f>
        <v>0</v>
      </c>
      <c r="HN235" s="1115" t="n">
        <f aca="false">SUM(HJ235:HM235)</f>
        <v>0</v>
      </c>
      <c r="HO235" s="1142" t="n">
        <f aca="false">IF(ISERROR(+HP235/HN235),0,+HP235/HN235)</f>
        <v>0</v>
      </c>
      <c r="HP235" s="1143" t="n">
        <f aca="false">(HJ235*CE235+HK235*CF235+HL235*CG235+HM235*CH235)</f>
        <v>0</v>
      </c>
      <c r="HQ235" s="1142"/>
      <c r="HR235" s="1150"/>
      <c r="HS235" s="1200"/>
      <c r="HT235" s="1141"/>
      <c r="HU235" s="1150"/>
      <c r="HV235" s="1200"/>
      <c r="HW235" s="1141"/>
      <c r="HX235" s="1200"/>
      <c r="HY235" s="1200"/>
      <c r="HZ235" s="0"/>
      <c r="IA235" s="1142"/>
      <c r="IB235" s="1142"/>
      <c r="IC235" s="1142"/>
      <c r="ID235" s="1142"/>
      <c r="IE235" s="1142"/>
      <c r="IF235" s="1142"/>
      <c r="IG235" s="1142"/>
      <c r="IH235" s="1142"/>
      <c r="II235" s="1142"/>
      <c r="IJ235" s="1142"/>
      <c r="IK235" s="1142"/>
      <c r="IL235" s="1190"/>
      <c r="IM235" s="222"/>
      <c r="IN235" s="222"/>
      <c r="IR235" s="844"/>
    </row>
    <row r="236" customFormat="false" ht="13.5" hidden="false" customHeight="false" outlineLevel="0" collapsed="false">
      <c r="A236" s="0" t="str">
        <f aca="false">+D236&amp;"Q"&amp;ROUNDUP(E236/3,0)</f>
        <v>2018Q2</v>
      </c>
      <c r="B236" s="0" t="n">
        <f aca="false">YEAR(C236)</f>
        <v>2018</v>
      </c>
      <c r="C236" s="1153" t="n">
        <f aca="false">EOMONTH(C235,0)+1</f>
        <v>43191</v>
      </c>
      <c r="D236" s="841" t="n">
        <f aca="false">+YEAR(C236)</f>
        <v>2018</v>
      </c>
      <c r="E236" s="807" t="n">
        <f aca="false">MONTH(C236)</f>
        <v>4</v>
      </c>
      <c r="F236" s="1154" t="e">
        <f aca="false">IF(G236="","",Holiday(D236,E236))</f>
        <v>#VALUE!</v>
      </c>
      <c r="G236" s="1155" t="n">
        <v>43191</v>
      </c>
      <c r="H236" s="1156" t="n">
        <v>43220</v>
      </c>
      <c r="I236" s="1157" t="n">
        <f aca="false">I235</f>
        <v>0.0715</v>
      </c>
      <c r="J236" s="1158" t="n">
        <f aca="false">(1+I236/2)^(-2*(DATE(D237,E237,20)-$H$7)/365.25)</f>
        <v>0.27399927128287</v>
      </c>
      <c r="K236" s="1159"/>
      <c r="L236" s="1158"/>
      <c r="M236" s="1082" t="n">
        <v>0</v>
      </c>
      <c r="N236" s="1110" t="n">
        <f aca="false">M236</f>
        <v>0</v>
      </c>
      <c r="O236" s="1174" t="n">
        <f aca="false">N236</f>
        <v>0</v>
      </c>
      <c r="P236" s="1175" t="n">
        <f aca="false">M236</f>
        <v>0</v>
      </c>
      <c r="Q236" s="1110" t="n">
        <f aca="false">P236</f>
        <v>0</v>
      </c>
      <c r="R236" s="1174" t="n">
        <f aca="false">Q236</f>
        <v>0</v>
      </c>
      <c r="S236" s="1110" t="n">
        <f aca="false">R236</f>
        <v>0</v>
      </c>
      <c r="T236" s="1110" t="n">
        <f aca="false">S236</f>
        <v>0</v>
      </c>
      <c r="U236" s="1110" t="n">
        <f aca="false">T236</f>
        <v>0</v>
      </c>
      <c r="V236" s="1175" t="n">
        <f aca="false">U236</f>
        <v>0</v>
      </c>
      <c r="W236" s="1110" t="n">
        <f aca="false">V236</f>
        <v>0</v>
      </c>
      <c r="X236" s="1176" t="n">
        <f aca="false">W236</f>
        <v>0</v>
      </c>
      <c r="Y236" s="1086" t="n">
        <v>0</v>
      </c>
      <c r="Z236" s="1086" t="n">
        <v>0</v>
      </c>
      <c r="AA236" s="1087" t="n">
        <v>0</v>
      </c>
      <c r="AB236" s="1086" t="n">
        <v>0</v>
      </c>
      <c r="AC236" s="1086" t="n">
        <v>0</v>
      </c>
      <c r="AD236" s="1087" t="n">
        <v>0</v>
      </c>
      <c r="AE236" s="1086" t="n">
        <v>0</v>
      </c>
      <c r="AF236" s="1086" t="n">
        <v>0</v>
      </c>
      <c r="AG236" s="1087" t="n">
        <v>0</v>
      </c>
      <c r="AH236" s="1086" t="n">
        <v>0</v>
      </c>
      <c r="AI236" s="1086" t="n">
        <v>0</v>
      </c>
      <c r="AJ236" s="1087" t="n">
        <v>0</v>
      </c>
      <c r="AK236" s="1086" t="n">
        <v>0</v>
      </c>
      <c r="AL236" s="1086" t="n">
        <v>0</v>
      </c>
      <c r="AM236" s="1087" t="n">
        <v>0</v>
      </c>
      <c r="AN236" s="1086" t="n">
        <v>0</v>
      </c>
      <c r="AO236" s="1086" t="n">
        <v>0</v>
      </c>
      <c r="AP236" s="1087" t="n">
        <v>0</v>
      </c>
      <c r="AQ236" s="1086" t="n">
        <v>0</v>
      </c>
      <c r="AR236" s="1086" t="n">
        <v>0</v>
      </c>
      <c r="AS236" s="1087" t="n">
        <v>0</v>
      </c>
      <c r="AT236" s="1086" t="n">
        <v>0</v>
      </c>
      <c r="AU236" s="1086" t="n">
        <v>0</v>
      </c>
      <c r="AV236" s="1086" t="n">
        <v>0</v>
      </c>
      <c r="AW236" s="1172" t="n">
        <v>0</v>
      </c>
      <c r="AX236" s="807" t="n">
        <f aca="false">BB236-SUM(AY236:BA236)</f>
        <v>21</v>
      </c>
      <c r="AY236" s="807" t="n">
        <f aca="false">IF(AND($E236=MONTH(Summary!$E$24),$D236=YEAR(Summary!$E$24)),Summary!$E$25,1)*IF(G236="",0,INT((H236-MOD(H236,7)-G236)/7)+1-IF(BA236,IF(WEEKDAY(F236)=7,1,0),0))</f>
        <v>4</v>
      </c>
      <c r="AZ236" s="807" t="n">
        <f aca="false">IF(AND($E236=MONTH(Summary!$E$24),$D236=YEAR(Summary!$E$24)),Summary!$E$25,1)*IF(G236="",0,INT((H236-MOD(H236-1,7)-G236)/7)+1-IF(BA236,IF(WEEKDAY(F236)=1,1,0),0))</f>
        <v>5</v>
      </c>
      <c r="BA236" s="807" t="n">
        <v>0</v>
      </c>
      <c r="BB236" s="807" t="n">
        <f aca="false">IF(AND($E236=MONTH(Summary!$E$24),$D236=YEAR(Summary!$E$24)),Summary!$E$25,1)*IF(G236="",0,H236-G236+1)</f>
        <v>30</v>
      </c>
      <c r="BC236" s="1089" t="n">
        <f aca="false">Summary!$E$19</f>
        <v>0.015</v>
      </c>
      <c r="BD236" s="1090" t="n">
        <v>14893.2</v>
      </c>
      <c r="BE236" s="1091" t="n">
        <v>2836.8</v>
      </c>
      <c r="BF236" s="1091" t="n">
        <v>3546</v>
      </c>
      <c r="BG236" s="842"/>
      <c r="BH236" s="1092" t="n">
        <v>1</v>
      </c>
      <c r="BI236" s="1092" t="n">
        <v>1</v>
      </c>
      <c r="BJ236" s="1092" t="n">
        <v>1</v>
      </c>
      <c r="BK236" s="1092" t="n">
        <v>1</v>
      </c>
      <c r="BL236" s="1093" t="n">
        <v>2978.64</v>
      </c>
      <c r="BM236" s="1091" t="n">
        <v>567.36</v>
      </c>
      <c r="BN236" s="1091" t="n">
        <v>709.2</v>
      </c>
      <c r="BO236" s="842"/>
      <c r="BP236" s="1092" t="n">
        <v>1</v>
      </c>
      <c r="BQ236" s="1094" t="n">
        <v>1</v>
      </c>
      <c r="BR236" s="1094" t="n">
        <v>1</v>
      </c>
      <c r="BS236" s="1095" t="n">
        <v>1</v>
      </c>
      <c r="BT236" s="1093" t="n">
        <f aca="false">SUM(BD236:BF236)</f>
        <v>21276</v>
      </c>
      <c r="BU236" s="1098" t="n">
        <f aca="false">SUM(BD236:BG236)</f>
        <v>21276</v>
      </c>
      <c r="BV236" s="1090" t="n">
        <f aca="false">SUM(BL236:BN236)</f>
        <v>4255.2</v>
      </c>
      <c r="BW236" s="1098" t="n">
        <f aca="false">SUM(BL236:BO236)</f>
        <v>4255.2</v>
      </c>
      <c r="BX236" s="852" t="n">
        <v>18.2943189596167</v>
      </c>
      <c r="BY236" s="1099" t="n">
        <v>0</v>
      </c>
      <c r="BZ236" s="852" t="n">
        <v>0</v>
      </c>
      <c r="CA236" s="852" t="n">
        <v>0</v>
      </c>
      <c r="CB236" s="852" t="n">
        <v>0</v>
      </c>
      <c r="CC236" s="852" t="n">
        <v>0</v>
      </c>
      <c r="CD236" s="852" t="n">
        <v>0</v>
      </c>
      <c r="CE236" s="1100" t="n">
        <v>0</v>
      </c>
      <c r="CF236" s="852" t="n">
        <v>0</v>
      </c>
      <c r="CG236" s="852" t="n">
        <v>0</v>
      </c>
      <c r="CH236" s="852" t="n">
        <v>0</v>
      </c>
      <c r="CI236" s="852" t="n">
        <v>0</v>
      </c>
      <c r="CJ236" s="1101" t="n">
        <v>0</v>
      </c>
      <c r="CK236" s="852" t="n">
        <v>0</v>
      </c>
      <c r="CL236" s="852" t="n">
        <v>0</v>
      </c>
      <c r="CM236" s="852" t="n">
        <v>0</v>
      </c>
      <c r="CN236" s="852" t="n">
        <v>0</v>
      </c>
      <c r="CO236" s="852" t="n">
        <v>0</v>
      </c>
      <c r="CP236" s="852" t="n">
        <v>0</v>
      </c>
      <c r="CQ236" s="1102" t="n">
        <v>0</v>
      </c>
      <c r="CR236" s="1103" t="n">
        <v>0</v>
      </c>
      <c r="CS236" s="1103" t="n">
        <v>0</v>
      </c>
      <c r="CT236" s="1103" t="n">
        <v>0</v>
      </c>
      <c r="CU236" s="1103" t="n">
        <v>0</v>
      </c>
      <c r="CV236" s="1103" t="n">
        <v>0</v>
      </c>
      <c r="CW236" s="1103" t="n">
        <v>0</v>
      </c>
      <c r="CX236" s="1104" t="n">
        <v>0</v>
      </c>
      <c r="CY236" s="1105" t="n">
        <v>7720.86688</v>
      </c>
      <c r="CZ236" s="1099" t="n">
        <v>0</v>
      </c>
      <c r="DA236" s="852" t="n">
        <v>0</v>
      </c>
      <c r="DB236" s="852" t="n">
        <v>0</v>
      </c>
      <c r="DC236" s="852" t="n">
        <v>0</v>
      </c>
      <c r="DD236" s="852" t="n">
        <v>0</v>
      </c>
      <c r="DE236" s="1113" t="n">
        <v>0</v>
      </c>
      <c r="DF236" s="1109" t="n">
        <v>0</v>
      </c>
      <c r="DG236" s="1110" t="n">
        <v>0</v>
      </c>
      <c r="DH236" s="1111" t="n">
        <v>0</v>
      </c>
      <c r="DI236" s="1112" t="n">
        <v>0</v>
      </c>
      <c r="DJ236" s="1112" t="n">
        <v>0</v>
      </c>
      <c r="DK236" s="1112" t="n">
        <v>0</v>
      </c>
      <c r="DL236" s="1113" t="n">
        <v>0</v>
      </c>
      <c r="DM236" s="1114" t="n">
        <v>0</v>
      </c>
      <c r="DN236" s="1114" t="n">
        <v>0</v>
      </c>
      <c r="DO236" s="1114" t="n">
        <v>0</v>
      </c>
      <c r="DP236" s="1114" t="n">
        <v>0</v>
      </c>
      <c r="DQ236" s="1114" t="n">
        <v>0</v>
      </c>
      <c r="DR236" s="1109" t="n">
        <v>0</v>
      </c>
      <c r="DS236" s="852" t="n">
        <v>0</v>
      </c>
      <c r="DT236" s="852" t="n">
        <v>0</v>
      </c>
      <c r="DU236" s="852" t="n">
        <v>0</v>
      </c>
      <c r="DV236" s="852" t="n">
        <v>0</v>
      </c>
      <c r="DW236" s="852" t="n">
        <v>0</v>
      </c>
      <c r="DX236" s="852" t="n">
        <v>0</v>
      </c>
      <c r="DY236" s="852" t="n">
        <v>0</v>
      </c>
      <c r="DZ236" s="852" t="n">
        <v>0</v>
      </c>
      <c r="EA236" s="852" t="n">
        <v>0</v>
      </c>
      <c r="EB236" s="1113" t="n">
        <v>0</v>
      </c>
      <c r="EC236" s="1115" t="n">
        <f aca="false">DS236*BD236</f>
        <v>0</v>
      </c>
      <c r="ED236" s="1115" t="n">
        <f aca="false">DT236*BE236</f>
        <v>0</v>
      </c>
      <c r="EE236" s="1115" t="n">
        <f aca="false">DU236*BF236</f>
        <v>0</v>
      </c>
      <c r="EF236" s="1115" t="n">
        <f aca="false">DV236*BG236</f>
        <v>0</v>
      </c>
      <c r="EG236" s="1115" t="n">
        <f aca="false">DS236*BD236+DT236*BE236+DU236*BF236+DV236*BG236</f>
        <v>0</v>
      </c>
      <c r="EH236" s="1116" t="n">
        <v>0</v>
      </c>
      <c r="EI236" s="1117" t="n">
        <v>0</v>
      </c>
      <c r="EJ236" s="1117" t="n">
        <v>0</v>
      </c>
      <c r="EK236" s="1117" t="n">
        <v>0</v>
      </c>
      <c r="EL236" s="1118" t="n">
        <f aca="false">IF(C236&gt;=Summary!$E$26,MAX(0,SUM(EH236:EK236)),0)</f>
        <v>0</v>
      </c>
      <c r="EM236" s="1115" t="n">
        <f aca="false">IF(C236&gt;=Summary!$E$26,DX236*BL236,0)</f>
        <v>0</v>
      </c>
      <c r="EN236" s="1115" t="n">
        <f aca="false">IF(C236&gt;=Summary!$E$26,DY236*BM236,0)</f>
        <v>0</v>
      </c>
      <c r="EO236" s="1115" t="n">
        <f aca="false">IF(C236&gt;=Summary!$E$26,DZ236*BN236,0)</f>
        <v>0</v>
      </c>
      <c r="EP236" s="1115" t="n">
        <f aca="false">IF(C236&gt;=Summary!$E$26,EA236*BO236,0)</f>
        <v>0</v>
      </c>
      <c r="EQ236" s="1115" t="n">
        <f aca="false">IF(C236&gt;=Summary!$E$26,DX236*BL236+DY236*BM236+DZ236*BN236+EA236*BO236,0)</f>
        <v>0</v>
      </c>
      <c r="ER236" s="1119" t="n">
        <v>0</v>
      </c>
      <c r="ES236" s="1120" t="n">
        <v>0</v>
      </c>
      <c r="ET236" s="1120" t="n">
        <v>0</v>
      </c>
      <c r="EU236" s="1120" t="n">
        <v>0</v>
      </c>
      <c r="EV236" s="1143" t="n">
        <f aca="false">IF(C236&gt;=Summary!$E$26,MAX(0,SUM(ER236:EU236)),0)</f>
        <v>0</v>
      </c>
      <c r="EW236" s="1115"/>
      <c r="EX236" s="1165" t="n">
        <f aca="false">(EQ236-EV236)+IF(EZ236="Yes",(EG236-EL236),0)</f>
        <v>0</v>
      </c>
      <c r="EY236" s="1166" t="str">
        <f aca="false">IF(EX236,EX236/EQ236,"")</f>
        <v/>
      </c>
      <c r="EZ236" s="1122" t="s">
        <v>37</v>
      </c>
      <c r="FA236" s="1096" t="n">
        <f aca="false">FA235</f>
        <v>45</v>
      </c>
      <c r="FB236" s="1167" t="n">
        <f aca="false">IF(EZ236="No",IF((OR(MONTH(C236)=5,MONTH(C236)=6,MONTH(C236)=7,MONTH(C236)=8,MONTH(C236)=9)),$FA236*12*AX236*(1-$BC236),$FA236*10*AX236*(1-$BC236)),0)</f>
        <v>9308.25</v>
      </c>
      <c r="FC236" s="1129" t="n">
        <f aca="false">IF(EZ236="No",IF((OR(MONTH(C236)=5,MONTH(C236)=6,MONTH(C236)=7,MONTH(C236)=8,MONTH(C236)=9)),0,$FA236*3*AX236*(1-$BC236)),0)</f>
        <v>2792.475</v>
      </c>
      <c r="FD236" s="1129" t="n">
        <f aca="false">IF(EZ236="No",IF((OR(MONTH(C236)=5,MONTH(C236)=6,MONTH(C236)=7,MONTH(C236)=8,MONTH(C236)=9)),$FA236*12*AY236*(1-$BC236),$FA236*10*AY236*(1-$BC236)),0)</f>
        <v>1773</v>
      </c>
      <c r="FE236" s="1129" t="n">
        <f aca="false">IF(EZ236="No",IF((OR(MONTH(C236)=5,MONTH(C236)=6,MONTH(C236)=7,MONTH(C236)=8,MONTH(C236)=9)),0,$FA236*3*AY236*(1-$BC236)),0)</f>
        <v>531.9</v>
      </c>
      <c r="FF236" s="1129" t="n">
        <f aca="false">IF(EZ236="No",IF((OR(MONTH(C236)=5,MONTH(C236)=6,MONTH(C236)=7,MONTH(C236)=8,MONTH(C236)=9)),$FA236*12*(AZ236+BA236)*(1-$BC236),$FA236*10*(AZ236+BA236)*(1-$BC236)),0)</f>
        <v>2216.25</v>
      </c>
      <c r="FG236" s="1129" t="n">
        <f aca="false">IF(EZ236="No",IF((OR(MONTH(C236)=5,MONTH(C236)=6,MONTH(C236)=7,MONTH(C236)=8,MONTH(C236)=9)),0,$FA236*3*(AZ236+BA236)*(1-$BC236)),0)</f>
        <v>664.875</v>
      </c>
      <c r="FH236" s="1170" t="n">
        <f aca="false">IF(EZ236="No",IF((OR(MONTH(C236)=5,MONTH(C236)=6,MONTH(C236)=7,MONTH(C236)=8,MONTH(C236)=9)),Summary!$O$15*12*(AX236+AY236+AZ236+BA236)*(1-$BC236),Summary!$O$15*13*(AX236+AY236+AZ236+BA236)*(1-$BC236)+IF(Summary!$O$16="Yes",(CALC!FA236+Summary!$O$15)*6*(AX236+AY236+AZ236+BA236)*(1-$BC236),0)),0)</f>
        <v>0</v>
      </c>
      <c r="FI236" s="1126" t="n">
        <f aca="false">IF(MONTH(C236)=5,FI235*(IF(Summary!$E$70="no",(1+(Summary!$E$71*0.8)),1+HLOOKUP(YEAR(C236)-1,CCFMODEL!$I$127:$AF$128,2)*0.8)),+FI235)</f>
        <v>40.7683271086151</v>
      </c>
      <c r="FJ236" s="1127" t="n">
        <f aca="false">IF(MONTH(C236)=5,FJ235*(IF(Summary!$E$70="no",(1+(Summary!$E$71*0.8)),1+HLOOKUP(YEAR(CALC!C236)-1,CCFMODEL!$I$127:$AF$128,2)*0.8)),FJ235)</f>
        <v>35.632159913829</v>
      </c>
      <c r="FK236" s="1128" t="n">
        <f aca="false">SUM(FB236:FG236)*FI236+FH236*FJ236</f>
        <v>704751.878644853</v>
      </c>
      <c r="FL236" s="1126" t="n">
        <f aca="false">IF(MONTH(C236)=5,FL235*(IF(Summary!$E$70="no",(1+(Summary!$E$71*0.8)),1+HLOOKUP(YEAR(CALC!C236)-1,CCFMODEL!$I$127:$AF$128,2)*0.8)),+FL235)</f>
        <v>85.7403624867725</v>
      </c>
      <c r="FM236" s="1127" t="n">
        <f aca="false">IF(MONTH(C236)=5,FM235*(IF(Summary!$E$70="no",(1+(Summary!$E$71*0.8)),1+HLOOKUP(YEAR(CALC!C236)-1,CCFMODEL!$I$127:$AF$128,2)*0.8)),+FM235)</f>
        <v>40.9211892275076</v>
      </c>
      <c r="FN236" s="1128" t="n">
        <f aca="false">IF((OR(MONTH(C236)=5,MONTH(C236)=6,MONTH(C236)=7,MONTH(C236)=8,MONTH(C236)=9)),SUM(FB236:FG236)/(1-BC236)*FL236,SUM(FB236:FG236)/(1-BC236)*FM236)</f>
        <v>718166.870942758</v>
      </c>
      <c r="FO236" s="1129" t="n">
        <f aca="false">FK236+FN236</f>
        <v>1422918.74958761</v>
      </c>
      <c r="FP236" s="1169" t="n">
        <f aca="false">FB236</f>
        <v>9308.25</v>
      </c>
      <c r="FQ236" s="1129" t="n">
        <f aca="false">FC236</f>
        <v>2792.475</v>
      </c>
      <c r="FR236" s="1129" t="n">
        <f aca="false">FD236</f>
        <v>1773</v>
      </c>
      <c r="FS236" s="1129" t="n">
        <f aca="false">FE236</f>
        <v>531.9</v>
      </c>
      <c r="FT236" s="1129" t="n">
        <f aca="false">FF236</f>
        <v>2216.25</v>
      </c>
      <c r="FU236" s="1129" t="n">
        <f aca="false">FG236</f>
        <v>664.875</v>
      </c>
      <c r="FV236" s="1170" t="n">
        <f aca="false">FH236</f>
        <v>0</v>
      </c>
      <c r="FW236" s="1115" t="n">
        <f aca="false">IF(ER236&gt;0,MIN(FB236-FP236,BL236),0)</f>
        <v>0</v>
      </c>
      <c r="FX236" s="1115" t="n">
        <f aca="false">IF(ES236&gt;0,MIN(FD236-FR236,BM236),0)</f>
        <v>0</v>
      </c>
      <c r="FY236" s="1115" t="n">
        <f aca="false">IF(ET236&gt;0,MIN(FF236-FT236,BN236),0)</f>
        <v>0</v>
      </c>
      <c r="FZ236" s="1143" t="n">
        <f aca="false">IF(EU236&gt;0,MIN(FH236-FV236,BO236),0)</f>
        <v>0</v>
      </c>
      <c r="GA236" s="1132" t="n">
        <f aca="false">(SUM(FP236:FV236)+SUM(GU236:HB236)/(1-Summary!$O$25))*CY236/1000</f>
        <v>227923.464687696</v>
      </c>
      <c r="GB236" s="1133" t="n">
        <f aca="false">IF($C236&lt;Summary!$M$81,+Summary!$O$81,VLOOKUP(C236,GasTable,19))</f>
        <v>3.52226232685303</v>
      </c>
      <c r="GC236" s="1134" t="n">
        <f aca="false">IF(H236&lt;=Summary!$N$84,MIN(GA236,Summary!$O$75*(H236-G236+1)),0)</f>
        <v>0</v>
      </c>
      <c r="GD236" s="1135" t="n">
        <f aca="false">IF(C236&lt;Summary!$N$84,IF(Summary!$O$75*(H236-G236+1)*0.8&gt;GC236,1,0),0)</f>
        <v>0</v>
      </c>
      <c r="GE236" s="1136" t="n">
        <v>0</v>
      </c>
      <c r="GF236" s="1134" t="n">
        <f aca="false">ABS(MIN(0,GC236-$GA236))</f>
        <v>227923.464687696</v>
      </c>
      <c r="GG236" s="1135" t="n">
        <f aca="false">GF236*(IF(Summary!$O$74=1,VLOOKUP($C236,GasTable,16)+Summary!$O$92+Summary!$O$93,VLOOKUP($C236,GasTable,19)+Summary!$O$92+Summary!$O$93))</f>
        <v>814681.045585517</v>
      </c>
      <c r="GH236" s="1137" t="n">
        <v>5283.39349027954</v>
      </c>
      <c r="GI236" s="1138" t="n">
        <v>0</v>
      </c>
      <c r="GJ236" s="1139" t="n">
        <f aca="false">+GB236*GC236+GE236+GG236+GH236-GI236</f>
        <v>819964.439075797</v>
      </c>
      <c r="GK236" s="1115" t="n">
        <f aca="false">SUM(FP236:FV236,GU236:GX236,GY236:HB236)</f>
        <v>29092.2705</v>
      </c>
      <c r="GL236" s="1140" t="n">
        <v>0.51729808096</v>
      </c>
      <c r="GM236" s="1141" t="n">
        <f aca="false">IF(GK236&gt;GC236/(CY236/1000),GC236/(CY236/1000),+GK236)*GL236</f>
        <v>0</v>
      </c>
      <c r="GN236" s="1115" t="n">
        <f aca="false">IF(SUM(GU236:HB236)=0,0,IF(Summary!$O$16="Yes",SUM(GX236:HB236),IF(Summary!$O$17="Yes",SUM(GY236:HB236),SUM(GU236:HB236))))</f>
        <v>11805.5205</v>
      </c>
      <c r="GO236" s="1142" t="n">
        <v>4.05098296203579</v>
      </c>
      <c r="GP236" s="1143" t="n">
        <f aca="false">GN236*GO236</f>
        <v>47823.9624034642</v>
      </c>
      <c r="GQ236" s="1115"/>
      <c r="GR236" s="1115"/>
      <c r="GS236" s="1115"/>
      <c r="GT236" s="1115"/>
      <c r="GU236" s="1150" t="n">
        <v>5389.47675</v>
      </c>
      <c r="GV236" s="1115" t="n">
        <v>1026.567</v>
      </c>
      <c r="GW236" s="1115" t="n">
        <v>1283.20875</v>
      </c>
      <c r="GX236" s="1115"/>
      <c r="GY236" s="1151" t="n">
        <v>2874.3876</v>
      </c>
      <c r="GZ236" s="1115" t="n">
        <v>547.5024</v>
      </c>
      <c r="HA236" s="1115" t="n">
        <v>684.378</v>
      </c>
      <c r="HB236" s="1141"/>
      <c r="HC236" s="1115" t="n">
        <v>11805.5205</v>
      </c>
      <c r="HD236" s="1115"/>
      <c r="HE236" s="1115" t="n">
        <v>20274.69825</v>
      </c>
      <c r="HF236" s="1115" t="n">
        <v>499596.61847935</v>
      </c>
      <c r="HG236" s="1115"/>
      <c r="HH236" s="1142" t="n">
        <v>41.5542116337575</v>
      </c>
      <c r="HI236" s="1115" t="n">
        <v>842499.101891074</v>
      </c>
      <c r="HJ236" s="1150" t="n">
        <f aca="false">MAX(FB236-FP236-FW236,0)</f>
        <v>0</v>
      </c>
      <c r="HK236" s="1115" t="n">
        <f aca="false">MAX(FD236-FR236-FX236,0)</f>
        <v>0</v>
      </c>
      <c r="HL236" s="1115" t="n">
        <f aca="false">MAX(FF236-FT236-FY236,0)</f>
        <v>0</v>
      </c>
      <c r="HM236" s="1141" t="n">
        <f aca="false">MAX(FH236-FV236-FZ236,0)</f>
        <v>0</v>
      </c>
      <c r="HN236" s="1115" t="n">
        <f aca="false">SUM(HJ236:HM236)</f>
        <v>0</v>
      </c>
      <c r="HO236" s="1142" t="n">
        <f aca="false">IF(ISERROR(+HP236/HN236),0,+HP236/HN236)</f>
        <v>0</v>
      </c>
      <c r="HP236" s="1143" t="n">
        <f aca="false">(HJ236*CE236+HK236*CF236+HL236*CG236+HM236*CH236)</f>
        <v>0</v>
      </c>
      <c r="HQ236" s="1142"/>
      <c r="HR236" s="1150"/>
      <c r="HS236" s="1200"/>
      <c r="HT236" s="1141"/>
      <c r="HU236" s="1150"/>
      <c r="HV236" s="1200"/>
      <c r="HW236" s="1141"/>
      <c r="HX236" s="1200"/>
      <c r="HY236" s="1200"/>
      <c r="HZ236" s="0"/>
      <c r="IA236" s="1142"/>
      <c r="IB236" s="1142"/>
      <c r="IC236" s="1142"/>
      <c r="ID236" s="1142"/>
      <c r="IE236" s="1142"/>
      <c r="IF236" s="1142"/>
      <c r="IG236" s="1142"/>
      <c r="IH236" s="1142"/>
      <c r="II236" s="1142"/>
      <c r="IJ236" s="1142"/>
      <c r="IK236" s="1142"/>
      <c r="IL236" s="1190"/>
      <c r="IM236" s="222"/>
      <c r="IN236" s="222"/>
      <c r="IR236" s="844"/>
    </row>
    <row r="237" customFormat="false" ht="13.5" hidden="false" customHeight="false" outlineLevel="0" collapsed="false">
      <c r="A237" s="0" t="str">
        <f aca="false">+D237&amp;"Q"&amp;ROUNDUP(E237/3,0)</f>
        <v>2018Q2</v>
      </c>
      <c r="B237" s="0" t="n">
        <f aca="false">YEAR(C237)</f>
        <v>2018</v>
      </c>
      <c r="C237" s="1153" t="n">
        <f aca="false">EOMONTH(C236,0)+1</f>
        <v>43221</v>
      </c>
      <c r="D237" s="841" t="n">
        <f aca="false">+YEAR(C237)</f>
        <v>2018</v>
      </c>
      <c r="E237" s="807" t="n">
        <f aca="false">MONTH(C237)</f>
        <v>5</v>
      </c>
      <c r="F237" s="1154" t="e">
        <f aca="false">IF(G237="","",Holiday(D237,E237))</f>
        <v>#VALUE!</v>
      </c>
      <c r="G237" s="1155" t="n">
        <v>43221</v>
      </c>
      <c r="H237" s="1156" t="n">
        <v>43251</v>
      </c>
      <c r="I237" s="1157" t="n">
        <f aca="false">I236</f>
        <v>0.0715</v>
      </c>
      <c r="J237" s="1158" t="n">
        <f aca="false">(1+I237/2)^(-2*(DATE(D238,E238,20)-$H$7)/365.25)</f>
        <v>0.272370414029079</v>
      </c>
      <c r="K237" s="1159"/>
      <c r="L237" s="1158"/>
      <c r="M237" s="1082" t="n">
        <v>0</v>
      </c>
      <c r="N237" s="1110" t="n">
        <f aca="false">M237</f>
        <v>0</v>
      </c>
      <c r="O237" s="1174" t="n">
        <f aca="false">N237</f>
        <v>0</v>
      </c>
      <c r="P237" s="1175" t="n">
        <f aca="false">M237</f>
        <v>0</v>
      </c>
      <c r="Q237" s="1110" t="n">
        <f aca="false">P237</f>
        <v>0</v>
      </c>
      <c r="R237" s="1174" t="n">
        <f aca="false">Q237</f>
        <v>0</v>
      </c>
      <c r="S237" s="1110" t="n">
        <f aca="false">R237</f>
        <v>0</v>
      </c>
      <c r="T237" s="1110" t="n">
        <f aca="false">S237</f>
        <v>0</v>
      </c>
      <c r="U237" s="1110" t="n">
        <f aca="false">T237</f>
        <v>0</v>
      </c>
      <c r="V237" s="1175" t="n">
        <f aca="false">U237</f>
        <v>0</v>
      </c>
      <c r="W237" s="1110" t="n">
        <f aca="false">V237</f>
        <v>0</v>
      </c>
      <c r="X237" s="1176" t="n">
        <f aca="false">W237</f>
        <v>0</v>
      </c>
      <c r="Y237" s="1086" t="n">
        <v>0</v>
      </c>
      <c r="Z237" s="1086" t="n">
        <v>0</v>
      </c>
      <c r="AA237" s="1087" t="n">
        <v>0</v>
      </c>
      <c r="AB237" s="1086" t="n">
        <v>0</v>
      </c>
      <c r="AC237" s="1086" t="n">
        <v>0</v>
      </c>
      <c r="AD237" s="1087" t="n">
        <v>0</v>
      </c>
      <c r="AE237" s="1086" t="n">
        <v>0</v>
      </c>
      <c r="AF237" s="1086" t="n">
        <v>0</v>
      </c>
      <c r="AG237" s="1087" t="n">
        <v>0</v>
      </c>
      <c r="AH237" s="1086" t="n">
        <v>0</v>
      </c>
      <c r="AI237" s="1086" t="n">
        <v>0</v>
      </c>
      <c r="AJ237" s="1087" t="n">
        <v>0</v>
      </c>
      <c r="AK237" s="1086" t="n">
        <v>0</v>
      </c>
      <c r="AL237" s="1086" t="n">
        <v>0</v>
      </c>
      <c r="AM237" s="1087" t="n">
        <v>0</v>
      </c>
      <c r="AN237" s="1086" t="n">
        <v>0</v>
      </c>
      <c r="AO237" s="1086" t="n">
        <v>0</v>
      </c>
      <c r="AP237" s="1087" t="n">
        <v>0</v>
      </c>
      <c r="AQ237" s="1086" t="n">
        <v>0</v>
      </c>
      <c r="AR237" s="1086" t="n">
        <v>0</v>
      </c>
      <c r="AS237" s="1087" t="n">
        <v>0</v>
      </c>
      <c r="AT237" s="1086" t="n">
        <v>0</v>
      </c>
      <c r="AU237" s="1086" t="n">
        <v>0</v>
      </c>
      <c r="AV237" s="1086" t="n">
        <v>0</v>
      </c>
      <c r="AW237" s="1172" t="n">
        <v>0</v>
      </c>
      <c r="AX237" s="807" t="e">
        <f aca="false">BB237-SUM(AY237:BA237)</f>
        <v>#VALUE!</v>
      </c>
      <c r="AY237" s="807" t="e">
        <f aca="false">IF(AND($E237=MONTH(Summary!$E$24),$D237=YEAR(Summary!$E$24)),Summary!$E$25,1)*IF(G237="",0,INT((H237-MOD(H237,7)-G237)/7)+1-IF(BA237,IF(WEEKDAY(F237)=7,1,0),0))</f>
        <v>#VALUE!</v>
      </c>
      <c r="AZ237" s="807" t="e">
        <f aca="false">IF(AND($E237=MONTH(Summary!$E$24),$D237=YEAR(Summary!$E$24)),Summary!$E$25,1)*IF(G237="",0,INT((H237-MOD(H237-1,7)-G237)/7)+1-IF(BA237,IF(WEEKDAY(F237)=1,1,0),0))</f>
        <v>#VALUE!</v>
      </c>
      <c r="BA237" s="807" t="n">
        <v>1</v>
      </c>
      <c r="BB237" s="807" t="n">
        <f aca="false">IF(AND($E237=MONTH(Summary!$E$24),$D237=YEAR(Summary!$E$24)),Summary!$E$25,1)*IF(G237="",0,H237-G237+1)</f>
        <v>31</v>
      </c>
      <c r="BC237" s="1089" t="n">
        <f aca="false">Summary!$E$19</f>
        <v>0.015</v>
      </c>
      <c r="BD237" s="1090" t="n">
        <v>15602.4</v>
      </c>
      <c r="BE237" s="1091" t="n">
        <v>2836.8</v>
      </c>
      <c r="BF237" s="1091" t="n">
        <v>3546</v>
      </c>
      <c r="BG237" s="842"/>
      <c r="BH237" s="1092" t="n">
        <v>1</v>
      </c>
      <c r="BI237" s="1092" t="n">
        <v>1</v>
      </c>
      <c r="BJ237" s="1092" t="n">
        <v>1</v>
      </c>
      <c r="BK237" s="1092" t="n">
        <v>1</v>
      </c>
      <c r="BL237" s="1093" t="n">
        <v>3120.48</v>
      </c>
      <c r="BM237" s="1091" t="n">
        <v>567.36</v>
      </c>
      <c r="BN237" s="1091" t="n">
        <v>709.2</v>
      </c>
      <c r="BO237" s="842"/>
      <c r="BP237" s="1092" t="n">
        <v>1</v>
      </c>
      <c r="BQ237" s="1094" t="n">
        <v>1</v>
      </c>
      <c r="BR237" s="1094" t="n">
        <v>1</v>
      </c>
      <c r="BS237" s="1095" t="n">
        <v>1</v>
      </c>
      <c r="BT237" s="1093" t="n">
        <f aca="false">SUM(BD237:BF237)</f>
        <v>21985.2</v>
      </c>
      <c r="BU237" s="1098" t="n">
        <f aca="false">SUM(BD237:BG237)</f>
        <v>21985.2</v>
      </c>
      <c r="BV237" s="1090" t="n">
        <f aca="false">SUM(BL237:BN237)</f>
        <v>4397.04</v>
      </c>
      <c r="BW237" s="1098" t="n">
        <f aca="false">SUM(BL237:BO237)</f>
        <v>4397.04</v>
      </c>
      <c r="BX237" s="852" t="n">
        <v>18.3764544832307</v>
      </c>
      <c r="BY237" s="1099" t="n">
        <v>0</v>
      </c>
      <c r="BZ237" s="852" t="n">
        <v>0</v>
      </c>
      <c r="CA237" s="852" t="n">
        <v>0</v>
      </c>
      <c r="CB237" s="852" t="n">
        <v>0</v>
      </c>
      <c r="CC237" s="852" t="n">
        <v>0</v>
      </c>
      <c r="CD237" s="852" t="n">
        <v>0</v>
      </c>
      <c r="CE237" s="1100" t="n">
        <v>0</v>
      </c>
      <c r="CF237" s="852" t="n">
        <v>0</v>
      </c>
      <c r="CG237" s="852" t="n">
        <v>0</v>
      </c>
      <c r="CH237" s="852" t="n">
        <v>0</v>
      </c>
      <c r="CI237" s="852" t="n">
        <v>0</v>
      </c>
      <c r="CJ237" s="1101" t="n">
        <v>0</v>
      </c>
      <c r="CK237" s="852" t="n">
        <v>0</v>
      </c>
      <c r="CL237" s="852" t="n">
        <v>0</v>
      </c>
      <c r="CM237" s="852" t="n">
        <v>0</v>
      </c>
      <c r="CN237" s="852" t="n">
        <v>0</v>
      </c>
      <c r="CO237" s="852" t="n">
        <v>0</v>
      </c>
      <c r="CP237" s="852" t="n">
        <v>0</v>
      </c>
      <c r="CQ237" s="1102" t="n">
        <v>0</v>
      </c>
      <c r="CR237" s="1103" t="n">
        <v>0</v>
      </c>
      <c r="CS237" s="1103" t="n">
        <v>0</v>
      </c>
      <c r="CT237" s="1103" t="n">
        <v>0</v>
      </c>
      <c r="CU237" s="1103" t="n">
        <v>0</v>
      </c>
      <c r="CV237" s="1103" t="n">
        <v>0</v>
      </c>
      <c r="CW237" s="1103" t="n">
        <v>0</v>
      </c>
      <c r="CX237" s="1104" t="n">
        <v>0</v>
      </c>
      <c r="CY237" s="1105" t="n">
        <v>7722.89784</v>
      </c>
      <c r="CZ237" s="1099" t="n">
        <v>0</v>
      </c>
      <c r="DA237" s="852" t="n">
        <v>0</v>
      </c>
      <c r="DB237" s="852" t="n">
        <v>0</v>
      </c>
      <c r="DC237" s="852" t="n">
        <v>0</v>
      </c>
      <c r="DD237" s="852" t="n">
        <v>0</v>
      </c>
      <c r="DE237" s="1113" t="n">
        <v>0</v>
      </c>
      <c r="DF237" s="1109" t="n">
        <v>0</v>
      </c>
      <c r="DG237" s="1110" t="n">
        <v>0</v>
      </c>
      <c r="DH237" s="1111" t="n">
        <v>0</v>
      </c>
      <c r="DI237" s="1112" t="n">
        <v>0</v>
      </c>
      <c r="DJ237" s="1112" t="n">
        <v>0</v>
      </c>
      <c r="DK237" s="1112" t="n">
        <v>0</v>
      </c>
      <c r="DL237" s="1113" t="n">
        <v>0</v>
      </c>
      <c r="DM237" s="1114" t="n">
        <v>0</v>
      </c>
      <c r="DN237" s="1114" t="n">
        <v>0</v>
      </c>
      <c r="DO237" s="1114" t="n">
        <v>0</v>
      </c>
      <c r="DP237" s="1114" t="n">
        <v>0</v>
      </c>
      <c r="DQ237" s="1114" t="n">
        <v>0</v>
      </c>
      <c r="DR237" s="1109" t="n">
        <v>0</v>
      </c>
      <c r="DS237" s="852" t="n">
        <v>0</v>
      </c>
      <c r="DT237" s="852" t="n">
        <v>0</v>
      </c>
      <c r="DU237" s="852" t="n">
        <v>0</v>
      </c>
      <c r="DV237" s="852" t="n">
        <v>0</v>
      </c>
      <c r="DW237" s="852" t="n">
        <v>0</v>
      </c>
      <c r="DX237" s="852" t="n">
        <v>0</v>
      </c>
      <c r="DY237" s="852" t="n">
        <v>0</v>
      </c>
      <c r="DZ237" s="852" t="n">
        <v>0</v>
      </c>
      <c r="EA237" s="852" t="n">
        <v>0</v>
      </c>
      <c r="EB237" s="1113" t="n">
        <v>0</v>
      </c>
      <c r="EC237" s="1115" t="n">
        <f aca="false">DS237*BD237</f>
        <v>0</v>
      </c>
      <c r="ED237" s="1115" t="n">
        <f aca="false">DT237*BE237</f>
        <v>0</v>
      </c>
      <c r="EE237" s="1115" t="n">
        <f aca="false">DU237*BF237</f>
        <v>0</v>
      </c>
      <c r="EF237" s="1115" t="n">
        <f aca="false">DV237*BG237</f>
        <v>0</v>
      </c>
      <c r="EG237" s="1115" t="n">
        <f aca="false">DS237*BD237+DT237*BE237+DU237*BF237+DV237*BG237</f>
        <v>0</v>
      </c>
      <c r="EH237" s="1116" t="n">
        <v>0</v>
      </c>
      <c r="EI237" s="1117" t="n">
        <v>0</v>
      </c>
      <c r="EJ237" s="1117" t="n">
        <v>0</v>
      </c>
      <c r="EK237" s="1117" t="n">
        <v>0</v>
      </c>
      <c r="EL237" s="1118" t="n">
        <f aca="false">IF(C237&gt;=Summary!$E$26,MAX(0,SUM(EH237:EK237)),0)</f>
        <v>0</v>
      </c>
      <c r="EM237" s="1115" t="n">
        <f aca="false">IF(C237&gt;=Summary!$E$26,DX237*BL237,0)</f>
        <v>0</v>
      </c>
      <c r="EN237" s="1115" t="n">
        <f aca="false">IF(C237&gt;=Summary!$E$26,DY237*BM237,0)</f>
        <v>0</v>
      </c>
      <c r="EO237" s="1115" t="n">
        <f aca="false">IF(C237&gt;=Summary!$E$26,DZ237*BN237,0)</f>
        <v>0</v>
      </c>
      <c r="EP237" s="1115" t="n">
        <f aca="false">IF(C237&gt;=Summary!$E$26,EA237*BO237,0)</f>
        <v>0</v>
      </c>
      <c r="EQ237" s="1115" t="n">
        <f aca="false">IF(C237&gt;=Summary!$E$26,DX237*BL237+DY237*BM237+DZ237*BN237+EA237*BO237,0)</f>
        <v>0</v>
      </c>
      <c r="ER237" s="1119" t="n">
        <v>0</v>
      </c>
      <c r="ES237" s="1120" t="n">
        <v>0</v>
      </c>
      <c r="ET237" s="1120" t="n">
        <v>0</v>
      </c>
      <c r="EU237" s="1120" t="n">
        <v>0</v>
      </c>
      <c r="EV237" s="1143" t="n">
        <f aca="false">IF(C237&gt;=Summary!$E$26,MAX(0,SUM(ER237:EU237)),0)</f>
        <v>0</v>
      </c>
      <c r="EW237" s="1115"/>
      <c r="EX237" s="1165" t="n">
        <f aca="false">(EQ237-EV237)+IF(EZ237="Yes",(EG237-EL237),0)</f>
        <v>0</v>
      </c>
      <c r="EY237" s="1166" t="str">
        <f aca="false">IF(EX237,EX237/EQ237,"")</f>
        <v/>
      </c>
      <c r="EZ237" s="1122" t="s">
        <v>37</v>
      </c>
      <c r="FA237" s="1096" t="n">
        <f aca="false">FA236</f>
        <v>45</v>
      </c>
      <c r="FB237" s="1167" t="e">
        <f aca="false">IF(EZ237="No",IF((OR(MONTH(C237)=5,MONTH(C237)=6,MONTH(C237)=7,MONTH(C237)=8,MONTH(C237)=9)),$FA237*12*AX237*(1-$BC237),$FA237*10*AX237*(1-$BC237)),0)</f>
        <v>#VALUE!</v>
      </c>
      <c r="FC237" s="1129" t="n">
        <f aca="false">IF(EZ237="No",IF((OR(MONTH(C237)=5,MONTH(C237)=6,MONTH(C237)=7,MONTH(C237)=8,MONTH(C237)=9)),0,$FA237*3*AX237*(1-$BC237)),0)</f>
        <v>0</v>
      </c>
      <c r="FD237" s="1129" t="e">
        <f aca="false">IF(EZ237="No",IF((OR(MONTH(C237)=5,MONTH(C237)=6,MONTH(C237)=7,MONTH(C237)=8,MONTH(C237)=9)),$FA237*12*AY237*(1-$BC237),$FA237*10*AY237*(1-$BC237)),0)</f>
        <v>#VALUE!</v>
      </c>
      <c r="FE237" s="1129" t="n">
        <f aca="false">IF(EZ237="No",IF((OR(MONTH(C237)=5,MONTH(C237)=6,MONTH(C237)=7,MONTH(C237)=8,MONTH(C237)=9)),0,$FA237*3*AY237*(1-$BC237)),0)</f>
        <v>0</v>
      </c>
      <c r="FF237" s="1129" t="e">
        <f aca="false">IF(EZ237="No",IF((OR(MONTH(C237)=5,MONTH(C237)=6,MONTH(C237)=7,MONTH(C237)=8,MONTH(C237)=9)),$FA237*12*(AZ237+BA237)*(1-$BC237),$FA237*10*(AZ237+BA237)*(1-$BC237)),0)</f>
        <v>#VALUE!</v>
      </c>
      <c r="FG237" s="1129" t="n">
        <f aca="false">IF(EZ237="No",IF((OR(MONTH(C237)=5,MONTH(C237)=6,MONTH(C237)=7,MONTH(C237)=8,MONTH(C237)=9)),0,$FA237*3*(AZ237+BA237)*(1-$BC237)),0)</f>
        <v>0</v>
      </c>
      <c r="FH237" s="1170" t="e">
        <f aca="false">IF(EZ237="No",IF((OR(MONTH(C237)=5,MONTH(C237)=6,MONTH(C237)=7,MONTH(C237)=8,MONTH(C237)=9)),Summary!$O$15*12*(AX237+AY237+AZ237+BA237)*(1-$BC237),Summary!$O$15*13*(AX237+AY237+AZ237+BA237)*(1-$BC237)+IF(Summary!$O$16="Yes",(CALC!FA237+Summary!$O$15)*6*(AX237+AY237+AZ237+BA237)*(1-$BC237),0)),0)</f>
        <v>#VALUE!</v>
      </c>
      <c r="FI237" s="1126" t="n">
        <f aca="false">IF(MONTH(C237)=5,FI236*(IF(Summary!$E$70="no",(1+(Summary!$E$71*0.8)),1+HLOOKUP(YEAR(C237)-1,CCFMODEL!$I$127:$AF$128,2)*0.8)),+FI236)</f>
        <v>41.7467669592219</v>
      </c>
      <c r="FJ237" s="1127" t="n">
        <f aca="false">IF(MONTH(C237)=5,FJ236*(IF(Summary!$E$70="no",(1+(Summary!$E$71*0.8)),1+HLOOKUP(YEAR(CALC!C237)-1,CCFMODEL!$I$127:$AF$128,2)*0.8)),FJ236)</f>
        <v>36.4873317517609</v>
      </c>
      <c r="FK237" s="1128" t="e">
        <f aca="false">SUM(FB237:FG237)*FI237+FH237*FJ237</f>
        <v>#VALUE!</v>
      </c>
      <c r="FL237" s="1126" t="n">
        <f aca="false">IF(MONTH(C237)=5,FL236*(IF(Summary!$E$70="no",(1+(Summary!$E$71*0.8)),1+HLOOKUP(YEAR(CALC!C237)-1,CCFMODEL!$I$127:$AF$128,2)*0.8)),+FL236)</f>
        <v>87.798131186455</v>
      </c>
      <c r="FM237" s="1127" t="n">
        <f aca="false">IF(MONTH(C237)=5,FM236*(IF(Summary!$E$70="no",(1+(Summary!$E$71*0.8)),1+HLOOKUP(YEAR(CALC!C237)-1,CCFMODEL!$I$127:$AF$128,2)*0.8)),+FM236)</f>
        <v>41.9032977689678</v>
      </c>
      <c r="FN237" s="1128" t="e">
        <f aca="false">IF((OR(MONTH(C237)=5,MONTH(C237)=6,MONTH(C237)=7,MONTH(C237)=8,MONTH(C237)=9)),SUM(FB237:FG237)/(1-BC237)*FL237,SUM(FB237:FG237)/(1-BC237)*FM237)</f>
        <v>#VALUE!</v>
      </c>
      <c r="FO237" s="1129" t="e">
        <f aca="false">FK237+FN237</f>
        <v>#VALUE!</v>
      </c>
      <c r="FP237" s="1169" t="e">
        <f aca="false">FB237</f>
        <v>#VALUE!</v>
      </c>
      <c r="FQ237" s="1129" t="n">
        <f aca="false">FC237</f>
        <v>0</v>
      </c>
      <c r="FR237" s="1129" t="e">
        <f aca="false">FD237</f>
        <v>#VALUE!</v>
      </c>
      <c r="FS237" s="1129" t="n">
        <f aca="false">FE237</f>
        <v>0</v>
      </c>
      <c r="FT237" s="1129" t="e">
        <f aca="false">FF237</f>
        <v>#VALUE!</v>
      </c>
      <c r="FU237" s="1129" t="n">
        <f aca="false">FG237</f>
        <v>0</v>
      </c>
      <c r="FV237" s="1170" t="e">
        <f aca="false">FH237</f>
        <v>#VALUE!</v>
      </c>
      <c r="FW237" s="1115" t="n">
        <f aca="false">IF(ER237&gt;0,MIN(FB237-FP237,BL237),0)</f>
        <v>0</v>
      </c>
      <c r="FX237" s="1115" t="n">
        <f aca="false">IF(ES237&gt;0,MIN(FD237-FR237,BM237),0)</f>
        <v>0</v>
      </c>
      <c r="FY237" s="1115" t="n">
        <f aca="false">IF(ET237&gt;0,MIN(FF237-FT237,BN237),0)</f>
        <v>0</v>
      </c>
      <c r="FZ237" s="1143" t="n">
        <f aca="false">IF(EU237&gt;0,MIN(FH237-FV237,BO237),0)</f>
        <v>0</v>
      </c>
      <c r="GA237" s="1132" t="e">
        <f aca="false">(SUM(FP237:FV237)+SUM(GU237:HB237)/(1-Summary!$O$25))*CY237/1000</f>
        <v>#VALUE!</v>
      </c>
      <c r="GB237" s="1133" t="n">
        <f aca="false">IF($C237&lt;Summary!$M$81,+Summary!$O$81,VLOOKUP(C237,GasTable,19))</f>
        <v>3.49569851394026</v>
      </c>
      <c r="GC237" s="1134" t="n">
        <f aca="false">IF(H237&lt;=Summary!$N$84,MIN(GA237,Summary!$O$75*(H237-G237+1)),0)</f>
        <v>0</v>
      </c>
      <c r="GD237" s="1135" t="n">
        <f aca="false">IF(C237&lt;Summary!$N$84,IF(Summary!$O$75*(H237-G237+1)*0.8&gt;GC237,1,0),0)</f>
        <v>0</v>
      </c>
      <c r="GE237" s="1136" t="n">
        <v>0</v>
      </c>
      <c r="GF237" s="1134" t="e">
        <f aca="false">ABS(MIN(0,GC237-$GA237))</f>
        <v>#VALUE!</v>
      </c>
      <c r="GG237" s="1135" t="e">
        <f aca="false">GF237*(IF(Summary!$O$74=1,VLOOKUP($C237,GasTable,16)+Summary!$O$92+Summary!$O$93,VLOOKUP($C237,GasTable,19)+Summary!$O$92+Summary!$O$93))</f>
        <v>#VALUE!</v>
      </c>
      <c r="GH237" s="1137" t="n">
        <v>5418.3326966074</v>
      </c>
      <c r="GI237" s="1138" t="n">
        <v>0</v>
      </c>
      <c r="GJ237" s="1139" t="e">
        <f aca="false">+GB237*GC237+GE237+GG237+GH237-GI237</f>
        <v>#VALUE!</v>
      </c>
      <c r="GK237" s="1115" t="e">
        <f aca="false">SUM(FP237:FV237,GU237:GX237,GY237:HB237)</f>
        <v>#VALUE!</v>
      </c>
      <c r="GL237" s="1140" t="n">
        <v>0.51743415528</v>
      </c>
      <c r="GM237" s="1141" t="e">
        <f aca="false">IF(GK237&gt;GC237/(CY237/1000),GC237/(CY237/1000),+GK237)*GL237</f>
        <v>#VALUE!</v>
      </c>
      <c r="GN237" s="1115" t="n">
        <f aca="false">IF(SUM(GU237:HB237)=0,0,IF(Summary!$O$16="Yes",SUM(GX237:HB237),IF(Summary!$O$17="Yes",SUM(GY237:HB237),SUM(GU237:HB237))))</f>
        <v>9547.0731</v>
      </c>
      <c r="GO237" s="1142" t="n">
        <v>4.05098296203579</v>
      </c>
      <c r="GP237" s="1143" t="n">
        <f aca="false">GN237*GO237</f>
        <v>38675.0304654102</v>
      </c>
      <c r="GQ237" s="1115"/>
      <c r="GR237" s="1115"/>
      <c r="GS237" s="1115"/>
      <c r="GT237" s="1115"/>
      <c r="GU237" s="1150" t="n">
        <v>3764.079</v>
      </c>
      <c r="GV237" s="1115" t="n">
        <v>684.378</v>
      </c>
      <c r="GW237" s="1115" t="n">
        <v>855.4725</v>
      </c>
      <c r="GX237" s="1115"/>
      <c r="GY237" s="1151" t="n">
        <v>3011.2632</v>
      </c>
      <c r="GZ237" s="1115" t="n">
        <v>547.5024</v>
      </c>
      <c r="HA237" s="1115" t="n">
        <v>684.378</v>
      </c>
      <c r="HB237" s="1141"/>
      <c r="HC237" s="1115" t="n">
        <v>9547.0731</v>
      </c>
      <c r="HD237" s="1115"/>
      <c r="HE237" s="1115" t="n">
        <v>22276.5039</v>
      </c>
      <c r="HF237" s="1115" t="n">
        <v>419488.295588293</v>
      </c>
      <c r="HG237" s="1115"/>
      <c r="HH237" s="1142" t="n">
        <v>44.5187001362385</v>
      </c>
      <c r="HI237" s="1115" t="n">
        <v>991720.997207848</v>
      </c>
      <c r="HJ237" s="1150" t="e">
        <f aca="false">MAX(FB237-FP237-FW237,0)</f>
        <v>#VALUE!</v>
      </c>
      <c r="HK237" s="1115" t="e">
        <f aca="false">MAX(FD237-FR237-FX237,0)</f>
        <v>#VALUE!</v>
      </c>
      <c r="HL237" s="1115" t="e">
        <f aca="false">MAX(FF237-FT237-FY237,0)</f>
        <v>#VALUE!</v>
      </c>
      <c r="HM237" s="1141" t="e">
        <f aca="false">MAX(FH237-FV237-FZ237,0)</f>
        <v>#VALUE!</v>
      </c>
      <c r="HN237" s="1115" t="e">
        <f aca="false">SUM(HJ237:HM237)</f>
        <v>#VALUE!</v>
      </c>
      <c r="HO237" s="1142" t="n">
        <f aca="false">IF(ISERROR(+HP237/HN237),0,+HP237/HN237)</f>
        <v>0</v>
      </c>
      <c r="HP237" s="1143" t="e">
        <f aca="false">(HJ237*CE237+HK237*CF237+HL237*CG237+HM237*CH237)</f>
        <v>#VALUE!</v>
      </c>
      <c r="HQ237" s="1142"/>
      <c r="HR237" s="1150"/>
      <c r="HS237" s="1200"/>
      <c r="HT237" s="1141"/>
      <c r="HU237" s="1150"/>
      <c r="HV237" s="1200"/>
      <c r="HW237" s="1141"/>
      <c r="HX237" s="1200"/>
      <c r="HY237" s="1200"/>
      <c r="HZ237" s="0"/>
      <c r="IA237" s="1142"/>
      <c r="IB237" s="1142"/>
      <c r="IC237" s="1142"/>
      <c r="ID237" s="1142"/>
      <c r="IE237" s="1142"/>
      <c r="IF237" s="1142"/>
      <c r="IG237" s="1142"/>
      <c r="IH237" s="1142"/>
      <c r="II237" s="1142"/>
      <c r="IJ237" s="1142"/>
      <c r="IK237" s="1142"/>
      <c r="IL237" s="1190"/>
      <c r="IM237" s="222"/>
      <c r="IN237" s="222"/>
      <c r="IR237" s="844"/>
    </row>
    <row r="238" customFormat="false" ht="13.5" hidden="false" customHeight="false" outlineLevel="0" collapsed="false">
      <c r="A238" s="0" t="str">
        <f aca="false">+D238&amp;"Q"&amp;ROUNDUP(E238/3,0)</f>
        <v>2018Q2</v>
      </c>
      <c r="B238" s="0" t="n">
        <f aca="false">YEAR(C238)</f>
        <v>2018</v>
      </c>
      <c r="C238" s="1153" t="n">
        <f aca="false">EOMONTH(C237,0)+1</f>
        <v>43252</v>
      </c>
      <c r="D238" s="841" t="n">
        <f aca="false">+YEAR(C238)</f>
        <v>2018</v>
      </c>
      <c r="E238" s="807" t="n">
        <f aca="false">MONTH(C238)</f>
        <v>6</v>
      </c>
      <c r="F238" s="1154" t="e">
        <f aca="false">IF(G238="","",Holiday(D238,E238))</f>
        <v>#VALUE!</v>
      </c>
      <c r="G238" s="1155" t="n">
        <v>43252</v>
      </c>
      <c r="H238" s="1156" t="n">
        <v>43281</v>
      </c>
      <c r="I238" s="1157" t="n">
        <f aca="false">I237</f>
        <v>0.0715</v>
      </c>
      <c r="J238" s="1158" t="n">
        <f aca="false">(1+I238/2)^(-2*(DATE(D239,E239,20)-$H$7)/365.25)</f>
        <v>0.270803320796144</v>
      </c>
      <c r="K238" s="1159"/>
      <c r="L238" s="1158"/>
      <c r="M238" s="1082" t="n">
        <v>0</v>
      </c>
      <c r="N238" s="1110" t="n">
        <f aca="false">M238</f>
        <v>0</v>
      </c>
      <c r="O238" s="1174" t="n">
        <f aca="false">N238</f>
        <v>0</v>
      </c>
      <c r="P238" s="1175" t="n">
        <f aca="false">M238</f>
        <v>0</v>
      </c>
      <c r="Q238" s="1110" t="n">
        <f aca="false">P238</f>
        <v>0</v>
      </c>
      <c r="R238" s="1174" t="n">
        <f aca="false">Q238</f>
        <v>0</v>
      </c>
      <c r="S238" s="1110" t="n">
        <f aca="false">R238</f>
        <v>0</v>
      </c>
      <c r="T238" s="1110" t="n">
        <f aca="false">S238</f>
        <v>0</v>
      </c>
      <c r="U238" s="1110" t="n">
        <f aca="false">T238</f>
        <v>0</v>
      </c>
      <c r="V238" s="1175" t="n">
        <f aca="false">U238</f>
        <v>0</v>
      </c>
      <c r="W238" s="1110" t="n">
        <f aca="false">V238</f>
        <v>0</v>
      </c>
      <c r="X238" s="1176" t="n">
        <f aca="false">W238</f>
        <v>0</v>
      </c>
      <c r="Y238" s="1086" t="n">
        <v>0</v>
      </c>
      <c r="Z238" s="1086" t="n">
        <v>0</v>
      </c>
      <c r="AA238" s="1087" t="n">
        <v>0</v>
      </c>
      <c r="AB238" s="1086" t="n">
        <v>0</v>
      </c>
      <c r="AC238" s="1086" t="n">
        <v>0</v>
      </c>
      <c r="AD238" s="1087" t="n">
        <v>0</v>
      </c>
      <c r="AE238" s="1086" t="n">
        <v>0</v>
      </c>
      <c r="AF238" s="1086" t="n">
        <v>0</v>
      </c>
      <c r="AG238" s="1087" t="n">
        <v>0</v>
      </c>
      <c r="AH238" s="1086" t="n">
        <v>0</v>
      </c>
      <c r="AI238" s="1086" t="n">
        <v>0</v>
      </c>
      <c r="AJ238" s="1087" t="n">
        <v>0</v>
      </c>
      <c r="AK238" s="1086" t="n">
        <v>0</v>
      </c>
      <c r="AL238" s="1086" t="n">
        <v>0</v>
      </c>
      <c r="AM238" s="1087" t="n">
        <v>0</v>
      </c>
      <c r="AN238" s="1086" t="n">
        <v>0</v>
      </c>
      <c r="AO238" s="1086" t="n">
        <v>0</v>
      </c>
      <c r="AP238" s="1087" t="n">
        <v>0</v>
      </c>
      <c r="AQ238" s="1086" t="n">
        <v>0</v>
      </c>
      <c r="AR238" s="1086" t="n">
        <v>0</v>
      </c>
      <c r="AS238" s="1087" t="n">
        <v>0</v>
      </c>
      <c r="AT238" s="1086" t="n">
        <v>0</v>
      </c>
      <c r="AU238" s="1086" t="n">
        <v>0</v>
      </c>
      <c r="AV238" s="1086" t="n">
        <v>0</v>
      </c>
      <c r="AW238" s="1172" t="n">
        <v>0</v>
      </c>
      <c r="AX238" s="807" t="n">
        <f aca="false">BB238-SUM(AY238:BA238)</f>
        <v>21</v>
      </c>
      <c r="AY238" s="807" t="n">
        <f aca="false">IF(AND($E238=MONTH(Summary!$E$24),$D238=YEAR(Summary!$E$24)),Summary!$E$25,1)*IF(G238="",0,INT((H238-MOD(H238,7)-G238)/7)+1-IF(BA238,IF(WEEKDAY(F238)=7,1,0),0))</f>
        <v>5</v>
      </c>
      <c r="AZ238" s="807" t="n">
        <f aca="false">IF(AND($E238=MONTH(Summary!$E$24),$D238=YEAR(Summary!$E$24)),Summary!$E$25,1)*IF(G238="",0,INT((H238-MOD(H238-1,7)-G238)/7)+1-IF(BA238,IF(WEEKDAY(F238)=1,1,0),0))</f>
        <v>4</v>
      </c>
      <c r="BA238" s="807" t="n">
        <v>0</v>
      </c>
      <c r="BB238" s="807" t="n">
        <f aca="false">IF(AND($E238=MONTH(Summary!$E$24),$D238=YEAR(Summary!$E$24)),Summary!$E$25,1)*IF(G238="",0,H238-G238+1)</f>
        <v>30</v>
      </c>
      <c r="BC238" s="1089" t="n">
        <f aca="false">Summary!$E$19</f>
        <v>0.015</v>
      </c>
      <c r="BD238" s="1090" t="n">
        <v>14893.2</v>
      </c>
      <c r="BE238" s="1091" t="n">
        <v>3546</v>
      </c>
      <c r="BF238" s="1091" t="n">
        <v>2836.8</v>
      </c>
      <c r="BG238" s="842"/>
      <c r="BH238" s="1092" t="n">
        <v>1</v>
      </c>
      <c r="BI238" s="1092" t="n">
        <v>1</v>
      </c>
      <c r="BJ238" s="1092" t="n">
        <v>1</v>
      </c>
      <c r="BK238" s="1092" t="n">
        <v>1</v>
      </c>
      <c r="BL238" s="1093" t="n">
        <v>2978.64</v>
      </c>
      <c r="BM238" s="1091" t="n">
        <v>709.2</v>
      </c>
      <c r="BN238" s="1091" t="n">
        <v>567.36</v>
      </c>
      <c r="BO238" s="842"/>
      <c r="BP238" s="1092" t="n">
        <v>1</v>
      </c>
      <c r="BQ238" s="1094" t="n">
        <v>1</v>
      </c>
      <c r="BR238" s="1094" t="n">
        <v>1</v>
      </c>
      <c r="BS238" s="1095" t="n">
        <v>1</v>
      </c>
      <c r="BT238" s="1093" t="n">
        <f aca="false">SUM(BD238:BF238)</f>
        <v>21276</v>
      </c>
      <c r="BU238" s="1098" t="n">
        <f aca="false">SUM(BD238:BG238)</f>
        <v>21276</v>
      </c>
      <c r="BV238" s="1090" t="n">
        <f aca="false">SUM(BL238:BN238)</f>
        <v>4255.2</v>
      </c>
      <c r="BW238" s="1098" t="n">
        <f aca="false">SUM(BL238:BO238)</f>
        <v>4255.2</v>
      </c>
      <c r="BX238" s="852" t="n">
        <v>18.4613278576318</v>
      </c>
      <c r="BY238" s="1099" t="n">
        <v>0</v>
      </c>
      <c r="BZ238" s="852" t="n">
        <v>0</v>
      </c>
      <c r="CA238" s="852" t="n">
        <v>0</v>
      </c>
      <c r="CB238" s="852" t="n">
        <v>0</v>
      </c>
      <c r="CC238" s="852" t="n">
        <v>0</v>
      </c>
      <c r="CD238" s="852" t="n">
        <v>0</v>
      </c>
      <c r="CE238" s="1100" t="n">
        <v>0</v>
      </c>
      <c r="CF238" s="852" t="n">
        <v>0</v>
      </c>
      <c r="CG238" s="852" t="n">
        <v>0</v>
      </c>
      <c r="CH238" s="852" t="n">
        <v>0</v>
      </c>
      <c r="CI238" s="852" t="n">
        <v>0</v>
      </c>
      <c r="CJ238" s="1101" t="n">
        <v>0</v>
      </c>
      <c r="CK238" s="852" t="n">
        <v>0</v>
      </c>
      <c r="CL238" s="852" t="n">
        <v>0</v>
      </c>
      <c r="CM238" s="852" t="n">
        <v>0</v>
      </c>
      <c r="CN238" s="852" t="n">
        <v>0</v>
      </c>
      <c r="CO238" s="852" t="n">
        <v>0</v>
      </c>
      <c r="CP238" s="852" t="n">
        <v>0</v>
      </c>
      <c r="CQ238" s="1102" t="n">
        <v>0</v>
      </c>
      <c r="CR238" s="1103" t="n">
        <v>0</v>
      </c>
      <c r="CS238" s="1103" t="n">
        <v>0</v>
      </c>
      <c r="CT238" s="1103" t="n">
        <v>0</v>
      </c>
      <c r="CU238" s="1103" t="n">
        <v>0</v>
      </c>
      <c r="CV238" s="1103" t="n">
        <v>0</v>
      </c>
      <c r="CW238" s="1103" t="n">
        <v>0</v>
      </c>
      <c r="CX238" s="1104" t="n">
        <v>0</v>
      </c>
      <c r="CY238" s="1105" t="n">
        <v>7724.9288</v>
      </c>
      <c r="CZ238" s="1099" t="n">
        <v>0</v>
      </c>
      <c r="DA238" s="852" t="n">
        <v>0</v>
      </c>
      <c r="DB238" s="852" t="n">
        <v>0</v>
      </c>
      <c r="DC238" s="852" t="n">
        <v>0</v>
      </c>
      <c r="DD238" s="852" t="n">
        <v>0</v>
      </c>
      <c r="DE238" s="1113" t="n">
        <v>0</v>
      </c>
      <c r="DF238" s="1109" t="n">
        <v>0</v>
      </c>
      <c r="DG238" s="1110" t="n">
        <v>0</v>
      </c>
      <c r="DH238" s="1111" t="n">
        <v>0</v>
      </c>
      <c r="DI238" s="1112" t="n">
        <v>0</v>
      </c>
      <c r="DJ238" s="1112" t="n">
        <v>0</v>
      </c>
      <c r="DK238" s="1112" t="n">
        <v>0</v>
      </c>
      <c r="DL238" s="1113" t="n">
        <v>0</v>
      </c>
      <c r="DM238" s="1114" t="n">
        <v>0</v>
      </c>
      <c r="DN238" s="1114" t="n">
        <v>0</v>
      </c>
      <c r="DO238" s="1114" t="n">
        <v>0</v>
      </c>
      <c r="DP238" s="1114" t="n">
        <v>0</v>
      </c>
      <c r="DQ238" s="1114" t="n">
        <v>0</v>
      </c>
      <c r="DR238" s="1109" t="n">
        <v>0</v>
      </c>
      <c r="DS238" s="852" t="n">
        <v>0</v>
      </c>
      <c r="DT238" s="852" t="n">
        <v>0</v>
      </c>
      <c r="DU238" s="852" t="n">
        <v>0</v>
      </c>
      <c r="DV238" s="852" t="n">
        <v>0</v>
      </c>
      <c r="DW238" s="852" t="n">
        <v>0</v>
      </c>
      <c r="DX238" s="852" t="n">
        <v>0</v>
      </c>
      <c r="DY238" s="852" t="n">
        <v>0</v>
      </c>
      <c r="DZ238" s="852" t="n">
        <v>0</v>
      </c>
      <c r="EA238" s="852" t="n">
        <v>0</v>
      </c>
      <c r="EB238" s="1113" t="n">
        <v>0</v>
      </c>
      <c r="EC238" s="1115" t="n">
        <f aca="false">DS238*BD238</f>
        <v>0</v>
      </c>
      <c r="ED238" s="1115" t="n">
        <f aca="false">DT238*BE238</f>
        <v>0</v>
      </c>
      <c r="EE238" s="1115" t="n">
        <f aca="false">DU238*BF238</f>
        <v>0</v>
      </c>
      <c r="EF238" s="1115" t="n">
        <f aca="false">DV238*BG238</f>
        <v>0</v>
      </c>
      <c r="EG238" s="1115" t="n">
        <f aca="false">DS238*BD238+DT238*BE238+DU238*BF238+DV238*BG238</f>
        <v>0</v>
      </c>
      <c r="EH238" s="1116" t="n">
        <v>0</v>
      </c>
      <c r="EI238" s="1117" t="n">
        <v>0</v>
      </c>
      <c r="EJ238" s="1117" t="n">
        <v>0</v>
      </c>
      <c r="EK238" s="1117" t="n">
        <v>0</v>
      </c>
      <c r="EL238" s="1118" t="n">
        <f aca="false">IF(C238&gt;=Summary!$E$26,MAX(0,SUM(EH238:EK238)),0)</f>
        <v>0</v>
      </c>
      <c r="EM238" s="1115" t="n">
        <f aca="false">IF(C238&gt;=Summary!$E$26,DX238*BL238,0)</f>
        <v>0</v>
      </c>
      <c r="EN238" s="1115" t="n">
        <f aca="false">IF(C238&gt;=Summary!$E$26,DY238*BM238,0)</f>
        <v>0</v>
      </c>
      <c r="EO238" s="1115" t="n">
        <f aca="false">IF(C238&gt;=Summary!$E$26,DZ238*BN238,0)</f>
        <v>0</v>
      </c>
      <c r="EP238" s="1115" t="n">
        <f aca="false">IF(C238&gt;=Summary!$E$26,EA238*BO238,0)</f>
        <v>0</v>
      </c>
      <c r="EQ238" s="1115" t="n">
        <f aca="false">IF(C238&gt;=Summary!$E$26,DX238*BL238+DY238*BM238+DZ238*BN238+EA238*BO238,0)</f>
        <v>0</v>
      </c>
      <c r="ER238" s="1119" t="n">
        <v>0</v>
      </c>
      <c r="ES238" s="1120" t="n">
        <v>0</v>
      </c>
      <c r="ET238" s="1120" t="n">
        <v>0</v>
      </c>
      <c r="EU238" s="1120" t="n">
        <v>0</v>
      </c>
      <c r="EV238" s="1143" t="n">
        <f aca="false">IF(C238&gt;=Summary!$E$26,MAX(0,SUM(ER238:EU238)),0)</f>
        <v>0</v>
      </c>
      <c r="EW238" s="1115"/>
      <c r="EX238" s="1165" t="n">
        <f aca="false">(EQ238-EV238)+IF(EZ238="Yes",(EG238-EL238),0)</f>
        <v>0</v>
      </c>
      <c r="EY238" s="1166" t="str">
        <f aca="false">IF(EX238,EX238/EQ238,"")</f>
        <v/>
      </c>
      <c r="EZ238" s="1122" t="s">
        <v>37</v>
      </c>
      <c r="FA238" s="1096" t="n">
        <f aca="false">FA237</f>
        <v>45</v>
      </c>
      <c r="FB238" s="1167" t="n">
        <f aca="false">IF(EZ238="No",IF((OR(MONTH(C238)=5,MONTH(C238)=6,MONTH(C238)=7,MONTH(C238)=8,MONTH(C238)=9)),$FA238*12*AX238*(1-$BC238),$FA238*10*AX238*(1-$BC238)),0)</f>
        <v>11169.9</v>
      </c>
      <c r="FC238" s="1129" t="n">
        <f aca="false">IF(EZ238="No",IF((OR(MONTH(C238)=5,MONTH(C238)=6,MONTH(C238)=7,MONTH(C238)=8,MONTH(C238)=9)),0,$FA238*3*AX238*(1-$BC238)),0)</f>
        <v>0</v>
      </c>
      <c r="FD238" s="1129" t="n">
        <f aca="false">IF(EZ238="No",IF((OR(MONTH(C238)=5,MONTH(C238)=6,MONTH(C238)=7,MONTH(C238)=8,MONTH(C238)=9)),$FA238*12*AY238*(1-$BC238),$FA238*10*AY238*(1-$BC238)),0)</f>
        <v>2659.5</v>
      </c>
      <c r="FE238" s="1129" t="n">
        <f aca="false">IF(EZ238="No",IF((OR(MONTH(C238)=5,MONTH(C238)=6,MONTH(C238)=7,MONTH(C238)=8,MONTH(C238)=9)),0,$FA238*3*AY238*(1-$BC238)),0)</f>
        <v>0</v>
      </c>
      <c r="FF238" s="1129" t="n">
        <f aca="false">IF(EZ238="No",IF((OR(MONTH(C238)=5,MONTH(C238)=6,MONTH(C238)=7,MONTH(C238)=8,MONTH(C238)=9)),$FA238*12*(AZ238+BA238)*(1-$BC238),$FA238*10*(AZ238+BA238)*(1-$BC238)),0)</f>
        <v>2127.6</v>
      </c>
      <c r="FG238" s="1129" t="n">
        <f aca="false">IF(EZ238="No",IF((OR(MONTH(C238)=5,MONTH(C238)=6,MONTH(C238)=7,MONTH(C238)=8,MONTH(C238)=9)),0,$FA238*3*(AZ238+BA238)*(1-$BC238)),0)</f>
        <v>0</v>
      </c>
      <c r="FH238" s="1170" t="n">
        <f aca="false">IF(EZ238="No",IF((OR(MONTH(C238)=5,MONTH(C238)=6,MONTH(C238)=7,MONTH(C238)=8,MONTH(C238)=9)),Summary!$O$15*12*(AX238+AY238+AZ238+BA238)*(1-$BC238),Summary!$O$15*13*(AX238+AY238+AZ238+BA238)*(1-$BC238)+IF(Summary!$O$16="Yes",(CALC!FA238+Summary!$O$15)*6*(AX238+AY238+AZ238+BA238)*(1-$BC238),0)),0)</f>
        <v>0</v>
      </c>
      <c r="FI238" s="1126" t="n">
        <f aca="false">IF(MONTH(C238)=5,FI237*(IF(Summary!$E$70="no",(1+(Summary!$E$71*0.8)),1+HLOOKUP(YEAR(C238)-1,CCFMODEL!$I$127:$AF$128,2)*0.8)),+FI237)</f>
        <v>41.7467669592219</v>
      </c>
      <c r="FJ238" s="1127" t="n">
        <f aca="false">IF(MONTH(C238)=5,FJ237*(IF(Summary!$E$70="no",(1+(Summary!$E$71*0.8)),1+HLOOKUP(YEAR(CALC!C238)-1,CCFMODEL!$I$127:$AF$128,2)*0.8)),FJ237)</f>
        <v>36.4873317517609</v>
      </c>
      <c r="FK238" s="1128" t="n">
        <f aca="false">SUM(FB238:FG238)*FI238+FH238*FJ238</f>
        <v>666153.160368304</v>
      </c>
      <c r="FL238" s="1126" t="n">
        <f aca="false">IF(MONTH(C238)=5,FL237*(IF(Summary!$E$70="no",(1+(Summary!$E$71*0.8)),1+HLOOKUP(YEAR(CALC!C238)-1,CCFMODEL!$I$127:$AF$128,2)*0.8)),+FL237)</f>
        <v>87.798131186455</v>
      </c>
      <c r="FM238" s="1127" t="n">
        <f aca="false">IF(MONTH(C238)=5,FM237*(IF(Summary!$E$70="no",(1+(Summary!$E$71*0.8)),1+HLOOKUP(YEAR(CALC!C238)-1,CCFMODEL!$I$127:$AF$128,2)*0.8)),+FM237)</f>
        <v>41.9032977689678</v>
      </c>
      <c r="FN238" s="1128" t="n">
        <f aca="false">IF((OR(MONTH(C238)=5,MONTH(C238)=6,MONTH(C238)=7,MONTH(C238)=8,MONTH(C238)=9)),SUM(FB238:FG238)/(1-BC238)*FL238,SUM(FB238:FG238)/(1-BC238)*FM238)</f>
        <v>1422329.72522057</v>
      </c>
      <c r="FO238" s="1129" t="n">
        <f aca="false">FK238+FN238</f>
        <v>2088482.88558887</v>
      </c>
      <c r="FP238" s="1169" t="n">
        <f aca="false">FB238</f>
        <v>11169.9</v>
      </c>
      <c r="FQ238" s="1129" t="n">
        <f aca="false">FC238</f>
        <v>0</v>
      </c>
      <c r="FR238" s="1129" t="n">
        <f aca="false">FD238</f>
        <v>2659.5</v>
      </c>
      <c r="FS238" s="1129" t="n">
        <f aca="false">FE238</f>
        <v>0</v>
      </c>
      <c r="FT238" s="1129" t="n">
        <f aca="false">FF238</f>
        <v>2127.6</v>
      </c>
      <c r="FU238" s="1129" t="n">
        <f aca="false">FG238</f>
        <v>0</v>
      </c>
      <c r="FV238" s="1170" t="n">
        <f aca="false">FH238</f>
        <v>0</v>
      </c>
      <c r="FW238" s="1115" t="n">
        <f aca="false">IF(ER238&gt;0,MIN(FB238-FP238,BL238),0)</f>
        <v>0</v>
      </c>
      <c r="FX238" s="1115" t="n">
        <f aca="false">IF(ES238&gt;0,MIN(FD238-FR238,BM238),0)</f>
        <v>0</v>
      </c>
      <c r="FY238" s="1115" t="n">
        <f aca="false">IF(ET238&gt;0,MIN(FF238-FT238,BN238),0)</f>
        <v>0</v>
      </c>
      <c r="FZ238" s="1143" t="n">
        <f aca="false">IF(EU238&gt;0,MIN(FH238-FV238,BO238),0)</f>
        <v>0</v>
      </c>
      <c r="GA238" s="1132" t="n">
        <f aca="false">(SUM(FP238:FV238)+SUM(GU238:HB238)/(1-Summary!$O$25))*CY238/1000</f>
        <v>197226.70217856</v>
      </c>
      <c r="GB238" s="1133" t="n">
        <f aca="false">IF($C238&lt;Summary!$M$81,+Summary!$O$81,VLOOKUP(C238,GasTable,19))</f>
        <v>3.53792453385302</v>
      </c>
      <c r="GC238" s="1134" t="n">
        <f aca="false">IF(H238&lt;=Summary!$N$84,MIN(GA238,Summary!$O$75*(H238-G238+1)),0)</f>
        <v>0</v>
      </c>
      <c r="GD238" s="1135" t="n">
        <f aca="false">IF(C238&lt;Summary!$N$84,IF(Summary!$O$75*(H238-G238+1)*0.8&gt;GC238,1,0),0)</f>
        <v>0</v>
      </c>
      <c r="GE238" s="1136" t="n">
        <v>0</v>
      </c>
      <c r="GF238" s="1134" t="n">
        <f aca="false">ABS(MIN(0,GC238-$GA238))</f>
        <v>197226.70217856</v>
      </c>
      <c r="GG238" s="1135" t="n">
        <f aca="false">GF238*(IF(Summary!$O$74=1,VLOOKUP($C238,GasTable,16)+Summary!$O$92+Summary!$O$93,VLOOKUP($C238,GasTable,19)+Summary!$O$92+Summary!$O$93))</f>
        <v>708048.699551954</v>
      </c>
      <c r="GH238" s="1137" t="n">
        <v>5306.88680077954</v>
      </c>
      <c r="GI238" s="1138" t="n">
        <v>0</v>
      </c>
      <c r="GJ238" s="1139" t="n">
        <f aca="false">+GB238*GC238+GE238+GG238+GH238-GI238</f>
        <v>713355.586352733</v>
      </c>
      <c r="GK238" s="1115" t="n">
        <f aca="false">SUM(FP238:FV238,GU238:GX238,GY238:HB238)</f>
        <v>25196.103</v>
      </c>
      <c r="GL238" s="1140" t="n">
        <v>0.5175702296</v>
      </c>
      <c r="GM238" s="1141" t="n">
        <f aca="false">IF(GK238&gt;GC238/(CY238/1000),GC238/(CY238/1000),+GK238)*GL238</f>
        <v>0</v>
      </c>
      <c r="GN238" s="1115" t="n">
        <f aca="false">IF(SUM(GU238:HB238)=0,0,IF(Summary!$O$16="Yes",SUM(GX238:HB238),IF(Summary!$O$17="Yes",SUM(GY238:HB238),SUM(GU238:HB238))))</f>
        <v>9239.103</v>
      </c>
      <c r="GO238" s="1142" t="n">
        <v>4.05098296203579</v>
      </c>
      <c r="GP238" s="1143" t="n">
        <f aca="false">GN238*GO238</f>
        <v>37427.4488374937</v>
      </c>
      <c r="GQ238" s="1115"/>
      <c r="GR238" s="1115"/>
      <c r="GS238" s="1115"/>
      <c r="GT238" s="1115"/>
      <c r="GU238" s="1150" t="n">
        <v>3592.9845</v>
      </c>
      <c r="GV238" s="1115" t="n">
        <v>855.4725</v>
      </c>
      <c r="GW238" s="1115" t="n">
        <v>684.378</v>
      </c>
      <c r="GX238" s="1115"/>
      <c r="GY238" s="1151" t="n">
        <v>2874.3876</v>
      </c>
      <c r="GZ238" s="1115" t="n">
        <v>684.378</v>
      </c>
      <c r="HA238" s="1115" t="n">
        <v>547.5024</v>
      </c>
      <c r="HB238" s="1141"/>
      <c r="HC238" s="1115" t="n">
        <v>9239.103</v>
      </c>
      <c r="HD238" s="1115"/>
      <c r="HE238" s="1115" t="n">
        <v>21557.907</v>
      </c>
      <c r="HF238" s="1115" t="n">
        <v>413454.081228773</v>
      </c>
      <c r="HG238" s="1115"/>
      <c r="HH238" s="1142" t="n">
        <v>46.294949515407</v>
      </c>
      <c r="HI238" s="1115" t="n">
        <v>998022.21622284</v>
      </c>
      <c r="HJ238" s="1150" t="n">
        <f aca="false">MAX(FB238-FP238-FW238,0)</f>
        <v>0</v>
      </c>
      <c r="HK238" s="1115" t="n">
        <f aca="false">MAX(FD238-FR238-FX238,0)</f>
        <v>0</v>
      </c>
      <c r="HL238" s="1115" t="n">
        <f aca="false">MAX(FF238-FT238-FY238,0)</f>
        <v>0</v>
      </c>
      <c r="HM238" s="1141" t="n">
        <f aca="false">MAX(FH238-FV238-FZ238,0)</f>
        <v>0</v>
      </c>
      <c r="HN238" s="1115" t="n">
        <f aca="false">SUM(HJ238:HM238)</f>
        <v>0</v>
      </c>
      <c r="HO238" s="1142" t="n">
        <f aca="false">IF(ISERROR(+HP238/HN238),0,+HP238/HN238)</f>
        <v>0</v>
      </c>
      <c r="HP238" s="1143" t="n">
        <f aca="false">(HJ238*CE238+HK238*CF238+HL238*CG238+HM238*CH238)</f>
        <v>0</v>
      </c>
      <c r="HQ238" s="1142"/>
      <c r="HR238" s="1150"/>
      <c r="HS238" s="1200"/>
      <c r="HT238" s="1141"/>
      <c r="HU238" s="1150"/>
      <c r="HV238" s="1200"/>
      <c r="HW238" s="1141"/>
      <c r="HX238" s="1200"/>
      <c r="HY238" s="1200"/>
      <c r="HZ238" s="0"/>
      <c r="IA238" s="1142"/>
      <c r="IB238" s="1142"/>
      <c r="IC238" s="1142"/>
      <c r="ID238" s="1142"/>
      <c r="IE238" s="1142"/>
      <c r="IF238" s="1142"/>
      <c r="IG238" s="1142"/>
      <c r="IH238" s="1142"/>
      <c r="II238" s="1142"/>
      <c r="IJ238" s="1142"/>
      <c r="IK238" s="1142"/>
      <c r="IL238" s="1190"/>
      <c r="IM238" s="222"/>
      <c r="IN238" s="222"/>
      <c r="IR238" s="844"/>
    </row>
    <row r="239" customFormat="false" ht="13.5" hidden="false" customHeight="false" outlineLevel="0" collapsed="false">
      <c r="A239" s="0" t="str">
        <f aca="false">+D239&amp;"Q"&amp;ROUNDUP(E239/3,0)</f>
        <v>2018Q3</v>
      </c>
      <c r="B239" s="0" t="n">
        <f aca="false">YEAR(C239)</f>
        <v>2018</v>
      </c>
      <c r="C239" s="1153" t="n">
        <f aca="false">EOMONTH(C238,0)+1</f>
        <v>43282</v>
      </c>
      <c r="D239" s="841" t="n">
        <f aca="false">+YEAR(C239)</f>
        <v>2018</v>
      </c>
      <c r="E239" s="807" t="n">
        <f aca="false">MONTH(C239)</f>
        <v>7</v>
      </c>
      <c r="F239" s="1154" t="e">
        <f aca="false">IF(G239="","",Holiday(D239,E239))</f>
        <v>#VALUE!</v>
      </c>
      <c r="G239" s="1155" t="n">
        <v>43282</v>
      </c>
      <c r="H239" s="1156" t="n">
        <v>43312</v>
      </c>
      <c r="I239" s="1157" t="n">
        <f aca="false">I238</f>
        <v>0.0715</v>
      </c>
      <c r="J239" s="1158" t="n">
        <f aca="false">(1+I239/2)^(-2*(DATE(D240,E240,20)-$H$7)/365.25)</f>
        <v>0.269193462670011</v>
      </c>
      <c r="K239" s="1159"/>
      <c r="L239" s="1158"/>
      <c r="M239" s="1082" t="n">
        <v>0</v>
      </c>
      <c r="N239" s="1110" t="n">
        <f aca="false">M239</f>
        <v>0</v>
      </c>
      <c r="O239" s="1174" t="n">
        <f aca="false">N239</f>
        <v>0</v>
      </c>
      <c r="P239" s="1175" t="n">
        <f aca="false">M239</f>
        <v>0</v>
      </c>
      <c r="Q239" s="1110" t="n">
        <f aca="false">P239</f>
        <v>0</v>
      </c>
      <c r="R239" s="1174" t="n">
        <f aca="false">Q239</f>
        <v>0</v>
      </c>
      <c r="S239" s="1110" t="n">
        <f aca="false">R239</f>
        <v>0</v>
      </c>
      <c r="T239" s="1110" t="n">
        <f aca="false">S239</f>
        <v>0</v>
      </c>
      <c r="U239" s="1110" t="n">
        <f aca="false">T239</f>
        <v>0</v>
      </c>
      <c r="V239" s="1175" t="n">
        <f aca="false">U239</f>
        <v>0</v>
      </c>
      <c r="W239" s="1110" t="n">
        <f aca="false">V239</f>
        <v>0</v>
      </c>
      <c r="X239" s="1176" t="n">
        <f aca="false">W239</f>
        <v>0</v>
      </c>
      <c r="Y239" s="1086" t="n">
        <v>0</v>
      </c>
      <c r="Z239" s="1086" t="n">
        <v>0</v>
      </c>
      <c r="AA239" s="1087" t="n">
        <v>0</v>
      </c>
      <c r="AB239" s="1086" t="n">
        <v>0</v>
      </c>
      <c r="AC239" s="1086" t="n">
        <v>0</v>
      </c>
      <c r="AD239" s="1087" t="n">
        <v>0</v>
      </c>
      <c r="AE239" s="1086" t="n">
        <v>0</v>
      </c>
      <c r="AF239" s="1086" t="n">
        <v>0</v>
      </c>
      <c r="AG239" s="1087" t="n">
        <v>0</v>
      </c>
      <c r="AH239" s="1086" t="n">
        <v>0</v>
      </c>
      <c r="AI239" s="1086" t="n">
        <v>0</v>
      </c>
      <c r="AJ239" s="1087" t="n">
        <v>0</v>
      </c>
      <c r="AK239" s="1086" t="n">
        <v>0</v>
      </c>
      <c r="AL239" s="1086" t="n">
        <v>0</v>
      </c>
      <c r="AM239" s="1087" t="n">
        <v>0</v>
      </c>
      <c r="AN239" s="1086" t="n">
        <v>0</v>
      </c>
      <c r="AO239" s="1086" t="n">
        <v>0</v>
      </c>
      <c r="AP239" s="1087" t="n">
        <v>0</v>
      </c>
      <c r="AQ239" s="1086" t="n">
        <v>0</v>
      </c>
      <c r="AR239" s="1086" t="n">
        <v>0</v>
      </c>
      <c r="AS239" s="1087" t="n">
        <v>0</v>
      </c>
      <c r="AT239" s="1086" t="n">
        <v>0</v>
      </c>
      <c r="AU239" s="1086" t="n">
        <v>0</v>
      </c>
      <c r="AV239" s="1086" t="n">
        <v>0</v>
      </c>
      <c r="AW239" s="1172" t="n">
        <v>0</v>
      </c>
      <c r="AX239" s="807" t="e">
        <f aca="false">BB239-SUM(AY239:BA239)</f>
        <v>#VALUE!</v>
      </c>
      <c r="AY239" s="807" t="e">
        <f aca="false">IF(AND($E239=MONTH(Summary!$E$24),$D239=YEAR(Summary!$E$24)),Summary!$E$25,1)*IF(G239="",0,INT((H239-MOD(H239,7)-G239)/7)+1-IF(BA239,IF(WEEKDAY(F239)=7,1,0),0))</f>
        <v>#VALUE!</v>
      </c>
      <c r="AZ239" s="807" t="e">
        <f aca="false">IF(AND($E239=MONTH(Summary!$E$24),$D239=YEAR(Summary!$E$24)),Summary!$E$25,1)*IF(G239="",0,INT((H239-MOD(H239-1,7)-G239)/7)+1-IF(BA239,IF(WEEKDAY(F239)=1,1,0),0))</f>
        <v>#VALUE!</v>
      </c>
      <c r="BA239" s="807" t="n">
        <v>1</v>
      </c>
      <c r="BB239" s="807" t="n">
        <f aca="false">IF(AND($E239=MONTH(Summary!$E$24),$D239=YEAR(Summary!$E$24)),Summary!$E$25,1)*IF(G239="",0,H239-G239+1)</f>
        <v>31</v>
      </c>
      <c r="BC239" s="1089" t="n">
        <f aca="false">Summary!$E$19</f>
        <v>0.015</v>
      </c>
      <c r="BD239" s="1090" t="n">
        <v>14893.2</v>
      </c>
      <c r="BE239" s="1091" t="n">
        <v>2836.8</v>
      </c>
      <c r="BF239" s="1091" t="n">
        <v>4255.2</v>
      </c>
      <c r="BG239" s="842"/>
      <c r="BH239" s="1092" t="n">
        <v>1</v>
      </c>
      <c r="BI239" s="1092" t="n">
        <v>1</v>
      </c>
      <c r="BJ239" s="1092" t="n">
        <v>1</v>
      </c>
      <c r="BK239" s="1092" t="n">
        <v>1</v>
      </c>
      <c r="BL239" s="1093" t="n">
        <v>2978.64</v>
      </c>
      <c r="BM239" s="1091" t="n">
        <v>567.36</v>
      </c>
      <c r="BN239" s="1091" t="n">
        <v>851.04</v>
      </c>
      <c r="BO239" s="842"/>
      <c r="BP239" s="1092" t="n">
        <v>1</v>
      </c>
      <c r="BQ239" s="1094" t="n">
        <v>1</v>
      </c>
      <c r="BR239" s="1094" t="n">
        <v>1</v>
      </c>
      <c r="BS239" s="1095" t="n">
        <v>1</v>
      </c>
      <c r="BT239" s="1093" t="n">
        <f aca="false">SUM(BD239:BF239)</f>
        <v>21985.2</v>
      </c>
      <c r="BU239" s="1098" t="n">
        <f aca="false">SUM(BD239:BG239)</f>
        <v>21985.2</v>
      </c>
      <c r="BV239" s="1090" t="n">
        <f aca="false">SUM(BL239:BN239)</f>
        <v>4397.04</v>
      </c>
      <c r="BW239" s="1098" t="n">
        <f aca="false">SUM(BL239:BO239)</f>
        <v>4397.04</v>
      </c>
      <c r="BX239" s="852" t="n">
        <v>18.5434633812457</v>
      </c>
      <c r="BY239" s="1099" t="n">
        <v>0</v>
      </c>
      <c r="BZ239" s="852" t="n">
        <v>0</v>
      </c>
      <c r="CA239" s="852" t="n">
        <v>0</v>
      </c>
      <c r="CB239" s="852" t="n">
        <v>0</v>
      </c>
      <c r="CC239" s="852" t="n">
        <v>0</v>
      </c>
      <c r="CD239" s="852" t="n">
        <v>0</v>
      </c>
      <c r="CE239" s="1100" t="n">
        <v>0</v>
      </c>
      <c r="CF239" s="852" t="n">
        <v>0</v>
      </c>
      <c r="CG239" s="852" t="n">
        <v>0</v>
      </c>
      <c r="CH239" s="852" t="n">
        <v>0</v>
      </c>
      <c r="CI239" s="852" t="n">
        <v>0</v>
      </c>
      <c r="CJ239" s="1101" t="n">
        <v>0</v>
      </c>
      <c r="CK239" s="852" t="n">
        <v>0</v>
      </c>
      <c r="CL239" s="852" t="n">
        <v>0</v>
      </c>
      <c r="CM239" s="852" t="n">
        <v>0</v>
      </c>
      <c r="CN239" s="852" t="n">
        <v>0</v>
      </c>
      <c r="CO239" s="852" t="n">
        <v>0</v>
      </c>
      <c r="CP239" s="852" t="n">
        <v>0</v>
      </c>
      <c r="CQ239" s="1102" t="n">
        <v>0</v>
      </c>
      <c r="CR239" s="1103" t="n">
        <v>0</v>
      </c>
      <c r="CS239" s="1103" t="n">
        <v>0</v>
      </c>
      <c r="CT239" s="1103" t="n">
        <v>0</v>
      </c>
      <c r="CU239" s="1103" t="n">
        <v>0</v>
      </c>
      <c r="CV239" s="1103" t="n">
        <v>0</v>
      </c>
      <c r="CW239" s="1103" t="n">
        <v>0</v>
      </c>
      <c r="CX239" s="1104" t="n">
        <v>0</v>
      </c>
      <c r="CY239" s="1105" t="n">
        <v>7726.95976</v>
      </c>
      <c r="CZ239" s="1099" t="n">
        <v>0</v>
      </c>
      <c r="DA239" s="852" t="n">
        <v>0</v>
      </c>
      <c r="DB239" s="852" t="n">
        <v>0</v>
      </c>
      <c r="DC239" s="852" t="n">
        <v>0</v>
      </c>
      <c r="DD239" s="852" t="n">
        <v>0</v>
      </c>
      <c r="DE239" s="1113" t="n">
        <v>0</v>
      </c>
      <c r="DF239" s="1109" t="n">
        <v>0</v>
      </c>
      <c r="DG239" s="1110" t="n">
        <v>0</v>
      </c>
      <c r="DH239" s="1111" t="n">
        <v>0</v>
      </c>
      <c r="DI239" s="1112" t="n">
        <v>0</v>
      </c>
      <c r="DJ239" s="1112" t="n">
        <v>0</v>
      </c>
      <c r="DK239" s="1112" t="n">
        <v>0</v>
      </c>
      <c r="DL239" s="1113" t="n">
        <v>0</v>
      </c>
      <c r="DM239" s="1114" t="n">
        <v>0</v>
      </c>
      <c r="DN239" s="1114" t="n">
        <v>0</v>
      </c>
      <c r="DO239" s="1114" t="n">
        <v>0</v>
      </c>
      <c r="DP239" s="1114" t="n">
        <v>0</v>
      </c>
      <c r="DQ239" s="1114" t="n">
        <v>0</v>
      </c>
      <c r="DR239" s="1109" t="n">
        <v>0</v>
      </c>
      <c r="DS239" s="852" t="n">
        <v>0</v>
      </c>
      <c r="DT239" s="852" t="n">
        <v>0</v>
      </c>
      <c r="DU239" s="852" t="n">
        <v>0</v>
      </c>
      <c r="DV239" s="852" t="n">
        <v>0</v>
      </c>
      <c r="DW239" s="852" t="n">
        <v>0</v>
      </c>
      <c r="DX239" s="852" t="n">
        <v>0</v>
      </c>
      <c r="DY239" s="852" t="n">
        <v>0</v>
      </c>
      <c r="DZ239" s="852" t="n">
        <v>0</v>
      </c>
      <c r="EA239" s="852" t="n">
        <v>0</v>
      </c>
      <c r="EB239" s="1113" t="n">
        <v>0</v>
      </c>
      <c r="EC239" s="1115" t="n">
        <f aca="false">DS239*BD239</f>
        <v>0</v>
      </c>
      <c r="ED239" s="1115" t="n">
        <f aca="false">DT239*BE239</f>
        <v>0</v>
      </c>
      <c r="EE239" s="1115" t="n">
        <f aca="false">DU239*BF239</f>
        <v>0</v>
      </c>
      <c r="EF239" s="1115" t="n">
        <f aca="false">DV239*BG239</f>
        <v>0</v>
      </c>
      <c r="EG239" s="1115" t="n">
        <f aca="false">DS239*BD239+DT239*BE239+DU239*BF239+DV239*BG239</f>
        <v>0</v>
      </c>
      <c r="EH239" s="1116" t="n">
        <v>0</v>
      </c>
      <c r="EI239" s="1117" t="n">
        <v>0</v>
      </c>
      <c r="EJ239" s="1117" t="n">
        <v>0</v>
      </c>
      <c r="EK239" s="1117" t="n">
        <v>0</v>
      </c>
      <c r="EL239" s="1118" t="n">
        <f aca="false">IF(C239&gt;=Summary!$E$26,MAX(0,SUM(EH239:EK239)),0)</f>
        <v>0</v>
      </c>
      <c r="EM239" s="1115" t="n">
        <f aca="false">IF(C239&gt;=Summary!$E$26,DX239*BL239,0)</f>
        <v>0</v>
      </c>
      <c r="EN239" s="1115" t="n">
        <f aca="false">IF(C239&gt;=Summary!$E$26,DY239*BM239,0)</f>
        <v>0</v>
      </c>
      <c r="EO239" s="1115" t="n">
        <f aca="false">IF(C239&gt;=Summary!$E$26,DZ239*BN239,0)</f>
        <v>0</v>
      </c>
      <c r="EP239" s="1115" t="n">
        <f aca="false">IF(C239&gt;=Summary!$E$26,EA239*BO239,0)</f>
        <v>0</v>
      </c>
      <c r="EQ239" s="1115" t="n">
        <f aca="false">IF(C239&gt;=Summary!$E$26,DX239*BL239+DY239*BM239+DZ239*BN239+EA239*BO239,0)</f>
        <v>0</v>
      </c>
      <c r="ER239" s="1119" t="n">
        <v>0</v>
      </c>
      <c r="ES239" s="1120" t="n">
        <v>0</v>
      </c>
      <c r="ET239" s="1120" t="n">
        <v>0</v>
      </c>
      <c r="EU239" s="1120" t="n">
        <v>0</v>
      </c>
      <c r="EV239" s="1143" t="n">
        <f aca="false">IF(C239&gt;=Summary!$E$26,MAX(0,SUM(ER239:EU239)),0)</f>
        <v>0</v>
      </c>
      <c r="EW239" s="1115"/>
      <c r="EX239" s="1165" t="n">
        <f aca="false">(EQ239-EV239)+IF(EZ239="Yes",(EG239-EL239),0)</f>
        <v>0</v>
      </c>
      <c r="EY239" s="1166" t="str">
        <f aca="false">IF(EX239,EX239/EQ239,"")</f>
        <v/>
      </c>
      <c r="EZ239" s="1122" t="s">
        <v>37</v>
      </c>
      <c r="FA239" s="1096" t="n">
        <f aca="false">FA238</f>
        <v>45</v>
      </c>
      <c r="FB239" s="1167" t="e">
        <f aca="false">IF(EZ239="No",IF((OR(MONTH(C239)=5,MONTH(C239)=6,MONTH(C239)=7,MONTH(C239)=8,MONTH(C239)=9)),$FA239*12*AX239*(1-$BC239),$FA239*10*AX239*(1-$BC239)),0)</f>
        <v>#VALUE!</v>
      </c>
      <c r="FC239" s="1129" t="n">
        <f aca="false">IF(EZ239="No",IF((OR(MONTH(C239)=5,MONTH(C239)=6,MONTH(C239)=7,MONTH(C239)=8,MONTH(C239)=9)),0,$FA239*3*AX239*(1-$BC239)),0)</f>
        <v>0</v>
      </c>
      <c r="FD239" s="1129" t="e">
        <f aca="false">IF(EZ239="No",IF((OR(MONTH(C239)=5,MONTH(C239)=6,MONTH(C239)=7,MONTH(C239)=8,MONTH(C239)=9)),$FA239*12*AY239*(1-$BC239),$FA239*10*AY239*(1-$BC239)),0)</f>
        <v>#VALUE!</v>
      </c>
      <c r="FE239" s="1129" t="n">
        <f aca="false">IF(EZ239="No",IF((OR(MONTH(C239)=5,MONTH(C239)=6,MONTH(C239)=7,MONTH(C239)=8,MONTH(C239)=9)),0,$FA239*3*AY239*(1-$BC239)),0)</f>
        <v>0</v>
      </c>
      <c r="FF239" s="1129" t="e">
        <f aca="false">IF(EZ239="No",IF((OR(MONTH(C239)=5,MONTH(C239)=6,MONTH(C239)=7,MONTH(C239)=8,MONTH(C239)=9)),$FA239*12*(AZ239+BA239)*(1-$BC239),$FA239*10*(AZ239+BA239)*(1-$BC239)),0)</f>
        <v>#VALUE!</v>
      </c>
      <c r="FG239" s="1129" t="n">
        <f aca="false">IF(EZ239="No",IF((OR(MONTH(C239)=5,MONTH(C239)=6,MONTH(C239)=7,MONTH(C239)=8,MONTH(C239)=9)),0,$FA239*3*(AZ239+BA239)*(1-$BC239)),0)</f>
        <v>0</v>
      </c>
      <c r="FH239" s="1170" t="e">
        <f aca="false">IF(EZ239="No",IF((OR(MONTH(C239)=5,MONTH(C239)=6,MONTH(C239)=7,MONTH(C239)=8,MONTH(C239)=9)),Summary!$O$15*12*(AX239+AY239+AZ239+BA239)*(1-$BC239),Summary!$O$15*13*(AX239+AY239+AZ239+BA239)*(1-$BC239)+IF(Summary!$O$16="Yes",(CALC!FA239+Summary!$O$15)*6*(AX239+AY239+AZ239+BA239)*(1-$BC239),0)),0)</f>
        <v>#VALUE!</v>
      </c>
      <c r="FI239" s="1126" t="n">
        <f aca="false">IF(MONTH(C239)=5,FI238*(IF(Summary!$E$70="no",(1+(Summary!$E$71*0.8)),1+HLOOKUP(YEAR(C239)-1,CCFMODEL!$I$127:$AF$128,2)*0.8)),+FI238)</f>
        <v>41.7467669592219</v>
      </c>
      <c r="FJ239" s="1127" t="n">
        <f aca="false">IF(MONTH(C239)=5,FJ238*(IF(Summary!$E$70="no",(1+(Summary!$E$71*0.8)),1+HLOOKUP(YEAR(CALC!C239)-1,CCFMODEL!$I$127:$AF$128,2)*0.8)),FJ238)</f>
        <v>36.4873317517609</v>
      </c>
      <c r="FK239" s="1128" t="e">
        <f aca="false">SUM(FB239:FG239)*FI239+FH239*FJ239</f>
        <v>#VALUE!</v>
      </c>
      <c r="FL239" s="1126" t="n">
        <f aca="false">IF(MONTH(C239)=5,FL238*(IF(Summary!$E$70="no",(1+(Summary!$E$71*0.8)),1+HLOOKUP(YEAR(CALC!C239)-1,CCFMODEL!$I$127:$AF$128,2)*0.8)),+FL238)</f>
        <v>87.798131186455</v>
      </c>
      <c r="FM239" s="1127" t="n">
        <f aca="false">IF(MONTH(C239)=5,FM238*(IF(Summary!$E$70="no",(1+(Summary!$E$71*0.8)),1+HLOOKUP(YEAR(CALC!C239)-1,CCFMODEL!$I$127:$AF$128,2)*0.8)),+FM238)</f>
        <v>41.9032977689678</v>
      </c>
      <c r="FN239" s="1128" t="e">
        <f aca="false">IF((OR(MONTH(C239)=5,MONTH(C239)=6,MONTH(C239)=7,MONTH(C239)=8,MONTH(C239)=9)),SUM(FB239:FG239)/(1-BC239)*FL239,SUM(FB239:FG239)/(1-BC239)*FM239)</f>
        <v>#VALUE!</v>
      </c>
      <c r="FO239" s="1129" t="e">
        <f aca="false">FK239+FN239</f>
        <v>#VALUE!</v>
      </c>
      <c r="FP239" s="1169" t="e">
        <f aca="false">FB239</f>
        <v>#VALUE!</v>
      </c>
      <c r="FQ239" s="1129" t="n">
        <f aca="false">FC239</f>
        <v>0</v>
      </c>
      <c r="FR239" s="1129" t="e">
        <f aca="false">FD239</f>
        <v>#VALUE!</v>
      </c>
      <c r="FS239" s="1129" t="n">
        <f aca="false">FE239</f>
        <v>0</v>
      </c>
      <c r="FT239" s="1129" t="e">
        <f aca="false">FF239</f>
        <v>#VALUE!</v>
      </c>
      <c r="FU239" s="1129" t="n">
        <f aca="false">FG239</f>
        <v>0</v>
      </c>
      <c r="FV239" s="1170" t="e">
        <f aca="false">FH239</f>
        <v>#VALUE!</v>
      </c>
      <c r="FW239" s="1115" t="n">
        <f aca="false">IF(ER239&gt;0,MIN(FB239-FP239,BL239),0)</f>
        <v>0</v>
      </c>
      <c r="FX239" s="1115" t="n">
        <f aca="false">IF(ES239&gt;0,MIN(FD239-FR239,BM239),0)</f>
        <v>0</v>
      </c>
      <c r="FY239" s="1115" t="n">
        <f aca="false">IF(ET239&gt;0,MIN(FF239-FT239,BN239),0)</f>
        <v>0</v>
      </c>
      <c r="FZ239" s="1143" t="n">
        <f aca="false">IF(EU239&gt;0,MIN(FH239-FV239,BO239),0)</f>
        <v>0</v>
      </c>
      <c r="GA239" s="1132" t="e">
        <f aca="false">(SUM(FP239:FV239)+SUM(GU239:HB239)/(1-Summary!$O$25))*CY239/1000</f>
        <v>#VALUE!</v>
      </c>
      <c r="GB239" s="1133" t="n">
        <f aca="false">IF($C239&lt;Summary!$M$81,+Summary!$O$81,VLOOKUP(C239,GasTable,19))</f>
        <v>3.63449604168646</v>
      </c>
      <c r="GC239" s="1134" t="n">
        <f aca="false">IF(H239&lt;=Summary!$N$84,MIN(GA239,Summary!$O$75*(H239-G239+1)),0)</f>
        <v>0</v>
      </c>
      <c r="GD239" s="1135" t="n">
        <f aca="false">IF(C239&lt;Summary!$N$84,IF(Summary!$O$75*(H239-G239+1)*0.8&gt;GC239,1,0),0)</f>
        <v>0</v>
      </c>
      <c r="GE239" s="1136" t="n">
        <v>0</v>
      </c>
      <c r="GF239" s="1134" t="e">
        <f aca="false">ABS(MIN(0,GC239-$GA239))</f>
        <v>#VALUE!</v>
      </c>
      <c r="GG239" s="1135" t="e">
        <f aca="false">GF239*(IF(Summary!$O$74=1,VLOOKUP($C239,GasTable,16)+Summary!$O$92+Summary!$O$93,VLOOKUP($C239,GasTable,19)+Summary!$O$92+Summary!$O$93))</f>
        <v>#VALUE!</v>
      </c>
      <c r="GH239" s="1137" t="n">
        <v>5633.46886461401</v>
      </c>
      <c r="GI239" s="1138" t="n">
        <v>0</v>
      </c>
      <c r="GJ239" s="1139" t="e">
        <f aca="false">+GB239*GC239+GE239+GG239+GH239-GI239</f>
        <v>#VALUE!</v>
      </c>
      <c r="GK239" s="1115" t="e">
        <f aca="false">SUM(FP239:FV239,GU239:GX239,GY239:HB239)</f>
        <v>#VALUE!</v>
      </c>
      <c r="GL239" s="1140" t="n">
        <v>0.51770630392</v>
      </c>
      <c r="GM239" s="1141" t="e">
        <f aca="false">IF(GK239&gt;GC239/(CY239/1000),GC239/(CY239/1000),+GK239)*GL239</f>
        <v>#VALUE!</v>
      </c>
      <c r="GN239" s="1115" t="n">
        <f aca="false">IF(SUM(GU239:HB239)=0,0,IF(Summary!$O$16="Yes",SUM(GX239:HB239),IF(Summary!$O$17="Yes",SUM(GY239:HB239),SUM(GU239:HB239))))</f>
        <v>9547.0731</v>
      </c>
      <c r="GO239" s="1142" t="n">
        <v>4.05098296203579</v>
      </c>
      <c r="GP239" s="1143" t="n">
        <f aca="false">GN239*GO239</f>
        <v>38675.0304654102</v>
      </c>
      <c r="GQ239" s="1115"/>
      <c r="GR239" s="1115"/>
      <c r="GS239" s="1115"/>
      <c r="GT239" s="1115"/>
      <c r="GU239" s="1150" t="n">
        <v>3592.9845</v>
      </c>
      <c r="GV239" s="1115" t="n">
        <v>684.378</v>
      </c>
      <c r="GW239" s="1115" t="n">
        <v>1026.567</v>
      </c>
      <c r="GX239" s="1115"/>
      <c r="GY239" s="1151" t="n">
        <v>2874.3876</v>
      </c>
      <c r="GZ239" s="1115" t="n">
        <v>547.5024</v>
      </c>
      <c r="HA239" s="1115" t="n">
        <v>821.2536</v>
      </c>
      <c r="HB239" s="1141"/>
      <c r="HC239" s="1115" t="n">
        <v>9547.0731</v>
      </c>
      <c r="HD239" s="1115"/>
      <c r="HE239" s="1115" t="n">
        <v>22276.5039</v>
      </c>
      <c r="HF239" s="1115" t="n">
        <v>553592.222571163</v>
      </c>
      <c r="HG239" s="1115"/>
      <c r="HH239" s="1142" t="n">
        <v>61.405237933058</v>
      </c>
      <c r="HI239" s="1115" t="n">
        <v>1367894.02229619</v>
      </c>
      <c r="HJ239" s="1150" t="e">
        <f aca="false">MAX(FB239-FP239-FW239,0)</f>
        <v>#VALUE!</v>
      </c>
      <c r="HK239" s="1115" t="e">
        <f aca="false">MAX(FD239-FR239-FX239,0)</f>
        <v>#VALUE!</v>
      </c>
      <c r="HL239" s="1115" t="e">
        <f aca="false">MAX(FF239-FT239-FY239,0)</f>
        <v>#VALUE!</v>
      </c>
      <c r="HM239" s="1141" t="e">
        <f aca="false">MAX(FH239-FV239-FZ239,0)</f>
        <v>#VALUE!</v>
      </c>
      <c r="HN239" s="1115" t="e">
        <f aca="false">SUM(HJ239:HM239)</f>
        <v>#VALUE!</v>
      </c>
      <c r="HO239" s="1142" t="n">
        <f aca="false">IF(ISERROR(+HP239/HN239),0,+HP239/HN239)</f>
        <v>0</v>
      </c>
      <c r="HP239" s="1143" t="e">
        <f aca="false">(HJ239*CE239+HK239*CF239+HL239*CG239+HM239*CH239)</f>
        <v>#VALUE!</v>
      </c>
      <c r="HQ239" s="1142"/>
      <c r="HR239" s="1150"/>
      <c r="HS239" s="1200"/>
      <c r="HT239" s="1141"/>
      <c r="HU239" s="1150"/>
      <c r="HV239" s="1200"/>
      <c r="HW239" s="1141"/>
      <c r="HX239" s="1200"/>
      <c r="HY239" s="1200"/>
      <c r="HZ239" s="0"/>
      <c r="IA239" s="1142"/>
      <c r="IB239" s="1142"/>
      <c r="IC239" s="1142"/>
      <c r="ID239" s="1142"/>
      <c r="IE239" s="1142"/>
      <c r="IF239" s="1142"/>
      <c r="IG239" s="1142"/>
      <c r="IH239" s="1142"/>
      <c r="II239" s="1142"/>
      <c r="IJ239" s="1142"/>
      <c r="IK239" s="1142"/>
      <c r="IL239" s="1190"/>
      <c r="IM239" s="222"/>
      <c r="IN239" s="222"/>
      <c r="IR239" s="844"/>
    </row>
    <row r="240" customFormat="false" ht="13.5" hidden="false" customHeight="false" outlineLevel="0" collapsed="false">
      <c r="A240" s="0" t="str">
        <f aca="false">+D240&amp;"Q"&amp;ROUNDUP(E240/3,0)</f>
        <v>2018Q3</v>
      </c>
      <c r="B240" s="0" t="n">
        <f aca="false">YEAR(C240)</f>
        <v>2018</v>
      </c>
      <c r="C240" s="1153" t="n">
        <f aca="false">EOMONTH(C239,0)+1</f>
        <v>43313</v>
      </c>
      <c r="D240" s="841" t="n">
        <f aca="false">+YEAR(C240)</f>
        <v>2018</v>
      </c>
      <c r="E240" s="807" t="n">
        <f aca="false">MONTH(C240)</f>
        <v>8</v>
      </c>
      <c r="F240" s="1154" t="e">
        <f aca="false">IF(G240="","",Holiday(D240,E240))</f>
        <v>#VALUE!</v>
      </c>
      <c r="G240" s="1155" t="n">
        <v>43313</v>
      </c>
      <c r="H240" s="1156" t="n">
        <v>43343</v>
      </c>
      <c r="I240" s="1157" t="n">
        <f aca="false">I239</f>
        <v>0.0715</v>
      </c>
      <c r="J240" s="1158" t="n">
        <f aca="false">(1+I240/2)^(-2*(DATE(D241,E241,20)-$H$7)/365.25)</f>
        <v>0.267593174748477</v>
      </c>
      <c r="K240" s="1159"/>
      <c r="L240" s="1158"/>
      <c r="M240" s="1082" t="n">
        <v>0</v>
      </c>
      <c r="N240" s="1110" t="n">
        <f aca="false">M240</f>
        <v>0</v>
      </c>
      <c r="O240" s="1174" t="n">
        <f aca="false">N240</f>
        <v>0</v>
      </c>
      <c r="P240" s="1175" t="n">
        <f aca="false">M240</f>
        <v>0</v>
      </c>
      <c r="Q240" s="1110" t="n">
        <f aca="false">P240</f>
        <v>0</v>
      </c>
      <c r="R240" s="1174" t="n">
        <f aca="false">Q240</f>
        <v>0</v>
      </c>
      <c r="S240" s="1110" t="n">
        <f aca="false">R240</f>
        <v>0</v>
      </c>
      <c r="T240" s="1110" t="n">
        <f aca="false">S240</f>
        <v>0</v>
      </c>
      <c r="U240" s="1110" t="n">
        <f aca="false">T240</f>
        <v>0</v>
      </c>
      <c r="V240" s="1175" t="n">
        <f aca="false">U240</f>
        <v>0</v>
      </c>
      <c r="W240" s="1110" t="n">
        <f aca="false">V240</f>
        <v>0</v>
      </c>
      <c r="X240" s="1176" t="n">
        <f aca="false">W240</f>
        <v>0</v>
      </c>
      <c r="Y240" s="1086" t="n">
        <v>0</v>
      </c>
      <c r="Z240" s="1086" t="n">
        <v>0</v>
      </c>
      <c r="AA240" s="1087" t="n">
        <v>0</v>
      </c>
      <c r="AB240" s="1086" t="n">
        <v>0</v>
      </c>
      <c r="AC240" s="1086" t="n">
        <v>0</v>
      </c>
      <c r="AD240" s="1087" t="n">
        <v>0</v>
      </c>
      <c r="AE240" s="1086" t="n">
        <v>0</v>
      </c>
      <c r="AF240" s="1086" t="n">
        <v>0</v>
      </c>
      <c r="AG240" s="1087" t="n">
        <v>0</v>
      </c>
      <c r="AH240" s="1086" t="n">
        <v>0</v>
      </c>
      <c r="AI240" s="1086" t="n">
        <v>0</v>
      </c>
      <c r="AJ240" s="1087" t="n">
        <v>0</v>
      </c>
      <c r="AK240" s="1086" t="n">
        <v>0</v>
      </c>
      <c r="AL240" s="1086" t="n">
        <v>0</v>
      </c>
      <c r="AM240" s="1087" t="n">
        <v>0</v>
      </c>
      <c r="AN240" s="1086" t="n">
        <v>0</v>
      </c>
      <c r="AO240" s="1086" t="n">
        <v>0</v>
      </c>
      <c r="AP240" s="1087" t="n">
        <v>0</v>
      </c>
      <c r="AQ240" s="1086" t="n">
        <v>0</v>
      </c>
      <c r="AR240" s="1086" t="n">
        <v>0</v>
      </c>
      <c r="AS240" s="1087" t="n">
        <v>0</v>
      </c>
      <c r="AT240" s="1086" t="n">
        <v>0</v>
      </c>
      <c r="AU240" s="1086" t="n">
        <v>0</v>
      </c>
      <c r="AV240" s="1086" t="n">
        <v>0</v>
      </c>
      <c r="AW240" s="1172" t="n">
        <v>0</v>
      </c>
      <c r="AX240" s="807" t="n">
        <f aca="false">BB240-SUM(AY240:BA240)</f>
        <v>23</v>
      </c>
      <c r="AY240" s="807" t="n">
        <f aca="false">IF(AND($E240=MONTH(Summary!$E$24),$D240=YEAR(Summary!$E$24)),Summary!$E$25,1)*IF(G240="",0,INT((H240-MOD(H240,7)-G240)/7)+1-IF(BA240,IF(WEEKDAY(F240)=7,1,0),0))</f>
        <v>4</v>
      </c>
      <c r="AZ240" s="807" t="n">
        <f aca="false">IF(AND($E240=MONTH(Summary!$E$24),$D240=YEAR(Summary!$E$24)),Summary!$E$25,1)*IF(G240="",0,INT((H240-MOD(H240-1,7)-G240)/7)+1-IF(BA240,IF(WEEKDAY(F240)=1,1,0),0))</f>
        <v>4</v>
      </c>
      <c r="BA240" s="807" t="n">
        <v>0</v>
      </c>
      <c r="BB240" s="807" t="n">
        <f aca="false">IF(AND($E240=MONTH(Summary!$E$24),$D240=YEAR(Summary!$E$24)),Summary!$E$25,1)*IF(G240="",0,H240-G240+1)</f>
        <v>31</v>
      </c>
      <c r="BC240" s="1089" t="n">
        <f aca="false">Summary!$E$19</f>
        <v>0.015</v>
      </c>
      <c r="BD240" s="1090" t="n">
        <v>16311.6</v>
      </c>
      <c r="BE240" s="1091" t="n">
        <v>2836.8</v>
      </c>
      <c r="BF240" s="1091" t="n">
        <v>2836.8</v>
      </c>
      <c r="BG240" s="842"/>
      <c r="BH240" s="1092" t="n">
        <v>1</v>
      </c>
      <c r="BI240" s="1092" t="n">
        <v>1</v>
      </c>
      <c r="BJ240" s="1092" t="n">
        <v>1</v>
      </c>
      <c r="BK240" s="1092" t="n">
        <v>1</v>
      </c>
      <c r="BL240" s="1093" t="n">
        <v>3262.32</v>
      </c>
      <c r="BM240" s="1091" t="n">
        <v>567.36</v>
      </c>
      <c r="BN240" s="1091" t="n">
        <v>567.36</v>
      </c>
      <c r="BO240" s="842"/>
      <c r="BP240" s="1092" t="n">
        <v>1</v>
      </c>
      <c r="BQ240" s="1094" t="n">
        <v>1</v>
      </c>
      <c r="BR240" s="1094" t="n">
        <v>1</v>
      </c>
      <c r="BS240" s="1095" t="n">
        <v>1</v>
      </c>
      <c r="BT240" s="1093" t="n">
        <f aca="false">SUM(BD240:BF240)</f>
        <v>21985.2</v>
      </c>
      <c r="BU240" s="1098" t="n">
        <f aca="false">SUM(BD240:BG240)</f>
        <v>21985.2</v>
      </c>
      <c r="BV240" s="1090" t="n">
        <f aca="false">SUM(BL240:BN240)</f>
        <v>4397.04</v>
      </c>
      <c r="BW240" s="1098" t="n">
        <f aca="false">SUM(BL240:BO240)</f>
        <v>4397.04</v>
      </c>
      <c r="BX240" s="852" t="n">
        <v>18.6283367556468</v>
      </c>
      <c r="BY240" s="1099" t="n">
        <v>0</v>
      </c>
      <c r="BZ240" s="852" t="n">
        <v>0</v>
      </c>
      <c r="CA240" s="852" t="n">
        <v>0</v>
      </c>
      <c r="CB240" s="852" t="n">
        <v>0</v>
      </c>
      <c r="CC240" s="852" t="n">
        <v>0</v>
      </c>
      <c r="CD240" s="852" t="n">
        <v>0</v>
      </c>
      <c r="CE240" s="1100" t="n">
        <v>0</v>
      </c>
      <c r="CF240" s="852" t="n">
        <v>0</v>
      </c>
      <c r="CG240" s="852" t="n">
        <v>0</v>
      </c>
      <c r="CH240" s="852" t="n">
        <v>0</v>
      </c>
      <c r="CI240" s="852" t="n">
        <v>0</v>
      </c>
      <c r="CJ240" s="1101" t="n">
        <v>0</v>
      </c>
      <c r="CK240" s="852" t="n">
        <v>0</v>
      </c>
      <c r="CL240" s="852" t="n">
        <v>0</v>
      </c>
      <c r="CM240" s="852" t="n">
        <v>0</v>
      </c>
      <c r="CN240" s="852" t="n">
        <v>0</v>
      </c>
      <c r="CO240" s="852" t="n">
        <v>0</v>
      </c>
      <c r="CP240" s="852" t="n">
        <v>0</v>
      </c>
      <c r="CQ240" s="1102" t="n">
        <v>0</v>
      </c>
      <c r="CR240" s="1103" t="n">
        <v>0</v>
      </c>
      <c r="CS240" s="1103" t="n">
        <v>0</v>
      </c>
      <c r="CT240" s="1103" t="n">
        <v>0</v>
      </c>
      <c r="CU240" s="1103" t="n">
        <v>0</v>
      </c>
      <c r="CV240" s="1103" t="n">
        <v>0</v>
      </c>
      <c r="CW240" s="1103" t="n">
        <v>0</v>
      </c>
      <c r="CX240" s="1104" t="n">
        <v>0</v>
      </c>
      <c r="CY240" s="1105" t="n">
        <v>7728.99072</v>
      </c>
      <c r="CZ240" s="1099" t="n">
        <v>0</v>
      </c>
      <c r="DA240" s="852" t="n">
        <v>0</v>
      </c>
      <c r="DB240" s="852" t="n">
        <v>0</v>
      </c>
      <c r="DC240" s="852" t="n">
        <v>0</v>
      </c>
      <c r="DD240" s="852" t="n">
        <v>0</v>
      </c>
      <c r="DE240" s="1113" t="n">
        <v>0</v>
      </c>
      <c r="DF240" s="1109" t="n">
        <v>0</v>
      </c>
      <c r="DG240" s="1110" t="n">
        <v>0</v>
      </c>
      <c r="DH240" s="1111" t="n">
        <v>0</v>
      </c>
      <c r="DI240" s="1112" t="n">
        <v>0</v>
      </c>
      <c r="DJ240" s="1112" t="n">
        <v>0</v>
      </c>
      <c r="DK240" s="1112" t="n">
        <v>0</v>
      </c>
      <c r="DL240" s="1113" t="n">
        <v>0</v>
      </c>
      <c r="DM240" s="1114" t="n">
        <v>0</v>
      </c>
      <c r="DN240" s="1114" t="n">
        <v>0</v>
      </c>
      <c r="DO240" s="1114" t="n">
        <v>0</v>
      </c>
      <c r="DP240" s="1114" t="n">
        <v>0</v>
      </c>
      <c r="DQ240" s="1114" t="n">
        <v>0</v>
      </c>
      <c r="DR240" s="1109" t="n">
        <v>0</v>
      </c>
      <c r="DS240" s="852" t="n">
        <v>0</v>
      </c>
      <c r="DT240" s="852" t="n">
        <v>0</v>
      </c>
      <c r="DU240" s="852" t="n">
        <v>0</v>
      </c>
      <c r="DV240" s="852" t="n">
        <v>0</v>
      </c>
      <c r="DW240" s="852" t="n">
        <v>0</v>
      </c>
      <c r="DX240" s="852" t="n">
        <v>0</v>
      </c>
      <c r="DY240" s="852" t="n">
        <v>0</v>
      </c>
      <c r="DZ240" s="852" t="n">
        <v>0</v>
      </c>
      <c r="EA240" s="852" t="n">
        <v>0</v>
      </c>
      <c r="EB240" s="1113" t="n">
        <v>0</v>
      </c>
      <c r="EC240" s="1115" t="n">
        <f aca="false">DS240*BD240</f>
        <v>0</v>
      </c>
      <c r="ED240" s="1115" t="n">
        <f aca="false">DT240*BE240</f>
        <v>0</v>
      </c>
      <c r="EE240" s="1115" t="n">
        <f aca="false">DU240*BF240</f>
        <v>0</v>
      </c>
      <c r="EF240" s="1115" t="n">
        <f aca="false">DV240*BG240</f>
        <v>0</v>
      </c>
      <c r="EG240" s="1115" t="n">
        <f aca="false">DS240*BD240+DT240*BE240+DU240*BF240+DV240*BG240</f>
        <v>0</v>
      </c>
      <c r="EH240" s="1116" t="n">
        <v>0</v>
      </c>
      <c r="EI240" s="1117" t="n">
        <v>0</v>
      </c>
      <c r="EJ240" s="1117" t="n">
        <v>0</v>
      </c>
      <c r="EK240" s="1117" t="n">
        <v>0</v>
      </c>
      <c r="EL240" s="1118" t="n">
        <f aca="false">IF(C240&gt;=Summary!$E$26,MAX(0,SUM(EH240:EK240)),0)</f>
        <v>0</v>
      </c>
      <c r="EM240" s="1115" t="n">
        <f aca="false">IF(C240&gt;=Summary!$E$26,DX240*BL240,0)</f>
        <v>0</v>
      </c>
      <c r="EN240" s="1115" t="n">
        <f aca="false">IF(C240&gt;=Summary!$E$26,DY240*BM240,0)</f>
        <v>0</v>
      </c>
      <c r="EO240" s="1115" t="n">
        <f aca="false">IF(C240&gt;=Summary!$E$26,DZ240*BN240,0)</f>
        <v>0</v>
      </c>
      <c r="EP240" s="1115" t="n">
        <f aca="false">IF(C240&gt;=Summary!$E$26,EA240*BO240,0)</f>
        <v>0</v>
      </c>
      <c r="EQ240" s="1115" t="n">
        <f aca="false">IF(C240&gt;=Summary!$E$26,DX240*BL240+DY240*BM240+DZ240*BN240+EA240*BO240,0)</f>
        <v>0</v>
      </c>
      <c r="ER240" s="1119" t="n">
        <v>0</v>
      </c>
      <c r="ES240" s="1120" t="n">
        <v>0</v>
      </c>
      <c r="ET240" s="1120" t="n">
        <v>0</v>
      </c>
      <c r="EU240" s="1120" t="n">
        <v>0</v>
      </c>
      <c r="EV240" s="1143" t="n">
        <f aca="false">IF(C240&gt;=Summary!$E$26,MAX(0,SUM(ER240:EU240)),0)</f>
        <v>0</v>
      </c>
      <c r="EW240" s="1115"/>
      <c r="EX240" s="1165" t="n">
        <f aca="false">(EQ240-EV240)+IF(EZ240="Yes",(EG240-EL240),0)</f>
        <v>0</v>
      </c>
      <c r="EY240" s="1166" t="str">
        <f aca="false">IF(EX240,EX240/EQ240,"")</f>
        <v/>
      </c>
      <c r="EZ240" s="1122" t="s">
        <v>37</v>
      </c>
      <c r="FA240" s="1096" t="n">
        <f aca="false">FA239</f>
        <v>45</v>
      </c>
      <c r="FB240" s="1167" t="n">
        <f aca="false">IF(EZ240="No",IF((OR(MONTH(C240)=5,MONTH(C240)=6,MONTH(C240)=7,MONTH(C240)=8,MONTH(C240)=9)),$FA240*12*AX240*(1-$BC240),$FA240*10*AX240*(1-$BC240)),0)</f>
        <v>12233.7</v>
      </c>
      <c r="FC240" s="1129" t="n">
        <f aca="false">IF(EZ240="No",IF((OR(MONTH(C240)=5,MONTH(C240)=6,MONTH(C240)=7,MONTH(C240)=8,MONTH(C240)=9)),0,$FA240*3*AX240*(1-$BC240)),0)</f>
        <v>0</v>
      </c>
      <c r="FD240" s="1129" t="n">
        <f aca="false">IF(EZ240="No",IF((OR(MONTH(C240)=5,MONTH(C240)=6,MONTH(C240)=7,MONTH(C240)=8,MONTH(C240)=9)),$FA240*12*AY240*(1-$BC240),$FA240*10*AY240*(1-$BC240)),0)</f>
        <v>2127.6</v>
      </c>
      <c r="FE240" s="1129" t="n">
        <f aca="false">IF(EZ240="No",IF((OR(MONTH(C240)=5,MONTH(C240)=6,MONTH(C240)=7,MONTH(C240)=8,MONTH(C240)=9)),0,$FA240*3*AY240*(1-$BC240)),0)</f>
        <v>0</v>
      </c>
      <c r="FF240" s="1129" t="n">
        <f aca="false">IF(EZ240="No",IF((OR(MONTH(C240)=5,MONTH(C240)=6,MONTH(C240)=7,MONTH(C240)=8,MONTH(C240)=9)),$FA240*12*(AZ240+BA240)*(1-$BC240),$FA240*10*(AZ240+BA240)*(1-$BC240)),0)</f>
        <v>2127.6</v>
      </c>
      <c r="FG240" s="1129" t="n">
        <f aca="false">IF(EZ240="No",IF((OR(MONTH(C240)=5,MONTH(C240)=6,MONTH(C240)=7,MONTH(C240)=8,MONTH(C240)=9)),0,$FA240*3*(AZ240+BA240)*(1-$BC240)),0)</f>
        <v>0</v>
      </c>
      <c r="FH240" s="1170" t="n">
        <f aca="false">IF(EZ240="No",IF((OR(MONTH(C240)=5,MONTH(C240)=6,MONTH(C240)=7,MONTH(C240)=8,MONTH(C240)=9)),Summary!$O$15*12*(AX240+AY240+AZ240+BA240)*(1-$BC240),Summary!$O$15*13*(AX240+AY240+AZ240+BA240)*(1-$BC240)+IF(Summary!$O$16="Yes",(CALC!FA240+Summary!$O$15)*6*(AX240+AY240+AZ240+BA240)*(1-$BC240),0)),0)</f>
        <v>0</v>
      </c>
      <c r="FI240" s="1126" t="n">
        <f aca="false">IF(MONTH(C240)=5,FI239*(IF(Summary!$E$70="no",(1+(Summary!$E$71*0.8)),1+HLOOKUP(YEAR(C240)-1,CCFMODEL!$I$127:$AF$128,2)*0.8)),+FI239)</f>
        <v>41.7467669592219</v>
      </c>
      <c r="FJ240" s="1127" t="n">
        <f aca="false">IF(MONTH(C240)=5,FJ239*(IF(Summary!$E$70="no",(1+(Summary!$E$71*0.8)),1+HLOOKUP(YEAR(CALC!C240)-1,CCFMODEL!$I$127:$AF$128,2)*0.8)),FJ239)</f>
        <v>36.4873317517609</v>
      </c>
      <c r="FK240" s="1128" t="n">
        <f aca="false">SUM(FB240:FG240)*FI240+FH240*FJ240</f>
        <v>688358.265713914</v>
      </c>
      <c r="FL240" s="1126" t="n">
        <f aca="false">IF(MONTH(C240)=5,FL239*(IF(Summary!$E$70="no",(1+(Summary!$E$71*0.8)),1+HLOOKUP(YEAR(CALC!C240)-1,CCFMODEL!$I$127:$AF$128,2)*0.8)),+FL239)</f>
        <v>87.798131186455</v>
      </c>
      <c r="FM240" s="1127" t="n">
        <f aca="false">IF(MONTH(C240)=5,FM239*(IF(Summary!$E$70="no",(1+(Summary!$E$71*0.8)),1+HLOOKUP(YEAR(CALC!C240)-1,CCFMODEL!$I$127:$AF$128,2)*0.8)),+FM239)</f>
        <v>41.9032977689678</v>
      </c>
      <c r="FN240" s="1128" t="n">
        <f aca="false">IF((OR(MONTH(C240)=5,MONTH(C240)=6,MONTH(C240)=7,MONTH(C240)=8,MONTH(C240)=9)),SUM(FB240:FG240)/(1-BC240)*FL240,SUM(FB240:FG240)/(1-BC240)*FM240)</f>
        <v>1469740.71606126</v>
      </c>
      <c r="FO240" s="1129" t="n">
        <f aca="false">FK240+FN240</f>
        <v>2158098.98177517</v>
      </c>
      <c r="FP240" s="1169" t="n">
        <f aca="false">FB240</f>
        <v>12233.7</v>
      </c>
      <c r="FQ240" s="1129" t="n">
        <f aca="false">FC240</f>
        <v>0</v>
      </c>
      <c r="FR240" s="1129" t="n">
        <f aca="false">FD240</f>
        <v>2127.6</v>
      </c>
      <c r="FS240" s="1129" t="n">
        <f aca="false">FE240</f>
        <v>0</v>
      </c>
      <c r="FT240" s="1129" t="n">
        <f aca="false">FF240</f>
        <v>2127.6</v>
      </c>
      <c r="FU240" s="1129" t="n">
        <f aca="false">FG240</f>
        <v>0</v>
      </c>
      <c r="FV240" s="1170" t="n">
        <f aca="false">FH240</f>
        <v>0</v>
      </c>
      <c r="FW240" s="1115" t="n">
        <f aca="false">IF(ER240&gt;0,MIN(FB240-FP240,BL240),0)</f>
        <v>0</v>
      </c>
      <c r="FX240" s="1115" t="n">
        <f aca="false">IF(ES240&gt;0,MIN(FD240-FR240,BM240),0)</f>
        <v>0</v>
      </c>
      <c r="FY240" s="1115" t="n">
        <f aca="false">IF(ET240&gt;0,MIN(FF240-FT240,BN240),0)</f>
        <v>0</v>
      </c>
      <c r="FZ240" s="1143" t="n">
        <f aca="false">IF(EU240&gt;0,MIN(FH240-FV240,BO240),0)</f>
        <v>0</v>
      </c>
      <c r="GA240" s="1132" t="n">
        <f aca="false">(SUM(FP240:FV240)+SUM(GU240:HB240)/(1-Summary!$O$25))*CY240/1000</f>
        <v>203908.088132813</v>
      </c>
      <c r="GB240" s="1133" t="n">
        <f aca="false">IF($C240&lt;Summary!$M$81,+Summary!$O$81,VLOOKUP(C240,GasTable,19))</f>
        <v>3.77164763959094</v>
      </c>
      <c r="GC240" s="1134" t="n">
        <f aca="false">IF(H240&lt;=Summary!$N$84,MIN(GA240,Summary!$O$75*(H240-G240+1)),0)</f>
        <v>0</v>
      </c>
      <c r="GD240" s="1135" t="n">
        <f aca="false">IF(C240&lt;Summary!$N$84,IF(Summary!$O$75*(H240-G240+1)*0.8&gt;GC240,1,0),0)</f>
        <v>0</v>
      </c>
      <c r="GE240" s="1136" t="n">
        <v>0</v>
      </c>
      <c r="GF240" s="1134" t="n">
        <f aca="false">ABS(MIN(0,GC240-$GA240))</f>
        <v>203908.088132813</v>
      </c>
      <c r="GG240" s="1135" t="n">
        <f aca="false">GF240*(IF(Summary!$O$74=1,VLOOKUP($C240,GasTable,16)+Summary!$O$92+Summary!$O$93,VLOOKUP($C240,GasTable,19)+Summary!$O$92+Summary!$O$93))</f>
        <v>779693.070691345</v>
      </c>
      <c r="GH240" s="1137" t="n">
        <v>5846.05384136596</v>
      </c>
      <c r="GI240" s="1138" t="n">
        <v>0</v>
      </c>
      <c r="GJ240" s="1139" t="n">
        <f aca="false">+GB240*GC240+GE240+GG240+GH240-GI240</f>
        <v>785539.124532711</v>
      </c>
      <c r="GK240" s="1115" t="n">
        <f aca="false">SUM(FP240:FV240,GU240:GX240,GY240:HB240)</f>
        <v>26035.9731</v>
      </c>
      <c r="GL240" s="1140" t="n">
        <v>0.51784237824</v>
      </c>
      <c r="GM240" s="1141" t="n">
        <f aca="false">IF(GK240&gt;GC240/(CY240/1000),GC240/(CY240/1000),+GK240)*GL240</f>
        <v>0</v>
      </c>
      <c r="GN240" s="1115" t="n">
        <f aca="false">IF(SUM(GU240:HB240)=0,0,IF(Summary!$O$16="Yes",SUM(GX240:HB240),IF(Summary!$O$17="Yes",SUM(GY240:HB240),SUM(GU240:HB240))))</f>
        <v>9547.0731</v>
      </c>
      <c r="GO240" s="1142" t="n">
        <v>4.05098296203579</v>
      </c>
      <c r="GP240" s="1143" t="n">
        <f aca="false">GN240*GO240</f>
        <v>38675.0304654102</v>
      </c>
      <c r="GQ240" s="1115"/>
      <c r="GR240" s="1115"/>
      <c r="GS240" s="1115"/>
      <c r="GT240" s="1115"/>
      <c r="GU240" s="1150" t="n">
        <v>3935.1735</v>
      </c>
      <c r="GV240" s="1115" t="n">
        <v>684.378</v>
      </c>
      <c r="GW240" s="1115" t="n">
        <v>684.378</v>
      </c>
      <c r="GX240" s="1115"/>
      <c r="GY240" s="1151" t="n">
        <v>3148.1388</v>
      </c>
      <c r="GZ240" s="1115" t="n">
        <v>547.5024</v>
      </c>
      <c r="HA240" s="1115" t="n">
        <v>547.5024</v>
      </c>
      <c r="HB240" s="1141"/>
      <c r="HC240" s="1115" t="n">
        <v>9547.0731</v>
      </c>
      <c r="HD240" s="1115"/>
      <c r="HE240" s="1115" t="n">
        <v>22276.5039</v>
      </c>
      <c r="HF240" s="1115" t="n">
        <v>657867.548755741</v>
      </c>
      <c r="HG240" s="1115"/>
      <c r="HH240" s="1142" t="n">
        <v>72.5532335490144</v>
      </c>
      <c r="HI240" s="1115" t="n">
        <v>1616232.39011223</v>
      </c>
      <c r="HJ240" s="1150" t="n">
        <f aca="false">MAX(FB240-FP240-FW240,0)</f>
        <v>0</v>
      </c>
      <c r="HK240" s="1115" t="n">
        <f aca="false">MAX(FD240-FR240-FX240,0)</f>
        <v>0</v>
      </c>
      <c r="HL240" s="1115" t="n">
        <f aca="false">MAX(FF240-FT240-FY240,0)</f>
        <v>0</v>
      </c>
      <c r="HM240" s="1141" t="n">
        <f aca="false">MAX(FH240-FV240-FZ240,0)</f>
        <v>0</v>
      </c>
      <c r="HN240" s="1115" t="n">
        <f aca="false">SUM(HJ240:HM240)</f>
        <v>0</v>
      </c>
      <c r="HO240" s="1142" t="n">
        <f aca="false">IF(ISERROR(+HP240/HN240),0,+HP240/HN240)</f>
        <v>0</v>
      </c>
      <c r="HP240" s="1143" t="n">
        <f aca="false">(HJ240*CE240+HK240*CF240+HL240*CG240+HM240*CH240)</f>
        <v>0</v>
      </c>
      <c r="HQ240" s="1142"/>
      <c r="HR240" s="1150"/>
      <c r="HS240" s="1200"/>
      <c r="HT240" s="1141"/>
      <c r="HU240" s="1150"/>
      <c r="HV240" s="1200"/>
      <c r="HW240" s="1141"/>
      <c r="HX240" s="1200"/>
      <c r="HY240" s="1200"/>
      <c r="HZ240" s="0"/>
      <c r="IA240" s="1142"/>
      <c r="IB240" s="1142"/>
      <c r="IC240" s="1142"/>
      <c r="ID240" s="1142"/>
      <c r="IE240" s="1142"/>
      <c r="IF240" s="1142"/>
      <c r="IG240" s="1142"/>
      <c r="IH240" s="1142"/>
      <c r="II240" s="1142"/>
      <c r="IJ240" s="1142"/>
      <c r="IK240" s="1142"/>
      <c r="IL240" s="1190"/>
      <c r="IM240" s="222"/>
      <c r="IN240" s="222"/>
      <c r="IR240" s="844"/>
    </row>
    <row r="241" customFormat="false" ht="13.5" hidden="false" customHeight="false" outlineLevel="0" collapsed="false">
      <c r="A241" s="0" t="str">
        <f aca="false">+D241&amp;"Q"&amp;ROUNDUP(E241/3,0)</f>
        <v>2018Q3</v>
      </c>
      <c r="B241" s="0" t="n">
        <f aca="false">YEAR(C241)</f>
        <v>2018</v>
      </c>
      <c r="C241" s="1153" t="n">
        <f aca="false">EOMONTH(C240,0)+1</f>
        <v>43344</v>
      </c>
      <c r="D241" s="841" t="n">
        <f aca="false">+YEAR(C241)</f>
        <v>2018</v>
      </c>
      <c r="E241" s="807" t="n">
        <f aca="false">MONTH(C241)</f>
        <v>9</v>
      </c>
      <c r="F241" s="1154" t="e">
        <f aca="false">IF(G241="","",Holiday(D241,E241))</f>
        <v>#VALUE!</v>
      </c>
      <c r="G241" s="1155" t="n">
        <v>43344</v>
      </c>
      <c r="H241" s="1156" t="n">
        <v>43373</v>
      </c>
      <c r="I241" s="1157" t="n">
        <f aca="false">I240</f>
        <v>0.0715</v>
      </c>
      <c r="J241" s="1158" t="n">
        <f aca="false">(1+I241/2)^(-2*(DATE(D242,E242,20)-$H$7)/365.25)</f>
        <v>0.266053567538116</v>
      </c>
      <c r="K241" s="1159"/>
      <c r="L241" s="1158"/>
      <c r="M241" s="1082" t="n">
        <v>0</v>
      </c>
      <c r="N241" s="1110" t="n">
        <f aca="false">M241</f>
        <v>0</v>
      </c>
      <c r="O241" s="1174" t="n">
        <f aca="false">N241</f>
        <v>0</v>
      </c>
      <c r="P241" s="1175" t="n">
        <f aca="false">M241</f>
        <v>0</v>
      </c>
      <c r="Q241" s="1110" t="n">
        <f aca="false">P241</f>
        <v>0</v>
      </c>
      <c r="R241" s="1174" t="n">
        <f aca="false">Q241</f>
        <v>0</v>
      </c>
      <c r="S241" s="1110" t="n">
        <f aca="false">R241</f>
        <v>0</v>
      </c>
      <c r="T241" s="1110" t="n">
        <f aca="false">S241</f>
        <v>0</v>
      </c>
      <c r="U241" s="1110" t="n">
        <f aca="false">T241</f>
        <v>0</v>
      </c>
      <c r="V241" s="1175" t="n">
        <f aca="false">U241</f>
        <v>0</v>
      </c>
      <c r="W241" s="1110" t="n">
        <f aca="false">V241</f>
        <v>0</v>
      </c>
      <c r="X241" s="1176" t="n">
        <f aca="false">W241</f>
        <v>0</v>
      </c>
      <c r="Y241" s="1086" t="n">
        <v>0</v>
      </c>
      <c r="Z241" s="1086" t="n">
        <v>0</v>
      </c>
      <c r="AA241" s="1087" t="n">
        <v>0</v>
      </c>
      <c r="AB241" s="1086" t="n">
        <v>0</v>
      </c>
      <c r="AC241" s="1086" t="n">
        <v>0</v>
      </c>
      <c r="AD241" s="1087" t="n">
        <v>0</v>
      </c>
      <c r="AE241" s="1086" t="n">
        <v>0</v>
      </c>
      <c r="AF241" s="1086" t="n">
        <v>0</v>
      </c>
      <c r="AG241" s="1087" t="n">
        <v>0</v>
      </c>
      <c r="AH241" s="1086" t="n">
        <v>0</v>
      </c>
      <c r="AI241" s="1086" t="n">
        <v>0</v>
      </c>
      <c r="AJ241" s="1087" t="n">
        <v>0</v>
      </c>
      <c r="AK241" s="1086" t="n">
        <v>0</v>
      </c>
      <c r="AL241" s="1086" t="n">
        <v>0</v>
      </c>
      <c r="AM241" s="1087" t="n">
        <v>0</v>
      </c>
      <c r="AN241" s="1086" t="n">
        <v>0</v>
      </c>
      <c r="AO241" s="1086" t="n">
        <v>0</v>
      </c>
      <c r="AP241" s="1087" t="n">
        <v>0</v>
      </c>
      <c r="AQ241" s="1086" t="n">
        <v>0</v>
      </c>
      <c r="AR241" s="1086" t="n">
        <v>0</v>
      </c>
      <c r="AS241" s="1087" t="n">
        <v>0</v>
      </c>
      <c r="AT241" s="1086" t="n">
        <v>0</v>
      </c>
      <c r="AU241" s="1086" t="n">
        <v>0</v>
      </c>
      <c r="AV241" s="1086" t="n">
        <v>0</v>
      </c>
      <c r="AW241" s="1172" t="n">
        <v>0</v>
      </c>
      <c r="AX241" s="807" t="e">
        <f aca="false">BB241-SUM(AY241:BA241)</f>
        <v>#VALUE!</v>
      </c>
      <c r="AY241" s="807" t="e">
        <f aca="false">IF(AND($E241=MONTH(Summary!$E$24),$D241=YEAR(Summary!$E$24)),Summary!$E$25,1)*IF(G241="",0,INT((H241-MOD(H241,7)-G241)/7)+1-IF(BA241,IF(WEEKDAY(F241)=7,1,0),0))</f>
        <v>#VALUE!</v>
      </c>
      <c r="AZ241" s="807" t="e">
        <f aca="false">IF(AND($E241=MONTH(Summary!$E$24),$D241=YEAR(Summary!$E$24)),Summary!$E$25,1)*IF(G241="",0,INT((H241-MOD(H241-1,7)-G241)/7)+1-IF(BA241,IF(WEEKDAY(F241)=1,1,0),0))</f>
        <v>#VALUE!</v>
      </c>
      <c r="BA241" s="807" t="n">
        <v>1</v>
      </c>
      <c r="BB241" s="807" t="n">
        <f aca="false">IF(AND($E241=MONTH(Summary!$E$24),$D241=YEAR(Summary!$E$24)),Summary!$E$25,1)*IF(G241="",0,H241-G241+1)</f>
        <v>30</v>
      </c>
      <c r="BC241" s="1089" t="n">
        <f aca="false">Summary!$E$19</f>
        <v>0.015</v>
      </c>
      <c r="BD241" s="1090" t="n">
        <v>13474.8</v>
      </c>
      <c r="BE241" s="1091" t="n">
        <v>3546</v>
      </c>
      <c r="BF241" s="1091" t="n">
        <v>4255.2</v>
      </c>
      <c r="BG241" s="842"/>
      <c r="BH241" s="1092" t="n">
        <v>1</v>
      </c>
      <c r="BI241" s="1092" t="n">
        <v>1</v>
      </c>
      <c r="BJ241" s="1092" t="n">
        <v>1</v>
      </c>
      <c r="BK241" s="1092" t="n">
        <v>1</v>
      </c>
      <c r="BL241" s="1093" t="n">
        <v>2694.96</v>
      </c>
      <c r="BM241" s="1091" t="n">
        <v>709.2</v>
      </c>
      <c r="BN241" s="1091" t="n">
        <v>851.04</v>
      </c>
      <c r="BO241" s="842"/>
      <c r="BP241" s="1092" t="n">
        <v>1</v>
      </c>
      <c r="BQ241" s="1094" t="n">
        <v>1</v>
      </c>
      <c r="BR241" s="1094" t="n">
        <v>1</v>
      </c>
      <c r="BS241" s="1095" t="n">
        <v>1</v>
      </c>
      <c r="BT241" s="1093" t="n">
        <f aca="false">SUM(BD241:BF241)</f>
        <v>21276</v>
      </c>
      <c r="BU241" s="1098" t="n">
        <f aca="false">SUM(BD241:BG241)</f>
        <v>21276</v>
      </c>
      <c r="BV241" s="1090" t="n">
        <f aca="false">SUM(BL241:BN241)</f>
        <v>4255.2</v>
      </c>
      <c r="BW241" s="1098" t="n">
        <f aca="false">SUM(BL241:BO241)</f>
        <v>4255.2</v>
      </c>
      <c r="BX241" s="852" t="n">
        <v>18.7132101300479</v>
      </c>
      <c r="BY241" s="1099" t="n">
        <v>0</v>
      </c>
      <c r="BZ241" s="852" t="n">
        <v>0</v>
      </c>
      <c r="CA241" s="852" t="n">
        <v>0</v>
      </c>
      <c r="CB241" s="852" t="n">
        <v>0</v>
      </c>
      <c r="CC241" s="852" t="n">
        <v>0</v>
      </c>
      <c r="CD241" s="852" t="n">
        <v>0</v>
      </c>
      <c r="CE241" s="1100" t="n">
        <v>0</v>
      </c>
      <c r="CF241" s="852" t="n">
        <v>0</v>
      </c>
      <c r="CG241" s="852" t="n">
        <v>0</v>
      </c>
      <c r="CH241" s="852" t="n">
        <v>0</v>
      </c>
      <c r="CI241" s="852" t="n">
        <v>0</v>
      </c>
      <c r="CJ241" s="1101" t="n">
        <v>0</v>
      </c>
      <c r="CK241" s="852" t="n">
        <v>0</v>
      </c>
      <c r="CL241" s="852" t="n">
        <v>0</v>
      </c>
      <c r="CM241" s="852" t="n">
        <v>0</v>
      </c>
      <c r="CN241" s="852" t="n">
        <v>0</v>
      </c>
      <c r="CO241" s="852" t="n">
        <v>0</v>
      </c>
      <c r="CP241" s="852" t="n">
        <v>0</v>
      </c>
      <c r="CQ241" s="1102" t="n">
        <v>0</v>
      </c>
      <c r="CR241" s="1103" t="n">
        <v>0</v>
      </c>
      <c r="CS241" s="1103" t="n">
        <v>0</v>
      </c>
      <c r="CT241" s="1103" t="n">
        <v>0</v>
      </c>
      <c r="CU241" s="1103" t="n">
        <v>0</v>
      </c>
      <c r="CV241" s="1103" t="n">
        <v>0</v>
      </c>
      <c r="CW241" s="1103" t="n">
        <v>0</v>
      </c>
      <c r="CX241" s="1104" t="n">
        <v>0</v>
      </c>
      <c r="CY241" s="1105" t="n">
        <v>7731.02168</v>
      </c>
      <c r="CZ241" s="1099" t="n">
        <v>0</v>
      </c>
      <c r="DA241" s="852" t="n">
        <v>0</v>
      </c>
      <c r="DB241" s="852" t="n">
        <v>0</v>
      </c>
      <c r="DC241" s="852" t="n">
        <v>0</v>
      </c>
      <c r="DD241" s="852" t="n">
        <v>0</v>
      </c>
      <c r="DE241" s="1113" t="n">
        <v>0</v>
      </c>
      <c r="DF241" s="1109" t="n">
        <v>0</v>
      </c>
      <c r="DG241" s="1110" t="n">
        <v>0</v>
      </c>
      <c r="DH241" s="1111" t="n">
        <v>0</v>
      </c>
      <c r="DI241" s="1112" t="n">
        <v>0</v>
      </c>
      <c r="DJ241" s="1112" t="n">
        <v>0</v>
      </c>
      <c r="DK241" s="1112" t="n">
        <v>0</v>
      </c>
      <c r="DL241" s="1113" t="n">
        <v>0</v>
      </c>
      <c r="DM241" s="1114" t="n">
        <v>0</v>
      </c>
      <c r="DN241" s="1114" t="n">
        <v>0</v>
      </c>
      <c r="DO241" s="1114" t="n">
        <v>0</v>
      </c>
      <c r="DP241" s="1114" t="n">
        <v>0</v>
      </c>
      <c r="DQ241" s="1114" t="n">
        <v>0</v>
      </c>
      <c r="DR241" s="1109" t="n">
        <v>0</v>
      </c>
      <c r="DS241" s="852" t="n">
        <v>0</v>
      </c>
      <c r="DT241" s="852" t="n">
        <v>0</v>
      </c>
      <c r="DU241" s="852" t="n">
        <v>0</v>
      </c>
      <c r="DV241" s="852" t="n">
        <v>0</v>
      </c>
      <c r="DW241" s="852" t="n">
        <v>0</v>
      </c>
      <c r="DX241" s="852" t="n">
        <v>0</v>
      </c>
      <c r="DY241" s="852" t="n">
        <v>0</v>
      </c>
      <c r="DZ241" s="852" t="n">
        <v>0</v>
      </c>
      <c r="EA241" s="852" t="n">
        <v>0</v>
      </c>
      <c r="EB241" s="1113" t="n">
        <v>0</v>
      </c>
      <c r="EC241" s="1115" t="n">
        <f aca="false">DS241*BD241</f>
        <v>0</v>
      </c>
      <c r="ED241" s="1115" t="n">
        <f aca="false">DT241*BE241</f>
        <v>0</v>
      </c>
      <c r="EE241" s="1115" t="n">
        <f aca="false">DU241*BF241</f>
        <v>0</v>
      </c>
      <c r="EF241" s="1115" t="n">
        <f aca="false">DV241*BG241</f>
        <v>0</v>
      </c>
      <c r="EG241" s="1115" t="n">
        <f aca="false">DS241*BD241+DT241*BE241+DU241*BF241+DV241*BG241</f>
        <v>0</v>
      </c>
      <c r="EH241" s="1116" t="n">
        <v>0</v>
      </c>
      <c r="EI241" s="1117" t="n">
        <v>0</v>
      </c>
      <c r="EJ241" s="1117" t="n">
        <v>0</v>
      </c>
      <c r="EK241" s="1117" t="n">
        <v>0</v>
      </c>
      <c r="EL241" s="1118" t="n">
        <f aca="false">IF(C241&gt;=Summary!$E$26,MAX(0,SUM(EH241:EK241)),0)</f>
        <v>0</v>
      </c>
      <c r="EM241" s="1115" t="n">
        <f aca="false">IF(C241&gt;=Summary!$E$26,DX241*BL241,0)</f>
        <v>0</v>
      </c>
      <c r="EN241" s="1115" t="n">
        <f aca="false">IF(C241&gt;=Summary!$E$26,DY241*BM241,0)</f>
        <v>0</v>
      </c>
      <c r="EO241" s="1115" t="n">
        <f aca="false">IF(C241&gt;=Summary!$E$26,DZ241*BN241,0)</f>
        <v>0</v>
      </c>
      <c r="EP241" s="1115" t="n">
        <f aca="false">IF(C241&gt;=Summary!$E$26,EA241*BO241,0)</f>
        <v>0</v>
      </c>
      <c r="EQ241" s="1115" t="n">
        <f aca="false">IF(C241&gt;=Summary!$E$26,DX241*BL241+DY241*BM241+DZ241*BN241+EA241*BO241,0)</f>
        <v>0</v>
      </c>
      <c r="ER241" s="1119" t="n">
        <v>0</v>
      </c>
      <c r="ES241" s="1120" t="n">
        <v>0</v>
      </c>
      <c r="ET241" s="1120" t="n">
        <v>0</v>
      </c>
      <c r="EU241" s="1120" t="n">
        <v>0</v>
      </c>
      <c r="EV241" s="1143" t="n">
        <f aca="false">IF(C241&gt;=Summary!$E$26,MAX(0,SUM(ER241:EU241)),0)</f>
        <v>0</v>
      </c>
      <c r="EW241" s="1115"/>
      <c r="EX241" s="1165" t="n">
        <f aca="false">(EQ241-EV241)+IF(EZ241="Yes",(EG241-EL241),0)</f>
        <v>0</v>
      </c>
      <c r="EY241" s="1166" t="str">
        <f aca="false">IF(EX241,EX241/EQ241,"")</f>
        <v/>
      </c>
      <c r="EZ241" s="1122" t="s">
        <v>37</v>
      </c>
      <c r="FA241" s="1096" t="n">
        <f aca="false">FA240</f>
        <v>45</v>
      </c>
      <c r="FB241" s="1167" t="e">
        <f aca="false">IF(EZ241="No",IF((OR(MONTH(C241)=5,MONTH(C241)=6,MONTH(C241)=7,MONTH(C241)=8,MONTH(C241)=9)),$FA241*12*AX241*(1-$BC241),$FA241*10*AX241*(1-$BC241)),0)</f>
        <v>#VALUE!</v>
      </c>
      <c r="FC241" s="1129" t="n">
        <f aca="false">IF(EZ241="No",IF((OR(MONTH(C241)=5,MONTH(C241)=6,MONTH(C241)=7,MONTH(C241)=8,MONTH(C241)=9)),0,$FA241*3*AX241*(1-$BC241)),0)</f>
        <v>0</v>
      </c>
      <c r="FD241" s="1129" t="e">
        <f aca="false">IF(EZ241="No",IF((OR(MONTH(C241)=5,MONTH(C241)=6,MONTH(C241)=7,MONTH(C241)=8,MONTH(C241)=9)),$FA241*12*AY241*(1-$BC241),$FA241*10*AY241*(1-$BC241)),0)</f>
        <v>#VALUE!</v>
      </c>
      <c r="FE241" s="1129" t="n">
        <f aca="false">IF(EZ241="No",IF((OR(MONTH(C241)=5,MONTH(C241)=6,MONTH(C241)=7,MONTH(C241)=8,MONTH(C241)=9)),0,$FA241*3*AY241*(1-$BC241)),0)</f>
        <v>0</v>
      </c>
      <c r="FF241" s="1129" t="e">
        <f aca="false">IF(EZ241="No",IF((OR(MONTH(C241)=5,MONTH(C241)=6,MONTH(C241)=7,MONTH(C241)=8,MONTH(C241)=9)),$FA241*12*(AZ241+BA241)*(1-$BC241),$FA241*10*(AZ241+BA241)*(1-$BC241)),0)</f>
        <v>#VALUE!</v>
      </c>
      <c r="FG241" s="1129" t="n">
        <f aca="false">IF(EZ241="No",IF((OR(MONTH(C241)=5,MONTH(C241)=6,MONTH(C241)=7,MONTH(C241)=8,MONTH(C241)=9)),0,$FA241*3*(AZ241+BA241)*(1-$BC241)),0)</f>
        <v>0</v>
      </c>
      <c r="FH241" s="1170" t="e">
        <f aca="false">IF(EZ241="No",IF((OR(MONTH(C241)=5,MONTH(C241)=6,MONTH(C241)=7,MONTH(C241)=8,MONTH(C241)=9)),Summary!$O$15*12*(AX241+AY241+AZ241+BA241)*(1-$BC241),Summary!$O$15*13*(AX241+AY241+AZ241+BA241)*(1-$BC241)+IF(Summary!$O$16="Yes",(CALC!FA241+Summary!$O$15)*6*(AX241+AY241+AZ241+BA241)*(1-$BC241),0)),0)</f>
        <v>#VALUE!</v>
      </c>
      <c r="FI241" s="1126" t="n">
        <f aca="false">IF(MONTH(C241)=5,FI240*(IF(Summary!$E$70="no",(1+(Summary!$E$71*0.8)),1+HLOOKUP(YEAR(C241)-1,CCFMODEL!$I$127:$AF$128,2)*0.8)),+FI240)</f>
        <v>41.7467669592219</v>
      </c>
      <c r="FJ241" s="1127" t="n">
        <f aca="false">IF(MONTH(C241)=5,FJ240*(IF(Summary!$E$70="no",(1+(Summary!$E$71*0.8)),1+HLOOKUP(YEAR(CALC!C241)-1,CCFMODEL!$I$127:$AF$128,2)*0.8)),FJ240)</f>
        <v>36.4873317517609</v>
      </c>
      <c r="FK241" s="1128" t="e">
        <f aca="false">SUM(FB241:FG241)*FI241+FH241*FJ241</f>
        <v>#VALUE!</v>
      </c>
      <c r="FL241" s="1126" t="n">
        <f aca="false">IF(MONTH(C241)=5,FL240*(IF(Summary!$E$70="no",(1+(Summary!$E$71*0.8)),1+HLOOKUP(YEAR(CALC!C241)-1,CCFMODEL!$I$127:$AF$128,2)*0.8)),+FL240)</f>
        <v>87.798131186455</v>
      </c>
      <c r="FM241" s="1127" t="n">
        <f aca="false">IF(MONTH(C241)=5,FM240*(IF(Summary!$E$70="no",(1+(Summary!$E$71*0.8)),1+HLOOKUP(YEAR(CALC!C241)-1,CCFMODEL!$I$127:$AF$128,2)*0.8)),+FM240)</f>
        <v>41.9032977689678</v>
      </c>
      <c r="FN241" s="1128" t="e">
        <f aca="false">IF((OR(MONTH(C241)=5,MONTH(C241)=6,MONTH(C241)=7,MONTH(C241)=8,MONTH(C241)=9)),SUM(FB241:FG241)/(1-BC241)*FL241,SUM(FB241:FG241)/(1-BC241)*FM241)</f>
        <v>#VALUE!</v>
      </c>
      <c r="FO241" s="1129" t="e">
        <f aca="false">FK241+FN241</f>
        <v>#VALUE!</v>
      </c>
      <c r="FP241" s="1169" t="e">
        <f aca="false">FB241</f>
        <v>#VALUE!</v>
      </c>
      <c r="FQ241" s="1129" t="n">
        <f aca="false">FC241</f>
        <v>0</v>
      </c>
      <c r="FR241" s="1129" t="e">
        <f aca="false">FD241</f>
        <v>#VALUE!</v>
      </c>
      <c r="FS241" s="1129" t="n">
        <f aca="false">FE241</f>
        <v>0</v>
      </c>
      <c r="FT241" s="1129" t="e">
        <f aca="false">FF241</f>
        <v>#VALUE!</v>
      </c>
      <c r="FU241" s="1129" t="n">
        <f aca="false">FG241</f>
        <v>0</v>
      </c>
      <c r="FV241" s="1170" t="e">
        <f aca="false">FH241</f>
        <v>#VALUE!</v>
      </c>
      <c r="FW241" s="1115" t="n">
        <f aca="false">IF(ER241&gt;0,MIN(FB241-FP241,BL241),0)</f>
        <v>0</v>
      </c>
      <c r="FX241" s="1115" t="n">
        <f aca="false">IF(ES241&gt;0,MIN(FD241-FR241,BM241),0)</f>
        <v>0</v>
      </c>
      <c r="FY241" s="1115" t="n">
        <f aca="false">IF(ET241&gt;0,MIN(FF241-FT241,BN241),0)</f>
        <v>0</v>
      </c>
      <c r="FZ241" s="1143" t="n">
        <f aca="false">IF(EU241&gt;0,MIN(FH241-FV241,BO241),0)</f>
        <v>0</v>
      </c>
      <c r="GA241" s="1132" t="e">
        <f aca="false">(SUM(FP241:FV241)+SUM(GU241:HB241)/(1-Summary!$O$25))*CY241/1000</f>
        <v>#VALUE!</v>
      </c>
      <c r="GB241" s="1133" t="n">
        <f aca="false">IF($C241&lt;Summary!$M$81,+Summary!$O$81,VLOOKUP(C241,GasTable,19))</f>
        <v>3.93494007044938</v>
      </c>
      <c r="GC241" s="1134" t="n">
        <f aca="false">IF(H241&lt;=Summary!$N$84,MIN(GA241,Summary!$O$75*(H241-G241+1)),0)</f>
        <v>0</v>
      </c>
      <c r="GD241" s="1135" t="n">
        <f aca="false">IF(C241&lt;Summary!$N$84,IF(Summary!$O$75*(H241-G241+1)*0.8&gt;GC241,1,0),0)</f>
        <v>0</v>
      </c>
      <c r="GE241" s="1136" t="n">
        <v>0</v>
      </c>
      <c r="GF241" s="1134" t="e">
        <f aca="false">ABS(MIN(0,GC241-$GA241))</f>
        <v>#VALUE!</v>
      </c>
      <c r="GG241" s="1135" t="e">
        <f aca="false">GF241*(IF(Summary!$O$74=1,VLOOKUP($C241,GasTable,16)+Summary!$O$92+Summary!$O$93,VLOOKUP($C241,GasTable,19)+Summary!$O$92+Summary!$O$93))</f>
        <v>#VALUE!</v>
      </c>
      <c r="GH241" s="1137" t="n">
        <v>5902.41010567407</v>
      </c>
      <c r="GI241" s="1138" t="n">
        <v>0</v>
      </c>
      <c r="GJ241" s="1139" t="e">
        <f aca="false">+GB241*GC241+GE241+GG241+GH241-GI241</f>
        <v>#VALUE!</v>
      </c>
      <c r="GK241" s="1115" t="e">
        <f aca="false">SUM(FP241:FV241,GU241:GX241,GY241:HB241)</f>
        <v>#VALUE!</v>
      </c>
      <c r="GL241" s="1140" t="n">
        <v>0.51797845256</v>
      </c>
      <c r="GM241" s="1141" t="e">
        <f aca="false">IF(GK241&gt;GC241/(CY241/1000),GC241/(CY241/1000),+GK241)*GL241</f>
        <v>#VALUE!</v>
      </c>
      <c r="GN241" s="1115" t="n">
        <f aca="false">IF(SUM(GU241:HB241)=0,0,IF(Summary!$O$16="Yes",SUM(GX241:HB241),IF(Summary!$O$17="Yes",SUM(GY241:HB241),SUM(GU241:HB241))))</f>
        <v>9239.103</v>
      </c>
      <c r="GO241" s="1142" t="n">
        <v>4.05098296203579</v>
      </c>
      <c r="GP241" s="1143" t="n">
        <f aca="false">GN241*GO241</f>
        <v>37427.4488374937</v>
      </c>
      <c r="GQ241" s="1115"/>
      <c r="GR241" s="1115"/>
      <c r="GS241" s="1115"/>
      <c r="GT241" s="1115"/>
      <c r="GU241" s="1150" t="n">
        <v>3250.7955</v>
      </c>
      <c r="GV241" s="1115" t="n">
        <v>855.4725</v>
      </c>
      <c r="GW241" s="1115" t="n">
        <v>1026.567</v>
      </c>
      <c r="GX241" s="1115"/>
      <c r="GY241" s="1151" t="n">
        <v>2600.6364</v>
      </c>
      <c r="GZ241" s="1115" t="n">
        <v>684.378</v>
      </c>
      <c r="HA241" s="1115" t="n">
        <v>821.2536</v>
      </c>
      <c r="HB241" s="1141"/>
      <c r="HC241" s="1115" t="n">
        <v>9239.103</v>
      </c>
      <c r="HD241" s="1115"/>
      <c r="HE241" s="1115" t="n">
        <v>21557.907</v>
      </c>
      <c r="HF241" s="1115" t="n">
        <v>585516.451845379</v>
      </c>
      <c r="HG241" s="1115"/>
      <c r="HH241" s="1142" t="n">
        <v>65.7782449945086</v>
      </c>
      <c r="HI241" s="1115" t="n">
        <v>1418041.28821483</v>
      </c>
      <c r="HJ241" s="1150" t="e">
        <f aca="false">MAX(FB241-FP241-FW241,0)</f>
        <v>#VALUE!</v>
      </c>
      <c r="HK241" s="1115" t="e">
        <f aca="false">MAX(FD241-FR241-FX241,0)</f>
        <v>#VALUE!</v>
      </c>
      <c r="HL241" s="1115" t="e">
        <f aca="false">MAX(FF241-FT241-FY241,0)</f>
        <v>#VALUE!</v>
      </c>
      <c r="HM241" s="1141" t="e">
        <f aca="false">MAX(FH241-FV241-FZ241,0)</f>
        <v>#VALUE!</v>
      </c>
      <c r="HN241" s="1115" t="e">
        <f aca="false">SUM(HJ241:HM241)</f>
        <v>#VALUE!</v>
      </c>
      <c r="HO241" s="1142" t="n">
        <f aca="false">IF(ISERROR(+HP241/HN241),0,+HP241/HN241)</f>
        <v>0</v>
      </c>
      <c r="HP241" s="1143" t="e">
        <f aca="false">(HJ241*CE241+HK241*CF241+HL241*CG241+HM241*CH241)</f>
        <v>#VALUE!</v>
      </c>
      <c r="HQ241" s="1142"/>
      <c r="HR241" s="1150"/>
      <c r="HS241" s="1200"/>
      <c r="HT241" s="1141"/>
      <c r="HU241" s="1150"/>
      <c r="HV241" s="1200"/>
      <c r="HW241" s="1141"/>
      <c r="HX241" s="1200"/>
      <c r="HY241" s="1200"/>
      <c r="HZ241" s="0"/>
      <c r="IA241" s="1142"/>
      <c r="IB241" s="1142"/>
      <c r="IC241" s="1142"/>
      <c r="ID241" s="1142"/>
      <c r="IE241" s="1142"/>
      <c r="IF241" s="1142"/>
      <c r="IG241" s="1142"/>
      <c r="IH241" s="1142"/>
      <c r="II241" s="1142"/>
      <c r="IJ241" s="1142"/>
      <c r="IK241" s="1142"/>
      <c r="IL241" s="1190"/>
      <c r="IM241" s="222"/>
      <c r="IN241" s="222"/>
      <c r="IR241" s="844"/>
    </row>
    <row r="242" customFormat="false" ht="13.5" hidden="false" customHeight="false" outlineLevel="0" collapsed="false">
      <c r="A242" s="0" t="str">
        <f aca="false">+D242&amp;"Q"&amp;ROUNDUP(E242/3,0)</f>
        <v>2018Q4</v>
      </c>
      <c r="B242" s="0" t="n">
        <f aca="false">YEAR(C242)</f>
        <v>2018</v>
      </c>
      <c r="C242" s="1153" t="n">
        <f aca="false">EOMONTH(C241,0)+1</f>
        <v>43374</v>
      </c>
      <c r="D242" s="841" t="n">
        <f aca="false">+YEAR(C242)</f>
        <v>2018</v>
      </c>
      <c r="E242" s="807" t="n">
        <f aca="false">MONTH(C242)</f>
        <v>10</v>
      </c>
      <c r="F242" s="1154" t="e">
        <f aca="false">IF(G242="","",Holiday(D242,E242))</f>
        <v>#VALUE!</v>
      </c>
      <c r="G242" s="1155" t="n">
        <v>43374</v>
      </c>
      <c r="H242" s="1156" t="n">
        <v>43404</v>
      </c>
      <c r="I242" s="1157" t="n">
        <f aca="false">I241</f>
        <v>0.0715</v>
      </c>
      <c r="J242" s="1158" t="n">
        <f aca="false">(1+I242/2)^(-2*(DATE(D243,E243,20)-$H$7)/365.25)</f>
        <v>0.264471945509152</v>
      </c>
      <c r="K242" s="1159"/>
      <c r="L242" s="1158"/>
      <c r="M242" s="1082" t="n">
        <v>0</v>
      </c>
      <c r="N242" s="1110" t="n">
        <f aca="false">M242</f>
        <v>0</v>
      </c>
      <c r="O242" s="1174" t="n">
        <f aca="false">N242</f>
        <v>0</v>
      </c>
      <c r="P242" s="1175" t="n">
        <f aca="false">M242</f>
        <v>0</v>
      </c>
      <c r="Q242" s="1110" t="n">
        <f aca="false">P242</f>
        <v>0</v>
      </c>
      <c r="R242" s="1174" t="n">
        <f aca="false">Q242</f>
        <v>0</v>
      </c>
      <c r="S242" s="1110" t="n">
        <f aca="false">R242</f>
        <v>0</v>
      </c>
      <c r="T242" s="1110" t="n">
        <f aca="false">S242</f>
        <v>0</v>
      </c>
      <c r="U242" s="1110" t="n">
        <f aca="false">T242</f>
        <v>0</v>
      </c>
      <c r="V242" s="1175" t="n">
        <f aca="false">U242</f>
        <v>0</v>
      </c>
      <c r="W242" s="1110" t="n">
        <f aca="false">V242</f>
        <v>0</v>
      </c>
      <c r="X242" s="1176" t="n">
        <f aca="false">W242</f>
        <v>0</v>
      </c>
      <c r="Y242" s="1086" t="n">
        <v>0</v>
      </c>
      <c r="Z242" s="1086" t="n">
        <v>0</v>
      </c>
      <c r="AA242" s="1087" t="n">
        <v>0</v>
      </c>
      <c r="AB242" s="1086" t="n">
        <v>0</v>
      </c>
      <c r="AC242" s="1086" t="n">
        <v>0</v>
      </c>
      <c r="AD242" s="1087" t="n">
        <v>0</v>
      </c>
      <c r="AE242" s="1086" t="n">
        <v>0</v>
      </c>
      <c r="AF242" s="1086" t="n">
        <v>0</v>
      </c>
      <c r="AG242" s="1087" t="n">
        <v>0</v>
      </c>
      <c r="AH242" s="1086" t="n">
        <v>0</v>
      </c>
      <c r="AI242" s="1086" t="n">
        <v>0</v>
      </c>
      <c r="AJ242" s="1087" t="n">
        <v>0</v>
      </c>
      <c r="AK242" s="1086" t="n">
        <v>0</v>
      </c>
      <c r="AL242" s="1086" t="n">
        <v>0</v>
      </c>
      <c r="AM242" s="1087" t="n">
        <v>0</v>
      </c>
      <c r="AN242" s="1086" t="n">
        <v>0</v>
      </c>
      <c r="AO242" s="1086" t="n">
        <v>0</v>
      </c>
      <c r="AP242" s="1087" t="n">
        <v>0</v>
      </c>
      <c r="AQ242" s="1086" t="n">
        <v>0</v>
      </c>
      <c r="AR242" s="1086" t="n">
        <v>0</v>
      </c>
      <c r="AS242" s="1087" t="n">
        <v>0</v>
      </c>
      <c r="AT242" s="1086" t="n">
        <v>0</v>
      </c>
      <c r="AU242" s="1086" t="n">
        <v>0</v>
      </c>
      <c r="AV242" s="1086" t="n">
        <v>0</v>
      </c>
      <c r="AW242" s="1172" t="n">
        <v>0</v>
      </c>
      <c r="AX242" s="807" t="n">
        <f aca="false">BB242-SUM(AY242:BA242)</f>
        <v>23</v>
      </c>
      <c r="AY242" s="807" t="n">
        <f aca="false">IF(AND($E242=MONTH(Summary!$E$24),$D242=YEAR(Summary!$E$24)),Summary!$E$25,1)*IF(G242="",0,INT((H242-MOD(H242,7)-G242)/7)+1-IF(BA242,IF(WEEKDAY(F242)=7,1,0),0))</f>
        <v>4</v>
      </c>
      <c r="AZ242" s="807" t="n">
        <f aca="false">IF(AND($E242=MONTH(Summary!$E$24),$D242=YEAR(Summary!$E$24)),Summary!$E$25,1)*IF(G242="",0,INT((H242-MOD(H242-1,7)-G242)/7)+1-IF(BA242,IF(WEEKDAY(F242)=1,1,0),0))</f>
        <v>4</v>
      </c>
      <c r="BA242" s="807" t="n">
        <v>0</v>
      </c>
      <c r="BB242" s="807" t="n">
        <f aca="false">IF(AND($E242=MONTH(Summary!$E$24),$D242=YEAR(Summary!$E$24)),Summary!$E$25,1)*IF(G242="",0,H242-G242+1)</f>
        <v>31</v>
      </c>
      <c r="BC242" s="1089" t="n">
        <f aca="false">Summary!$E$19</f>
        <v>0.015</v>
      </c>
      <c r="BD242" s="1090" t="n">
        <v>16311.6</v>
      </c>
      <c r="BE242" s="1091" t="n">
        <v>2836.8</v>
      </c>
      <c r="BF242" s="1091" t="n">
        <v>2836.8</v>
      </c>
      <c r="BG242" s="842"/>
      <c r="BH242" s="1092" t="n">
        <v>1</v>
      </c>
      <c r="BI242" s="1092" t="n">
        <v>1</v>
      </c>
      <c r="BJ242" s="1092" t="n">
        <v>1</v>
      </c>
      <c r="BK242" s="1092" t="n">
        <v>1</v>
      </c>
      <c r="BL242" s="1093" t="n">
        <v>3262.32</v>
      </c>
      <c r="BM242" s="1091" t="n">
        <v>567.36</v>
      </c>
      <c r="BN242" s="1091" t="n">
        <v>567.36</v>
      </c>
      <c r="BO242" s="842"/>
      <c r="BP242" s="1092" t="n">
        <v>1</v>
      </c>
      <c r="BQ242" s="1094" t="n">
        <v>1</v>
      </c>
      <c r="BR242" s="1094" t="n">
        <v>1</v>
      </c>
      <c r="BS242" s="1095" t="n">
        <v>1</v>
      </c>
      <c r="BT242" s="1093" t="n">
        <f aca="false">SUM(BD242:BF242)</f>
        <v>21985.2</v>
      </c>
      <c r="BU242" s="1098" t="n">
        <f aca="false">SUM(BD242:BG242)</f>
        <v>21985.2</v>
      </c>
      <c r="BV242" s="1090" t="n">
        <f aca="false">SUM(BL242:BN242)</f>
        <v>4397.04</v>
      </c>
      <c r="BW242" s="1098" t="n">
        <f aca="false">SUM(BL242:BO242)</f>
        <v>4397.04</v>
      </c>
      <c r="BX242" s="852" t="n">
        <v>18.7953456536619</v>
      </c>
      <c r="BY242" s="1099" t="n">
        <v>0</v>
      </c>
      <c r="BZ242" s="852" t="n">
        <v>0</v>
      </c>
      <c r="CA242" s="852" t="n">
        <v>0</v>
      </c>
      <c r="CB242" s="852" t="n">
        <v>0</v>
      </c>
      <c r="CC242" s="852" t="n">
        <v>0</v>
      </c>
      <c r="CD242" s="852" t="n">
        <v>0</v>
      </c>
      <c r="CE242" s="1100" t="n">
        <v>0</v>
      </c>
      <c r="CF242" s="852" t="n">
        <v>0</v>
      </c>
      <c r="CG242" s="852" t="n">
        <v>0</v>
      </c>
      <c r="CH242" s="852" t="n">
        <v>0</v>
      </c>
      <c r="CI242" s="852" t="n">
        <v>0</v>
      </c>
      <c r="CJ242" s="1101" t="n">
        <v>0</v>
      </c>
      <c r="CK242" s="852" t="n">
        <v>0</v>
      </c>
      <c r="CL242" s="852" t="n">
        <v>0</v>
      </c>
      <c r="CM242" s="852" t="n">
        <v>0</v>
      </c>
      <c r="CN242" s="852" t="n">
        <v>0</v>
      </c>
      <c r="CO242" s="852" t="n">
        <v>0</v>
      </c>
      <c r="CP242" s="852" t="n">
        <v>0</v>
      </c>
      <c r="CQ242" s="1102" t="n">
        <v>0</v>
      </c>
      <c r="CR242" s="1103" t="n">
        <v>0</v>
      </c>
      <c r="CS242" s="1103" t="n">
        <v>0</v>
      </c>
      <c r="CT242" s="1103" t="n">
        <v>0</v>
      </c>
      <c r="CU242" s="1103" t="n">
        <v>0</v>
      </c>
      <c r="CV242" s="1103" t="n">
        <v>0</v>
      </c>
      <c r="CW242" s="1103" t="n">
        <v>0</v>
      </c>
      <c r="CX242" s="1104" t="n">
        <v>0</v>
      </c>
      <c r="CY242" s="1105" t="n">
        <v>7733.05264</v>
      </c>
      <c r="CZ242" s="1099" t="n">
        <v>0</v>
      </c>
      <c r="DA242" s="852" t="n">
        <v>0</v>
      </c>
      <c r="DB242" s="852" t="n">
        <v>0</v>
      </c>
      <c r="DC242" s="852" t="n">
        <v>0</v>
      </c>
      <c r="DD242" s="852" t="n">
        <v>0</v>
      </c>
      <c r="DE242" s="1113" t="n">
        <v>0</v>
      </c>
      <c r="DF242" s="1109" t="n">
        <v>0</v>
      </c>
      <c r="DG242" s="1110" t="n">
        <v>0</v>
      </c>
      <c r="DH242" s="1111" t="n">
        <v>0</v>
      </c>
      <c r="DI242" s="1112" t="n">
        <v>0</v>
      </c>
      <c r="DJ242" s="1112" t="n">
        <v>0</v>
      </c>
      <c r="DK242" s="1112" t="n">
        <v>0</v>
      </c>
      <c r="DL242" s="1113" t="n">
        <v>0</v>
      </c>
      <c r="DM242" s="1114" t="n">
        <v>0</v>
      </c>
      <c r="DN242" s="1114" t="n">
        <v>0</v>
      </c>
      <c r="DO242" s="1114" t="n">
        <v>0</v>
      </c>
      <c r="DP242" s="1114" t="n">
        <v>0</v>
      </c>
      <c r="DQ242" s="1114" t="n">
        <v>0</v>
      </c>
      <c r="DR242" s="1109" t="n">
        <v>0</v>
      </c>
      <c r="DS242" s="852" t="n">
        <v>0</v>
      </c>
      <c r="DT242" s="852" t="n">
        <v>0</v>
      </c>
      <c r="DU242" s="852" t="n">
        <v>0</v>
      </c>
      <c r="DV242" s="852" t="n">
        <v>0</v>
      </c>
      <c r="DW242" s="852" t="n">
        <v>0</v>
      </c>
      <c r="DX242" s="852" t="n">
        <v>0</v>
      </c>
      <c r="DY242" s="852" t="n">
        <v>0</v>
      </c>
      <c r="DZ242" s="852" t="n">
        <v>0</v>
      </c>
      <c r="EA242" s="852" t="n">
        <v>0</v>
      </c>
      <c r="EB242" s="1113" t="n">
        <v>0</v>
      </c>
      <c r="EC242" s="1115" t="n">
        <f aca="false">DS242*BD242</f>
        <v>0</v>
      </c>
      <c r="ED242" s="1115" t="n">
        <f aca="false">DT242*BE242</f>
        <v>0</v>
      </c>
      <c r="EE242" s="1115" t="n">
        <f aca="false">DU242*BF242</f>
        <v>0</v>
      </c>
      <c r="EF242" s="1115" t="n">
        <f aca="false">DV242*BG242</f>
        <v>0</v>
      </c>
      <c r="EG242" s="1115" t="n">
        <f aca="false">DS242*BD242+DT242*BE242+DU242*BF242+DV242*BG242</f>
        <v>0</v>
      </c>
      <c r="EH242" s="1116" t="n">
        <v>0</v>
      </c>
      <c r="EI242" s="1117" t="n">
        <v>0</v>
      </c>
      <c r="EJ242" s="1117" t="n">
        <v>0</v>
      </c>
      <c r="EK242" s="1117" t="n">
        <v>0</v>
      </c>
      <c r="EL242" s="1118" t="n">
        <f aca="false">IF(C242&gt;=Summary!$E$26,MAX(0,SUM(EH242:EK242)),0)</f>
        <v>0</v>
      </c>
      <c r="EM242" s="1115" t="n">
        <f aca="false">IF(C242&gt;=Summary!$E$26,DX242*BL242,0)</f>
        <v>0</v>
      </c>
      <c r="EN242" s="1115" t="n">
        <f aca="false">IF(C242&gt;=Summary!$E$26,DY242*BM242,0)</f>
        <v>0</v>
      </c>
      <c r="EO242" s="1115" t="n">
        <f aca="false">IF(C242&gt;=Summary!$E$26,DZ242*BN242,0)</f>
        <v>0</v>
      </c>
      <c r="EP242" s="1115" t="n">
        <f aca="false">IF(C242&gt;=Summary!$E$26,EA242*BO242,0)</f>
        <v>0</v>
      </c>
      <c r="EQ242" s="1115" t="n">
        <f aca="false">IF(C242&gt;=Summary!$E$26,DX242*BL242+DY242*BM242+DZ242*BN242+EA242*BO242,0)</f>
        <v>0</v>
      </c>
      <c r="ER242" s="1119" t="n">
        <v>0</v>
      </c>
      <c r="ES242" s="1120" t="n">
        <v>0</v>
      </c>
      <c r="ET242" s="1120" t="n">
        <v>0</v>
      </c>
      <c r="EU242" s="1120" t="n">
        <v>0</v>
      </c>
      <c r="EV242" s="1143" t="n">
        <f aca="false">IF(C242&gt;=Summary!$E$26,MAX(0,SUM(ER242:EU242)),0)</f>
        <v>0</v>
      </c>
      <c r="EW242" s="1115"/>
      <c r="EX242" s="1165" t="n">
        <f aca="false">(EQ242-EV242)+IF(EZ242="Yes",(EG242-EL242),0)</f>
        <v>0</v>
      </c>
      <c r="EY242" s="1166" t="str">
        <f aca="false">IF(EX242,EX242/EQ242,"")</f>
        <v/>
      </c>
      <c r="EZ242" s="1122" t="s">
        <v>37</v>
      </c>
      <c r="FA242" s="1096" t="n">
        <f aca="false">FA241</f>
        <v>45</v>
      </c>
      <c r="FB242" s="1167" t="n">
        <f aca="false">IF(EZ242="No",IF((OR(MONTH(C242)=5,MONTH(C242)=6,MONTH(C242)=7,MONTH(C242)=8,MONTH(C242)=9)),$FA242*12*AX242*(1-$BC242),$FA242*10*AX242*(1-$BC242)),0)</f>
        <v>10194.75</v>
      </c>
      <c r="FC242" s="1129" t="n">
        <f aca="false">IF(EZ242="No",IF((OR(MONTH(C242)=5,MONTH(C242)=6,MONTH(C242)=7,MONTH(C242)=8,MONTH(C242)=9)),0,$FA242*3*AX242*(1-$BC242)),0)</f>
        <v>3058.425</v>
      </c>
      <c r="FD242" s="1129" t="n">
        <f aca="false">IF(EZ242="No",IF((OR(MONTH(C242)=5,MONTH(C242)=6,MONTH(C242)=7,MONTH(C242)=8,MONTH(C242)=9)),$FA242*12*AY242*(1-$BC242),$FA242*10*AY242*(1-$BC242)),0)</f>
        <v>1773</v>
      </c>
      <c r="FE242" s="1129" t="n">
        <f aca="false">IF(EZ242="No",IF((OR(MONTH(C242)=5,MONTH(C242)=6,MONTH(C242)=7,MONTH(C242)=8,MONTH(C242)=9)),0,$FA242*3*AY242*(1-$BC242)),0)</f>
        <v>531.9</v>
      </c>
      <c r="FF242" s="1129" t="n">
        <f aca="false">IF(EZ242="No",IF((OR(MONTH(C242)=5,MONTH(C242)=6,MONTH(C242)=7,MONTH(C242)=8,MONTH(C242)=9)),$FA242*12*(AZ242+BA242)*(1-$BC242),$FA242*10*(AZ242+BA242)*(1-$BC242)),0)</f>
        <v>1773</v>
      </c>
      <c r="FG242" s="1129" t="n">
        <f aca="false">IF(EZ242="No",IF((OR(MONTH(C242)=5,MONTH(C242)=6,MONTH(C242)=7,MONTH(C242)=8,MONTH(C242)=9)),0,$FA242*3*(AZ242+BA242)*(1-$BC242)),0)</f>
        <v>531.9</v>
      </c>
      <c r="FH242" s="1170" t="n">
        <f aca="false">IF(EZ242="No",IF((OR(MONTH(C242)=5,MONTH(C242)=6,MONTH(C242)=7,MONTH(C242)=8,MONTH(C242)=9)),Summary!$O$15*12*(AX242+AY242+AZ242+BA242)*(1-$BC242),Summary!$O$15*13*(AX242+AY242+AZ242+BA242)*(1-$BC242)+IF(Summary!$O$16="Yes",(CALC!FA242+Summary!$O$15)*6*(AX242+AY242+AZ242+BA242)*(1-$BC242),0)),0)</f>
        <v>0</v>
      </c>
      <c r="FI242" s="1126" t="n">
        <f aca="false">IF(MONTH(C242)=5,FI241*(IF(Summary!$E$70="no",(1+(Summary!$E$71*0.8)),1+HLOOKUP(YEAR(C242)-1,CCFMODEL!$I$127:$AF$128,2)*0.8)),+FI241)</f>
        <v>41.7467669592219</v>
      </c>
      <c r="FJ242" s="1127" t="n">
        <f aca="false">IF(MONTH(C242)=5,FJ241*(IF(Summary!$E$70="no",(1+(Summary!$E$71*0.8)),1+HLOOKUP(YEAR(CALC!C242)-1,CCFMODEL!$I$127:$AF$128,2)*0.8)),FJ241)</f>
        <v>36.4873317517609</v>
      </c>
      <c r="FK242" s="1128" t="n">
        <f aca="false">SUM(FB242:FG242)*FI242+FH242*FJ242</f>
        <v>745721.454523407</v>
      </c>
      <c r="FL242" s="1126" t="n">
        <f aca="false">IF(MONTH(C242)=5,FL241*(IF(Summary!$E$70="no",(1+(Summary!$E$71*0.8)),1+HLOOKUP(YEAR(CALC!C242)-1,CCFMODEL!$I$127:$AF$128,2)*0.8)),+FL241)</f>
        <v>87.798131186455</v>
      </c>
      <c r="FM242" s="1127" t="n">
        <f aca="false">IF(MONTH(C242)=5,FM241*(IF(Summary!$E$70="no",(1+(Summary!$E$71*0.8)),1+HLOOKUP(YEAR(CALC!C242)-1,CCFMODEL!$I$127:$AF$128,2)*0.8)),+FM241)</f>
        <v>41.9032977689678</v>
      </c>
      <c r="FN242" s="1128" t="n">
        <f aca="false">IF((OR(MONTH(C242)=5,MONTH(C242)=6,MONTH(C242)=7,MONTH(C242)=8,MONTH(C242)=9)),SUM(FB242:FG242)/(1-BC242)*FL242,SUM(FB242:FG242)/(1-BC242)*FM242)</f>
        <v>759916.30504023</v>
      </c>
      <c r="FO242" s="1129" t="n">
        <f aca="false">FK242+FN242</f>
        <v>1505637.75956364</v>
      </c>
      <c r="FP242" s="1169" t="n">
        <f aca="false">FB242</f>
        <v>10194.75</v>
      </c>
      <c r="FQ242" s="1129" t="n">
        <f aca="false">FC242</f>
        <v>3058.425</v>
      </c>
      <c r="FR242" s="1129" t="n">
        <f aca="false">FD242</f>
        <v>1773</v>
      </c>
      <c r="FS242" s="1129" t="n">
        <f aca="false">FE242</f>
        <v>531.9</v>
      </c>
      <c r="FT242" s="1129" t="n">
        <f aca="false">FF242</f>
        <v>1773</v>
      </c>
      <c r="FU242" s="1129" t="n">
        <f aca="false">FG242</f>
        <v>531.9</v>
      </c>
      <c r="FV242" s="1170" t="n">
        <f aca="false">FH242</f>
        <v>0</v>
      </c>
      <c r="FW242" s="1115" t="n">
        <f aca="false">IF(ER242&gt;0,MIN(FB242-FP242,BL242),0)</f>
        <v>0</v>
      </c>
      <c r="FX242" s="1115" t="n">
        <f aca="false">IF(ES242&gt;0,MIN(FD242-FR242,BM242),0)</f>
        <v>0</v>
      </c>
      <c r="FY242" s="1115" t="n">
        <f aca="false">IF(ET242&gt;0,MIN(FF242-FT242,BN242),0)</f>
        <v>0</v>
      </c>
      <c r="FZ242" s="1143" t="n">
        <f aca="false">IF(EU242&gt;0,MIN(FH242-FV242,BO242),0)</f>
        <v>0</v>
      </c>
      <c r="GA242" s="1132" t="n">
        <f aca="false">(SUM(FP242:FV242)+SUM(GU242:HB242)/(1-Summary!$O$25))*CY242/1000</f>
        <v>235892.633600038</v>
      </c>
      <c r="GB242" s="1133" t="n">
        <f aca="false">IF($C242&lt;Summary!$M$81,+Summary!$O$81,VLOOKUP(C242,GasTable,19))</f>
        <v>4.10980651233287</v>
      </c>
      <c r="GC242" s="1134" t="n">
        <f aca="false">IF(H242&lt;=Summary!$N$84,MIN(GA242,Summary!$O$75*(H242-G242+1)),0)</f>
        <v>0</v>
      </c>
      <c r="GD242" s="1135" t="n">
        <f aca="false">IF(C242&lt;Summary!$N$84,IF(Summary!$O$75*(H242-G242+1)*0.8&gt;GC242,1,0),0)</f>
        <v>0</v>
      </c>
      <c r="GE242" s="1136" t="n">
        <v>0</v>
      </c>
      <c r="GF242" s="1134" t="n">
        <f aca="false">ABS(MIN(0,GC242-$GA242))</f>
        <v>235892.633600038</v>
      </c>
      <c r="GG242" s="1135" t="n">
        <f aca="false">GF242*(IF(Summary!$O$74=1,VLOOKUP($C242,GasTable,16)+Summary!$O$92+Summary!$O$93,VLOOKUP($C242,GasTable,19)+Summary!$O$92+Summary!$O$93))</f>
        <v>981763.087991349</v>
      </c>
      <c r="GH242" s="1137" t="n">
        <v>6370.20009411595</v>
      </c>
      <c r="GI242" s="1138" t="n">
        <v>0</v>
      </c>
      <c r="GJ242" s="1139" t="n">
        <f aca="false">+GB242*GC242+GE242+GG242+GH242-GI242</f>
        <v>988133.288085464</v>
      </c>
      <c r="GK242" s="1115" t="n">
        <f aca="false">SUM(FP242:FV242,GU242:GX242,GY242:HB242)</f>
        <v>30062.01285</v>
      </c>
      <c r="GL242" s="1140" t="n">
        <v>0.51811452688</v>
      </c>
      <c r="GM242" s="1141" t="n">
        <f aca="false">IF(GK242&gt;GC242/(CY242/1000),GC242/(CY242/1000),+GK242)*GL242</f>
        <v>0</v>
      </c>
      <c r="GN242" s="1115" t="n">
        <f aca="false">IF(SUM(GU242:HB242)=0,0,IF(Summary!$O$16="Yes",SUM(GX242:HB242),IF(Summary!$O$17="Yes",SUM(GY242:HB242),SUM(GU242:HB242))))</f>
        <v>12199.03785</v>
      </c>
      <c r="GO242" s="1142" t="n">
        <v>4.05098296203579</v>
      </c>
      <c r="GP242" s="1143" t="n">
        <f aca="false">GN242*GO242</f>
        <v>49418.0944835797</v>
      </c>
      <c r="GQ242" s="1115"/>
      <c r="GR242" s="1115"/>
      <c r="GS242" s="1115"/>
      <c r="GT242" s="1115"/>
      <c r="GU242" s="1150" t="n">
        <v>5902.76025</v>
      </c>
      <c r="GV242" s="1115" t="n">
        <v>1026.567</v>
      </c>
      <c r="GW242" s="1115" t="n">
        <v>1026.567</v>
      </c>
      <c r="GX242" s="1115"/>
      <c r="GY242" s="1151" t="n">
        <v>3148.1388</v>
      </c>
      <c r="GZ242" s="1115" t="n">
        <v>547.5024</v>
      </c>
      <c r="HA242" s="1115" t="n">
        <v>547.5024</v>
      </c>
      <c r="HB242" s="1141"/>
      <c r="HC242" s="1115" t="n">
        <v>12199.03785</v>
      </c>
      <c r="HD242" s="1115"/>
      <c r="HE242" s="1115" t="n">
        <v>20950.521525</v>
      </c>
      <c r="HF242" s="1115" t="n">
        <v>679319.375728483</v>
      </c>
      <c r="HG242" s="1115"/>
      <c r="HH242" s="1142" t="n">
        <v>54.805547711183</v>
      </c>
      <c r="HI242" s="1115" t="n">
        <v>1148204.80701255</v>
      </c>
      <c r="HJ242" s="1150" t="n">
        <f aca="false">MAX(FB242-FP242-FW242,0)</f>
        <v>0</v>
      </c>
      <c r="HK242" s="1115" t="n">
        <f aca="false">MAX(FD242-FR242-FX242,0)</f>
        <v>0</v>
      </c>
      <c r="HL242" s="1115" t="n">
        <f aca="false">MAX(FF242-FT242-FY242,0)</f>
        <v>0</v>
      </c>
      <c r="HM242" s="1141" t="n">
        <f aca="false">MAX(FH242-FV242-FZ242,0)</f>
        <v>0</v>
      </c>
      <c r="HN242" s="1115" t="n">
        <f aca="false">SUM(HJ242:HM242)</f>
        <v>0</v>
      </c>
      <c r="HO242" s="1142" t="n">
        <f aca="false">IF(ISERROR(+HP242/HN242),0,+HP242/HN242)</f>
        <v>0</v>
      </c>
      <c r="HP242" s="1143" t="n">
        <f aca="false">(HJ242*CE242+HK242*CF242+HL242*CG242+HM242*CH242)</f>
        <v>0</v>
      </c>
      <c r="HQ242" s="1142"/>
      <c r="HR242" s="1150"/>
      <c r="HS242" s="1200"/>
      <c r="HT242" s="1141"/>
      <c r="HU242" s="1150"/>
      <c r="HV242" s="1200"/>
      <c r="HW242" s="1141"/>
      <c r="HX242" s="1200"/>
      <c r="HY242" s="1200"/>
      <c r="HZ242" s="0"/>
      <c r="IA242" s="1142"/>
      <c r="IB242" s="1142"/>
      <c r="IC242" s="1142"/>
      <c r="ID242" s="1142"/>
      <c r="IE242" s="1142"/>
      <c r="IF242" s="1142"/>
      <c r="IG242" s="1142"/>
      <c r="IH242" s="1142"/>
      <c r="II242" s="1142"/>
      <c r="IJ242" s="1142"/>
      <c r="IK242" s="1142"/>
      <c r="IL242" s="1190"/>
      <c r="IM242" s="222"/>
      <c r="IN242" s="222"/>
      <c r="IR242" s="844"/>
    </row>
    <row r="243" customFormat="false" ht="13.5" hidden="false" customHeight="false" outlineLevel="0" collapsed="false">
      <c r="A243" s="0" t="str">
        <f aca="false">+D243&amp;"Q"&amp;ROUNDUP(E243/3,0)</f>
        <v>2018Q4</v>
      </c>
      <c r="B243" s="0" t="n">
        <f aca="false">YEAR(C243)</f>
        <v>2018</v>
      </c>
      <c r="C243" s="1153" t="n">
        <f aca="false">EOMONTH(C242,0)+1</f>
        <v>43405</v>
      </c>
      <c r="D243" s="841" t="n">
        <f aca="false">+YEAR(C243)</f>
        <v>2018</v>
      </c>
      <c r="E243" s="807" t="n">
        <f aca="false">MONTH(C243)</f>
        <v>11</v>
      </c>
      <c r="F243" s="1154" t="e">
        <f aca="false">IF(G243="","",Holiday(D243,E243))</f>
        <v>#VALUE!</v>
      </c>
      <c r="G243" s="1155" t="n">
        <v>43405</v>
      </c>
      <c r="H243" s="1156" t="n">
        <v>43434</v>
      </c>
      <c r="I243" s="1157" t="n">
        <f aca="false">I242</f>
        <v>0.0715</v>
      </c>
      <c r="J243" s="1158" t="n">
        <f aca="false">(1+I243/2)^(-2*(DATE(D244,E244,20)-$H$7)/365.25)</f>
        <v>0.262950296406454</v>
      </c>
      <c r="K243" s="1159"/>
      <c r="L243" s="1158"/>
      <c r="M243" s="1082" t="n">
        <v>0</v>
      </c>
      <c r="N243" s="1110" t="n">
        <f aca="false">M243</f>
        <v>0</v>
      </c>
      <c r="O243" s="1174" t="n">
        <f aca="false">N243</f>
        <v>0</v>
      </c>
      <c r="P243" s="1175" t="n">
        <f aca="false">M243</f>
        <v>0</v>
      </c>
      <c r="Q243" s="1110" t="n">
        <f aca="false">P243</f>
        <v>0</v>
      </c>
      <c r="R243" s="1174" t="n">
        <f aca="false">Q243</f>
        <v>0</v>
      </c>
      <c r="S243" s="1110" t="n">
        <f aca="false">R243</f>
        <v>0</v>
      </c>
      <c r="T243" s="1110" t="n">
        <f aca="false">S243</f>
        <v>0</v>
      </c>
      <c r="U243" s="1110" t="n">
        <f aca="false">T243</f>
        <v>0</v>
      </c>
      <c r="V243" s="1175" t="n">
        <f aca="false">U243</f>
        <v>0</v>
      </c>
      <c r="W243" s="1110" t="n">
        <f aca="false">V243</f>
        <v>0</v>
      </c>
      <c r="X243" s="1176" t="n">
        <f aca="false">W243</f>
        <v>0</v>
      </c>
      <c r="Y243" s="1086" t="n">
        <v>0</v>
      </c>
      <c r="Z243" s="1086" t="n">
        <v>0</v>
      </c>
      <c r="AA243" s="1087" t="n">
        <v>0</v>
      </c>
      <c r="AB243" s="1086" t="n">
        <v>0</v>
      </c>
      <c r="AC243" s="1086" t="n">
        <v>0</v>
      </c>
      <c r="AD243" s="1087" t="n">
        <v>0</v>
      </c>
      <c r="AE243" s="1086" t="n">
        <v>0</v>
      </c>
      <c r="AF243" s="1086" t="n">
        <v>0</v>
      </c>
      <c r="AG243" s="1087" t="n">
        <v>0</v>
      </c>
      <c r="AH243" s="1086" t="n">
        <v>0</v>
      </c>
      <c r="AI243" s="1086" t="n">
        <v>0</v>
      </c>
      <c r="AJ243" s="1087" t="n">
        <v>0</v>
      </c>
      <c r="AK243" s="1086" t="n">
        <v>0</v>
      </c>
      <c r="AL243" s="1086" t="n">
        <v>0</v>
      </c>
      <c r="AM243" s="1087" t="n">
        <v>0</v>
      </c>
      <c r="AN243" s="1086" t="n">
        <v>0</v>
      </c>
      <c r="AO243" s="1086" t="n">
        <v>0</v>
      </c>
      <c r="AP243" s="1087" t="n">
        <v>0</v>
      </c>
      <c r="AQ243" s="1086" t="n">
        <v>0</v>
      </c>
      <c r="AR243" s="1086" t="n">
        <v>0</v>
      </c>
      <c r="AS243" s="1087" t="n">
        <v>0</v>
      </c>
      <c r="AT243" s="1086" t="n">
        <v>0</v>
      </c>
      <c r="AU243" s="1086" t="n">
        <v>0</v>
      </c>
      <c r="AV243" s="1086" t="n">
        <v>0</v>
      </c>
      <c r="AW243" s="1172" t="n">
        <v>0</v>
      </c>
      <c r="AX243" s="807" t="e">
        <f aca="false">BB243-SUM(AY243:BA243)</f>
        <v>#VALUE!</v>
      </c>
      <c r="AY243" s="807" t="e">
        <f aca="false">IF(AND($E243=MONTH(Summary!$E$24),$D243=YEAR(Summary!$E$24)),Summary!$E$25,1)*IF(G243="",0,INT((H243-MOD(H243,7)-G243)/7)+1-IF(BA243,IF(WEEKDAY(F243)=7,1,0),0))</f>
        <v>#VALUE!</v>
      </c>
      <c r="AZ243" s="807" t="e">
        <f aca="false">IF(AND($E243=MONTH(Summary!$E$24),$D243=YEAR(Summary!$E$24)),Summary!$E$25,1)*IF(G243="",0,INT((H243-MOD(H243-1,7)-G243)/7)+1-IF(BA243,IF(WEEKDAY(F243)=1,1,0),0))</f>
        <v>#VALUE!</v>
      </c>
      <c r="BA243" s="807" t="n">
        <v>1</v>
      </c>
      <c r="BB243" s="807" t="n">
        <f aca="false">IF(AND($E243=MONTH(Summary!$E$24),$D243=YEAR(Summary!$E$24)),Summary!$E$25,1)*IF(G243="",0,H243-G243+1)</f>
        <v>30</v>
      </c>
      <c r="BC243" s="1089" t="n">
        <f aca="false">Summary!$E$19</f>
        <v>0.015</v>
      </c>
      <c r="BD243" s="1090" t="n">
        <v>14893.2</v>
      </c>
      <c r="BE243" s="1091" t="n">
        <v>2836.8</v>
      </c>
      <c r="BF243" s="1091" t="n">
        <v>3546</v>
      </c>
      <c r="BG243" s="842"/>
      <c r="BH243" s="1092" t="n">
        <v>1</v>
      </c>
      <c r="BI243" s="1092" t="n">
        <v>1</v>
      </c>
      <c r="BJ243" s="1092" t="n">
        <v>1</v>
      </c>
      <c r="BK243" s="1092" t="n">
        <v>1</v>
      </c>
      <c r="BL243" s="1093" t="n">
        <v>2978.64</v>
      </c>
      <c r="BM243" s="1091" t="n">
        <v>567.36</v>
      </c>
      <c r="BN243" s="1091" t="n">
        <v>709.2</v>
      </c>
      <c r="BO243" s="842"/>
      <c r="BP243" s="1092" t="n">
        <v>1</v>
      </c>
      <c r="BQ243" s="1094" t="n">
        <v>1</v>
      </c>
      <c r="BR243" s="1094" t="n">
        <v>1</v>
      </c>
      <c r="BS243" s="1095" t="n">
        <v>1</v>
      </c>
      <c r="BT243" s="1093" t="n">
        <f aca="false">SUM(BD243:BF243)</f>
        <v>21276</v>
      </c>
      <c r="BU243" s="1098" t="n">
        <f aca="false">SUM(BD243:BG243)</f>
        <v>21276</v>
      </c>
      <c r="BV243" s="1090" t="n">
        <f aca="false">SUM(BL243:BN243)</f>
        <v>4255.2</v>
      </c>
      <c r="BW243" s="1098" t="n">
        <f aca="false">SUM(BL243:BO243)</f>
        <v>4255.2</v>
      </c>
      <c r="BX243" s="852" t="n">
        <v>18.880219028063</v>
      </c>
      <c r="BY243" s="1099" t="n">
        <v>0</v>
      </c>
      <c r="BZ243" s="852" t="n">
        <v>0</v>
      </c>
      <c r="CA243" s="852" t="n">
        <v>0</v>
      </c>
      <c r="CB243" s="852" t="n">
        <v>0</v>
      </c>
      <c r="CC243" s="852" t="n">
        <v>0</v>
      </c>
      <c r="CD243" s="852" t="n">
        <v>0</v>
      </c>
      <c r="CE243" s="1100" t="n">
        <v>0</v>
      </c>
      <c r="CF243" s="852" t="n">
        <v>0</v>
      </c>
      <c r="CG243" s="852" t="n">
        <v>0</v>
      </c>
      <c r="CH243" s="852" t="n">
        <v>0</v>
      </c>
      <c r="CI243" s="852" t="n">
        <v>0</v>
      </c>
      <c r="CJ243" s="1101" t="n">
        <v>0</v>
      </c>
      <c r="CK243" s="852" t="n">
        <v>0</v>
      </c>
      <c r="CL243" s="852" t="n">
        <v>0</v>
      </c>
      <c r="CM243" s="852" t="n">
        <v>0</v>
      </c>
      <c r="CN243" s="852" t="n">
        <v>0</v>
      </c>
      <c r="CO243" s="852" t="n">
        <v>0</v>
      </c>
      <c r="CP243" s="852" t="n">
        <v>0</v>
      </c>
      <c r="CQ243" s="1102" t="n">
        <v>0</v>
      </c>
      <c r="CR243" s="1103" t="n">
        <v>0</v>
      </c>
      <c r="CS243" s="1103" t="n">
        <v>0</v>
      </c>
      <c r="CT243" s="1103" t="n">
        <v>0</v>
      </c>
      <c r="CU243" s="1103" t="n">
        <v>0</v>
      </c>
      <c r="CV243" s="1103" t="n">
        <v>0</v>
      </c>
      <c r="CW243" s="1103" t="n">
        <v>0</v>
      </c>
      <c r="CX243" s="1104" t="n">
        <v>0</v>
      </c>
      <c r="CY243" s="1105" t="n">
        <v>7735.0836</v>
      </c>
      <c r="CZ243" s="1099" t="n">
        <v>0</v>
      </c>
      <c r="DA243" s="852" t="n">
        <v>0</v>
      </c>
      <c r="DB243" s="852" t="n">
        <v>0</v>
      </c>
      <c r="DC243" s="852" t="n">
        <v>0</v>
      </c>
      <c r="DD243" s="852" t="n">
        <v>0</v>
      </c>
      <c r="DE243" s="1113" t="n">
        <v>0</v>
      </c>
      <c r="DF243" s="1109" t="n">
        <v>0</v>
      </c>
      <c r="DG243" s="1110" t="n">
        <v>0</v>
      </c>
      <c r="DH243" s="1111" t="n">
        <v>0</v>
      </c>
      <c r="DI243" s="1112" t="n">
        <v>0</v>
      </c>
      <c r="DJ243" s="1112" t="n">
        <v>0</v>
      </c>
      <c r="DK243" s="1112" t="n">
        <v>0</v>
      </c>
      <c r="DL243" s="1113" t="n">
        <v>0</v>
      </c>
      <c r="DM243" s="1114" t="n">
        <v>0</v>
      </c>
      <c r="DN243" s="1114" t="n">
        <v>0</v>
      </c>
      <c r="DO243" s="1114" t="n">
        <v>0</v>
      </c>
      <c r="DP243" s="1114" t="n">
        <v>0</v>
      </c>
      <c r="DQ243" s="1114" t="n">
        <v>0</v>
      </c>
      <c r="DR243" s="1109" t="n">
        <v>0</v>
      </c>
      <c r="DS243" s="852" t="n">
        <v>0</v>
      </c>
      <c r="DT243" s="852" t="n">
        <v>0</v>
      </c>
      <c r="DU243" s="852" t="n">
        <v>0</v>
      </c>
      <c r="DV243" s="852" t="n">
        <v>0</v>
      </c>
      <c r="DW243" s="852" t="n">
        <v>0</v>
      </c>
      <c r="DX243" s="852" t="n">
        <v>0</v>
      </c>
      <c r="DY243" s="852" t="n">
        <v>0</v>
      </c>
      <c r="DZ243" s="852" t="n">
        <v>0</v>
      </c>
      <c r="EA243" s="852" t="n">
        <v>0</v>
      </c>
      <c r="EB243" s="1113" t="n">
        <v>0</v>
      </c>
      <c r="EC243" s="1115" t="n">
        <f aca="false">DS243*BD243</f>
        <v>0</v>
      </c>
      <c r="ED243" s="1115" t="n">
        <f aca="false">DT243*BE243</f>
        <v>0</v>
      </c>
      <c r="EE243" s="1115" t="n">
        <f aca="false">DU243*BF243</f>
        <v>0</v>
      </c>
      <c r="EF243" s="1115" t="n">
        <f aca="false">DV243*BG243</f>
        <v>0</v>
      </c>
      <c r="EG243" s="1115" t="n">
        <f aca="false">DS243*BD243+DT243*BE243+DU243*BF243+DV243*BG243</f>
        <v>0</v>
      </c>
      <c r="EH243" s="1116" t="n">
        <v>0</v>
      </c>
      <c r="EI243" s="1117" t="n">
        <v>0</v>
      </c>
      <c r="EJ243" s="1117" t="n">
        <v>0</v>
      </c>
      <c r="EK243" s="1117" t="n">
        <v>0</v>
      </c>
      <c r="EL243" s="1118" t="n">
        <f aca="false">IF(C243&gt;=Summary!$E$26,MAX(0,SUM(EH243:EK243)),0)</f>
        <v>0</v>
      </c>
      <c r="EM243" s="1115" t="n">
        <f aca="false">IF(C243&gt;=Summary!$E$26,DX243*BL243,0)</f>
        <v>0</v>
      </c>
      <c r="EN243" s="1115" t="n">
        <f aca="false">IF(C243&gt;=Summary!$E$26,DY243*BM243,0)</f>
        <v>0</v>
      </c>
      <c r="EO243" s="1115" t="n">
        <f aca="false">IF(C243&gt;=Summary!$E$26,DZ243*BN243,0)</f>
        <v>0</v>
      </c>
      <c r="EP243" s="1115" t="n">
        <f aca="false">IF(C243&gt;=Summary!$E$26,EA243*BO243,0)</f>
        <v>0</v>
      </c>
      <c r="EQ243" s="1115" t="n">
        <f aca="false">IF(C243&gt;=Summary!$E$26,DX243*BL243+DY243*BM243+DZ243*BN243+EA243*BO243,0)</f>
        <v>0</v>
      </c>
      <c r="ER243" s="1119" t="n">
        <v>0</v>
      </c>
      <c r="ES243" s="1120" t="n">
        <v>0</v>
      </c>
      <c r="ET243" s="1120" t="n">
        <v>0</v>
      </c>
      <c r="EU243" s="1120" t="n">
        <v>0</v>
      </c>
      <c r="EV243" s="1143" t="n">
        <f aca="false">IF(C243&gt;=Summary!$E$26,MAX(0,SUM(ER243:EU243)),0)</f>
        <v>0</v>
      </c>
      <c r="EW243" s="1115"/>
      <c r="EX243" s="1165" t="n">
        <f aca="false">(EQ243-EV243)+IF(EZ243="Yes",(EG243-EL243),0)</f>
        <v>0</v>
      </c>
      <c r="EY243" s="1166" t="str">
        <f aca="false">IF(EX243,EX243/EQ243,"")</f>
        <v/>
      </c>
      <c r="EZ243" s="1122" t="s">
        <v>37</v>
      </c>
      <c r="FA243" s="1096" t="n">
        <f aca="false">FA242</f>
        <v>45</v>
      </c>
      <c r="FB243" s="1167" t="e">
        <f aca="false">IF(EZ243="No",IF((OR(MONTH(C243)=5,MONTH(C243)=6,MONTH(C243)=7,MONTH(C243)=8,MONTH(C243)=9)),$FA243*12*AX243*(1-$BC243),$FA243*10*AX243*(1-$BC243)),0)</f>
        <v>#VALUE!</v>
      </c>
      <c r="FC243" s="1129" t="e">
        <f aca="false">IF(EZ243="No",IF((OR(MONTH(C243)=5,MONTH(C243)=6,MONTH(C243)=7,MONTH(C243)=8,MONTH(C243)=9)),0,$FA243*3*AX243*(1-$BC243)),0)</f>
        <v>#VALUE!</v>
      </c>
      <c r="FD243" s="1129" t="e">
        <f aca="false">IF(EZ243="No",IF((OR(MONTH(C243)=5,MONTH(C243)=6,MONTH(C243)=7,MONTH(C243)=8,MONTH(C243)=9)),$FA243*12*AY243*(1-$BC243),$FA243*10*AY243*(1-$BC243)),0)</f>
        <v>#VALUE!</v>
      </c>
      <c r="FE243" s="1129" t="e">
        <f aca="false">IF(EZ243="No",IF((OR(MONTH(C243)=5,MONTH(C243)=6,MONTH(C243)=7,MONTH(C243)=8,MONTH(C243)=9)),0,$FA243*3*AY243*(1-$BC243)),0)</f>
        <v>#VALUE!</v>
      </c>
      <c r="FF243" s="1129" t="e">
        <f aca="false">IF(EZ243="No",IF((OR(MONTH(C243)=5,MONTH(C243)=6,MONTH(C243)=7,MONTH(C243)=8,MONTH(C243)=9)),$FA243*12*(AZ243+BA243)*(1-$BC243),$FA243*10*(AZ243+BA243)*(1-$BC243)),0)</f>
        <v>#VALUE!</v>
      </c>
      <c r="FG243" s="1129" t="e">
        <f aca="false">IF(EZ243="No",IF((OR(MONTH(C243)=5,MONTH(C243)=6,MONTH(C243)=7,MONTH(C243)=8,MONTH(C243)=9)),0,$FA243*3*(AZ243+BA243)*(1-$BC243)),0)</f>
        <v>#VALUE!</v>
      </c>
      <c r="FH243" s="1170" t="e">
        <f aca="false">IF(EZ243="No",IF((OR(MONTH(C243)=5,MONTH(C243)=6,MONTH(C243)=7,MONTH(C243)=8,MONTH(C243)=9)),Summary!$O$15*12*(AX243+AY243+AZ243+BA243)*(1-$BC243),Summary!$O$15*13*(AX243+AY243+AZ243+BA243)*(1-$BC243)+IF(Summary!$O$16="Yes",(CALC!FA243+Summary!$O$15)*6*(AX243+AY243+AZ243+BA243)*(1-$BC243),0)),0)</f>
        <v>#VALUE!</v>
      </c>
      <c r="FI243" s="1126" t="n">
        <f aca="false">IF(MONTH(C243)=5,FI242*(IF(Summary!$E$70="no",(1+(Summary!$E$71*0.8)),1+HLOOKUP(YEAR(C243)-1,CCFMODEL!$I$127:$AF$128,2)*0.8)),+FI242)</f>
        <v>41.7467669592219</v>
      </c>
      <c r="FJ243" s="1127" t="n">
        <f aca="false">IF(MONTH(C243)=5,FJ242*(IF(Summary!$E$70="no",(1+(Summary!$E$71*0.8)),1+HLOOKUP(YEAR(CALC!C243)-1,CCFMODEL!$I$127:$AF$128,2)*0.8)),FJ242)</f>
        <v>36.4873317517609</v>
      </c>
      <c r="FK243" s="1128" t="e">
        <f aca="false">SUM(FB243:FG243)*FI243+FH243*FJ243</f>
        <v>#VALUE!</v>
      </c>
      <c r="FL243" s="1126" t="n">
        <f aca="false">IF(MONTH(C243)=5,FL242*(IF(Summary!$E$70="no",(1+(Summary!$E$71*0.8)),1+HLOOKUP(YEAR(CALC!C243)-1,CCFMODEL!$I$127:$AF$128,2)*0.8)),+FL242)</f>
        <v>87.798131186455</v>
      </c>
      <c r="FM243" s="1127" t="n">
        <f aca="false">IF(MONTH(C243)=5,FM242*(IF(Summary!$E$70="no",(1+(Summary!$E$71*0.8)),1+HLOOKUP(YEAR(CALC!C243)-1,CCFMODEL!$I$127:$AF$128,2)*0.8)),+FM242)</f>
        <v>41.9032977689678</v>
      </c>
      <c r="FN243" s="1128" t="e">
        <f aca="false">IF((OR(MONTH(C243)=5,MONTH(C243)=6,MONTH(C243)=7,MONTH(C243)=8,MONTH(C243)=9)),SUM(FB243:FG243)/(1-BC243)*FL243,SUM(FB243:FG243)/(1-BC243)*FM243)</f>
        <v>#VALUE!</v>
      </c>
      <c r="FO243" s="1129" t="e">
        <f aca="false">FK243+FN243</f>
        <v>#VALUE!</v>
      </c>
      <c r="FP243" s="1169" t="e">
        <f aca="false">FB243</f>
        <v>#VALUE!</v>
      </c>
      <c r="FQ243" s="1129" t="e">
        <f aca="false">FC243</f>
        <v>#VALUE!</v>
      </c>
      <c r="FR243" s="1129" t="e">
        <f aca="false">FD243</f>
        <v>#VALUE!</v>
      </c>
      <c r="FS243" s="1129" t="e">
        <f aca="false">FE243</f>
        <v>#VALUE!</v>
      </c>
      <c r="FT243" s="1129" t="e">
        <f aca="false">FF243</f>
        <v>#VALUE!</v>
      </c>
      <c r="FU243" s="1129" t="e">
        <f aca="false">FG243</f>
        <v>#VALUE!</v>
      </c>
      <c r="FV243" s="1170" t="e">
        <f aca="false">FH243</f>
        <v>#VALUE!</v>
      </c>
      <c r="FW243" s="1115" t="n">
        <f aca="false">IF(ER243&gt;0,MIN(FB243-FP243,BL243),0)</f>
        <v>0</v>
      </c>
      <c r="FX243" s="1115" t="n">
        <f aca="false">IF(ES243&gt;0,MIN(FD243-FR243,BM243),0)</f>
        <v>0</v>
      </c>
      <c r="FY243" s="1115" t="n">
        <f aca="false">IF(ET243&gt;0,MIN(FF243-FT243,BN243),0)</f>
        <v>0</v>
      </c>
      <c r="FZ243" s="1143" t="n">
        <f aca="false">IF(EU243&gt;0,MIN(FH243-FV243,BO243),0)</f>
        <v>0</v>
      </c>
      <c r="GA243" s="1132" t="e">
        <f aca="false">(SUM(FP243:FV243)+SUM(GU243:HB243)/(1-Summary!$O$25))*CY243/1000</f>
        <v>#VALUE!</v>
      </c>
      <c r="GB243" s="1133" t="n">
        <f aca="false">IF($C243&lt;Summary!$M$81,+Summary!$O$81,VLOOKUP(C243,GasTable,19))</f>
        <v>4.28224231694912</v>
      </c>
      <c r="GC243" s="1134" t="n">
        <f aca="false">IF(H243&lt;=Summary!$N$84,MIN(GA243,Summary!$O$75*(H243-G243+1)),0)</f>
        <v>0</v>
      </c>
      <c r="GD243" s="1135" t="n">
        <f aca="false">IF(C243&lt;Summary!$N$84,IF(Summary!$O$75*(H243-G243+1)*0.8&gt;GC243,1,0),0)</f>
        <v>0</v>
      </c>
      <c r="GE243" s="1136" t="n">
        <v>0</v>
      </c>
      <c r="GF243" s="1134" t="e">
        <f aca="false">ABS(MIN(0,GC243-$GA243))</f>
        <v>#VALUE!</v>
      </c>
      <c r="GG243" s="1135" t="e">
        <f aca="false">GF243*(IF(Summary!$O$74=1,VLOOKUP($C243,GasTable,16)+Summary!$O$92+Summary!$O$93,VLOOKUP($C243,GasTable,19)+Summary!$O$92+Summary!$O$93))</f>
        <v>#VALUE!</v>
      </c>
      <c r="GH243" s="1137" t="n">
        <v>6423.36347542369</v>
      </c>
      <c r="GI243" s="1138" t="n">
        <v>0</v>
      </c>
      <c r="GJ243" s="1139" t="e">
        <f aca="false">+GB243*GC243+GE243+GG243+GH243-GI243</f>
        <v>#VALUE!</v>
      </c>
      <c r="GK243" s="1115" t="e">
        <f aca="false">SUM(FP243:FV243,GU243:GX243,GY243:HB243)</f>
        <v>#VALUE!</v>
      </c>
      <c r="GL243" s="1140" t="n">
        <v>0.5182506012</v>
      </c>
      <c r="GM243" s="1141" t="e">
        <f aca="false">IF(GK243&gt;GC243/(CY243/1000),GC243/(CY243/1000),+GK243)*GL243</f>
        <v>#VALUE!</v>
      </c>
      <c r="GN243" s="1115" t="n">
        <f aca="false">IF(SUM(GU243:HB243)=0,0,IF(Summary!$O$16="Yes",SUM(GX243:HB243),IF(Summary!$O$17="Yes",SUM(GY243:HB243),SUM(GU243:HB243))))</f>
        <v>11805.5205</v>
      </c>
      <c r="GO243" s="1142" t="n">
        <v>4.05098296203579</v>
      </c>
      <c r="GP243" s="1143" t="n">
        <f aca="false">GN243*GO243</f>
        <v>47823.9624034642</v>
      </c>
      <c r="GQ243" s="1115"/>
      <c r="GR243" s="1115"/>
      <c r="GS243" s="1115"/>
      <c r="GT243" s="1115"/>
      <c r="GU243" s="1150" t="n">
        <v>5389.47675</v>
      </c>
      <c r="GV243" s="1115" t="n">
        <v>1026.567</v>
      </c>
      <c r="GW243" s="1115" t="n">
        <v>1283.20875</v>
      </c>
      <c r="GX243" s="1115"/>
      <c r="GY243" s="1151" t="n">
        <v>2874.3876</v>
      </c>
      <c r="GZ243" s="1115" t="n">
        <v>547.5024</v>
      </c>
      <c r="HA243" s="1115" t="n">
        <v>684.378</v>
      </c>
      <c r="HB243" s="1141"/>
      <c r="HC243" s="1115" t="n">
        <v>11805.5205</v>
      </c>
      <c r="HD243" s="1115"/>
      <c r="HE243" s="1115" t="n">
        <v>20274.69825</v>
      </c>
      <c r="HF243" s="1115" t="n">
        <v>676096.530338169</v>
      </c>
      <c r="HG243" s="1115"/>
      <c r="HH243" s="1142" t="n">
        <v>56.932392193618</v>
      </c>
      <c r="HI243" s="1115" t="n">
        <v>1154287.07237626</v>
      </c>
      <c r="HJ243" s="1150" t="e">
        <f aca="false">MAX(FB243-FP243-FW243,0)</f>
        <v>#VALUE!</v>
      </c>
      <c r="HK243" s="1115" t="e">
        <f aca="false">MAX(FD243-FR243-FX243,0)</f>
        <v>#VALUE!</v>
      </c>
      <c r="HL243" s="1115" t="e">
        <f aca="false">MAX(FF243-FT243-FY243,0)</f>
        <v>#VALUE!</v>
      </c>
      <c r="HM243" s="1141" t="e">
        <f aca="false">MAX(FH243-FV243-FZ243,0)</f>
        <v>#VALUE!</v>
      </c>
      <c r="HN243" s="1115" t="e">
        <f aca="false">SUM(HJ243:HM243)</f>
        <v>#VALUE!</v>
      </c>
      <c r="HO243" s="1142" t="n">
        <f aca="false">IF(ISERROR(+HP243/HN243),0,+HP243/HN243)</f>
        <v>0</v>
      </c>
      <c r="HP243" s="1143" t="e">
        <f aca="false">(HJ243*CE243+HK243*CF243+HL243*CG243+HM243*CH243)</f>
        <v>#VALUE!</v>
      </c>
      <c r="HQ243" s="1142"/>
      <c r="HR243" s="1150"/>
      <c r="HS243" s="1200"/>
      <c r="HT243" s="1141"/>
      <c r="HU243" s="1150"/>
      <c r="HV243" s="1200"/>
      <c r="HW243" s="1141"/>
      <c r="HX243" s="1200"/>
      <c r="HY243" s="1200"/>
      <c r="HZ243" s="0"/>
      <c r="IA243" s="1142"/>
      <c r="IB243" s="1142"/>
      <c r="IC243" s="1142"/>
      <c r="ID243" s="1142"/>
      <c r="IE243" s="1142"/>
      <c r="IF243" s="1142"/>
      <c r="IG243" s="1142"/>
      <c r="IH243" s="1142"/>
      <c r="II243" s="1142"/>
      <c r="IJ243" s="1142"/>
      <c r="IK243" s="1142"/>
      <c r="IL243" s="1190"/>
      <c r="IM243" s="222"/>
      <c r="IN243" s="222"/>
      <c r="IR243" s="844"/>
    </row>
    <row r="244" customFormat="false" ht="13.5" hidden="false" customHeight="false" outlineLevel="0" collapsed="false">
      <c r="A244" s="0" t="str">
        <f aca="false">+D244&amp;"Q"&amp;ROUNDUP(E244/3,0)</f>
        <v>2018Q4</v>
      </c>
      <c r="B244" s="0" t="n">
        <f aca="false">YEAR(C244)</f>
        <v>2018</v>
      </c>
      <c r="C244" s="1153" t="n">
        <f aca="false">EOMONTH(C243,0)+1</f>
        <v>43435</v>
      </c>
      <c r="D244" s="841" t="n">
        <f aca="false">+YEAR(C244)</f>
        <v>2018</v>
      </c>
      <c r="E244" s="807" t="n">
        <f aca="false">MONTH(C244)</f>
        <v>12</v>
      </c>
      <c r="F244" s="1154" t="e">
        <f aca="false">IF(G244="","",Holiday(D244,E244))</f>
        <v>#VALUE!</v>
      </c>
      <c r="G244" s="1155" t="n">
        <v>43435</v>
      </c>
      <c r="H244" s="1156" t="n">
        <v>43465</v>
      </c>
      <c r="I244" s="1157" t="n">
        <f aca="false">I243</f>
        <v>0.0715</v>
      </c>
      <c r="J244" s="1158" t="n">
        <f aca="false">(1+I244/2)^(-2*(DATE(D245,E245,20)-$H$7)/365.25)</f>
        <v>0.261387122549522</v>
      </c>
      <c r="K244" s="1159"/>
      <c r="L244" s="1158"/>
      <c r="M244" s="1082" t="n">
        <v>0</v>
      </c>
      <c r="N244" s="1110" t="n">
        <f aca="false">M244</f>
        <v>0</v>
      </c>
      <c r="O244" s="1174" t="n">
        <f aca="false">N244</f>
        <v>0</v>
      </c>
      <c r="P244" s="1175" t="n">
        <f aca="false">M244</f>
        <v>0</v>
      </c>
      <c r="Q244" s="1110" t="n">
        <f aca="false">P244</f>
        <v>0</v>
      </c>
      <c r="R244" s="1174" t="n">
        <f aca="false">Q244</f>
        <v>0</v>
      </c>
      <c r="S244" s="1110" t="n">
        <f aca="false">R244</f>
        <v>0</v>
      </c>
      <c r="T244" s="1110" t="n">
        <f aca="false">S244</f>
        <v>0</v>
      </c>
      <c r="U244" s="1110" t="n">
        <f aca="false">T244</f>
        <v>0</v>
      </c>
      <c r="V244" s="1175" t="n">
        <f aca="false">U244</f>
        <v>0</v>
      </c>
      <c r="W244" s="1110" t="n">
        <f aca="false">V244</f>
        <v>0</v>
      </c>
      <c r="X244" s="1176" t="n">
        <f aca="false">W244</f>
        <v>0</v>
      </c>
      <c r="Y244" s="1086" t="n">
        <v>0</v>
      </c>
      <c r="Z244" s="1086" t="n">
        <v>0</v>
      </c>
      <c r="AA244" s="1087" t="n">
        <v>0</v>
      </c>
      <c r="AB244" s="1086" t="n">
        <v>0</v>
      </c>
      <c r="AC244" s="1086" t="n">
        <v>0</v>
      </c>
      <c r="AD244" s="1087" t="n">
        <v>0</v>
      </c>
      <c r="AE244" s="1086" t="n">
        <v>0</v>
      </c>
      <c r="AF244" s="1086" t="n">
        <v>0</v>
      </c>
      <c r="AG244" s="1087" t="n">
        <v>0</v>
      </c>
      <c r="AH244" s="1086" t="n">
        <v>0</v>
      </c>
      <c r="AI244" s="1086" t="n">
        <v>0</v>
      </c>
      <c r="AJ244" s="1087" t="n">
        <v>0</v>
      </c>
      <c r="AK244" s="1086" t="n">
        <v>0</v>
      </c>
      <c r="AL244" s="1086" t="n">
        <v>0</v>
      </c>
      <c r="AM244" s="1087" t="n">
        <v>0</v>
      </c>
      <c r="AN244" s="1086" t="n">
        <v>0</v>
      </c>
      <c r="AO244" s="1086" t="n">
        <v>0</v>
      </c>
      <c r="AP244" s="1087" t="n">
        <v>0</v>
      </c>
      <c r="AQ244" s="1086" t="n">
        <v>0</v>
      </c>
      <c r="AR244" s="1086" t="n">
        <v>0</v>
      </c>
      <c r="AS244" s="1087" t="n">
        <v>0</v>
      </c>
      <c r="AT244" s="1086" t="n">
        <v>0</v>
      </c>
      <c r="AU244" s="1086" t="n">
        <v>0</v>
      </c>
      <c r="AV244" s="1086" t="n">
        <v>0</v>
      </c>
      <c r="AW244" s="1172" t="n">
        <v>0</v>
      </c>
      <c r="AX244" s="807" t="e">
        <f aca="false">BB244-SUM(AY244:BA244)</f>
        <v>#VALUE!</v>
      </c>
      <c r="AY244" s="807" t="e">
        <f aca="false">IF(AND($E244=MONTH(Summary!$E$24),$D244=YEAR(Summary!$E$24)),Summary!$E$25,1)*IF(G244="",0,INT((H244-MOD(H244,7)-G244)/7)+1-IF(BA244,IF(WEEKDAY(F244)=7,1,0),0))</f>
        <v>#VALUE!</v>
      </c>
      <c r="AZ244" s="807" t="e">
        <f aca="false">IF(AND($E244=MONTH(Summary!$E$24),$D244=YEAR(Summary!$E$24)),Summary!$E$25,1)*IF(G244="",0,INT((H244-MOD(H244-1,7)-G244)/7)+1-IF(BA244,IF(WEEKDAY(F244)=1,1,0),0))</f>
        <v>#VALUE!</v>
      </c>
      <c r="BA244" s="807" t="n">
        <v>1</v>
      </c>
      <c r="BB244" s="807" t="n">
        <f aca="false">IF(AND($E244=MONTH(Summary!$E$24),$D244=YEAR(Summary!$E$24)),Summary!$E$25,1)*IF(G244="",0,H244-G244+1)</f>
        <v>31</v>
      </c>
      <c r="BC244" s="1089" t="n">
        <f aca="false">Summary!$E$19</f>
        <v>0.015</v>
      </c>
      <c r="BD244" s="1090" t="n">
        <v>14184</v>
      </c>
      <c r="BE244" s="1091" t="n">
        <v>3546</v>
      </c>
      <c r="BF244" s="1091" t="n">
        <v>4255.2</v>
      </c>
      <c r="BG244" s="842"/>
      <c r="BH244" s="1092" t="n">
        <v>1</v>
      </c>
      <c r="BI244" s="1092" t="n">
        <v>1</v>
      </c>
      <c r="BJ244" s="1092" t="n">
        <v>1</v>
      </c>
      <c r="BK244" s="1092" t="n">
        <v>1</v>
      </c>
      <c r="BL244" s="1093" t="n">
        <v>2836.8</v>
      </c>
      <c r="BM244" s="1091" t="n">
        <v>709.2</v>
      </c>
      <c r="BN244" s="1091" t="n">
        <v>851.04</v>
      </c>
      <c r="BO244" s="842"/>
      <c r="BP244" s="1092" t="n">
        <v>1</v>
      </c>
      <c r="BQ244" s="1094" t="n">
        <v>1</v>
      </c>
      <c r="BR244" s="1094" t="n">
        <v>1</v>
      </c>
      <c r="BS244" s="1095" t="n">
        <v>1</v>
      </c>
      <c r="BT244" s="1093" t="n">
        <f aca="false">SUM(BD244:BF244)</f>
        <v>21985.2</v>
      </c>
      <c r="BU244" s="1098" t="n">
        <f aca="false">SUM(BD244:BG244)</f>
        <v>21985.2</v>
      </c>
      <c r="BV244" s="1090" t="n">
        <f aca="false">SUM(BL244:BN244)</f>
        <v>4397.04</v>
      </c>
      <c r="BW244" s="1098" t="n">
        <f aca="false">SUM(BL244:BO244)</f>
        <v>4397.04</v>
      </c>
      <c r="BX244" s="852" t="n">
        <v>18.9623545516769</v>
      </c>
      <c r="BY244" s="1099" t="n">
        <v>0</v>
      </c>
      <c r="BZ244" s="852" t="n">
        <v>0</v>
      </c>
      <c r="CA244" s="852" t="n">
        <v>0</v>
      </c>
      <c r="CB244" s="852" t="n">
        <v>0</v>
      </c>
      <c r="CC244" s="852" t="n">
        <v>0</v>
      </c>
      <c r="CD244" s="852" t="n">
        <v>0</v>
      </c>
      <c r="CE244" s="1100" t="n">
        <v>0</v>
      </c>
      <c r="CF244" s="852" t="n">
        <v>0</v>
      </c>
      <c r="CG244" s="852" t="n">
        <v>0</v>
      </c>
      <c r="CH244" s="852" t="n">
        <v>0</v>
      </c>
      <c r="CI244" s="852" t="n">
        <v>0</v>
      </c>
      <c r="CJ244" s="1101" t="n">
        <v>0</v>
      </c>
      <c r="CK244" s="852" t="n">
        <v>0</v>
      </c>
      <c r="CL244" s="852" t="n">
        <v>0</v>
      </c>
      <c r="CM244" s="852" t="n">
        <v>0</v>
      </c>
      <c r="CN244" s="852" t="n">
        <v>0</v>
      </c>
      <c r="CO244" s="852" t="n">
        <v>0</v>
      </c>
      <c r="CP244" s="852" t="n">
        <v>0</v>
      </c>
      <c r="CQ244" s="1102" t="n">
        <v>0</v>
      </c>
      <c r="CR244" s="1103" t="n">
        <v>0</v>
      </c>
      <c r="CS244" s="1103" t="n">
        <v>0</v>
      </c>
      <c r="CT244" s="1103" t="n">
        <v>0</v>
      </c>
      <c r="CU244" s="1103" t="n">
        <v>0</v>
      </c>
      <c r="CV244" s="1103" t="n">
        <v>0</v>
      </c>
      <c r="CW244" s="1103" t="n">
        <v>0</v>
      </c>
      <c r="CX244" s="1104" t="n">
        <v>0</v>
      </c>
      <c r="CY244" s="1105" t="n">
        <v>7737.11456</v>
      </c>
      <c r="CZ244" s="1099" t="n">
        <v>0</v>
      </c>
      <c r="DA244" s="852" t="n">
        <v>0</v>
      </c>
      <c r="DB244" s="852" t="n">
        <v>0</v>
      </c>
      <c r="DC244" s="852" t="n">
        <v>0</v>
      </c>
      <c r="DD244" s="852" t="n">
        <v>0</v>
      </c>
      <c r="DE244" s="1113" t="n">
        <v>0</v>
      </c>
      <c r="DF244" s="1109" t="n">
        <v>0</v>
      </c>
      <c r="DG244" s="1110" t="n">
        <v>0</v>
      </c>
      <c r="DH244" s="1111" t="n">
        <v>0</v>
      </c>
      <c r="DI244" s="1112" t="n">
        <v>0</v>
      </c>
      <c r="DJ244" s="1112" t="n">
        <v>0</v>
      </c>
      <c r="DK244" s="1112" t="n">
        <v>0</v>
      </c>
      <c r="DL244" s="1113" t="n">
        <v>0</v>
      </c>
      <c r="DM244" s="1114" t="n">
        <v>0</v>
      </c>
      <c r="DN244" s="1114" t="n">
        <v>0</v>
      </c>
      <c r="DO244" s="1114" t="n">
        <v>0</v>
      </c>
      <c r="DP244" s="1114" t="n">
        <v>0</v>
      </c>
      <c r="DQ244" s="1114" t="n">
        <v>0</v>
      </c>
      <c r="DR244" s="1109" t="n">
        <v>0</v>
      </c>
      <c r="DS244" s="852" t="n">
        <v>0</v>
      </c>
      <c r="DT244" s="852" t="n">
        <v>0</v>
      </c>
      <c r="DU244" s="852" t="n">
        <v>0</v>
      </c>
      <c r="DV244" s="852" t="n">
        <v>0</v>
      </c>
      <c r="DW244" s="852" t="n">
        <v>0</v>
      </c>
      <c r="DX244" s="852" t="n">
        <v>0</v>
      </c>
      <c r="DY244" s="852" t="n">
        <v>0</v>
      </c>
      <c r="DZ244" s="852" t="n">
        <v>0</v>
      </c>
      <c r="EA244" s="852" t="n">
        <v>0</v>
      </c>
      <c r="EB244" s="1113" t="n">
        <v>0</v>
      </c>
      <c r="EC244" s="1115" t="n">
        <f aca="false">DS244*BD244</f>
        <v>0</v>
      </c>
      <c r="ED244" s="1115" t="n">
        <f aca="false">DT244*BE244</f>
        <v>0</v>
      </c>
      <c r="EE244" s="1115" t="n">
        <f aca="false">DU244*BF244</f>
        <v>0</v>
      </c>
      <c r="EF244" s="1115" t="n">
        <f aca="false">DV244*BG244</f>
        <v>0</v>
      </c>
      <c r="EG244" s="1115" t="n">
        <f aca="false">DS244*BD244+DT244*BE244+DU244*BF244+DV244*BG244</f>
        <v>0</v>
      </c>
      <c r="EH244" s="1116" t="n">
        <v>0</v>
      </c>
      <c r="EI244" s="1117" t="n">
        <v>0</v>
      </c>
      <c r="EJ244" s="1117" t="n">
        <v>0</v>
      </c>
      <c r="EK244" s="1117" t="n">
        <v>0</v>
      </c>
      <c r="EL244" s="1118" t="n">
        <f aca="false">IF(C244&gt;=Summary!$E$26,MAX(0,SUM(EH244:EK244)),0)</f>
        <v>0</v>
      </c>
      <c r="EM244" s="1115" t="n">
        <f aca="false">IF(C244&gt;=Summary!$E$26,DX244*BL244,0)</f>
        <v>0</v>
      </c>
      <c r="EN244" s="1115" t="n">
        <f aca="false">IF(C244&gt;=Summary!$E$26,DY244*BM244,0)</f>
        <v>0</v>
      </c>
      <c r="EO244" s="1115" t="n">
        <f aca="false">IF(C244&gt;=Summary!$E$26,DZ244*BN244,0)</f>
        <v>0</v>
      </c>
      <c r="EP244" s="1115" t="n">
        <f aca="false">IF(C244&gt;=Summary!$E$26,EA244*BO244,0)</f>
        <v>0</v>
      </c>
      <c r="EQ244" s="1115" t="n">
        <f aca="false">IF(C244&gt;=Summary!$E$26,DX244*BL244+DY244*BM244+DZ244*BN244+EA244*BO244,0)</f>
        <v>0</v>
      </c>
      <c r="ER244" s="1119" t="n">
        <v>0</v>
      </c>
      <c r="ES244" s="1120" t="n">
        <v>0</v>
      </c>
      <c r="ET244" s="1120" t="n">
        <v>0</v>
      </c>
      <c r="EU244" s="1120" t="n">
        <v>0</v>
      </c>
      <c r="EV244" s="1143" t="n">
        <f aca="false">IF(C244&gt;=Summary!$E$26,MAX(0,SUM(ER244:EU244)),0)</f>
        <v>0</v>
      </c>
      <c r="EW244" s="1115"/>
      <c r="EX244" s="1165" t="n">
        <f aca="false">(EQ244-EV244)+IF(EZ244="Yes",(EG244-EL244),0)</f>
        <v>0</v>
      </c>
      <c r="EY244" s="1166" t="str">
        <f aca="false">IF(EX244,EX244/EQ244,"")</f>
        <v/>
      </c>
      <c r="EZ244" s="1122" t="s">
        <v>37</v>
      </c>
      <c r="FA244" s="1096" t="n">
        <f aca="false">FA243</f>
        <v>45</v>
      </c>
      <c r="FB244" s="1167" t="e">
        <f aca="false">IF(EZ244="No",IF((OR(MONTH(C244)=5,MONTH(C244)=6,MONTH(C244)=7,MONTH(C244)=8,MONTH(C244)=9)),$FA244*12*AX244*(1-$BC244),$FA244*10*AX244*(1-$BC244)),0)</f>
        <v>#VALUE!</v>
      </c>
      <c r="FC244" s="1129" t="e">
        <f aca="false">IF(EZ244="No",IF((OR(MONTH(C244)=5,MONTH(C244)=6,MONTH(C244)=7,MONTH(C244)=8,MONTH(C244)=9)),0,$FA244*3*AX244*(1-$BC244)),0)</f>
        <v>#VALUE!</v>
      </c>
      <c r="FD244" s="1129" t="e">
        <f aca="false">IF(EZ244="No",IF((OR(MONTH(C244)=5,MONTH(C244)=6,MONTH(C244)=7,MONTH(C244)=8,MONTH(C244)=9)),$FA244*12*AY244*(1-$BC244),$FA244*10*AY244*(1-$BC244)),0)</f>
        <v>#VALUE!</v>
      </c>
      <c r="FE244" s="1129" t="e">
        <f aca="false">IF(EZ244="No",IF((OR(MONTH(C244)=5,MONTH(C244)=6,MONTH(C244)=7,MONTH(C244)=8,MONTH(C244)=9)),0,$FA244*3*AY244*(1-$BC244)),0)</f>
        <v>#VALUE!</v>
      </c>
      <c r="FF244" s="1129" t="e">
        <f aca="false">IF(EZ244="No",IF((OR(MONTH(C244)=5,MONTH(C244)=6,MONTH(C244)=7,MONTH(C244)=8,MONTH(C244)=9)),$FA244*12*(AZ244+BA244)*(1-$BC244),$FA244*10*(AZ244+BA244)*(1-$BC244)),0)</f>
        <v>#VALUE!</v>
      </c>
      <c r="FG244" s="1129" t="e">
        <f aca="false">IF(EZ244="No",IF((OR(MONTH(C244)=5,MONTH(C244)=6,MONTH(C244)=7,MONTH(C244)=8,MONTH(C244)=9)),0,$FA244*3*(AZ244+BA244)*(1-$BC244)),0)</f>
        <v>#VALUE!</v>
      </c>
      <c r="FH244" s="1170" t="e">
        <f aca="false">IF(EZ244="No",IF((OR(MONTH(C244)=5,MONTH(C244)=6,MONTH(C244)=7,MONTH(C244)=8,MONTH(C244)=9)),Summary!$O$15*12*(AX244+AY244+AZ244+BA244)*(1-$BC244),Summary!$O$15*13*(AX244+AY244+AZ244+BA244)*(1-$BC244)+IF(Summary!$O$16="Yes",(CALC!FA244+Summary!$O$15)*6*(AX244+AY244+AZ244+BA244)*(1-$BC244),0)),0)</f>
        <v>#VALUE!</v>
      </c>
      <c r="FI244" s="1126" t="n">
        <f aca="false">IF(MONTH(C244)=5,FI243*(IF(Summary!$E$70="no",(1+(Summary!$E$71*0.8)),1+HLOOKUP(YEAR(C244)-1,CCFMODEL!$I$127:$AF$128,2)*0.8)),+FI243)</f>
        <v>41.7467669592219</v>
      </c>
      <c r="FJ244" s="1127" t="n">
        <f aca="false">IF(MONTH(C244)=5,FJ243*(IF(Summary!$E$70="no",(1+(Summary!$E$71*0.8)),1+HLOOKUP(YEAR(CALC!C244)-1,CCFMODEL!$I$127:$AF$128,2)*0.8)),FJ243)</f>
        <v>36.4873317517609</v>
      </c>
      <c r="FK244" s="1128" t="e">
        <f aca="false">SUM(FB244:FG244)*FI244+FH244*FJ244</f>
        <v>#VALUE!</v>
      </c>
      <c r="FL244" s="1126" t="n">
        <f aca="false">IF(MONTH(C244)=5,FL243*(IF(Summary!$E$70="no",(1+(Summary!$E$71*0.8)),1+HLOOKUP(YEAR(CALC!C244)-1,CCFMODEL!$I$127:$AF$128,2)*0.8)),+FL243)</f>
        <v>87.798131186455</v>
      </c>
      <c r="FM244" s="1127" t="n">
        <f aca="false">IF(MONTH(C244)=5,FM243*(IF(Summary!$E$70="no",(1+(Summary!$E$71*0.8)),1+HLOOKUP(YEAR(CALC!C244)-1,CCFMODEL!$I$127:$AF$128,2)*0.8)),+FM243)</f>
        <v>41.9032977689678</v>
      </c>
      <c r="FN244" s="1128" t="e">
        <f aca="false">IF((OR(MONTH(C244)=5,MONTH(C244)=6,MONTH(C244)=7,MONTH(C244)=8,MONTH(C244)=9)),SUM(FB244:FG244)/(1-BC244)*FL244,SUM(FB244:FG244)/(1-BC244)*FM244)</f>
        <v>#VALUE!</v>
      </c>
      <c r="FO244" s="1129" t="e">
        <f aca="false">FK244+FN244</f>
        <v>#VALUE!</v>
      </c>
      <c r="FP244" s="1169" t="e">
        <f aca="false">FB244</f>
        <v>#VALUE!</v>
      </c>
      <c r="FQ244" s="1129" t="e">
        <f aca="false">FC244</f>
        <v>#VALUE!</v>
      </c>
      <c r="FR244" s="1129" t="e">
        <f aca="false">FD244</f>
        <v>#VALUE!</v>
      </c>
      <c r="FS244" s="1129" t="e">
        <f aca="false">FE244</f>
        <v>#VALUE!</v>
      </c>
      <c r="FT244" s="1129" t="e">
        <f aca="false">FF244</f>
        <v>#VALUE!</v>
      </c>
      <c r="FU244" s="1129" t="e">
        <f aca="false">FG244</f>
        <v>#VALUE!</v>
      </c>
      <c r="FV244" s="1170" t="e">
        <f aca="false">FH244</f>
        <v>#VALUE!</v>
      </c>
      <c r="FW244" s="1115" t="n">
        <f aca="false">IF(ER244&gt;0,MIN(FB244-FP244,BL244),0)</f>
        <v>0</v>
      </c>
      <c r="FX244" s="1115" t="n">
        <f aca="false">IF(ES244&gt;0,MIN(FD244-FR244,BM244),0)</f>
        <v>0</v>
      </c>
      <c r="FY244" s="1115" t="n">
        <f aca="false">IF(ET244&gt;0,MIN(FF244-FT244,BN244),0)</f>
        <v>0</v>
      </c>
      <c r="FZ244" s="1143" t="n">
        <f aca="false">IF(EU244&gt;0,MIN(FH244-FV244,BO244),0)</f>
        <v>0</v>
      </c>
      <c r="GA244" s="1132" t="e">
        <f aca="false">(SUM(FP244:FV244)+SUM(GU244:HB244)/(1-Summary!$O$25))*CY244/1000</f>
        <v>#VALUE!</v>
      </c>
      <c r="GB244" s="1133" t="n">
        <f aca="false">IF($C244&lt;Summary!$M$81,+Summary!$O$81,VLOOKUP(C244,GasTable,19))</f>
        <v>4.46438792763179</v>
      </c>
      <c r="GC244" s="1134" t="n">
        <f aca="false">IF(H244&lt;=Summary!$N$84,MIN(GA244,Summary!$O$75*(H244-G244+1)),0)</f>
        <v>0</v>
      </c>
      <c r="GD244" s="1135" t="n">
        <f aca="false">IF(C244&lt;Summary!$N$84,IF(Summary!$O$75*(H244-G244+1)*0.8&gt;GC244,1,0),0)</f>
        <v>0</v>
      </c>
      <c r="GE244" s="1136" t="n">
        <v>0</v>
      </c>
      <c r="GF244" s="1134" t="e">
        <f aca="false">ABS(MIN(0,GC244-$GA244))</f>
        <v>#VALUE!</v>
      </c>
      <c r="GG244" s="1135" t="e">
        <f aca="false">GF244*(IF(Summary!$O$74=1,VLOOKUP($C244,GasTable,16)+Summary!$O$92+Summary!$O$93,VLOOKUP($C244,GasTable,19)+Summary!$O$92+Summary!$O$93))</f>
        <v>#VALUE!</v>
      </c>
      <c r="GH244" s="1137" t="n">
        <v>6919.80128782927</v>
      </c>
      <c r="GI244" s="1138" t="n">
        <v>0</v>
      </c>
      <c r="GJ244" s="1139" t="e">
        <f aca="false">+GB244*GC244+GE244+GG244+GH244-GI244</f>
        <v>#VALUE!</v>
      </c>
      <c r="GK244" s="1115" t="e">
        <f aca="false">SUM(FP244:FV244,GU244:GX244,GY244:HB244)</f>
        <v>#VALUE!</v>
      </c>
      <c r="GL244" s="1140" t="n">
        <v>0.51838667552</v>
      </c>
      <c r="GM244" s="1141" t="e">
        <f aca="false">IF(GK244&gt;GC244/(CY244/1000),GC244/(CY244/1000),+GK244)*GL244</f>
        <v>#VALUE!</v>
      </c>
      <c r="GN244" s="1115" t="n">
        <f aca="false">IF(SUM(GU244:HB244)=0,0,IF(Summary!$O$16="Yes",SUM(GX244:HB244),IF(Summary!$O$17="Yes",SUM(GY244:HB244),SUM(GU244:HB244))))</f>
        <v>12199.03785</v>
      </c>
      <c r="GO244" s="1142" t="n">
        <v>4.05098296203579</v>
      </c>
      <c r="GP244" s="1143" t="n">
        <f aca="false">GN244*GO244</f>
        <v>49418.0944835797</v>
      </c>
      <c r="GQ244" s="1115"/>
      <c r="GR244" s="1115"/>
      <c r="GS244" s="1115"/>
      <c r="GT244" s="1115"/>
      <c r="GU244" s="1150" t="n">
        <v>5132.835</v>
      </c>
      <c r="GV244" s="1115" t="n">
        <v>1283.20875</v>
      </c>
      <c r="GW244" s="1115" t="n">
        <v>1539.8505</v>
      </c>
      <c r="GX244" s="1115"/>
      <c r="GY244" s="1151" t="n">
        <v>2737.512</v>
      </c>
      <c r="GZ244" s="1115" t="n">
        <v>684.378</v>
      </c>
      <c r="HA244" s="1115" t="n">
        <v>821.2536</v>
      </c>
      <c r="HB244" s="1141"/>
      <c r="HC244" s="1115" t="n">
        <v>12199.03785</v>
      </c>
      <c r="HD244" s="1115"/>
      <c r="HE244" s="1115" t="n">
        <v>20950.521525</v>
      </c>
      <c r="HF244" s="1115" t="n">
        <v>723515.236328601</v>
      </c>
      <c r="HG244" s="1115"/>
      <c r="HH244" s="1142" t="n">
        <v>58.9264970188281</v>
      </c>
      <c r="HI244" s="1115" t="n">
        <v>1234540.84418581</v>
      </c>
      <c r="HJ244" s="1150" t="e">
        <f aca="false">MAX(FB244-FP244-FW244,0)</f>
        <v>#VALUE!</v>
      </c>
      <c r="HK244" s="1115" t="e">
        <f aca="false">MAX(FD244-FR244-FX244,0)</f>
        <v>#VALUE!</v>
      </c>
      <c r="HL244" s="1115" t="e">
        <f aca="false">MAX(FF244-FT244-FY244,0)</f>
        <v>#VALUE!</v>
      </c>
      <c r="HM244" s="1141" t="e">
        <f aca="false">MAX(FH244-FV244-FZ244,0)</f>
        <v>#VALUE!</v>
      </c>
      <c r="HN244" s="1115" t="e">
        <f aca="false">SUM(HJ244:HM244)</f>
        <v>#VALUE!</v>
      </c>
      <c r="HO244" s="1142" t="n">
        <f aca="false">IF(ISERROR(+HP244/HN244),0,+HP244/HN244)</f>
        <v>0</v>
      </c>
      <c r="HP244" s="1143" t="e">
        <f aca="false">(HJ244*CE244+HK244*CF244+HL244*CG244+HM244*CH244)</f>
        <v>#VALUE!</v>
      </c>
      <c r="HQ244" s="1142"/>
      <c r="HR244" s="1150"/>
      <c r="HS244" s="1200"/>
      <c r="HT244" s="1141"/>
      <c r="HU244" s="1150"/>
      <c r="HV244" s="1200"/>
      <c r="HW244" s="1141"/>
      <c r="HX244" s="1200"/>
      <c r="HY244" s="1200"/>
      <c r="HZ244" s="0"/>
      <c r="IA244" s="1142"/>
      <c r="IB244" s="1142"/>
      <c r="IC244" s="1142"/>
      <c r="ID244" s="1142"/>
      <c r="IE244" s="1142"/>
      <c r="IF244" s="1142"/>
      <c r="IG244" s="1142"/>
      <c r="IH244" s="1142"/>
      <c r="II244" s="1142"/>
      <c r="IJ244" s="1142"/>
      <c r="IK244" s="1142"/>
      <c r="IL244" s="1190"/>
      <c r="IM244" s="222"/>
      <c r="IN244" s="222"/>
      <c r="IR244" s="844"/>
    </row>
    <row r="245" customFormat="false" ht="13.5" hidden="false" customHeight="false" outlineLevel="0" collapsed="false">
      <c r="A245" s="0" t="str">
        <f aca="false">+D245&amp;"Q"&amp;ROUNDUP(E245/3,0)</f>
        <v>2019Q1</v>
      </c>
      <c r="B245" s="0" t="n">
        <f aca="false">YEAR(C245)</f>
        <v>2019</v>
      </c>
      <c r="C245" s="1153" t="n">
        <f aca="false">EOMONTH(C244,0)+1</f>
        <v>43466</v>
      </c>
      <c r="D245" s="841" t="n">
        <f aca="false">+YEAR(C245)</f>
        <v>2019</v>
      </c>
      <c r="E245" s="807" t="n">
        <f aca="false">MONTH(C245)</f>
        <v>1</v>
      </c>
      <c r="F245" s="1154" t="e">
        <f aca="false">IF(G245="","",Holiday(D245,E245))</f>
        <v>#VALUE!</v>
      </c>
      <c r="G245" s="1155" t="n">
        <v>43466</v>
      </c>
      <c r="H245" s="1156" t="n">
        <v>43496</v>
      </c>
      <c r="I245" s="1157" t="n">
        <f aca="false">I244</f>
        <v>0.0715</v>
      </c>
      <c r="J245" s="1158" t="n">
        <f aca="false">(1+I245/2)^(-2*(DATE(D246,E246,20)-$H$7)/365.25)</f>
        <v>0.259833241370865</v>
      </c>
      <c r="K245" s="1159"/>
      <c r="L245" s="1158"/>
      <c r="M245" s="1082" t="n">
        <v>0</v>
      </c>
      <c r="N245" s="1110" t="n">
        <f aca="false">M245</f>
        <v>0</v>
      </c>
      <c r="O245" s="1174" t="n">
        <f aca="false">N245</f>
        <v>0</v>
      </c>
      <c r="P245" s="1175" t="n">
        <f aca="false">M245</f>
        <v>0</v>
      </c>
      <c r="Q245" s="1110" t="n">
        <f aca="false">P245</f>
        <v>0</v>
      </c>
      <c r="R245" s="1174" t="n">
        <f aca="false">Q245</f>
        <v>0</v>
      </c>
      <c r="S245" s="1110" t="n">
        <f aca="false">R245</f>
        <v>0</v>
      </c>
      <c r="T245" s="1110" t="n">
        <f aca="false">S245</f>
        <v>0</v>
      </c>
      <c r="U245" s="1110" t="n">
        <f aca="false">T245</f>
        <v>0</v>
      </c>
      <c r="V245" s="1175" t="n">
        <f aca="false">U245</f>
        <v>0</v>
      </c>
      <c r="W245" s="1110" t="n">
        <f aca="false">V245</f>
        <v>0</v>
      </c>
      <c r="X245" s="1176" t="n">
        <f aca="false">W245</f>
        <v>0</v>
      </c>
      <c r="Y245" s="1086" t="n">
        <v>0</v>
      </c>
      <c r="Z245" s="1086" t="n">
        <v>0</v>
      </c>
      <c r="AA245" s="1087" t="n">
        <v>0</v>
      </c>
      <c r="AB245" s="1086" t="n">
        <v>0</v>
      </c>
      <c r="AC245" s="1086" t="n">
        <v>0</v>
      </c>
      <c r="AD245" s="1087" t="n">
        <v>0</v>
      </c>
      <c r="AE245" s="1086" t="n">
        <v>0</v>
      </c>
      <c r="AF245" s="1086" t="n">
        <v>0</v>
      </c>
      <c r="AG245" s="1087" t="n">
        <v>0</v>
      </c>
      <c r="AH245" s="1086" t="n">
        <v>0</v>
      </c>
      <c r="AI245" s="1086" t="n">
        <v>0</v>
      </c>
      <c r="AJ245" s="1087" t="n">
        <v>0</v>
      </c>
      <c r="AK245" s="1086" t="n">
        <v>0</v>
      </c>
      <c r="AL245" s="1086" t="n">
        <v>0</v>
      </c>
      <c r="AM245" s="1087" t="n">
        <v>0</v>
      </c>
      <c r="AN245" s="1086" t="n">
        <v>0</v>
      </c>
      <c r="AO245" s="1086" t="n">
        <v>0</v>
      </c>
      <c r="AP245" s="1087" t="n">
        <v>0</v>
      </c>
      <c r="AQ245" s="1086" t="n">
        <v>0</v>
      </c>
      <c r="AR245" s="1086" t="n">
        <v>0</v>
      </c>
      <c r="AS245" s="1087" t="n">
        <v>0</v>
      </c>
      <c r="AT245" s="1086" t="n">
        <v>0</v>
      </c>
      <c r="AU245" s="1086" t="n">
        <v>0</v>
      </c>
      <c r="AV245" s="1086" t="n">
        <v>0</v>
      </c>
      <c r="AW245" s="1172" t="n">
        <v>0</v>
      </c>
      <c r="AX245" s="807" t="e">
        <f aca="false">BB245-SUM(AY245:BA245)</f>
        <v>#VALUE!</v>
      </c>
      <c r="AY245" s="807" t="e">
        <f aca="false">IF(AND($E245=MONTH(Summary!$E$24),$D245=YEAR(Summary!$E$24)),Summary!$E$25,1)*IF(G245="",0,INT((H245-MOD(H245,7)-G245)/7)+1-IF(BA245,IF(WEEKDAY(F245)=7,1,0),0))</f>
        <v>#VALUE!</v>
      </c>
      <c r="AZ245" s="807" t="e">
        <f aca="false">IF(AND($E245=MONTH(Summary!$E$24),$D245=YEAR(Summary!$E$24)),Summary!$E$25,1)*IF(G245="",0,INT((H245-MOD(H245-1,7)-G245)/7)+1-IF(BA245,IF(WEEKDAY(F245)=1,1,0),0))</f>
        <v>#VALUE!</v>
      </c>
      <c r="BA245" s="807" t="n">
        <v>1</v>
      </c>
      <c r="BB245" s="807" t="n">
        <f aca="false">IF(AND($E245=MONTH(Summary!$E$24),$D245=YEAR(Summary!$E$24)),Summary!$E$25,1)*IF(G245="",0,H245-G245+1)</f>
        <v>31</v>
      </c>
      <c r="BC245" s="1089" t="n">
        <f aca="false">Summary!$E$19</f>
        <v>0.015</v>
      </c>
      <c r="BD245" s="1090" t="n">
        <v>15602.4</v>
      </c>
      <c r="BE245" s="1091" t="n">
        <v>2836.8</v>
      </c>
      <c r="BF245" s="1091" t="n">
        <v>3546</v>
      </c>
      <c r="BG245" s="842"/>
      <c r="BH245" s="1092" t="n">
        <v>1</v>
      </c>
      <c r="BI245" s="1092" t="n">
        <v>1</v>
      </c>
      <c r="BJ245" s="1092" t="n">
        <v>1</v>
      </c>
      <c r="BK245" s="1092" t="n">
        <v>1</v>
      </c>
      <c r="BL245" s="1093" t="n">
        <v>3120.48</v>
      </c>
      <c r="BM245" s="1091" t="n">
        <v>567.36</v>
      </c>
      <c r="BN245" s="1091" t="n">
        <v>709.2</v>
      </c>
      <c r="BO245" s="842"/>
      <c r="BP245" s="1092" t="n">
        <v>1</v>
      </c>
      <c r="BQ245" s="1094" t="n">
        <v>1</v>
      </c>
      <c r="BR245" s="1094" t="n">
        <v>1</v>
      </c>
      <c r="BS245" s="1095" t="n">
        <v>1</v>
      </c>
      <c r="BT245" s="1093" t="n">
        <f aca="false">SUM(BD245:BF245)</f>
        <v>21985.2</v>
      </c>
      <c r="BU245" s="1098" t="n">
        <f aca="false">SUM(BD245:BG245)</f>
        <v>21985.2</v>
      </c>
      <c r="BV245" s="1090" t="n">
        <f aca="false">SUM(BL245:BN245)</f>
        <v>4397.04</v>
      </c>
      <c r="BW245" s="1098" t="n">
        <f aca="false">SUM(BL245:BO245)</f>
        <v>4397.04</v>
      </c>
      <c r="BX245" s="852" t="n">
        <v>19.047227926078</v>
      </c>
      <c r="BY245" s="1099" t="n">
        <v>0</v>
      </c>
      <c r="BZ245" s="852" t="n">
        <v>0</v>
      </c>
      <c r="CA245" s="852" t="n">
        <v>0</v>
      </c>
      <c r="CB245" s="852" t="n">
        <v>0</v>
      </c>
      <c r="CC245" s="852" t="n">
        <v>0</v>
      </c>
      <c r="CD245" s="852" t="n">
        <v>0</v>
      </c>
      <c r="CE245" s="1100" t="n">
        <v>0</v>
      </c>
      <c r="CF245" s="852" t="n">
        <v>0</v>
      </c>
      <c r="CG245" s="852" t="n">
        <v>0</v>
      </c>
      <c r="CH245" s="852" t="n">
        <v>0</v>
      </c>
      <c r="CI245" s="852" t="n">
        <v>0</v>
      </c>
      <c r="CJ245" s="1101" t="n">
        <v>0</v>
      </c>
      <c r="CK245" s="852" t="n">
        <v>0</v>
      </c>
      <c r="CL245" s="852" t="n">
        <v>0</v>
      </c>
      <c r="CM245" s="852" t="n">
        <v>0</v>
      </c>
      <c r="CN245" s="852" t="n">
        <v>0</v>
      </c>
      <c r="CO245" s="852" t="n">
        <v>0</v>
      </c>
      <c r="CP245" s="852" t="n">
        <v>0</v>
      </c>
      <c r="CQ245" s="1102" t="n">
        <v>0</v>
      </c>
      <c r="CR245" s="1103" t="n">
        <v>0</v>
      </c>
      <c r="CS245" s="1103" t="n">
        <v>0</v>
      </c>
      <c r="CT245" s="1103" t="n">
        <v>0</v>
      </c>
      <c r="CU245" s="1103" t="n">
        <v>0</v>
      </c>
      <c r="CV245" s="1103" t="n">
        <v>0</v>
      </c>
      <c r="CW245" s="1103" t="n">
        <v>0</v>
      </c>
      <c r="CX245" s="1104" t="n">
        <v>0</v>
      </c>
      <c r="CY245" s="1105" t="n">
        <v>7739.14552</v>
      </c>
      <c r="CZ245" s="1099" t="n">
        <v>0</v>
      </c>
      <c r="DA245" s="852" t="n">
        <v>0</v>
      </c>
      <c r="DB245" s="852" t="n">
        <v>0</v>
      </c>
      <c r="DC245" s="852" t="n">
        <v>0</v>
      </c>
      <c r="DD245" s="852" t="n">
        <v>0</v>
      </c>
      <c r="DE245" s="1113" t="n">
        <v>0</v>
      </c>
      <c r="DF245" s="1109" t="n">
        <v>0</v>
      </c>
      <c r="DG245" s="1110" t="n">
        <v>0</v>
      </c>
      <c r="DH245" s="1111" t="n">
        <v>0</v>
      </c>
      <c r="DI245" s="1112" t="n">
        <v>0</v>
      </c>
      <c r="DJ245" s="1112" t="n">
        <v>0</v>
      </c>
      <c r="DK245" s="1112" t="n">
        <v>0</v>
      </c>
      <c r="DL245" s="1113" t="n">
        <v>0</v>
      </c>
      <c r="DM245" s="1114" t="n">
        <v>0</v>
      </c>
      <c r="DN245" s="1114" t="n">
        <v>0</v>
      </c>
      <c r="DO245" s="1114" t="n">
        <v>0</v>
      </c>
      <c r="DP245" s="1114" t="n">
        <v>0</v>
      </c>
      <c r="DQ245" s="1114" t="n">
        <v>0</v>
      </c>
      <c r="DR245" s="1109" t="n">
        <v>0</v>
      </c>
      <c r="DS245" s="852" t="n">
        <v>0</v>
      </c>
      <c r="DT245" s="852" t="n">
        <v>0</v>
      </c>
      <c r="DU245" s="852" t="n">
        <v>0</v>
      </c>
      <c r="DV245" s="852" t="n">
        <v>0</v>
      </c>
      <c r="DW245" s="852" t="n">
        <v>0</v>
      </c>
      <c r="DX245" s="852" t="n">
        <v>0</v>
      </c>
      <c r="DY245" s="852" t="n">
        <v>0</v>
      </c>
      <c r="DZ245" s="852" t="n">
        <v>0</v>
      </c>
      <c r="EA245" s="852" t="n">
        <v>0</v>
      </c>
      <c r="EB245" s="1113" t="n">
        <v>0</v>
      </c>
      <c r="EC245" s="1115" t="n">
        <f aca="false">DS245*BD245</f>
        <v>0</v>
      </c>
      <c r="ED245" s="1115" t="n">
        <f aca="false">DT245*BE245</f>
        <v>0</v>
      </c>
      <c r="EE245" s="1115" t="n">
        <f aca="false">DU245*BF245</f>
        <v>0</v>
      </c>
      <c r="EF245" s="1115" t="n">
        <f aca="false">DV245*BG245</f>
        <v>0</v>
      </c>
      <c r="EG245" s="1115" t="n">
        <f aca="false">DS245*BD245+DT245*BE245+DU245*BF245+DV245*BG245</f>
        <v>0</v>
      </c>
      <c r="EH245" s="1116" t="n">
        <v>0</v>
      </c>
      <c r="EI245" s="1117" t="n">
        <v>0</v>
      </c>
      <c r="EJ245" s="1117" t="n">
        <v>0</v>
      </c>
      <c r="EK245" s="1117" t="n">
        <v>0</v>
      </c>
      <c r="EL245" s="1118" t="n">
        <f aca="false">IF(C245&gt;=Summary!$E$26,MAX(0,SUM(EH245:EK245)),0)</f>
        <v>0</v>
      </c>
      <c r="EM245" s="1115" t="n">
        <f aca="false">IF(C245&gt;=Summary!$E$26,DX245*BL245,0)</f>
        <v>0</v>
      </c>
      <c r="EN245" s="1115" t="n">
        <f aca="false">IF(C245&gt;=Summary!$E$26,DY245*BM245,0)</f>
        <v>0</v>
      </c>
      <c r="EO245" s="1115" t="n">
        <f aca="false">IF(C245&gt;=Summary!$E$26,DZ245*BN245,0)</f>
        <v>0</v>
      </c>
      <c r="EP245" s="1115" t="n">
        <f aca="false">IF(C245&gt;=Summary!$E$26,EA245*BO245,0)</f>
        <v>0</v>
      </c>
      <c r="EQ245" s="1115" t="n">
        <f aca="false">IF(C245&gt;=Summary!$E$26,DX245*BL245+DY245*BM245+DZ245*BN245+EA245*BO245,0)</f>
        <v>0</v>
      </c>
      <c r="ER245" s="1119" t="n">
        <v>0</v>
      </c>
      <c r="ES245" s="1120" t="n">
        <v>0</v>
      </c>
      <c r="ET245" s="1120" t="n">
        <v>0</v>
      </c>
      <c r="EU245" s="1120" t="n">
        <v>0</v>
      </c>
      <c r="EV245" s="1143" t="n">
        <f aca="false">IF(C245&gt;=Summary!$E$26,MAX(0,SUM(ER245:EU245)),0)</f>
        <v>0</v>
      </c>
      <c r="EW245" s="1115"/>
      <c r="EX245" s="1165" t="n">
        <f aca="false">(EQ245-EV245)+IF(EZ245="Yes",(EG245-EL245),0)</f>
        <v>0</v>
      </c>
      <c r="EY245" s="1166" t="str">
        <f aca="false">IF(EX245,EX245/EQ245,"")</f>
        <v/>
      </c>
      <c r="EZ245" s="1122" t="s">
        <v>37</v>
      </c>
      <c r="FA245" s="1096" t="n">
        <f aca="false">FA244</f>
        <v>45</v>
      </c>
      <c r="FB245" s="1167" t="e">
        <f aca="false">IF(EZ245="No",IF((OR(MONTH(C245)=5,MONTH(C245)=6,MONTH(C245)=7,MONTH(C245)=8,MONTH(C245)=9)),$FA245*12*AX245*(1-$BC245),$FA245*10*AX245*(1-$BC245)),0)</f>
        <v>#VALUE!</v>
      </c>
      <c r="FC245" s="1129" t="e">
        <f aca="false">IF(EZ245="No",IF((OR(MONTH(C245)=5,MONTH(C245)=6,MONTH(C245)=7,MONTH(C245)=8,MONTH(C245)=9)),0,$FA245*3*AX245*(1-$BC245)),0)</f>
        <v>#VALUE!</v>
      </c>
      <c r="FD245" s="1129" t="e">
        <f aca="false">IF(EZ245="No",IF((OR(MONTH(C245)=5,MONTH(C245)=6,MONTH(C245)=7,MONTH(C245)=8,MONTH(C245)=9)),$FA245*12*AY245*(1-$BC245),$FA245*10*AY245*(1-$BC245)),0)</f>
        <v>#VALUE!</v>
      </c>
      <c r="FE245" s="1129" t="e">
        <f aca="false">IF(EZ245="No",IF((OR(MONTH(C245)=5,MONTH(C245)=6,MONTH(C245)=7,MONTH(C245)=8,MONTH(C245)=9)),0,$FA245*3*AY245*(1-$BC245)),0)</f>
        <v>#VALUE!</v>
      </c>
      <c r="FF245" s="1129" t="e">
        <f aca="false">IF(EZ245="No",IF((OR(MONTH(C245)=5,MONTH(C245)=6,MONTH(C245)=7,MONTH(C245)=8,MONTH(C245)=9)),$FA245*12*(AZ245+BA245)*(1-$BC245),$FA245*10*(AZ245+BA245)*(1-$BC245)),0)</f>
        <v>#VALUE!</v>
      </c>
      <c r="FG245" s="1129" t="e">
        <f aca="false">IF(EZ245="No",IF((OR(MONTH(C245)=5,MONTH(C245)=6,MONTH(C245)=7,MONTH(C245)=8,MONTH(C245)=9)),0,$FA245*3*(AZ245+BA245)*(1-$BC245)),0)</f>
        <v>#VALUE!</v>
      </c>
      <c r="FH245" s="1170" t="e">
        <f aca="false">IF(EZ245="No",IF((OR(MONTH(C245)=5,MONTH(C245)=6,MONTH(C245)=7,MONTH(C245)=8,MONTH(C245)=9)),Summary!$O$15*12*(AX245+AY245+AZ245+BA245)*(1-$BC245),Summary!$O$15*13*(AX245+AY245+AZ245+BA245)*(1-$BC245)+IF(Summary!$O$16="Yes",(CALC!FA245+Summary!$O$15)*6*(AX245+AY245+AZ245+BA245)*(1-$BC245),0)),0)</f>
        <v>#VALUE!</v>
      </c>
      <c r="FI245" s="1126" t="n">
        <f aca="false">IF(MONTH(C245)=5,FI244*(IF(Summary!$E$70="no",(1+(Summary!$E$71*0.8)),1+HLOOKUP(YEAR(C245)-1,CCFMODEL!$I$127:$AF$128,2)*0.8)),+FI244)</f>
        <v>41.7467669592219</v>
      </c>
      <c r="FJ245" s="1127" t="n">
        <f aca="false">IF(MONTH(C245)=5,FJ244*(IF(Summary!$E$70="no",(1+(Summary!$E$71*0.8)),1+HLOOKUP(YEAR(CALC!C245)-1,CCFMODEL!$I$127:$AF$128,2)*0.8)),FJ244)</f>
        <v>36.4873317517609</v>
      </c>
      <c r="FK245" s="1128" t="e">
        <f aca="false">SUM(FB245:FG245)*FI245+FH245*FJ245</f>
        <v>#VALUE!</v>
      </c>
      <c r="FL245" s="1126" t="n">
        <f aca="false">IF(MONTH(C245)=5,FL244*(IF(Summary!$E$70="no",(1+(Summary!$E$71*0.8)),1+HLOOKUP(YEAR(CALC!C245)-1,CCFMODEL!$I$127:$AF$128,2)*0.8)),+FL244)</f>
        <v>87.798131186455</v>
      </c>
      <c r="FM245" s="1127" t="n">
        <f aca="false">IF(MONTH(C245)=5,FM244*(IF(Summary!$E$70="no",(1+(Summary!$E$71*0.8)),1+HLOOKUP(YEAR(CALC!C245)-1,CCFMODEL!$I$127:$AF$128,2)*0.8)),+FM244)</f>
        <v>41.9032977689678</v>
      </c>
      <c r="FN245" s="1128" t="e">
        <f aca="false">IF((OR(MONTH(C245)=5,MONTH(C245)=6,MONTH(C245)=7,MONTH(C245)=8,MONTH(C245)=9)),SUM(FB245:FG245)/(1-BC245)*FL245,SUM(FB245:FG245)/(1-BC245)*FM245)</f>
        <v>#VALUE!</v>
      </c>
      <c r="FO245" s="1129" t="e">
        <f aca="false">FK245+FN245</f>
        <v>#VALUE!</v>
      </c>
      <c r="FP245" s="1169" t="e">
        <f aca="false">FB245</f>
        <v>#VALUE!</v>
      </c>
      <c r="FQ245" s="1129" t="e">
        <f aca="false">FC245</f>
        <v>#VALUE!</v>
      </c>
      <c r="FR245" s="1129" t="e">
        <f aca="false">FD245</f>
        <v>#VALUE!</v>
      </c>
      <c r="FS245" s="1129" t="e">
        <f aca="false">FE245</f>
        <v>#VALUE!</v>
      </c>
      <c r="FT245" s="1129" t="e">
        <f aca="false">FF245</f>
        <v>#VALUE!</v>
      </c>
      <c r="FU245" s="1129" t="e">
        <f aca="false">FG245</f>
        <v>#VALUE!</v>
      </c>
      <c r="FV245" s="1170" t="e">
        <f aca="false">FH245</f>
        <v>#VALUE!</v>
      </c>
      <c r="FW245" s="1115" t="n">
        <f aca="false">IF(ER245&gt;0,MIN(FB245-FP245,BL245),0)</f>
        <v>0</v>
      </c>
      <c r="FX245" s="1115" t="n">
        <f aca="false">IF(ES245&gt;0,MIN(FD245-FR245,BM245),0)</f>
        <v>0</v>
      </c>
      <c r="FY245" s="1115" t="n">
        <f aca="false">IF(ET245&gt;0,MIN(FF245-FT245,BN245),0)</f>
        <v>0</v>
      </c>
      <c r="FZ245" s="1143" t="n">
        <f aca="false">IF(EU245&gt;0,MIN(FH245-FV245,BO245),0)</f>
        <v>0</v>
      </c>
      <c r="GA245" s="1132" t="e">
        <f aca="false">(SUM(FP245:FV245)+SUM(GU245:HB245)/(1-Summary!$O$25))*CY245/1000</f>
        <v>#VALUE!</v>
      </c>
      <c r="GB245" s="1133" t="n">
        <f aca="false">IF($C245&lt;Summary!$M$81,+Summary!$O$81,VLOOKUP(C245,GasTable,19))</f>
        <v>4.25526119171182</v>
      </c>
      <c r="GC245" s="1134" t="n">
        <f aca="false">IF(H245&lt;=Summary!$N$84,MIN(GA245,Summary!$O$75*(H245-G245+1)),0)</f>
        <v>0</v>
      </c>
      <c r="GD245" s="1135" t="n">
        <f aca="false">IF(C245&lt;Summary!$N$84,IF(Summary!$O$75*(H245-G245+1)*0.8&gt;GC245,1,0),0)</f>
        <v>0</v>
      </c>
      <c r="GE245" s="1136" t="n">
        <v>0</v>
      </c>
      <c r="GF245" s="1134" t="e">
        <f aca="false">ABS(MIN(0,GC245-$GA245))</f>
        <v>#VALUE!</v>
      </c>
      <c r="GG245" s="1135" t="e">
        <f aca="false">GF245*(IF(Summary!$O$74=1,VLOOKUP($C245,GasTable,16)+Summary!$O$92+Summary!$O$93,VLOOKUP($C245,GasTable,19)+Summary!$O$92+Summary!$O$93))</f>
        <v>#VALUE!</v>
      </c>
      <c r="GH245" s="1137" t="n">
        <v>6595.65484715333</v>
      </c>
      <c r="GI245" s="1138" t="n">
        <v>0</v>
      </c>
      <c r="GJ245" s="1139" t="e">
        <f aca="false">+GB245*GC245+GE245+GG245+GH245-GI245</f>
        <v>#VALUE!</v>
      </c>
      <c r="GK245" s="1115" t="e">
        <f aca="false">SUM(FP245:FV245,GU245:GX245,GY245:HB245)</f>
        <v>#VALUE!</v>
      </c>
      <c r="GL245" s="1140" t="n">
        <v>0.51852274984</v>
      </c>
      <c r="GM245" s="1141" t="e">
        <f aca="false">IF(GK245&gt;GC245/(CY245/1000),GC245/(CY245/1000),+GK245)*GL245</f>
        <v>#VALUE!</v>
      </c>
      <c r="GN245" s="1115" t="n">
        <f aca="false">IF(SUM(GU245:HB245)=0,0,IF(Summary!$O$16="Yes",SUM(GX245:HB245),IF(Summary!$O$17="Yes",SUM(GY245:HB245),SUM(GU245:HB245))))</f>
        <v>12199.03785</v>
      </c>
      <c r="GO245" s="1142" t="n">
        <v>4.17251245089686</v>
      </c>
      <c r="GP245" s="1143" t="n">
        <f aca="false">GN245*GO245</f>
        <v>50900.6373180871</v>
      </c>
      <c r="GQ245" s="1115"/>
      <c r="GR245" s="1115"/>
      <c r="GS245" s="1115"/>
      <c r="GT245" s="1115"/>
      <c r="GU245" s="1150" t="n">
        <v>5646.1185</v>
      </c>
      <c r="GV245" s="1115" t="n">
        <v>1026.567</v>
      </c>
      <c r="GW245" s="1115" t="n">
        <v>1283.20875</v>
      </c>
      <c r="GX245" s="1115"/>
      <c r="GY245" s="1151" t="n">
        <v>3011.2632</v>
      </c>
      <c r="GZ245" s="1115" t="n">
        <v>547.5024</v>
      </c>
      <c r="HA245" s="1115" t="n">
        <v>684.378</v>
      </c>
      <c r="HB245" s="1141"/>
      <c r="HC245" s="1115" t="n">
        <v>12199.03785</v>
      </c>
      <c r="HD245" s="1115"/>
      <c r="HE245" s="1115" t="n">
        <v>20950.521525</v>
      </c>
      <c r="HF245" s="1115" t="n">
        <v>723730.882065735</v>
      </c>
      <c r="HG245" s="1115"/>
      <c r="HH245" s="1142" t="n">
        <v>58.8725790380581</v>
      </c>
      <c r="HI245" s="1115" t="n">
        <v>1233411.2343691</v>
      </c>
      <c r="HJ245" s="1150" t="e">
        <f aca="false">MAX(FB245-FP245-FW245,0)</f>
        <v>#VALUE!</v>
      </c>
      <c r="HK245" s="1115" t="e">
        <f aca="false">MAX(FD245-FR245-FX245,0)</f>
        <v>#VALUE!</v>
      </c>
      <c r="HL245" s="1115" t="e">
        <f aca="false">MAX(FF245-FT245-FY245,0)</f>
        <v>#VALUE!</v>
      </c>
      <c r="HM245" s="1141" t="e">
        <f aca="false">MAX(FH245-FV245-FZ245,0)</f>
        <v>#VALUE!</v>
      </c>
      <c r="HN245" s="1115" t="e">
        <f aca="false">SUM(HJ245:HM245)</f>
        <v>#VALUE!</v>
      </c>
      <c r="HO245" s="1142" t="n">
        <f aca="false">IF(ISERROR(+HP245/HN245),0,+HP245/HN245)</f>
        <v>0</v>
      </c>
      <c r="HP245" s="1143" t="e">
        <f aca="false">(HJ245*CE245+HK245*CF245+HL245*CG245+HM245*CH245)</f>
        <v>#VALUE!</v>
      </c>
      <c r="HQ245" s="1142"/>
      <c r="HR245" s="1150"/>
      <c r="HS245" s="1200"/>
      <c r="HT245" s="1141"/>
      <c r="HU245" s="1150"/>
      <c r="HV245" s="1200"/>
      <c r="HW245" s="1141"/>
      <c r="HX245" s="1200"/>
      <c r="HY245" s="1200"/>
      <c r="HZ245" s="0"/>
      <c r="IA245" s="1142"/>
      <c r="IB245" s="1142"/>
      <c r="IC245" s="1142"/>
      <c r="ID245" s="1142"/>
      <c r="IE245" s="1142"/>
      <c r="IF245" s="1142"/>
      <c r="IG245" s="1142"/>
      <c r="IH245" s="1142"/>
      <c r="II245" s="1142"/>
      <c r="IJ245" s="1142"/>
      <c r="IK245" s="1142"/>
      <c r="IL245" s="1190"/>
      <c r="IM245" s="222"/>
      <c r="IN245" s="222"/>
      <c r="IR245" s="844"/>
    </row>
    <row r="246" customFormat="false" ht="13.5" hidden="false" customHeight="false" outlineLevel="0" collapsed="false">
      <c r="A246" s="0" t="str">
        <f aca="false">+D246&amp;"Q"&amp;ROUNDUP(E246/3,0)</f>
        <v>2019Q1</v>
      </c>
      <c r="B246" s="0" t="n">
        <f aca="false">YEAR(C246)</f>
        <v>2019</v>
      </c>
      <c r="C246" s="1153" t="n">
        <f aca="false">EOMONTH(C245,0)+1</f>
        <v>43497</v>
      </c>
      <c r="D246" s="841" t="n">
        <f aca="false">+YEAR(C246)</f>
        <v>2019</v>
      </c>
      <c r="E246" s="807" t="n">
        <f aca="false">MONTH(C246)</f>
        <v>2</v>
      </c>
      <c r="F246" s="1154" t="e">
        <f aca="false">IF(G246="","",Holiday(D246,E246))</f>
        <v>#VALUE!</v>
      </c>
      <c r="G246" s="1155" t="n">
        <v>43497</v>
      </c>
      <c r="H246" s="1156" t="n">
        <v>43524</v>
      </c>
      <c r="I246" s="1157" t="n">
        <f aca="false">I245</f>
        <v>0.0715</v>
      </c>
      <c r="J246" s="1158" t="n">
        <f aca="false">(1+I246/2)^(-2*(DATE(D247,E247,20)-$H$7)/365.25)</f>
        <v>0.258437677088181</v>
      </c>
      <c r="K246" s="1159"/>
      <c r="L246" s="1158"/>
      <c r="M246" s="1082" t="n">
        <v>0</v>
      </c>
      <c r="N246" s="1110" t="n">
        <f aca="false">M246</f>
        <v>0</v>
      </c>
      <c r="O246" s="1174" t="n">
        <f aca="false">N246</f>
        <v>0</v>
      </c>
      <c r="P246" s="1175" t="n">
        <f aca="false">M246</f>
        <v>0</v>
      </c>
      <c r="Q246" s="1110" t="n">
        <f aca="false">P246</f>
        <v>0</v>
      </c>
      <c r="R246" s="1174" t="n">
        <f aca="false">Q246</f>
        <v>0</v>
      </c>
      <c r="S246" s="1110" t="n">
        <f aca="false">R246</f>
        <v>0</v>
      </c>
      <c r="T246" s="1110" t="n">
        <f aca="false">S246</f>
        <v>0</v>
      </c>
      <c r="U246" s="1110" t="n">
        <f aca="false">T246</f>
        <v>0</v>
      </c>
      <c r="V246" s="1175" t="n">
        <f aca="false">U246</f>
        <v>0</v>
      </c>
      <c r="W246" s="1110" t="n">
        <f aca="false">V246</f>
        <v>0</v>
      </c>
      <c r="X246" s="1176" t="n">
        <f aca="false">W246</f>
        <v>0</v>
      </c>
      <c r="Y246" s="1086" t="n">
        <v>0</v>
      </c>
      <c r="Z246" s="1086" t="n">
        <v>0</v>
      </c>
      <c r="AA246" s="1087" t="n">
        <v>0</v>
      </c>
      <c r="AB246" s="1086" t="n">
        <v>0</v>
      </c>
      <c r="AC246" s="1086" t="n">
        <v>0</v>
      </c>
      <c r="AD246" s="1087" t="n">
        <v>0</v>
      </c>
      <c r="AE246" s="1086" t="n">
        <v>0</v>
      </c>
      <c r="AF246" s="1086" t="n">
        <v>0</v>
      </c>
      <c r="AG246" s="1087" t="n">
        <v>0</v>
      </c>
      <c r="AH246" s="1086" t="n">
        <v>0</v>
      </c>
      <c r="AI246" s="1086" t="n">
        <v>0</v>
      </c>
      <c r="AJ246" s="1087" t="n">
        <v>0</v>
      </c>
      <c r="AK246" s="1086" t="n">
        <v>0</v>
      </c>
      <c r="AL246" s="1086" t="n">
        <v>0</v>
      </c>
      <c r="AM246" s="1087" t="n">
        <v>0</v>
      </c>
      <c r="AN246" s="1086" t="n">
        <v>0</v>
      </c>
      <c r="AO246" s="1086" t="n">
        <v>0</v>
      </c>
      <c r="AP246" s="1087" t="n">
        <v>0</v>
      </c>
      <c r="AQ246" s="1086" t="n">
        <v>0</v>
      </c>
      <c r="AR246" s="1086" t="n">
        <v>0</v>
      </c>
      <c r="AS246" s="1087" t="n">
        <v>0</v>
      </c>
      <c r="AT246" s="1086" t="n">
        <v>0</v>
      </c>
      <c r="AU246" s="1086" t="n">
        <v>0</v>
      </c>
      <c r="AV246" s="1086" t="n">
        <v>0</v>
      </c>
      <c r="AW246" s="1172" t="n">
        <v>0</v>
      </c>
      <c r="AX246" s="807" t="n">
        <f aca="false">BB246-SUM(AY246:BA246)</f>
        <v>20</v>
      </c>
      <c r="AY246" s="807" t="n">
        <f aca="false">IF(AND($E246=MONTH(Summary!$E$24),$D246=YEAR(Summary!$E$24)),Summary!$E$25,1)*IF(G246="",0,INT((H246-MOD(H246,7)-G246)/7)+1-IF(BA246,IF(WEEKDAY(F246)=7,1,0),0))</f>
        <v>4</v>
      </c>
      <c r="AZ246" s="807" t="n">
        <f aca="false">IF(AND($E246=MONTH(Summary!$E$24),$D246=YEAR(Summary!$E$24)),Summary!$E$25,1)*IF(G246="",0,INT((H246-MOD(H246-1,7)-G246)/7)+1-IF(BA246,IF(WEEKDAY(F246)=1,1,0),0))</f>
        <v>4</v>
      </c>
      <c r="BA246" s="807" t="n">
        <v>0</v>
      </c>
      <c r="BB246" s="807" t="n">
        <f aca="false">IF(AND($E246=MONTH(Summary!$E$24),$D246=YEAR(Summary!$E$24)),Summary!$E$25,1)*IF(G246="",0,H246-G246+1)</f>
        <v>28</v>
      </c>
      <c r="BC246" s="1089" t="n">
        <f aca="false">Summary!$E$19</f>
        <v>0.015</v>
      </c>
      <c r="BD246" s="1090" t="n">
        <v>14184</v>
      </c>
      <c r="BE246" s="1091" t="n">
        <v>2836.8</v>
      </c>
      <c r="BF246" s="1091" t="n">
        <v>2836.8</v>
      </c>
      <c r="BG246" s="842"/>
      <c r="BH246" s="1092" t="n">
        <v>1</v>
      </c>
      <c r="BI246" s="1092" t="n">
        <v>1</v>
      </c>
      <c r="BJ246" s="1092" t="n">
        <v>1</v>
      </c>
      <c r="BK246" s="1092" t="n">
        <v>1</v>
      </c>
      <c r="BL246" s="1093" t="n">
        <v>2836.8</v>
      </c>
      <c r="BM246" s="1091" t="n">
        <v>567.36</v>
      </c>
      <c r="BN246" s="1091" t="n">
        <v>567.36</v>
      </c>
      <c r="BO246" s="842"/>
      <c r="BP246" s="1092" t="n">
        <v>1</v>
      </c>
      <c r="BQ246" s="1094" t="n">
        <v>1</v>
      </c>
      <c r="BR246" s="1094" t="n">
        <v>1</v>
      </c>
      <c r="BS246" s="1095" t="n">
        <v>1</v>
      </c>
      <c r="BT246" s="1093" t="n">
        <f aca="false">SUM(BD246:BF246)</f>
        <v>19857.6</v>
      </c>
      <c r="BU246" s="1098" t="n">
        <f aca="false">SUM(BD246:BG246)</f>
        <v>19857.6</v>
      </c>
      <c r="BV246" s="1090" t="n">
        <f aca="false">SUM(BL246:BN246)</f>
        <v>3971.52</v>
      </c>
      <c r="BW246" s="1098" t="n">
        <f aca="false">SUM(BL246:BO246)</f>
        <v>3971.52</v>
      </c>
      <c r="BX246" s="852" t="n">
        <v>19.1321013004791</v>
      </c>
      <c r="BY246" s="1099" t="n">
        <v>0</v>
      </c>
      <c r="BZ246" s="852" t="n">
        <v>0</v>
      </c>
      <c r="CA246" s="852" t="n">
        <v>0</v>
      </c>
      <c r="CB246" s="852" t="n">
        <v>0</v>
      </c>
      <c r="CC246" s="852" t="n">
        <v>0</v>
      </c>
      <c r="CD246" s="852" t="n">
        <v>0</v>
      </c>
      <c r="CE246" s="1100" t="n">
        <v>0</v>
      </c>
      <c r="CF246" s="852" t="n">
        <v>0</v>
      </c>
      <c r="CG246" s="852" t="n">
        <v>0</v>
      </c>
      <c r="CH246" s="852" t="n">
        <v>0</v>
      </c>
      <c r="CI246" s="852" t="n">
        <v>0</v>
      </c>
      <c r="CJ246" s="1101" t="n">
        <v>0</v>
      </c>
      <c r="CK246" s="852" t="n">
        <v>0</v>
      </c>
      <c r="CL246" s="852" t="n">
        <v>0</v>
      </c>
      <c r="CM246" s="852" t="n">
        <v>0</v>
      </c>
      <c r="CN246" s="852" t="n">
        <v>0</v>
      </c>
      <c r="CO246" s="852" t="n">
        <v>0</v>
      </c>
      <c r="CP246" s="852" t="n">
        <v>0</v>
      </c>
      <c r="CQ246" s="1102" t="n">
        <v>0</v>
      </c>
      <c r="CR246" s="1103" t="n">
        <v>0</v>
      </c>
      <c r="CS246" s="1103" t="n">
        <v>0</v>
      </c>
      <c r="CT246" s="1103" t="n">
        <v>0</v>
      </c>
      <c r="CU246" s="1103" t="n">
        <v>0</v>
      </c>
      <c r="CV246" s="1103" t="n">
        <v>0</v>
      </c>
      <c r="CW246" s="1103" t="n">
        <v>0</v>
      </c>
      <c r="CX246" s="1104" t="n">
        <v>0</v>
      </c>
      <c r="CY246" s="1105" t="n">
        <v>7741.17648</v>
      </c>
      <c r="CZ246" s="1099" t="n">
        <v>0</v>
      </c>
      <c r="DA246" s="852" t="n">
        <v>0</v>
      </c>
      <c r="DB246" s="852" t="n">
        <v>0</v>
      </c>
      <c r="DC246" s="852" t="n">
        <v>0</v>
      </c>
      <c r="DD246" s="852" t="n">
        <v>0</v>
      </c>
      <c r="DE246" s="1113" t="n">
        <v>0</v>
      </c>
      <c r="DF246" s="1109" t="n">
        <v>0</v>
      </c>
      <c r="DG246" s="1110" t="n">
        <v>0</v>
      </c>
      <c r="DH246" s="1111" t="n">
        <v>0</v>
      </c>
      <c r="DI246" s="1112" t="n">
        <v>0</v>
      </c>
      <c r="DJ246" s="1112" t="n">
        <v>0</v>
      </c>
      <c r="DK246" s="1112" t="n">
        <v>0</v>
      </c>
      <c r="DL246" s="1113" t="n">
        <v>0</v>
      </c>
      <c r="DM246" s="1114" t="n">
        <v>0</v>
      </c>
      <c r="DN246" s="1114" t="n">
        <v>0</v>
      </c>
      <c r="DO246" s="1114" t="n">
        <v>0</v>
      </c>
      <c r="DP246" s="1114" t="n">
        <v>0</v>
      </c>
      <c r="DQ246" s="1114" t="n">
        <v>0</v>
      </c>
      <c r="DR246" s="1109" t="n">
        <v>0</v>
      </c>
      <c r="DS246" s="852" t="n">
        <v>0</v>
      </c>
      <c r="DT246" s="852" t="n">
        <v>0</v>
      </c>
      <c r="DU246" s="852" t="n">
        <v>0</v>
      </c>
      <c r="DV246" s="852" t="n">
        <v>0</v>
      </c>
      <c r="DW246" s="852" t="n">
        <v>0</v>
      </c>
      <c r="DX246" s="852" t="n">
        <v>0</v>
      </c>
      <c r="DY246" s="852" t="n">
        <v>0</v>
      </c>
      <c r="DZ246" s="852" t="n">
        <v>0</v>
      </c>
      <c r="EA246" s="852" t="n">
        <v>0</v>
      </c>
      <c r="EB246" s="1113" t="n">
        <v>0</v>
      </c>
      <c r="EC246" s="1115" t="n">
        <f aca="false">DS246*BD246</f>
        <v>0</v>
      </c>
      <c r="ED246" s="1115" t="n">
        <f aca="false">DT246*BE246</f>
        <v>0</v>
      </c>
      <c r="EE246" s="1115" t="n">
        <f aca="false">DU246*BF246</f>
        <v>0</v>
      </c>
      <c r="EF246" s="1115" t="n">
        <f aca="false">DV246*BG246</f>
        <v>0</v>
      </c>
      <c r="EG246" s="1115" t="n">
        <f aca="false">DS246*BD246+DT246*BE246+DU246*BF246+DV246*BG246</f>
        <v>0</v>
      </c>
      <c r="EH246" s="1116" t="n">
        <v>0</v>
      </c>
      <c r="EI246" s="1117" t="n">
        <v>0</v>
      </c>
      <c r="EJ246" s="1117" t="n">
        <v>0</v>
      </c>
      <c r="EK246" s="1117" t="n">
        <v>0</v>
      </c>
      <c r="EL246" s="1118" t="n">
        <f aca="false">IF(C246&gt;=Summary!$E$26,MAX(0,SUM(EH246:EK246)),0)</f>
        <v>0</v>
      </c>
      <c r="EM246" s="1115" t="n">
        <f aca="false">IF(C246&gt;=Summary!$E$26,DX246*BL246,0)</f>
        <v>0</v>
      </c>
      <c r="EN246" s="1115" t="n">
        <f aca="false">IF(C246&gt;=Summary!$E$26,DY246*BM246,0)</f>
        <v>0</v>
      </c>
      <c r="EO246" s="1115" t="n">
        <f aca="false">IF(C246&gt;=Summary!$E$26,DZ246*BN246,0)</f>
        <v>0</v>
      </c>
      <c r="EP246" s="1115" t="n">
        <f aca="false">IF(C246&gt;=Summary!$E$26,EA246*BO246,0)</f>
        <v>0</v>
      </c>
      <c r="EQ246" s="1115" t="n">
        <f aca="false">IF(C246&gt;=Summary!$E$26,DX246*BL246+DY246*BM246+DZ246*BN246+EA246*BO246,0)</f>
        <v>0</v>
      </c>
      <c r="ER246" s="1119" t="n">
        <v>0</v>
      </c>
      <c r="ES246" s="1120" t="n">
        <v>0</v>
      </c>
      <c r="ET246" s="1120" t="n">
        <v>0</v>
      </c>
      <c r="EU246" s="1120" t="n">
        <v>0</v>
      </c>
      <c r="EV246" s="1143" t="n">
        <f aca="false">IF(C246&gt;=Summary!$E$26,MAX(0,SUM(ER246:EU246)),0)</f>
        <v>0</v>
      </c>
      <c r="EW246" s="1115"/>
      <c r="EX246" s="1165" t="n">
        <f aca="false">(EQ246-EV246)+IF(EZ246="Yes",(EG246-EL246),0)</f>
        <v>0</v>
      </c>
      <c r="EY246" s="1166" t="str">
        <f aca="false">IF(EX246,EX246/EQ246,"")</f>
        <v/>
      </c>
      <c r="EZ246" s="1122" t="s">
        <v>37</v>
      </c>
      <c r="FA246" s="1096" t="n">
        <f aca="false">FA245</f>
        <v>45</v>
      </c>
      <c r="FB246" s="1167" t="n">
        <f aca="false">IF(EZ246="No",IF((OR(MONTH(C246)=5,MONTH(C246)=6,MONTH(C246)=7,MONTH(C246)=8,MONTH(C246)=9)),$FA246*12*AX246*(1-$BC246),$FA246*10*AX246*(1-$BC246)),0)</f>
        <v>8865</v>
      </c>
      <c r="FC246" s="1129" t="n">
        <f aca="false">IF(EZ246="No",IF((OR(MONTH(C246)=5,MONTH(C246)=6,MONTH(C246)=7,MONTH(C246)=8,MONTH(C246)=9)),0,$FA246*3*AX246*(1-$BC246)),0)</f>
        <v>2659.5</v>
      </c>
      <c r="FD246" s="1129" t="n">
        <f aca="false">IF(EZ246="No",IF((OR(MONTH(C246)=5,MONTH(C246)=6,MONTH(C246)=7,MONTH(C246)=8,MONTH(C246)=9)),$FA246*12*AY246*(1-$BC246),$FA246*10*AY246*(1-$BC246)),0)</f>
        <v>1773</v>
      </c>
      <c r="FE246" s="1129" t="n">
        <f aca="false">IF(EZ246="No",IF((OR(MONTH(C246)=5,MONTH(C246)=6,MONTH(C246)=7,MONTH(C246)=8,MONTH(C246)=9)),0,$FA246*3*AY246*(1-$BC246)),0)</f>
        <v>531.9</v>
      </c>
      <c r="FF246" s="1129" t="n">
        <f aca="false">IF(EZ246="No",IF((OR(MONTH(C246)=5,MONTH(C246)=6,MONTH(C246)=7,MONTH(C246)=8,MONTH(C246)=9)),$FA246*12*(AZ246+BA246)*(1-$BC246),$FA246*10*(AZ246+BA246)*(1-$BC246)),0)</f>
        <v>1773</v>
      </c>
      <c r="FG246" s="1129" t="n">
        <f aca="false">IF(EZ246="No",IF((OR(MONTH(C246)=5,MONTH(C246)=6,MONTH(C246)=7,MONTH(C246)=8,MONTH(C246)=9)),0,$FA246*3*(AZ246+BA246)*(1-$BC246)),0)</f>
        <v>531.9</v>
      </c>
      <c r="FH246" s="1170" t="n">
        <f aca="false">IF(EZ246="No",IF((OR(MONTH(C246)=5,MONTH(C246)=6,MONTH(C246)=7,MONTH(C246)=8,MONTH(C246)=9)),Summary!$O$15*12*(AX246+AY246+AZ246+BA246)*(1-$BC246),Summary!$O$15*13*(AX246+AY246+AZ246+BA246)*(1-$BC246)+IF(Summary!$O$16="Yes",(CALC!FA246+Summary!$O$15)*6*(AX246+AY246+AZ246+BA246)*(1-$BC246),0)),0)</f>
        <v>0</v>
      </c>
      <c r="FI246" s="1126" t="n">
        <f aca="false">IF(MONTH(C246)=5,FI245*(IF(Summary!$E$70="no",(1+(Summary!$E$71*0.8)),1+HLOOKUP(YEAR(C246)-1,CCFMODEL!$I$127:$AF$128,2)*0.8)),+FI245)</f>
        <v>41.7467669592219</v>
      </c>
      <c r="FJ246" s="1127" t="n">
        <f aca="false">IF(MONTH(C246)=5,FJ245*(IF(Summary!$E$70="no",(1+(Summary!$E$71*0.8)),1+HLOOKUP(YEAR(CALC!C246)-1,CCFMODEL!$I$127:$AF$128,2)*0.8)),FJ245)</f>
        <v>36.4873317517609</v>
      </c>
      <c r="FK246" s="1128" t="n">
        <f aca="false">SUM(FB246:FG246)*FI246+FH246*FJ246</f>
        <v>673554.862150174</v>
      </c>
      <c r="FL246" s="1126" t="n">
        <f aca="false">IF(MONTH(C246)=5,FL245*(IF(Summary!$E$70="no",(1+(Summary!$E$71*0.8)),1+HLOOKUP(YEAR(CALC!C246)-1,CCFMODEL!$I$127:$AF$128,2)*0.8)),+FL245)</f>
        <v>87.798131186455</v>
      </c>
      <c r="FM246" s="1127" t="n">
        <f aca="false">IF(MONTH(C246)=5,FM245*(IF(Summary!$E$70="no",(1+(Summary!$E$71*0.8)),1+HLOOKUP(YEAR(CALC!C246)-1,CCFMODEL!$I$127:$AF$128,2)*0.8)),+FM245)</f>
        <v>41.9032977689678</v>
      </c>
      <c r="FN246" s="1128" t="n">
        <f aca="false">IF((OR(MONTH(C246)=5,MONTH(C246)=6,MONTH(C246)=7,MONTH(C246)=8,MONTH(C246)=9)),SUM(FB246:FG246)/(1-BC246)*FL246,SUM(FB246:FG246)/(1-BC246)*FM246)</f>
        <v>686376.017455692</v>
      </c>
      <c r="FO246" s="1129" t="n">
        <f aca="false">FK246+FN246</f>
        <v>1359930.87960587</v>
      </c>
      <c r="FP246" s="1169" t="n">
        <f aca="false">FB246</f>
        <v>8865</v>
      </c>
      <c r="FQ246" s="1129" t="n">
        <f aca="false">FC246</f>
        <v>2659.5</v>
      </c>
      <c r="FR246" s="1129" t="n">
        <f aca="false">FD246</f>
        <v>1773</v>
      </c>
      <c r="FS246" s="1129" t="n">
        <f aca="false">FE246</f>
        <v>531.9</v>
      </c>
      <c r="FT246" s="1129" t="n">
        <f aca="false">FF246</f>
        <v>1773</v>
      </c>
      <c r="FU246" s="1129" t="n">
        <f aca="false">FG246</f>
        <v>531.9</v>
      </c>
      <c r="FV246" s="1170" t="n">
        <f aca="false">FH246</f>
        <v>0</v>
      </c>
      <c r="FW246" s="1115" t="n">
        <f aca="false">IF(ER246&gt;0,MIN(FB246-FP246,BL246),0)</f>
        <v>0</v>
      </c>
      <c r="FX246" s="1115" t="n">
        <f aca="false">IF(ES246&gt;0,MIN(FD246-FR246,BM246),0)</f>
        <v>0</v>
      </c>
      <c r="FY246" s="1115" t="n">
        <f aca="false">IF(ET246&gt;0,MIN(FF246-FT246,BN246),0)</f>
        <v>0</v>
      </c>
      <c r="FZ246" s="1143" t="n">
        <f aca="false">IF(EU246&gt;0,MIN(FH246-FV246,BO246),0)</f>
        <v>0</v>
      </c>
      <c r="GA246" s="1132" t="n">
        <f aca="false">(SUM(FP246:FV246)+SUM(GU246:HB246)/(1-Summary!$O$25))*CY246/1000</f>
        <v>213288.145671082</v>
      </c>
      <c r="GB246" s="1133" t="n">
        <f aca="false">IF($C246&lt;Summary!$M$81,+Summary!$O$81,VLOOKUP(C246,GasTable,19))</f>
        <v>3.93023256960893</v>
      </c>
      <c r="GC246" s="1134" t="n">
        <f aca="false">IF(H246&lt;=Summary!$N$84,MIN(GA246,Summary!$O$75*(H246-G246+1)),0)</f>
        <v>0</v>
      </c>
      <c r="GD246" s="1135" t="n">
        <f aca="false">IF(C246&lt;Summary!$N$84,IF(Summary!$O$75*(H246-G246+1)*0.8&gt;GC246,1,0),0)</f>
        <v>0</v>
      </c>
      <c r="GE246" s="1136" t="n">
        <v>0</v>
      </c>
      <c r="GF246" s="1134" t="n">
        <f aca="false">ABS(MIN(0,GC246-$GA246))</f>
        <v>213288.145671082</v>
      </c>
      <c r="GG246" s="1135" t="n">
        <f aca="false">GF246*(IF(Summary!$O$74=1,VLOOKUP($C246,GasTable,16)+Summary!$O$92+Summary!$O$93,VLOOKUP($C246,GasTable,19)+Summary!$O$92+Summary!$O$93))</f>
        <v>849384.329217442</v>
      </c>
      <c r="GH246" s="1137" t="n">
        <v>5502.3255974525</v>
      </c>
      <c r="GI246" s="1138" t="n">
        <v>0</v>
      </c>
      <c r="GJ246" s="1139" t="n">
        <f aca="false">+GB246*GC246+GE246+GG246+GH246-GI246</f>
        <v>854886.654814895</v>
      </c>
      <c r="GK246" s="1115" t="n">
        <f aca="false">SUM(FP246:FV246,GU246:GX246,GY246:HB246)</f>
        <v>27152.7858</v>
      </c>
      <c r="GL246" s="1140" t="n">
        <v>0.51865882416</v>
      </c>
      <c r="GM246" s="1141" t="n">
        <f aca="false">IF(GK246&gt;GC246/(CY246/1000),GC246/(CY246/1000),+GK246)*GL246</f>
        <v>0</v>
      </c>
      <c r="GN246" s="1115" t="n">
        <f aca="false">IF(SUM(GU246:HB246)=0,0,IF(Summary!$O$16="Yes",SUM(GX246:HB246),IF(Summary!$O$17="Yes",SUM(GY246:HB246),SUM(GU246:HB246))))</f>
        <v>11018.4858</v>
      </c>
      <c r="GO246" s="1142" t="n">
        <v>4.17251245089686</v>
      </c>
      <c r="GP246" s="1143" t="n">
        <f aca="false">GN246*GO246</f>
        <v>45974.7691905302</v>
      </c>
      <c r="GQ246" s="1115"/>
      <c r="GR246" s="1115"/>
      <c r="GS246" s="1115"/>
      <c r="GT246" s="1115"/>
      <c r="GU246" s="1150" t="n">
        <v>5132.835</v>
      </c>
      <c r="GV246" s="1115" t="n">
        <v>1026.567</v>
      </c>
      <c r="GW246" s="1115" t="n">
        <v>1026.567</v>
      </c>
      <c r="GX246" s="1115"/>
      <c r="GY246" s="1151" t="n">
        <v>2737.512</v>
      </c>
      <c r="GZ246" s="1115" t="n">
        <v>547.5024</v>
      </c>
      <c r="HA246" s="1115" t="n">
        <v>547.5024</v>
      </c>
      <c r="HB246" s="1141"/>
      <c r="HC246" s="1115" t="n">
        <v>11018.4858</v>
      </c>
      <c r="HD246" s="1115"/>
      <c r="HE246" s="1115" t="n">
        <v>18923.0517</v>
      </c>
      <c r="HF246" s="1115" t="n">
        <v>510382.352928336</v>
      </c>
      <c r="HG246" s="1115"/>
      <c r="HH246" s="1142" t="n">
        <v>45.9747277081694</v>
      </c>
      <c r="HI246" s="1115" t="n">
        <v>869982.149315113</v>
      </c>
      <c r="HJ246" s="1150" t="n">
        <f aca="false">MAX(FB246-FP246-FW246,0)</f>
        <v>0</v>
      </c>
      <c r="HK246" s="1115" t="n">
        <f aca="false">MAX(FD246-FR246-FX246,0)</f>
        <v>0</v>
      </c>
      <c r="HL246" s="1115" t="n">
        <f aca="false">MAX(FF246-FT246-FY246,0)</f>
        <v>0</v>
      </c>
      <c r="HM246" s="1141" t="n">
        <f aca="false">MAX(FH246-FV246-FZ246,0)</f>
        <v>0</v>
      </c>
      <c r="HN246" s="1115" t="n">
        <f aca="false">SUM(HJ246:HM246)</f>
        <v>0</v>
      </c>
      <c r="HO246" s="1142" t="n">
        <f aca="false">IF(ISERROR(+HP246/HN246),0,+HP246/HN246)</f>
        <v>0</v>
      </c>
      <c r="HP246" s="1143" t="n">
        <f aca="false">(HJ246*CE246+HK246*CF246+HL246*CG246+HM246*CH246)</f>
        <v>0</v>
      </c>
      <c r="HQ246" s="1142"/>
      <c r="HR246" s="1150"/>
      <c r="HS246" s="1200"/>
      <c r="HT246" s="1141"/>
      <c r="HU246" s="1150"/>
      <c r="HV246" s="1200"/>
      <c r="HW246" s="1141"/>
      <c r="HX246" s="1200"/>
      <c r="HY246" s="1200"/>
      <c r="HZ246" s="0"/>
      <c r="IA246" s="1142"/>
      <c r="IB246" s="1142"/>
      <c r="IC246" s="1142"/>
      <c r="ID246" s="1142"/>
      <c r="IE246" s="1142"/>
      <c r="IF246" s="1142"/>
      <c r="IG246" s="1142"/>
      <c r="IH246" s="1142"/>
      <c r="II246" s="1142"/>
      <c r="IJ246" s="1142"/>
      <c r="IK246" s="1142"/>
      <c r="IL246" s="1190"/>
      <c r="IM246" s="222"/>
      <c r="IN246" s="222"/>
      <c r="IR246" s="844"/>
    </row>
    <row r="247" customFormat="false" ht="13.5" hidden="false" customHeight="false" outlineLevel="0" collapsed="false">
      <c r="A247" s="0" t="str">
        <f aca="false">+D247&amp;"Q"&amp;ROUNDUP(E247/3,0)</f>
        <v>2019Q1</v>
      </c>
      <c r="B247" s="0" t="n">
        <f aca="false">YEAR(C247)</f>
        <v>2019</v>
      </c>
      <c r="C247" s="1153" t="n">
        <f aca="false">EOMONTH(C246,0)+1</f>
        <v>43525</v>
      </c>
      <c r="D247" s="841" t="n">
        <f aca="false">+YEAR(C247)</f>
        <v>2019</v>
      </c>
      <c r="E247" s="807" t="n">
        <f aca="false">MONTH(C247)</f>
        <v>3</v>
      </c>
      <c r="F247" s="1154" t="e">
        <f aca="false">IF(G247="","",Holiday(D247,E247))</f>
        <v>#VALUE!</v>
      </c>
      <c r="G247" s="1155" t="n">
        <v>43525</v>
      </c>
      <c r="H247" s="1156" t="n">
        <v>43555</v>
      </c>
      <c r="I247" s="1157" t="n">
        <f aca="false">I246</f>
        <v>0.0715</v>
      </c>
      <c r="J247" s="1158" t="n">
        <f aca="false">(1+I247/2)^(-2*(DATE(D248,E248,20)-$H$7)/365.25)</f>
        <v>0.256901329626355</v>
      </c>
      <c r="K247" s="1159"/>
      <c r="L247" s="1158"/>
      <c r="M247" s="1082" t="n">
        <v>0</v>
      </c>
      <c r="N247" s="1110" t="n">
        <f aca="false">M247</f>
        <v>0</v>
      </c>
      <c r="O247" s="1174" t="n">
        <f aca="false">N247</f>
        <v>0</v>
      </c>
      <c r="P247" s="1175" t="n">
        <f aca="false">M247</f>
        <v>0</v>
      </c>
      <c r="Q247" s="1110" t="n">
        <f aca="false">P247</f>
        <v>0</v>
      </c>
      <c r="R247" s="1174" t="n">
        <f aca="false">Q247</f>
        <v>0</v>
      </c>
      <c r="S247" s="1110" t="n">
        <f aca="false">R247</f>
        <v>0</v>
      </c>
      <c r="T247" s="1110" t="n">
        <f aca="false">S247</f>
        <v>0</v>
      </c>
      <c r="U247" s="1110" t="n">
        <f aca="false">T247</f>
        <v>0</v>
      </c>
      <c r="V247" s="1175" t="n">
        <f aca="false">U247</f>
        <v>0</v>
      </c>
      <c r="W247" s="1110" t="n">
        <f aca="false">V247</f>
        <v>0</v>
      </c>
      <c r="X247" s="1176" t="n">
        <f aca="false">W247</f>
        <v>0</v>
      </c>
      <c r="Y247" s="1086" t="n">
        <v>0</v>
      </c>
      <c r="Z247" s="1086" t="n">
        <v>0</v>
      </c>
      <c r="AA247" s="1087" t="n">
        <v>0</v>
      </c>
      <c r="AB247" s="1086" t="n">
        <v>0</v>
      </c>
      <c r="AC247" s="1086" t="n">
        <v>0</v>
      </c>
      <c r="AD247" s="1087" t="n">
        <v>0</v>
      </c>
      <c r="AE247" s="1086" t="n">
        <v>0</v>
      </c>
      <c r="AF247" s="1086" t="n">
        <v>0</v>
      </c>
      <c r="AG247" s="1087" t="n">
        <v>0</v>
      </c>
      <c r="AH247" s="1086" t="n">
        <v>0</v>
      </c>
      <c r="AI247" s="1086" t="n">
        <v>0</v>
      </c>
      <c r="AJ247" s="1087" t="n">
        <v>0</v>
      </c>
      <c r="AK247" s="1086" t="n">
        <v>0</v>
      </c>
      <c r="AL247" s="1086" t="n">
        <v>0</v>
      </c>
      <c r="AM247" s="1087" t="n">
        <v>0</v>
      </c>
      <c r="AN247" s="1086" t="n">
        <v>0</v>
      </c>
      <c r="AO247" s="1086" t="n">
        <v>0</v>
      </c>
      <c r="AP247" s="1087" t="n">
        <v>0</v>
      </c>
      <c r="AQ247" s="1086" t="n">
        <v>0</v>
      </c>
      <c r="AR247" s="1086" t="n">
        <v>0</v>
      </c>
      <c r="AS247" s="1087" t="n">
        <v>0</v>
      </c>
      <c r="AT247" s="1086" t="n">
        <v>0</v>
      </c>
      <c r="AU247" s="1086" t="n">
        <v>0</v>
      </c>
      <c r="AV247" s="1086" t="n">
        <v>0</v>
      </c>
      <c r="AW247" s="1172" t="n">
        <v>0</v>
      </c>
      <c r="AX247" s="807" t="n">
        <f aca="false">BB247-SUM(AY247:BA247)</f>
        <v>21</v>
      </c>
      <c r="AY247" s="807" t="n">
        <f aca="false">IF(AND($E247=MONTH(Summary!$E$24),$D247=YEAR(Summary!$E$24)),Summary!$E$25,1)*IF(G247="",0,INT((H247-MOD(H247,7)-G247)/7)+1-IF(BA247,IF(WEEKDAY(F247)=7,1,0),0))</f>
        <v>5</v>
      </c>
      <c r="AZ247" s="807" t="n">
        <f aca="false">IF(AND($E247=MONTH(Summary!$E$24),$D247=YEAR(Summary!$E$24)),Summary!$E$25,1)*IF(G247="",0,INT((H247-MOD(H247-1,7)-G247)/7)+1-IF(BA247,IF(WEEKDAY(F247)=1,1,0),0))</f>
        <v>5</v>
      </c>
      <c r="BA247" s="807" t="n">
        <v>0</v>
      </c>
      <c r="BB247" s="807" t="n">
        <f aca="false">IF(AND($E247=MONTH(Summary!$E$24),$D247=YEAR(Summary!$E$24)),Summary!$E$25,1)*IF(G247="",0,H247-G247+1)</f>
        <v>31</v>
      </c>
      <c r="BC247" s="1089" t="n">
        <f aca="false">Summary!$E$19</f>
        <v>0.015</v>
      </c>
      <c r="BD247" s="1090" t="n">
        <v>14893.2</v>
      </c>
      <c r="BE247" s="1091" t="n">
        <v>3546</v>
      </c>
      <c r="BF247" s="1091" t="n">
        <v>3546</v>
      </c>
      <c r="BG247" s="842"/>
      <c r="BH247" s="1092" t="n">
        <v>1</v>
      </c>
      <c r="BI247" s="1092" t="n">
        <v>1</v>
      </c>
      <c r="BJ247" s="1092" t="n">
        <v>1</v>
      </c>
      <c r="BK247" s="1092" t="n">
        <v>1</v>
      </c>
      <c r="BL247" s="1093" t="n">
        <v>2978.64</v>
      </c>
      <c r="BM247" s="1091" t="n">
        <v>709.2</v>
      </c>
      <c r="BN247" s="1091" t="n">
        <v>709.2</v>
      </c>
      <c r="BO247" s="842"/>
      <c r="BP247" s="1092" t="n">
        <v>1</v>
      </c>
      <c r="BQ247" s="1094" t="n">
        <v>1</v>
      </c>
      <c r="BR247" s="1094" t="n">
        <v>1</v>
      </c>
      <c r="BS247" s="1095" t="n">
        <v>1</v>
      </c>
      <c r="BT247" s="1093" t="n">
        <f aca="false">SUM(BD247:BF247)</f>
        <v>21985.2</v>
      </c>
      <c r="BU247" s="1098" t="n">
        <f aca="false">SUM(BD247:BG247)</f>
        <v>21985.2</v>
      </c>
      <c r="BV247" s="1090" t="n">
        <f aca="false">SUM(BL247:BN247)</f>
        <v>4397.04</v>
      </c>
      <c r="BW247" s="1098" t="n">
        <f aca="false">SUM(BL247:BO247)</f>
        <v>4397.04</v>
      </c>
      <c r="BX247" s="852" t="n">
        <v>19.2087611225188</v>
      </c>
      <c r="BY247" s="1099" t="n">
        <v>0</v>
      </c>
      <c r="BZ247" s="852" t="n">
        <v>0</v>
      </c>
      <c r="CA247" s="852" t="n">
        <v>0</v>
      </c>
      <c r="CB247" s="852" t="n">
        <v>0</v>
      </c>
      <c r="CC247" s="852" t="n">
        <v>0</v>
      </c>
      <c r="CD247" s="852" t="n">
        <v>0</v>
      </c>
      <c r="CE247" s="1100" t="n">
        <v>0</v>
      </c>
      <c r="CF247" s="852" t="n">
        <v>0</v>
      </c>
      <c r="CG247" s="852" t="n">
        <v>0</v>
      </c>
      <c r="CH247" s="852" t="n">
        <v>0</v>
      </c>
      <c r="CI247" s="852" t="n">
        <v>0</v>
      </c>
      <c r="CJ247" s="1101" t="n">
        <v>0</v>
      </c>
      <c r="CK247" s="852" t="n">
        <v>0</v>
      </c>
      <c r="CL247" s="852" t="n">
        <v>0</v>
      </c>
      <c r="CM247" s="852" t="n">
        <v>0</v>
      </c>
      <c r="CN247" s="852" t="n">
        <v>0</v>
      </c>
      <c r="CO247" s="852" t="n">
        <v>0</v>
      </c>
      <c r="CP247" s="852" t="n">
        <v>0</v>
      </c>
      <c r="CQ247" s="1102" t="n">
        <v>0</v>
      </c>
      <c r="CR247" s="1103" t="n">
        <v>0</v>
      </c>
      <c r="CS247" s="1103" t="n">
        <v>0</v>
      </c>
      <c r="CT247" s="1103" t="n">
        <v>0</v>
      </c>
      <c r="CU247" s="1103" t="n">
        <v>0</v>
      </c>
      <c r="CV247" s="1103" t="n">
        <v>0</v>
      </c>
      <c r="CW247" s="1103" t="n">
        <v>0</v>
      </c>
      <c r="CX247" s="1104" t="n">
        <v>0</v>
      </c>
      <c r="CY247" s="1105" t="n">
        <v>7743.20744</v>
      </c>
      <c r="CZ247" s="1099" t="n">
        <v>0</v>
      </c>
      <c r="DA247" s="852" t="n">
        <v>0</v>
      </c>
      <c r="DB247" s="852" t="n">
        <v>0</v>
      </c>
      <c r="DC247" s="852" t="n">
        <v>0</v>
      </c>
      <c r="DD247" s="852" t="n">
        <v>0</v>
      </c>
      <c r="DE247" s="1113" t="n">
        <v>0</v>
      </c>
      <c r="DF247" s="1109" t="n">
        <v>0</v>
      </c>
      <c r="DG247" s="1110" t="n">
        <v>0</v>
      </c>
      <c r="DH247" s="1111" t="n">
        <v>0</v>
      </c>
      <c r="DI247" s="1112" t="n">
        <v>0</v>
      </c>
      <c r="DJ247" s="1112" t="n">
        <v>0</v>
      </c>
      <c r="DK247" s="1112" t="n">
        <v>0</v>
      </c>
      <c r="DL247" s="1113" t="n">
        <v>0</v>
      </c>
      <c r="DM247" s="1114" t="n">
        <v>0</v>
      </c>
      <c r="DN247" s="1114" t="n">
        <v>0</v>
      </c>
      <c r="DO247" s="1114" t="n">
        <v>0</v>
      </c>
      <c r="DP247" s="1114" t="n">
        <v>0</v>
      </c>
      <c r="DQ247" s="1114" t="n">
        <v>0</v>
      </c>
      <c r="DR247" s="1109" t="n">
        <v>0</v>
      </c>
      <c r="DS247" s="852" t="n">
        <v>0</v>
      </c>
      <c r="DT247" s="852" t="n">
        <v>0</v>
      </c>
      <c r="DU247" s="852" t="n">
        <v>0</v>
      </c>
      <c r="DV247" s="852" t="n">
        <v>0</v>
      </c>
      <c r="DW247" s="852" t="n">
        <v>0</v>
      </c>
      <c r="DX247" s="852" t="n">
        <v>0</v>
      </c>
      <c r="DY247" s="852" t="n">
        <v>0</v>
      </c>
      <c r="DZ247" s="852" t="n">
        <v>0</v>
      </c>
      <c r="EA247" s="852" t="n">
        <v>0</v>
      </c>
      <c r="EB247" s="1113" t="n">
        <v>0</v>
      </c>
      <c r="EC247" s="1115" t="n">
        <f aca="false">DS247*BD247</f>
        <v>0</v>
      </c>
      <c r="ED247" s="1115" t="n">
        <f aca="false">DT247*BE247</f>
        <v>0</v>
      </c>
      <c r="EE247" s="1115" t="n">
        <f aca="false">DU247*BF247</f>
        <v>0</v>
      </c>
      <c r="EF247" s="1115" t="n">
        <f aca="false">DV247*BG247</f>
        <v>0</v>
      </c>
      <c r="EG247" s="1115" t="n">
        <f aca="false">DS247*BD247+DT247*BE247+DU247*BF247+DV247*BG247</f>
        <v>0</v>
      </c>
      <c r="EH247" s="1116" t="n">
        <v>0</v>
      </c>
      <c r="EI247" s="1117" t="n">
        <v>0</v>
      </c>
      <c r="EJ247" s="1117" t="n">
        <v>0</v>
      </c>
      <c r="EK247" s="1117" t="n">
        <v>0</v>
      </c>
      <c r="EL247" s="1118" t="n">
        <f aca="false">IF(C247&gt;=Summary!$E$26,MAX(0,SUM(EH247:EK247)),0)</f>
        <v>0</v>
      </c>
      <c r="EM247" s="1115" t="n">
        <f aca="false">IF(C247&gt;=Summary!$E$26,DX247*BL247,0)</f>
        <v>0</v>
      </c>
      <c r="EN247" s="1115" t="n">
        <f aca="false">IF(C247&gt;=Summary!$E$26,DY247*BM247,0)</f>
        <v>0</v>
      </c>
      <c r="EO247" s="1115" t="n">
        <f aca="false">IF(C247&gt;=Summary!$E$26,DZ247*BN247,0)</f>
        <v>0</v>
      </c>
      <c r="EP247" s="1115" t="n">
        <f aca="false">IF(C247&gt;=Summary!$E$26,EA247*BO247,0)</f>
        <v>0</v>
      </c>
      <c r="EQ247" s="1115" t="n">
        <f aca="false">IF(C247&gt;=Summary!$E$26,DX247*BL247+DY247*BM247+DZ247*BN247+EA247*BO247,0)</f>
        <v>0</v>
      </c>
      <c r="ER247" s="1119" t="n">
        <v>0</v>
      </c>
      <c r="ES247" s="1120" t="n">
        <v>0</v>
      </c>
      <c r="ET247" s="1120" t="n">
        <v>0</v>
      </c>
      <c r="EU247" s="1120" t="n">
        <v>0</v>
      </c>
      <c r="EV247" s="1143" t="n">
        <f aca="false">IF(C247&gt;=Summary!$E$26,MAX(0,SUM(ER247:EU247)),0)</f>
        <v>0</v>
      </c>
      <c r="EW247" s="1115"/>
      <c r="EX247" s="1165" t="n">
        <f aca="false">(EQ247-EV247)+IF(EZ247="Yes",(EG247-EL247),0)</f>
        <v>0</v>
      </c>
      <c r="EY247" s="1166" t="str">
        <f aca="false">IF(EX247,EX247/EQ247,"")</f>
        <v/>
      </c>
      <c r="EZ247" s="1122" t="s">
        <v>37</v>
      </c>
      <c r="FA247" s="1096" t="n">
        <f aca="false">FA246</f>
        <v>45</v>
      </c>
      <c r="FB247" s="1167" t="n">
        <f aca="false">IF(EZ247="No",IF((OR(MONTH(C247)=5,MONTH(C247)=6,MONTH(C247)=7,MONTH(C247)=8,MONTH(C247)=9)),$FA247*12*AX247*(1-$BC247),$FA247*10*AX247*(1-$BC247)),0)</f>
        <v>9308.25</v>
      </c>
      <c r="FC247" s="1129" t="n">
        <f aca="false">IF(EZ247="No",IF((OR(MONTH(C247)=5,MONTH(C247)=6,MONTH(C247)=7,MONTH(C247)=8,MONTH(C247)=9)),0,$FA247*3*AX247*(1-$BC247)),0)</f>
        <v>2792.475</v>
      </c>
      <c r="FD247" s="1129" t="n">
        <f aca="false">IF(EZ247="No",IF((OR(MONTH(C247)=5,MONTH(C247)=6,MONTH(C247)=7,MONTH(C247)=8,MONTH(C247)=9)),$FA247*12*AY247*(1-$BC247),$FA247*10*AY247*(1-$BC247)),0)</f>
        <v>2216.25</v>
      </c>
      <c r="FE247" s="1129" t="n">
        <f aca="false">IF(EZ247="No",IF((OR(MONTH(C247)=5,MONTH(C247)=6,MONTH(C247)=7,MONTH(C247)=8,MONTH(C247)=9)),0,$FA247*3*AY247*(1-$BC247)),0)</f>
        <v>664.875</v>
      </c>
      <c r="FF247" s="1129" t="n">
        <f aca="false">IF(EZ247="No",IF((OR(MONTH(C247)=5,MONTH(C247)=6,MONTH(C247)=7,MONTH(C247)=8,MONTH(C247)=9)),$FA247*12*(AZ247+BA247)*(1-$BC247),$FA247*10*(AZ247+BA247)*(1-$BC247)),0)</f>
        <v>2216.25</v>
      </c>
      <c r="FG247" s="1129" t="n">
        <f aca="false">IF(EZ247="No",IF((OR(MONTH(C247)=5,MONTH(C247)=6,MONTH(C247)=7,MONTH(C247)=8,MONTH(C247)=9)),0,$FA247*3*(AZ247+BA247)*(1-$BC247)),0)</f>
        <v>664.875</v>
      </c>
      <c r="FH247" s="1170" t="n">
        <f aca="false">IF(EZ247="No",IF((OR(MONTH(C247)=5,MONTH(C247)=6,MONTH(C247)=7,MONTH(C247)=8,MONTH(C247)=9)),Summary!$O$15*12*(AX247+AY247+AZ247+BA247)*(1-$BC247),Summary!$O$15*13*(AX247+AY247+AZ247+BA247)*(1-$BC247)+IF(Summary!$O$16="Yes",(CALC!FA247+Summary!$O$15)*6*(AX247+AY247+AZ247+BA247)*(1-$BC247),0)),0)</f>
        <v>0</v>
      </c>
      <c r="FI247" s="1126" t="n">
        <f aca="false">IF(MONTH(C247)=5,FI246*(IF(Summary!$E$70="no",(1+(Summary!$E$71*0.8)),1+HLOOKUP(YEAR(C247)-1,CCFMODEL!$I$127:$AF$128,2)*0.8)),+FI246)</f>
        <v>41.7467669592219</v>
      </c>
      <c r="FJ247" s="1127" t="n">
        <f aca="false">IF(MONTH(C247)=5,FJ246*(IF(Summary!$E$70="no",(1+(Summary!$E$71*0.8)),1+HLOOKUP(YEAR(CALC!C247)-1,CCFMODEL!$I$127:$AF$128,2)*0.8)),FJ246)</f>
        <v>36.4873317517609</v>
      </c>
      <c r="FK247" s="1128" t="n">
        <f aca="false">SUM(FB247:FG247)*FI247+FH247*FJ247</f>
        <v>745721.454523407</v>
      </c>
      <c r="FL247" s="1126" t="n">
        <f aca="false">IF(MONTH(C247)=5,FL246*(IF(Summary!$E$70="no",(1+(Summary!$E$71*0.8)),1+HLOOKUP(YEAR(CALC!C247)-1,CCFMODEL!$I$127:$AF$128,2)*0.8)),+FL246)</f>
        <v>87.798131186455</v>
      </c>
      <c r="FM247" s="1127" t="n">
        <f aca="false">IF(MONTH(C247)=5,FM246*(IF(Summary!$E$70="no",(1+(Summary!$E$71*0.8)),1+HLOOKUP(YEAR(CALC!C247)-1,CCFMODEL!$I$127:$AF$128,2)*0.8)),+FM246)</f>
        <v>41.9032977689678</v>
      </c>
      <c r="FN247" s="1128" t="n">
        <f aca="false">IF((OR(MONTH(C247)=5,MONTH(C247)=6,MONTH(C247)=7,MONTH(C247)=8,MONTH(C247)=9)),SUM(FB247:FG247)/(1-BC247)*FL247,SUM(FB247:FG247)/(1-BC247)*FM247)</f>
        <v>759916.30504023</v>
      </c>
      <c r="FO247" s="1129" t="n">
        <f aca="false">FK247+FN247</f>
        <v>1505637.75956364</v>
      </c>
      <c r="FP247" s="1169" t="n">
        <f aca="false">FB247</f>
        <v>9308.25</v>
      </c>
      <c r="FQ247" s="1129" t="n">
        <f aca="false">FC247</f>
        <v>2792.475</v>
      </c>
      <c r="FR247" s="1129" t="n">
        <f aca="false">FD247</f>
        <v>2216.25</v>
      </c>
      <c r="FS247" s="1129" t="n">
        <f aca="false">FE247</f>
        <v>664.875</v>
      </c>
      <c r="FT247" s="1129" t="n">
        <f aca="false">FF247</f>
        <v>2216.25</v>
      </c>
      <c r="FU247" s="1129" t="n">
        <f aca="false">FG247</f>
        <v>664.875</v>
      </c>
      <c r="FV247" s="1170" t="n">
        <f aca="false">FH247</f>
        <v>0</v>
      </c>
      <c r="FW247" s="1115" t="n">
        <f aca="false">IF(ER247&gt;0,MIN(FB247-FP247,BL247),0)</f>
        <v>0</v>
      </c>
      <c r="FX247" s="1115" t="n">
        <f aca="false">IF(ES247&gt;0,MIN(FD247-FR247,BM247),0)</f>
        <v>0</v>
      </c>
      <c r="FY247" s="1115" t="n">
        <f aca="false">IF(ET247&gt;0,MIN(FF247-FT247,BN247),0)</f>
        <v>0</v>
      </c>
      <c r="FZ247" s="1143" t="n">
        <f aca="false">IF(EU247&gt;0,MIN(FH247-FV247,BO247),0)</f>
        <v>0</v>
      </c>
      <c r="GA247" s="1132" t="n">
        <f aca="false">(SUM(FP247:FV247)+SUM(GU247:HB247)/(1-Summary!$O$25))*CY247/1000</f>
        <v>236202.40034122</v>
      </c>
      <c r="GB247" s="1133" t="n">
        <f aca="false">IF($C247&lt;Summary!$M$81,+Summary!$O$81,VLOOKUP(C247,GasTable,19))</f>
        <v>3.71924415158911</v>
      </c>
      <c r="GC247" s="1134" t="n">
        <f aca="false">IF(H247&lt;=Summary!$N$84,MIN(GA247,Summary!$O$75*(H247-G247+1)),0)</f>
        <v>0</v>
      </c>
      <c r="GD247" s="1135" t="n">
        <f aca="false">IF(C247&lt;Summary!$N$84,IF(Summary!$O$75*(H247-G247+1)*0.8&gt;GC247,1,0),0)</f>
        <v>0</v>
      </c>
      <c r="GE247" s="1136" t="n">
        <v>0</v>
      </c>
      <c r="GF247" s="1134" t="n">
        <f aca="false">ABS(MIN(0,GC247-$GA247))</f>
        <v>236202.40034122</v>
      </c>
      <c r="GG247" s="1135" t="n">
        <f aca="false">GF247*(IF(Summary!$O$74=1,VLOOKUP($C247,GasTable,16)+Summary!$O$92+Summary!$O$93,VLOOKUP($C247,GasTable,19)+Summary!$O$92+Summary!$O$93))</f>
        <v>890800.541118168</v>
      </c>
      <c r="GH247" s="1137" t="n">
        <v>5764.82843496312</v>
      </c>
      <c r="GI247" s="1138" t="n">
        <v>0</v>
      </c>
      <c r="GJ247" s="1139" t="n">
        <f aca="false">+GB247*GC247+GE247+GG247+GH247-GI247</f>
        <v>896565.369553131</v>
      </c>
      <c r="GK247" s="1115" t="n">
        <f aca="false">SUM(FP247:FV247,GU247:GX247,GY247:HB247)</f>
        <v>30062.01285</v>
      </c>
      <c r="GL247" s="1140" t="n">
        <v>0.51879489848</v>
      </c>
      <c r="GM247" s="1141" t="n">
        <f aca="false">IF(GK247&gt;GC247/(CY247/1000),GC247/(CY247/1000),+GK247)*GL247</f>
        <v>0</v>
      </c>
      <c r="GN247" s="1115" t="n">
        <f aca="false">IF(SUM(GU247:HB247)=0,0,IF(Summary!$O$16="Yes",SUM(GX247:HB247),IF(Summary!$O$17="Yes",SUM(GY247:HB247),SUM(GU247:HB247))))</f>
        <v>12199.03785</v>
      </c>
      <c r="GO247" s="1142" t="n">
        <v>4.17251245089686</v>
      </c>
      <c r="GP247" s="1143" t="n">
        <f aca="false">GN247*GO247</f>
        <v>50900.6373180871</v>
      </c>
      <c r="GQ247" s="1115"/>
      <c r="GR247" s="1115"/>
      <c r="GS247" s="1115"/>
      <c r="GT247" s="1115"/>
      <c r="GU247" s="1150" t="n">
        <v>5389.47675</v>
      </c>
      <c r="GV247" s="1115" t="n">
        <v>1283.20875</v>
      </c>
      <c r="GW247" s="1115" t="n">
        <v>1283.20875</v>
      </c>
      <c r="GX247" s="1115"/>
      <c r="GY247" s="1151" t="n">
        <v>2874.3876</v>
      </c>
      <c r="GZ247" s="1115" t="n">
        <v>684.378</v>
      </c>
      <c r="HA247" s="1115" t="n">
        <v>684.378</v>
      </c>
      <c r="HB247" s="1141"/>
      <c r="HC247" s="1115" t="n">
        <v>12199.03785</v>
      </c>
      <c r="HD247" s="1115"/>
      <c r="HE247" s="1115" t="n">
        <v>20950.521525</v>
      </c>
      <c r="HF247" s="1115" t="n">
        <v>523441.370793843</v>
      </c>
      <c r="HG247" s="1115"/>
      <c r="HH247" s="1142" t="n">
        <v>42.2042696902449</v>
      </c>
      <c r="HI247" s="1115" t="n">
        <v>884201.460592381</v>
      </c>
      <c r="HJ247" s="1150" t="n">
        <f aca="false">MAX(FB247-FP247-FW247,0)</f>
        <v>0</v>
      </c>
      <c r="HK247" s="1115" t="n">
        <f aca="false">MAX(FD247-FR247-FX247,0)</f>
        <v>0</v>
      </c>
      <c r="HL247" s="1115" t="n">
        <f aca="false">MAX(FF247-FT247-FY247,0)</f>
        <v>0</v>
      </c>
      <c r="HM247" s="1141" t="n">
        <f aca="false">MAX(FH247-FV247-FZ247,0)</f>
        <v>0</v>
      </c>
      <c r="HN247" s="1115" t="n">
        <f aca="false">SUM(HJ247:HM247)</f>
        <v>0</v>
      </c>
      <c r="HO247" s="1142" t="n">
        <f aca="false">IF(ISERROR(+HP247/HN247),0,+HP247/HN247)</f>
        <v>0</v>
      </c>
      <c r="HP247" s="1143" t="n">
        <f aca="false">(HJ247*CE247+HK247*CF247+HL247*CG247+HM247*CH247)</f>
        <v>0</v>
      </c>
      <c r="HQ247" s="1142"/>
      <c r="HR247" s="1150"/>
      <c r="HS247" s="1200"/>
      <c r="HT247" s="1141"/>
      <c r="HU247" s="1150"/>
      <c r="HV247" s="1200"/>
      <c r="HW247" s="1141"/>
      <c r="HX247" s="1200"/>
      <c r="HY247" s="1200"/>
      <c r="HZ247" s="0"/>
      <c r="IA247" s="1142"/>
      <c r="IB247" s="1142"/>
      <c r="IC247" s="1142"/>
      <c r="ID247" s="1142"/>
      <c r="IE247" s="1142"/>
      <c r="IF247" s="1142"/>
      <c r="IG247" s="1142"/>
      <c r="IH247" s="1142"/>
      <c r="II247" s="1142"/>
      <c r="IJ247" s="1142"/>
      <c r="IK247" s="1142"/>
      <c r="IL247" s="1190"/>
      <c r="IM247" s="222"/>
      <c r="IN247" s="222"/>
      <c r="IR247" s="844"/>
    </row>
    <row r="248" customFormat="false" ht="13.5" hidden="false" customHeight="false" outlineLevel="0" collapsed="false">
      <c r="A248" s="0" t="str">
        <f aca="false">+D248&amp;"Q"&amp;ROUNDUP(E248/3,0)</f>
        <v>2019Q2</v>
      </c>
      <c r="B248" s="0" t="n">
        <f aca="false">YEAR(C248)</f>
        <v>2019</v>
      </c>
      <c r="C248" s="1153" t="n">
        <f aca="false">EOMONTH(C247,0)+1</f>
        <v>43556</v>
      </c>
      <c r="D248" s="841" t="n">
        <f aca="false">+YEAR(C248)</f>
        <v>2019</v>
      </c>
      <c r="E248" s="807" t="n">
        <f aca="false">MONTH(C248)</f>
        <v>4</v>
      </c>
      <c r="F248" s="1154" t="e">
        <f aca="false">IF(G248="","",Holiday(D248,E248))</f>
        <v>#VALUE!</v>
      </c>
      <c r="G248" s="1155" t="n">
        <v>43556</v>
      </c>
      <c r="H248" s="1156" t="n">
        <v>43585</v>
      </c>
      <c r="I248" s="1157" t="n">
        <f aca="false">I247</f>
        <v>0.0715</v>
      </c>
      <c r="J248" s="1158" t="n">
        <f aca="false">(1+I248/2)^(-2*(DATE(D249,E249,20)-$H$7)/365.25)</f>
        <v>0.255423238341643</v>
      </c>
      <c r="K248" s="1159"/>
      <c r="L248" s="1158"/>
      <c r="M248" s="1082" t="n">
        <v>0</v>
      </c>
      <c r="N248" s="1110" t="n">
        <f aca="false">M248</f>
        <v>0</v>
      </c>
      <c r="O248" s="1174" t="n">
        <f aca="false">N248</f>
        <v>0</v>
      </c>
      <c r="P248" s="1175" t="n">
        <f aca="false">M248</f>
        <v>0</v>
      </c>
      <c r="Q248" s="1110" t="n">
        <f aca="false">P248</f>
        <v>0</v>
      </c>
      <c r="R248" s="1174" t="n">
        <f aca="false">Q248</f>
        <v>0</v>
      </c>
      <c r="S248" s="1110" t="n">
        <f aca="false">R248</f>
        <v>0</v>
      </c>
      <c r="T248" s="1110" t="n">
        <f aca="false">S248</f>
        <v>0</v>
      </c>
      <c r="U248" s="1110" t="n">
        <f aca="false">T248</f>
        <v>0</v>
      </c>
      <c r="V248" s="1175" t="n">
        <f aca="false">U248</f>
        <v>0</v>
      </c>
      <c r="W248" s="1110" t="n">
        <f aca="false">V248</f>
        <v>0</v>
      </c>
      <c r="X248" s="1176" t="n">
        <f aca="false">W248</f>
        <v>0</v>
      </c>
      <c r="Y248" s="1086" t="n">
        <v>0</v>
      </c>
      <c r="Z248" s="1086" t="n">
        <v>0</v>
      </c>
      <c r="AA248" s="1087" t="n">
        <v>0</v>
      </c>
      <c r="AB248" s="1086" t="n">
        <v>0</v>
      </c>
      <c r="AC248" s="1086" t="n">
        <v>0</v>
      </c>
      <c r="AD248" s="1087" t="n">
        <v>0</v>
      </c>
      <c r="AE248" s="1086" t="n">
        <v>0</v>
      </c>
      <c r="AF248" s="1086" t="n">
        <v>0</v>
      </c>
      <c r="AG248" s="1087" t="n">
        <v>0</v>
      </c>
      <c r="AH248" s="1086" t="n">
        <v>0</v>
      </c>
      <c r="AI248" s="1086" t="n">
        <v>0</v>
      </c>
      <c r="AJ248" s="1087" t="n">
        <v>0</v>
      </c>
      <c r="AK248" s="1086" t="n">
        <v>0</v>
      </c>
      <c r="AL248" s="1086" t="n">
        <v>0</v>
      </c>
      <c r="AM248" s="1087" t="n">
        <v>0</v>
      </c>
      <c r="AN248" s="1086" t="n">
        <v>0</v>
      </c>
      <c r="AO248" s="1086" t="n">
        <v>0</v>
      </c>
      <c r="AP248" s="1087" t="n">
        <v>0</v>
      </c>
      <c r="AQ248" s="1086" t="n">
        <v>0</v>
      </c>
      <c r="AR248" s="1086" t="n">
        <v>0</v>
      </c>
      <c r="AS248" s="1087" t="n">
        <v>0</v>
      </c>
      <c r="AT248" s="1086" t="n">
        <v>0</v>
      </c>
      <c r="AU248" s="1086" t="n">
        <v>0</v>
      </c>
      <c r="AV248" s="1086" t="n">
        <v>0</v>
      </c>
      <c r="AW248" s="1172" t="n">
        <v>0</v>
      </c>
      <c r="AX248" s="807" t="n">
        <f aca="false">BB248-SUM(AY248:BA248)</f>
        <v>22</v>
      </c>
      <c r="AY248" s="807" t="n">
        <f aca="false">IF(AND($E248=MONTH(Summary!$E$24),$D248=YEAR(Summary!$E$24)),Summary!$E$25,1)*IF(G248="",0,INT((H248-MOD(H248,7)-G248)/7)+1-IF(BA248,IF(WEEKDAY(F248)=7,1,0),0))</f>
        <v>4</v>
      </c>
      <c r="AZ248" s="807" t="n">
        <f aca="false">IF(AND($E248=MONTH(Summary!$E$24),$D248=YEAR(Summary!$E$24)),Summary!$E$25,1)*IF(G248="",0,INT((H248-MOD(H248-1,7)-G248)/7)+1-IF(BA248,IF(WEEKDAY(F248)=1,1,0),0))</f>
        <v>4</v>
      </c>
      <c r="BA248" s="807" t="n">
        <v>0</v>
      </c>
      <c r="BB248" s="807" t="n">
        <f aca="false">IF(AND($E248=MONTH(Summary!$E$24),$D248=YEAR(Summary!$E$24)),Summary!$E$25,1)*IF(G248="",0,H248-G248+1)</f>
        <v>30</v>
      </c>
      <c r="BC248" s="1089" t="n">
        <f aca="false">Summary!$E$19</f>
        <v>0.015</v>
      </c>
      <c r="BD248" s="1090" t="n">
        <v>15602.4</v>
      </c>
      <c r="BE248" s="1091" t="n">
        <v>2836.8</v>
      </c>
      <c r="BF248" s="1091" t="n">
        <v>2836.8</v>
      </c>
      <c r="BG248" s="842"/>
      <c r="BH248" s="1092" t="n">
        <v>1</v>
      </c>
      <c r="BI248" s="1092" t="n">
        <v>1</v>
      </c>
      <c r="BJ248" s="1092" t="n">
        <v>1</v>
      </c>
      <c r="BK248" s="1092" t="n">
        <v>1</v>
      </c>
      <c r="BL248" s="1093" t="n">
        <v>3120.48</v>
      </c>
      <c r="BM248" s="1091" t="n">
        <v>567.36</v>
      </c>
      <c r="BN248" s="1091" t="n">
        <v>567.36</v>
      </c>
      <c r="BO248" s="842"/>
      <c r="BP248" s="1092" t="n">
        <v>1</v>
      </c>
      <c r="BQ248" s="1094" t="n">
        <v>1</v>
      </c>
      <c r="BR248" s="1094" t="n">
        <v>1</v>
      </c>
      <c r="BS248" s="1095" t="n">
        <v>1</v>
      </c>
      <c r="BT248" s="1093" t="n">
        <f aca="false">SUM(BD248:BF248)</f>
        <v>21276</v>
      </c>
      <c r="BU248" s="1098" t="n">
        <f aca="false">SUM(BD248:BG248)</f>
        <v>21276</v>
      </c>
      <c r="BV248" s="1090" t="n">
        <f aca="false">SUM(BL248:BN248)</f>
        <v>4255.2</v>
      </c>
      <c r="BW248" s="1098" t="n">
        <f aca="false">SUM(BL248:BO248)</f>
        <v>4255.2</v>
      </c>
      <c r="BX248" s="852" t="n">
        <v>19.2936344969199</v>
      </c>
      <c r="BY248" s="1099" t="n">
        <v>0</v>
      </c>
      <c r="BZ248" s="852" t="n">
        <v>0</v>
      </c>
      <c r="CA248" s="852" t="n">
        <v>0</v>
      </c>
      <c r="CB248" s="852" t="n">
        <v>0</v>
      </c>
      <c r="CC248" s="852" t="n">
        <v>0</v>
      </c>
      <c r="CD248" s="852" t="n">
        <v>0</v>
      </c>
      <c r="CE248" s="1100" t="n">
        <v>0</v>
      </c>
      <c r="CF248" s="852" t="n">
        <v>0</v>
      </c>
      <c r="CG248" s="852" t="n">
        <v>0</v>
      </c>
      <c r="CH248" s="852" t="n">
        <v>0</v>
      </c>
      <c r="CI248" s="852" t="n">
        <v>0</v>
      </c>
      <c r="CJ248" s="1101" t="n">
        <v>0</v>
      </c>
      <c r="CK248" s="852" t="n">
        <v>0</v>
      </c>
      <c r="CL248" s="852" t="n">
        <v>0</v>
      </c>
      <c r="CM248" s="852" t="n">
        <v>0</v>
      </c>
      <c r="CN248" s="852" t="n">
        <v>0</v>
      </c>
      <c r="CO248" s="852" t="n">
        <v>0</v>
      </c>
      <c r="CP248" s="852" t="n">
        <v>0</v>
      </c>
      <c r="CQ248" s="1102" t="n">
        <v>0</v>
      </c>
      <c r="CR248" s="1103" t="n">
        <v>0</v>
      </c>
      <c r="CS248" s="1103" t="n">
        <v>0</v>
      </c>
      <c r="CT248" s="1103" t="n">
        <v>0</v>
      </c>
      <c r="CU248" s="1103" t="n">
        <v>0</v>
      </c>
      <c r="CV248" s="1103" t="n">
        <v>0</v>
      </c>
      <c r="CW248" s="1103" t="n">
        <v>0</v>
      </c>
      <c r="CX248" s="1104" t="n">
        <v>0</v>
      </c>
      <c r="CY248" s="1105" t="n">
        <v>7745.2384</v>
      </c>
      <c r="CZ248" s="1099" t="n">
        <v>0</v>
      </c>
      <c r="DA248" s="852" t="n">
        <v>0</v>
      </c>
      <c r="DB248" s="852" t="n">
        <v>0</v>
      </c>
      <c r="DC248" s="852" t="n">
        <v>0</v>
      </c>
      <c r="DD248" s="852" t="n">
        <v>0</v>
      </c>
      <c r="DE248" s="1113" t="n">
        <v>0</v>
      </c>
      <c r="DF248" s="1109" t="n">
        <v>0</v>
      </c>
      <c r="DG248" s="1110" t="n">
        <v>0</v>
      </c>
      <c r="DH248" s="1111" t="n">
        <v>0</v>
      </c>
      <c r="DI248" s="1112" t="n">
        <v>0</v>
      </c>
      <c r="DJ248" s="1112" t="n">
        <v>0</v>
      </c>
      <c r="DK248" s="1112" t="n">
        <v>0</v>
      </c>
      <c r="DL248" s="1113" t="n">
        <v>0</v>
      </c>
      <c r="DM248" s="1114" t="n">
        <v>0</v>
      </c>
      <c r="DN248" s="1114" t="n">
        <v>0</v>
      </c>
      <c r="DO248" s="1114" t="n">
        <v>0</v>
      </c>
      <c r="DP248" s="1114" t="n">
        <v>0</v>
      </c>
      <c r="DQ248" s="1114" t="n">
        <v>0</v>
      </c>
      <c r="DR248" s="1109" t="n">
        <v>0</v>
      </c>
      <c r="DS248" s="852" t="n">
        <v>0</v>
      </c>
      <c r="DT248" s="852" t="n">
        <v>0</v>
      </c>
      <c r="DU248" s="852" t="n">
        <v>0</v>
      </c>
      <c r="DV248" s="852" t="n">
        <v>0</v>
      </c>
      <c r="DW248" s="852" t="n">
        <v>0</v>
      </c>
      <c r="DX248" s="852" t="n">
        <v>0</v>
      </c>
      <c r="DY248" s="852" t="n">
        <v>0</v>
      </c>
      <c r="DZ248" s="852" t="n">
        <v>0</v>
      </c>
      <c r="EA248" s="852" t="n">
        <v>0</v>
      </c>
      <c r="EB248" s="1113" t="n">
        <v>0</v>
      </c>
      <c r="EC248" s="1115" t="n">
        <f aca="false">DS248*BD248</f>
        <v>0</v>
      </c>
      <c r="ED248" s="1115" t="n">
        <f aca="false">DT248*BE248</f>
        <v>0</v>
      </c>
      <c r="EE248" s="1115" t="n">
        <f aca="false">DU248*BF248</f>
        <v>0</v>
      </c>
      <c r="EF248" s="1115" t="n">
        <f aca="false">DV248*BG248</f>
        <v>0</v>
      </c>
      <c r="EG248" s="1115" t="n">
        <f aca="false">DS248*BD248+DT248*BE248+DU248*BF248+DV248*BG248</f>
        <v>0</v>
      </c>
      <c r="EH248" s="1116" t="n">
        <v>0</v>
      </c>
      <c r="EI248" s="1117" t="n">
        <v>0</v>
      </c>
      <c r="EJ248" s="1117" t="n">
        <v>0</v>
      </c>
      <c r="EK248" s="1117" t="n">
        <v>0</v>
      </c>
      <c r="EL248" s="1118" t="n">
        <f aca="false">IF(C248&gt;=Summary!$E$26,MAX(0,SUM(EH248:EK248)),0)</f>
        <v>0</v>
      </c>
      <c r="EM248" s="1115" t="n">
        <f aca="false">IF(C248&gt;=Summary!$E$26,DX248*BL248,0)</f>
        <v>0</v>
      </c>
      <c r="EN248" s="1115" t="n">
        <f aca="false">IF(C248&gt;=Summary!$E$26,DY248*BM248,0)</f>
        <v>0</v>
      </c>
      <c r="EO248" s="1115" t="n">
        <f aca="false">IF(C248&gt;=Summary!$E$26,DZ248*BN248,0)</f>
        <v>0</v>
      </c>
      <c r="EP248" s="1115" t="n">
        <f aca="false">IF(C248&gt;=Summary!$E$26,EA248*BO248,0)</f>
        <v>0</v>
      </c>
      <c r="EQ248" s="1115" t="n">
        <f aca="false">IF(C248&gt;=Summary!$E$26,DX248*BL248+DY248*BM248+DZ248*BN248+EA248*BO248,0)</f>
        <v>0</v>
      </c>
      <c r="ER248" s="1119" t="n">
        <v>0</v>
      </c>
      <c r="ES248" s="1120" t="n">
        <v>0</v>
      </c>
      <c r="ET248" s="1120" t="n">
        <v>0</v>
      </c>
      <c r="EU248" s="1120" t="n">
        <v>0</v>
      </c>
      <c r="EV248" s="1143" t="n">
        <f aca="false">IF(C248&gt;=Summary!$E$26,MAX(0,SUM(ER248:EU248)),0)</f>
        <v>0</v>
      </c>
      <c r="EW248" s="1115"/>
      <c r="EX248" s="1165" t="n">
        <f aca="false">(EQ248-EV248)+IF(EZ248="Yes",(EG248-EL248),0)</f>
        <v>0</v>
      </c>
      <c r="EY248" s="1166" t="str">
        <f aca="false">IF(EX248,EX248/EQ248,"")</f>
        <v/>
      </c>
      <c r="EZ248" s="1122" t="s">
        <v>37</v>
      </c>
      <c r="FA248" s="1096" t="n">
        <f aca="false">FA247</f>
        <v>45</v>
      </c>
      <c r="FB248" s="1167" t="n">
        <f aca="false">IF(EZ248="No",IF((OR(MONTH(C248)=5,MONTH(C248)=6,MONTH(C248)=7,MONTH(C248)=8,MONTH(C248)=9)),$FA248*12*AX248*(1-$BC248),$FA248*10*AX248*(1-$BC248)),0)</f>
        <v>9751.5</v>
      </c>
      <c r="FC248" s="1129" t="n">
        <f aca="false">IF(EZ248="No",IF((OR(MONTH(C248)=5,MONTH(C248)=6,MONTH(C248)=7,MONTH(C248)=8,MONTH(C248)=9)),0,$FA248*3*AX248*(1-$BC248)),0)</f>
        <v>2925.45</v>
      </c>
      <c r="FD248" s="1129" t="n">
        <f aca="false">IF(EZ248="No",IF((OR(MONTH(C248)=5,MONTH(C248)=6,MONTH(C248)=7,MONTH(C248)=8,MONTH(C248)=9)),$FA248*12*AY248*(1-$BC248),$FA248*10*AY248*(1-$BC248)),0)</f>
        <v>1773</v>
      </c>
      <c r="FE248" s="1129" t="n">
        <f aca="false">IF(EZ248="No",IF((OR(MONTH(C248)=5,MONTH(C248)=6,MONTH(C248)=7,MONTH(C248)=8,MONTH(C248)=9)),0,$FA248*3*AY248*(1-$BC248)),0)</f>
        <v>531.9</v>
      </c>
      <c r="FF248" s="1129" t="n">
        <f aca="false">IF(EZ248="No",IF((OR(MONTH(C248)=5,MONTH(C248)=6,MONTH(C248)=7,MONTH(C248)=8,MONTH(C248)=9)),$FA248*12*(AZ248+BA248)*(1-$BC248),$FA248*10*(AZ248+BA248)*(1-$BC248)),0)</f>
        <v>1773</v>
      </c>
      <c r="FG248" s="1129" t="n">
        <f aca="false">IF(EZ248="No",IF((OR(MONTH(C248)=5,MONTH(C248)=6,MONTH(C248)=7,MONTH(C248)=8,MONTH(C248)=9)),0,$FA248*3*(AZ248+BA248)*(1-$BC248)),0)</f>
        <v>531.9</v>
      </c>
      <c r="FH248" s="1170" t="n">
        <f aca="false">IF(EZ248="No",IF((OR(MONTH(C248)=5,MONTH(C248)=6,MONTH(C248)=7,MONTH(C248)=8,MONTH(C248)=9)),Summary!$O$15*12*(AX248+AY248+AZ248+BA248)*(1-$BC248),Summary!$O$15*13*(AX248+AY248+AZ248+BA248)*(1-$BC248)+IF(Summary!$O$16="Yes",(CALC!FA248+Summary!$O$15)*6*(AX248+AY248+AZ248+BA248)*(1-$BC248),0)),0)</f>
        <v>0</v>
      </c>
      <c r="FI248" s="1126" t="n">
        <f aca="false">IF(MONTH(C248)=5,FI247*(IF(Summary!$E$70="no",(1+(Summary!$E$71*0.8)),1+HLOOKUP(YEAR(C248)-1,CCFMODEL!$I$127:$AF$128,2)*0.8)),+FI247)</f>
        <v>41.7467669592219</v>
      </c>
      <c r="FJ248" s="1127" t="n">
        <f aca="false">IF(MONTH(C248)=5,FJ247*(IF(Summary!$E$70="no",(1+(Summary!$E$71*0.8)),1+HLOOKUP(YEAR(CALC!C248)-1,CCFMODEL!$I$127:$AF$128,2)*0.8)),FJ247)</f>
        <v>36.4873317517609</v>
      </c>
      <c r="FK248" s="1128" t="n">
        <f aca="false">SUM(FB248:FG248)*FI248+FH248*FJ248</f>
        <v>721665.923732329</v>
      </c>
      <c r="FL248" s="1126" t="n">
        <f aca="false">IF(MONTH(C248)=5,FL247*(IF(Summary!$E$70="no",(1+(Summary!$E$71*0.8)),1+HLOOKUP(YEAR(CALC!C248)-1,CCFMODEL!$I$127:$AF$128,2)*0.8)),+FL247)</f>
        <v>87.798131186455</v>
      </c>
      <c r="FM248" s="1127" t="n">
        <f aca="false">IF(MONTH(C248)=5,FM247*(IF(Summary!$E$70="no",(1+(Summary!$E$71*0.8)),1+HLOOKUP(YEAR(CALC!C248)-1,CCFMODEL!$I$127:$AF$128,2)*0.8)),+FM247)</f>
        <v>41.9032977689678</v>
      </c>
      <c r="FN248" s="1128" t="n">
        <f aca="false">IF((OR(MONTH(C248)=5,MONTH(C248)=6,MONTH(C248)=7,MONTH(C248)=8,MONTH(C248)=9)),SUM(FB248:FG248)/(1-BC248)*FL248,SUM(FB248:FG248)/(1-BC248)*FM248)</f>
        <v>735402.875845384</v>
      </c>
      <c r="FO248" s="1129" t="n">
        <f aca="false">FK248+FN248</f>
        <v>1457068.79957771</v>
      </c>
      <c r="FP248" s="1169" t="n">
        <f aca="false">FB248</f>
        <v>9751.5</v>
      </c>
      <c r="FQ248" s="1129" t="n">
        <f aca="false">FC248</f>
        <v>2925.45</v>
      </c>
      <c r="FR248" s="1129" t="n">
        <f aca="false">FD248</f>
        <v>1773</v>
      </c>
      <c r="FS248" s="1129" t="n">
        <f aca="false">FE248</f>
        <v>531.9</v>
      </c>
      <c r="FT248" s="1129" t="n">
        <f aca="false">FF248</f>
        <v>1773</v>
      </c>
      <c r="FU248" s="1129" t="n">
        <f aca="false">FG248</f>
        <v>531.9</v>
      </c>
      <c r="FV248" s="1170" t="n">
        <f aca="false">FH248</f>
        <v>0</v>
      </c>
      <c r="FW248" s="1115" t="n">
        <f aca="false">IF(ER248&gt;0,MIN(FB248-FP248,BL248),0)</f>
        <v>0</v>
      </c>
      <c r="FX248" s="1115" t="n">
        <f aca="false">IF(ES248&gt;0,MIN(FD248-FR248,BM248),0)</f>
        <v>0</v>
      </c>
      <c r="FY248" s="1115" t="n">
        <f aca="false">IF(ET248&gt;0,MIN(FF248-FT248,BN248),0)</f>
        <v>0</v>
      </c>
      <c r="FZ248" s="1143" t="n">
        <f aca="false">IF(EU248&gt;0,MIN(FH248-FV248,BO248),0)</f>
        <v>0</v>
      </c>
      <c r="GA248" s="1132" t="n">
        <f aca="false">(SUM(FP248:FV248)+SUM(GU248:HB248)/(1-Summary!$O$25))*CY248/1000</f>
        <v>228642.92292528</v>
      </c>
      <c r="GB248" s="1133" t="n">
        <f aca="false">IF($C248&lt;Summary!$M$81,+Summary!$O$81,VLOOKUP(C248,GasTable,19))</f>
        <v>3.60766417197582</v>
      </c>
      <c r="GC248" s="1134" t="n">
        <f aca="false">IF(H248&lt;=Summary!$N$84,MIN(GA248,Summary!$O$75*(H248-G248+1)),0)</f>
        <v>0</v>
      </c>
      <c r="GD248" s="1135" t="n">
        <f aca="false">IF(C248&lt;Summary!$N$84,IF(Summary!$O$75*(H248-G248+1)*0.8&gt;GC248,1,0),0)</f>
        <v>0</v>
      </c>
      <c r="GE248" s="1136" t="n">
        <v>0</v>
      </c>
      <c r="GF248" s="1134" t="n">
        <f aca="false">ABS(MIN(0,GC248-$GA248))</f>
        <v>228642.92292528</v>
      </c>
      <c r="GG248" s="1135" t="n">
        <f aca="false">GF248*(IF(Summary!$O$74=1,VLOOKUP($C248,GasTable,16)+Summary!$O$92+Summary!$O$93,VLOOKUP($C248,GasTable,19)+Summary!$O$92+Summary!$O$93))</f>
        <v>836779.177497768</v>
      </c>
      <c r="GH248" s="1137" t="n">
        <v>5411.49625796373</v>
      </c>
      <c r="GI248" s="1138" t="n">
        <v>0</v>
      </c>
      <c r="GJ248" s="1139" t="n">
        <f aca="false">+GB248*GC248+GE248+GG248+GH248-GI248</f>
        <v>842190.673755732</v>
      </c>
      <c r="GK248" s="1115" t="n">
        <f aca="false">SUM(FP248:FV248,GU248:GX248,GY248:HB248)</f>
        <v>29092.2705</v>
      </c>
      <c r="GL248" s="1140" t="n">
        <v>0.5189309728</v>
      </c>
      <c r="GM248" s="1141" t="n">
        <f aca="false">IF(GK248&gt;GC248/(CY248/1000),GC248/(CY248/1000),+GK248)*GL248</f>
        <v>0</v>
      </c>
      <c r="GN248" s="1115" t="n">
        <f aca="false">IF(SUM(GU248:HB248)=0,0,IF(Summary!$O$16="Yes",SUM(GX248:HB248),IF(Summary!$O$17="Yes",SUM(GY248:HB248),SUM(GU248:HB248))))</f>
        <v>11805.5205</v>
      </c>
      <c r="GO248" s="1142" t="n">
        <v>4.17251245089686</v>
      </c>
      <c r="GP248" s="1143" t="n">
        <f aca="false">GN248*GO248</f>
        <v>49258.6812755681</v>
      </c>
      <c r="GQ248" s="1115"/>
      <c r="GR248" s="1115"/>
      <c r="GS248" s="1115"/>
      <c r="GT248" s="1115"/>
      <c r="GU248" s="1150" t="n">
        <v>5646.1185</v>
      </c>
      <c r="GV248" s="1115" t="n">
        <v>1026.567</v>
      </c>
      <c r="GW248" s="1115" t="n">
        <v>1026.567</v>
      </c>
      <c r="GX248" s="1115"/>
      <c r="GY248" s="1151" t="n">
        <v>3011.2632</v>
      </c>
      <c r="GZ248" s="1115" t="n">
        <v>547.5024</v>
      </c>
      <c r="HA248" s="1115" t="n">
        <v>547.5024</v>
      </c>
      <c r="HB248" s="1141"/>
      <c r="HC248" s="1115" t="n">
        <v>11805.5205</v>
      </c>
      <c r="HD248" s="1115"/>
      <c r="HE248" s="1115" t="n">
        <v>20274.69825</v>
      </c>
      <c r="HF248" s="1115" t="n">
        <v>504505.491629342</v>
      </c>
      <c r="HG248" s="1115"/>
      <c r="HH248" s="1142" t="n">
        <v>41.9625097410964</v>
      </c>
      <c r="HI248" s="1115" t="n">
        <v>850777.222813415</v>
      </c>
      <c r="HJ248" s="1150" t="n">
        <f aca="false">MAX(FB248-FP248-FW248,0)</f>
        <v>0</v>
      </c>
      <c r="HK248" s="1115" t="n">
        <f aca="false">MAX(FD248-FR248-FX248,0)</f>
        <v>0</v>
      </c>
      <c r="HL248" s="1115" t="n">
        <f aca="false">MAX(FF248-FT248-FY248,0)</f>
        <v>0</v>
      </c>
      <c r="HM248" s="1141" t="n">
        <f aca="false">MAX(FH248-FV248-FZ248,0)</f>
        <v>0</v>
      </c>
      <c r="HN248" s="1115" t="n">
        <f aca="false">SUM(HJ248:HM248)</f>
        <v>0</v>
      </c>
      <c r="HO248" s="1142" t="n">
        <f aca="false">IF(ISERROR(+HP248/HN248),0,+HP248/HN248)</f>
        <v>0</v>
      </c>
      <c r="HP248" s="1143" t="n">
        <f aca="false">(HJ248*CE248+HK248*CF248+HL248*CG248+HM248*CH248)</f>
        <v>0</v>
      </c>
      <c r="HQ248" s="1142"/>
      <c r="HR248" s="1150"/>
      <c r="HS248" s="1200"/>
      <c r="HT248" s="1141"/>
      <c r="HU248" s="1150"/>
      <c r="HV248" s="1200"/>
      <c r="HW248" s="1141"/>
      <c r="HX248" s="1200"/>
      <c r="HY248" s="1200"/>
      <c r="HZ248" s="0"/>
      <c r="IA248" s="1142"/>
      <c r="IB248" s="1142"/>
      <c r="IC248" s="1142"/>
      <c r="ID248" s="1142"/>
      <c r="IE248" s="1142"/>
      <c r="IF248" s="1142"/>
      <c r="IG248" s="1142"/>
      <c r="IH248" s="1142"/>
      <c r="II248" s="1142"/>
      <c r="IJ248" s="1142"/>
      <c r="IK248" s="1142"/>
      <c r="IL248" s="1190"/>
      <c r="IM248" s="222"/>
      <c r="IN248" s="222"/>
      <c r="IR248" s="844"/>
    </row>
    <row r="249" customFormat="false" ht="13.5" hidden="false" customHeight="false" outlineLevel="0" collapsed="false">
      <c r="A249" s="0" t="str">
        <f aca="false">+D249&amp;"Q"&amp;ROUNDUP(E249/3,0)</f>
        <v>2019Q2</v>
      </c>
      <c r="B249" s="0" t="n">
        <f aca="false">YEAR(C249)</f>
        <v>2019</v>
      </c>
      <c r="C249" s="1153" t="n">
        <f aca="false">EOMONTH(C248,0)+1</f>
        <v>43586</v>
      </c>
      <c r="D249" s="841" t="n">
        <f aca="false">+YEAR(C249)</f>
        <v>2019</v>
      </c>
      <c r="E249" s="807" t="n">
        <f aca="false">MONTH(C249)</f>
        <v>5</v>
      </c>
      <c r="F249" s="1154" t="e">
        <f aca="false">IF(G249="","",Holiday(D249,E249))</f>
        <v>#VALUE!</v>
      </c>
      <c r="G249" s="1155" t="n">
        <v>43586</v>
      </c>
      <c r="H249" s="1156" t="n">
        <v>43616</v>
      </c>
      <c r="I249" s="1157" t="n">
        <f aca="false">I248</f>
        <v>0.0715</v>
      </c>
      <c r="J249" s="1158" t="n">
        <f aca="false">(1+I249/2)^(-2*(DATE(D250,E250,20)-$H$7)/365.25)</f>
        <v>0.2539048109655</v>
      </c>
      <c r="K249" s="1159"/>
      <c r="L249" s="1158"/>
      <c r="M249" s="1082" t="n">
        <v>0</v>
      </c>
      <c r="N249" s="1110" t="n">
        <f aca="false">M249</f>
        <v>0</v>
      </c>
      <c r="O249" s="1174" t="n">
        <f aca="false">N249</f>
        <v>0</v>
      </c>
      <c r="P249" s="1175" t="n">
        <f aca="false">M249</f>
        <v>0</v>
      </c>
      <c r="Q249" s="1110" t="n">
        <f aca="false">P249</f>
        <v>0</v>
      </c>
      <c r="R249" s="1174" t="n">
        <f aca="false">Q249</f>
        <v>0</v>
      </c>
      <c r="S249" s="1110" t="n">
        <f aca="false">R249</f>
        <v>0</v>
      </c>
      <c r="T249" s="1110" t="n">
        <f aca="false">S249</f>
        <v>0</v>
      </c>
      <c r="U249" s="1110" t="n">
        <f aca="false">T249</f>
        <v>0</v>
      </c>
      <c r="V249" s="1175" t="n">
        <f aca="false">U249</f>
        <v>0</v>
      </c>
      <c r="W249" s="1110" t="n">
        <f aca="false">V249</f>
        <v>0</v>
      </c>
      <c r="X249" s="1176" t="n">
        <f aca="false">W249</f>
        <v>0</v>
      </c>
      <c r="Y249" s="1086" t="n">
        <v>0</v>
      </c>
      <c r="Z249" s="1086" t="n">
        <v>0</v>
      </c>
      <c r="AA249" s="1087" t="n">
        <v>0</v>
      </c>
      <c r="AB249" s="1086" t="n">
        <v>0</v>
      </c>
      <c r="AC249" s="1086" t="n">
        <v>0</v>
      </c>
      <c r="AD249" s="1087" t="n">
        <v>0</v>
      </c>
      <c r="AE249" s="1086" t="n">
        <v>0</v>
      </c>
      <c r="AF249" s="1086" t="n">
        <v>0</v>
      </c>
      <c r="AG249" s="1087" t="n">
        <v>0</v>
      </c>
      <c r="AH249" s="1086" t="n">
        <v>0</v>
      </c>
      <c r="AI249" s="1086" t="n">
        <v>0</v>
      </c>
      <c r="AJ249" s="1087" t="n">
        <v>0</v>
      </c>
      <c r="AK249" s="1086" t="n">
        <v>0</v>
      </c>
      <c r="AL249" s="1086" t="n">
        <v>0</v>
      </c>
      <c r="AM249" s="1087" t="n">
        <v>0</v>
      </c>
      <c r="AN249" s="1086" t="n">
        <v>0</v>
      </c>
      <c r="AO249" s="1086" t="n">
        <v>0</v>
      </c>
      <c r="AP249" s="1087" t="n">
        <v>0</v>
      </c>
      <c r="AQ249" s="1086" t="n">
        <v>0</v>
      </c>
      <c r="AR249" s="1086" t="n">
        <v>0</v>
      </c>
      <c r="AS249" s="1087" t="n">
        <v>0</v>
      </c>
      <c r="AT249" s="1086" t="n">
        <v>0</v>
      </c>
      <c r="AU249" s="1086" t="n">
        <v>0</v>
      </c>
      <c r="AV249" s="1086" t="n">
        <v>0</v>
      </c>
      <c r="AW249" s="1172" t="n">
        <v>0</v>
      </c>
      <c r="AX249" s="807" t="e">
        <f aca="false">BB249-SUM(AY249:BA249)</f>
        <v>#VALUE!</v>
      </c>
      <c r="AY249" s="807" t="e">
        <f aca="false">IF(AND($E249=MONTH(Summary!$E$24),$D249=YEAR(Summary!$E$24)),Summary!$E$25,1)*IF(G249="",0,INT((H249-MOD(H249,7)-G249)/7)+1-IF(BA249,IF(WEEKDAY(F249)=7,1,0),0))</f>
        <v>#VALUE!</v>
      </c>
      <c r="AZ249" s="807" t="e">
        <f aca="false">IF(AND($E249=MONTH(Summary!$E$24),$D249=YEAR(Summary!$E$24)),Summary!$E$25,1)*IF(G249="",0,INT((H249-MOD(H249-1,7)-G249)/7)+1-IF(BA249,IF(WEEKDAY(F249)=1,1,0),0))</f>
        <v>#VALUE!</v>
      </c>
      <c r="BA249" s="807" t="n">
        <v>1</v>
      </c>
      <c r="BB249" s="807" t="n">
        <f aca="false">IF(AND($E249=MONTH(Summary!$E$24),$D249=YEAR(Summary!$E$24)),Summary!$E$25,1)*IF(G249="",0,H249-G249+1)</f>
        <v>31</v>
      </c>
      <c r="BC249" s="1089" t="n">
        <f aca="false">Summary!$E$19</f>
        <v>0.015</v>
      </c>
      <c r="BD249" s="1090" t="n">
        <v>15602.4</v>
      </c>
      <c r="BE249" s="1091" t="n">
        <v>2836.8</v>
      </c>
      <c r="BF249" s="1091" t="n">
        <v>3546</v>
      </c>
      <c r="BG249" s="842"/>
      <c r="BH249" s="1092" t="n">
        <v>1</v>
      </c>
      <c r="BI249" s="1092" t="n">
        <v>1</v>
      </c>
      <c r="BJ249" s="1092" t="n">
        <v>1</v>
      </c>
      <c r="BK249" s="1092" t="n">
        <v>1</v>
      </c>
      <c r="BL249" s="1093" t="n">
        <v>3120.48</v>
      </c>
      <c r="BM249" s="1091" t="n">
        <v>567.36</v>
      </c>
      <c r="BN249" s="1091" t="n">
        <v>709.2</v>
      </c>
      <c r="BO249" s="842"/>
      <c r="BP249" s="1092" t="n">
        <v>1</v>
      </c>
      <c r="BQ249" s="1094" t="n">
        <v>1</v>
      </c>
      <c r="BR249" s="1094" t="n">
        <v>1</v>
      </c>
      <c r="BS249" s="1095" t="n">
        <v>1</v>
      </c>
      <c r="BT249" s="1093" t="n">
        <f aca="false">SUM(BD249:BF249)</f>
        <v>21985.2</v>
      </c>
      <c r="BU249" s="1098" t="n">
        <f aca="false">SUM(BD249:BG249)</f>
        <v>21985.2</v>
      </c>
      <c r="BV249" s="1090" t="n">
        <f aca="false">SUM(BL249:BN249)</f>
        <v>4397.04</v>
      </c>
      <c r="BW249" s="1098" t="n">
        <f aca="false">SUM(BL249:BO249)</f>
        <v>4397.04</v>
      </c>
      <c r="BX249" s="852" t="n">
        <v>19.3757700205339</v>
      </c>
      <c r="BY249" s="1099" t="n">
        <v>0</v>
      </c>
      <c r="BZ249" s="852" t="n">
        <v>0</v>
      </c>
      <c r="CA249" s="852" t="n">
        <v>0</v>
      </c>
      <c r="CB249" s="852" t="n">
        <v>0</v>
      </c>
      <c r="CC249" s="852" t="n">
        <v>0</v>
      </c>
      <c r="CD249" s="852" t="n">
        <v>0</v>
      </c>
      <c r="CE249" s="1100" t="n">
        <v>0</v>
      </c>
      <c r="CF249" s="852" t="n">
        <v>0</v>
      </c>
      <c r="CG249" s="852" t="n">
        <v>0</v>
      </c>
      <c r="CH249" s="852" t="n">
        <v>0</v>
      </c>
      <c r="CI249" s="852" t="n">
        <v>0</v>
      </c>
      <c r="CJ249" s="1101" t="n">
        <v>0</v>
      </c>
      <c r="CK249" s="852" t="n">
        <v>0</v>
      </c>
      <c r="CL249" s="852" t="n">
        <v>0</v>
      </c>
      <c r="CM249" s="852" t="n">
        <v>0</v>
      </c>
      <c r="CN249" s="852" t="n">
        <v>0</v>
      </c>
      <c r="CO249" s="852" t="n">
        <v>0</v>
      </c>
      <c r="CP249" s="852" t="n">
        <v>0</v>
      </c>
      <c r="CQ249" s="1102" t="n">
        <v>0</v>
      </c>
      <c r="CR249" s="1103" t="n">
        <v>0</v>
      </c>
      <c r="CS249" s="1103" t="n">
        <v>0</v>
      </c>
      <c r="CT249" s="1103" t="n">
        <v>0</v>
      </c>
      <c r="CU249" s="1103" t="n">
        <v>0</v>
      </c>
      <c r="CV249" s="1103" t="n">
        <v>0</v>
      </c>
      <c r="CW249" s="1103" t="n">
        <v>0</v>
      </c>
      <c r="CX249" s="1104" t="n">
        <v>0</v>
      </c>
      <c r="CY249" s="1105" t="n">
        <v>7747.26936</v>
      </c>
      <c r="CZ249" s="1099" t="n">
        <v>0</v>
      </c>
      <c r="DA249" s="852" t="n">
        <v>0</v>
      </c>
      <c r="DB249" s="852" t="n">
        <v>0</v>
      </c>
      <c r="DC249" s="852" t="n">
        <v>0</v>
      </c>
      <c r="DD249" s="852" t="n">
        <v>0</v>
      </c>
      <c r="DE249" s="1113" t="n">
        <v>0</v>
      </c>
      <c r="DF249" s="1109" t="n">
        <v>0</v>
      </c>
      <c r="DG249" s="1110" t="n">
        <v>0</v>
      </c>
      <c r="DH249" s="1111" t="n">
        <v>0</v>
      </c>
      <c r="DI249" s="1112" t="n">
        <v>0</v>
      </c>
      <c r="DJ249" s="1112" t="n">
        <v>0</v>
      </c>
      <c r="DK249" s="1112" t="n">
        <v>0</v>
      </c>
      <c r="DL249" s="1113" t="n">
        <v>0</v>
      </c>
      <c r="DM249" s="1114" t="n">
        <v>0</v>
      </c>
      <c r="DN249" s="1114" t="n">
        <v>0</v>
      </c>
      <c r="DO249" s="1114" t="n">
        <v>0</v>
      </c>
      <c r="DP249" s="1114" t="n">
        <v>0</v>
      </c>
      <c r="DQ249" s="1114" t="n">
        <v>0</v>
      </c>
      <c r="DR249" s="1109" t="n">
        <v>0</v>
      </c>
      <c r="DS249" s="852" t="n">
        <v>0</v>
      </c>
      <c r="DT249" s="852" t="n">
        <v>0</v>
      </c>
      <c r="DU249" s="852" t="n">
        <v>0</v>
      </c>
      <c r="DV249" s="852" t="n">
        <v>0</v>
      </c>
      <c r="DW249" s="852" t="n">
        <v>0</v>
      </c>
      <c r="DX249" s="852" t="n">
        <v>0</v>
      </c>
      <c r="DY249" s="852" t="n">
        <v>0</v>
      </c>
      <c r="DZ249" s="852" t="n">
        <v>0</v>
      </c>
      <c r="EA249" s="852" t="n">
        <v>0</v>
      </c>
      <c r="EB249" s="1113" t="n">
        <v>0</v>
      </c>
      <c r="EC249" s="1115" t="n">
        <f aca="false">DS249*BD249</f>
        <v>0</v>
      </c>
      <c r="ED249" s="1115" t="n">
        <f aca="false">DT249*BE249</f>
        <v>0</v>
      </c>
      <c r="EE249" s="1115" t="n">
        <f aca="false">DU249*BF249</f>
        <v>0</v>
      </c>
      <c r="EF249" s="1115" t="n">
        <f aca="false">DV249*BG249</f>
        <v>0</v>
      </c>
      <c r="EG249" s="1115" t="n">
        <f aca="false">DS249*BD249+DT249*BE249+DU249*BF249+DV249*BG249</f>
        <v>0</v>
      </c>
      <c r="EH249" s="1116" t="n">
        <v>0</v>
      </c>
      <c r="EI249" s="1117" t="n">
        <v>0</v>
      </c>
      <c r="EJ249" s="1117" t="n">
        <v>0</v>
      </c>
      <c r="EK249" s="1117" t="n">
        <v>0</v>
      </c>
      <c r="EL249" s="1118" t="n">
        <f aca="false">IF(C249&gt;=Summary!$E$26,MAX(0,SUM(EH249:EK249)),0)</f>
        <v>0</v>
      </c>
      <c r="EM249" s="1115" t="n">
        <f aca="false">IF(C249&gt;=Summary!$E$26,DX249*BL249,0)</f>
        <v>0</v>
      </c>
      <c r="EN249" s="1115" t="n">
        <f aca="false">IF(C249&gt;=Summary!$E$26,DY249*BM249,0)</f>
        <v>0</v>
      </c>
      <c r="EO249" s="1115" t="n">
        <f aca="false">IF(C249&gt;=Summary!$E$26,DZ249*BN249,0)</f>
        <v>0</v>
      </c>
      <c r="EP249" s="1115" t="n">
        <f aca="false">IF(C249&gt;=Summary!$E$26,EA249*BO249,0)</f>
        <v>0</v>
      </c>
      <c r="EQ249" s="1115" t="n">
        <f aca="false">IF(C249&gt;=Summary!$E$26,DX249*BL249+DY249*BM249+DZ249*BN249+EA249*BO249,0)</f>
        <v>0</v>
      </c>
      <c r="ER249" s="1119" t="n">
        <v>0</v>
      </c>
      <c r="ES249" s="1120" t="n">
        <v>0</v>
      </c>
      <c r="ET249" s="1120" t="n">
        <v>0</v>
      </c>
      <c r="EU249" s="1120" t="n">
        <v>0</v>
      </c>
      <c r="EV249" s="1143" t="n">
        <f aca="false">IF(C249&gt;=Summary!$E$26,MAX(0,SUM(ER249:EU249)),0)</f>
        <v>0</v>
      </c>
      <c r="EW249" s="1115"/>
      <c r="EX249" s="1165" t="n">
        <f aca="false">(EQ249-EV249)+IF(EZ249="Yes",(EG249-EL249),0)</f>
        <v>0</v>
      </c>
      <c r="EY249" s="1166" t="str">
        <f aca="false">IF(EX249,EX249/EQ249,"")</f>
        <v/>
      </c>
      <c r="EZ249" s="1122" t="s">
        <v>37</v>
      </c>
      <c r="FA249" s="1096" t="n">
        <f aca="false">FA248</f>
        <v>45</v>
      </c>
      <c r="FB249" s="1167" t="e">
        <f aca="false">IF(EZ249="No",IF((OR(MONTH(C249)=5,MONTH(C249)=6,MONTH(C249)=7,MONTH(C249)=8,MONTH(C249)=9)),$FA249*12*AX249*(1-$BC249),$FA249*10*AX249*(1-$BC249)),0)</f>
        <v>#VALUE!</v>
      </c>
      <c r="FC249" s="1129" t="n">
        <f aca="false">IF(EZ249="No",IF((OR(MONTH(C249)=5,MONTH(C249)=6,MONTH(C249)=7,MONTH(C249)=8,MONTH(C249)=9)),0,$FA249*3*AX249*(1-$BC249)),0)</f>
        <v>0</v>
      </c>
      <c r="FD249" s="1129" t="e">
        <f aca="false">IF(EZ249="No",IF((OR(MONTH(C249)=5,MONTH(C249)=6,MONTH(C249)=7,MONTH(C249)=8,MONTH(C249)=9)),$FA249*12*AY249*(1-$BC249),$FA249*10*AY249*(1-$BC249)),0)</f>
        <v>#VALUE!</v>
      </c>
      <c r="FE249" s="1129" t="n">
        <f aca="false">IF(EZ249="No",IF((OR(MONTH(C249)=5,MONTH(C249)=6,MONTH(C249)=7,MONTH(C249)=8,MONTH(C249)=9)),0,$FA249*3*AY249*(1-$BC249)),0)</f>
        <v>0</v>
      </c>
      <c r="FF249" s="1129" t="e">
        <f aca="false">IF(EZ249="No",IF((OR(MONTH(C249)=5,MONTH(C249)=6,MONTH(C249)=7,MONTH(C249)=8,MONTH(C249)=9)),$FA249*12*(AZ249+BA249)*(1-$BC249),$FA249*10*(AZ249+BA249)*(1-$BC249)),0)</f>
        <v>#VALUE!</v>
      </c>
      <c r="FG249" s="1129" t="n">
        <f aca="false">IF(EZ249="No",IF((OR(MONTH(C249)=5,MONTH(C249)=6,MONTH(C249)=7,MONTH(C249)=8,MONTH(C249)=9)),0,$FA249*3*(AZ249+BA249)*(1-$BC249)),0)</f>
        <v>0</v>
      </c>
      <c r="FH249" s="1170" t="e">
        <f aca="false">IF(EZ249="No",IF((OR(MONTH(C249)=5,MONTH(C249)=6,MONTH(C249)=7,MONTH(C249)=8,MONTH(C249)=9)),Summary!$O$15*12*(AX249+AY249+AZ249+BA249)*(1-$BC249),Summary!$O$15*13*(AX249+AY249+AZ249+BA249)*(1-$BC249)+IF(Summary!$O$16="Yes",(CALC!FA249+Summary!$O$15)*6*(AX249+AY249+AZ249+BA249)*(1-$BC249),0)),0)</f>
        <v>#VALUE!</v>
      </c>
      <c r="FI249" s="1126" t="n">
        <f aca="false">IF(MONTH(C249)=5,FI248*(IF(Summary!$E$70="no",(1+(Summary!$E$71*0.8)),1+HLOOKUP(YEAR(C249)-1,CCFMODEL!$I$127:$AF$128,2)*0.8)),+FI248)</f>
        <v>42.7486893662432</v>
      </c>
      <c r="FJ249" s="1127" t="n">
        <f aca="false">IF(MONTH(C249)=5,FJ248*(IF(Summary!$E$70="no",(1+(Summary!$E$71*0.8)),1+HLOOKUP(YEAR(CALC!C249)-1,CCFMODEL!$I$127:$AF$128,2)*0.8)),FJ248)</f>
        <v>37.3630277138031</v>
      </c>
      <c r="FK249" s="1128" t="e">
        <f aca="false">SUM(FB249:FG249)*FI249+FH249*FJ249</f>
        <v>#VALUE!</v>
      </c>
      <c r="FL249" s="1126" t="n">
        <f aca="false">IF(MONTH(C249)=5,FL248*(IF(Summary!$E$70="no",(1+(Summary!$E$71*0.8)),1+HLOOKUP(YEAR(CALC!C249)-1,CCFMODEL!$I$127:$AF$128,2)*0.8)),+FL248)</f>
        <v>89.9052863349299</v>
      </c>
      <c r="FM249" s="1127" t="n">
        <f aca="false">IF(MONTH(C249)=5,FM248*(IF(Summary!$E$70="no",(1+(Summary!$E$71*0.8)),1+HLOOKUP(YEAR(CALC!C249)-1,CCFMODEL!$I$127:$AF$128,2)*0.8)),+FM248)</f>
        <v>42.908976915423</v>
      </c>
      <c r="FN249" s="1128" t="e">
        <f aca="false">IF((OR(MONTH(C249)=5,MONTH(C249)=6,MONTH(C249)=7,MONTH(C249)=8,MONTH(C249)=9)),SUM(FB249:FG249)/(1-BC249)*FL249,SUM(FB249:FG249)/(1-BC249)*FM249)</f>
        <v>#VALUE!</v>
      </c>
      <c r="FO249" s="1129" t="e">
        <f aca="false">FK249+FN249</f>
        <v>#VALUE!</v>
      </c>
      <c r="FP249" s="1169" t="e">
        <f aca="false">FB249</f>
        <v>#VALUE!</v>
      </c>
      <c r="FQ249" s="1129" t="n">
        <f aca="false">FC249</f>
        <v>0</v>
      </c>
      <c r="FR249" s="1129" t="e">
        <f aca="false">FD249</f>
        <v>#VALUE!</v>
      </c>
      <c r="FS249" s="1129" t="n">
        <f aca="false">FE249</f>
        <v>0</v>
      </c>
      <c r="FT249" s="1129" t="e">
        <f aca="false">FF249</f>
        <v>#VALUE!</v>
      </c>
      <c r="FU249" s="1129" t="n">
        <f aca="false">FG249</f>
        <v>0</v>
      </c>
      <c r="FV249" s="1170" t="e">
        <f aca="false">FH249</f>
        <v>#VALUE!</v>
      </c>
      <c r="FW249" s="1115" t="n">
        <f aca="false">IF(ER249&gt;0,MIN(FB249-FP249,BL249),0)</f>
        <v>0</v>
      </c>
      <c r="FX249" s="1115" t="n">
        <f aca="false">IF(ES249&gt;0,MIN(FD249-FR249,BM249),0)</f>
        <v>0</v>
      </c>
      <c r="FY249" s="1115" t="n">
        <f aca="false">IF(ET249&gt;0,MIN(FF249-FT249,BN249),0)</f>
        <v>0</v>
      </c>
      <c r="FZ249" s="1143" t="n">
        <f aca="false">IF(EU249&gt;0,MIN(FH249-FV249,BO249),0)</f>
        <v>0</v>
      </c>
      <c r="GA249" s="1132" t="e">
        <f aca="false">(SUM(FP249:FV249)+SUM(GU249:HB249)/(1-Summary!$O$25))*CY249/1000</f>
        <v>#VALUE!</v>
      </c>
      <c r="GB249" s="1133" t="n">
        <f aca="false">IF($C249&lt;Summary!$M$81,+Summary!$O$81,VLOOKUP(C249,GasTable,19))</f>
        <v>3.58045628476485</v>
      </c>
      <c r="GC249" s="1134" t="n">
        <f aca="false">IF(H249&lt;=Summary!$N$84,MIN(GA249,Summary!$O$75*(H249-G249+1)),0)</f>
        <v>0</v>
      </c>
      <c r="GD249" s="1135" t="n">
        <f aca="false">IF(C249&lt;Summary!$N$84,IF(Summary!$O$75*(H249-G249+1)*0.8&gt;GC249,1,0),0)</f>
        <v>0</v>
      </c>
      <c r="GE249" s="1136" t="n">
        <v>0</v>
      </c>
      <c r="GF249" s="1134" t="e">
        <f aca="false">ABS(MIN(0,GC249-$GA249))</f>
        <v>#VALUE!</v>
      </c>
      <c r="GG249" s="1135" t="e">
        <f aca="false">GF249*(IF(Summary!$O$74=1,VLOOKUP($C249,GasTable,16)+Summary!$O$92+Summary!$O$93,VLOOKUP($C249,GasTable,19)+Summary!$O$92+Summary!$O$93))</f>
        <v>#VALUE!</v>
      </c>
      <c r="GH249" s="1137" t="n">
        <v>5549.70724138551</v>
      </c>
      <c r="GI249" s="1138" t="n">
        <v>0</v>
      </c>
      <c r="GJ249" s="1139" t="e">
        <f aca="false">+GB249*GC249+GE249+GG249+GH249-GI249</f>
        <v>#VALUE!</v>
      </c>
      <c r="GK249" s="1115" t="e">
        <f aca="false">SUM(FP249:FV249,GU249:GX249,GY249:HB249)</f>
        <v>#VALUE!</v>
      </c>
      <c r="GL249" s="1140" t="n">
        <v>0.51906704712</v>
      </c>
      <c r="GM249" s="1141" t="e">
        <f aca="false">IF(GK249&gt;GC249/(CY249/1000),GC249/(CY249/1000),+GK249)*GL249</f>
        <v>#VALUE!</v>
      </c>
      <c r="GN249" s="1115" t="n">
        <f aca="false">IF(SUM(GU249:HB249)=0,0,IF(Summary!$O$16="Yes",SUM(GX249:HB249),IF(Summary!$O$17="Yes",SUM(GY249:HB249),SUM(GU249:HB249))))</f>
        <v>9547.0731</v>
      </c>
      <c r="GO249" s="1142" t="n">
        <v>4.17251245089686</v>
      </c>
      <c r="GP249" s="1143" t="n">
        <f aca="false">GN249*GO249</f>
        <v>39835.2813793725</v>
      </c>
      <c r="GQ249" s="1115"/>
      <c r="GR249" s="1115"/>
      <c r="GS249" s="1115"/>
      <c r="GT249" s="1115"/>
      <c r="GU249" s="1150" t="n">
        <v>3764.079</v>
      </c>
      <c r="GV249" s="1115" t="n">
        <v>684.378</v>
      </c>
      <c r="GW249" s="1115" t="n">
        <v>855.4725</v>
      </c>
      <c r="GX249" s="1115"/>
      <c r="GY249" s="1151" t="n">
        <v>3011.2632</v>
      </c>
      <c r="GZ249" s="1115" t="n">
        <v>547.5024</v>
      </c>
      <c r="HA249" s="1115" t="n">
        <v>684.378</v>
      </c>
      <c r="HB249" s="1141"/>
      <c r="HC249" s="1115" t="n">
        <v>9547.0731</v>
      </c>
      <c r="HD249" s="1115"/>
      <c r="HE249" s="1115" t="n">
        <v>22276.5039</v>
      </c>
      <c r="HF249" s="1115" t="n">
        <v>434266.476138104</v>
      </c>
      <c r="HG249" s="1115"/>
      <c r="HH249" s="1142" t="n">
        <v>46.0870523295544</v>
      </c>
      <c r="HI249" s="1115" t="n">
        <v>1026658.40095882</v>
      </c>
      <c r="HJ249" s="1150" t="e">
        <f aca="false">MAX(FB249-FP249-FW249,0)</f>
        <v>#VALUE!</v>
      </c>
      <c r="HK249" s="1115" t="e">
        <f aca="false">MAX(FD249-FR249-FX249,0)</f>
        <v>#VALUE!</v>
      </c>
      <c r="HL249" s="1115" t="e">
        <f aca="false">MAX(FF249-FT249-FY249,0)</f>
        <v>#VALUE!</v>
      </c>
      <c r="HM249" s="1141" t="e">
        <f aca="false">MAX(FH249-FV249-FZ249,0)</f>
        <v>#VALUE!</v>
      </c>
      <c r="HN249" s="1115" t="e">
        <f aca="false">SUM(HJ249:HM249)</f>
        <v>#VALUE!</v>
      </c>
      <c r="HO249" s="1142" t="n">
        <f aca="false">IF(ISERROR(+HP249/HN249),0,+HP249/HN249)</f>
        <v>0</v>
      </c>
      <c r="HP249" s="1143" t="e">
        <f aca="false">(HJ249*CE249+HK249*CF249+HL249*CG249+HM249*CH249)</f>
        <v>#VALUE!</v>
      </c>
      <c r="HQ249" s="1142"/>
      <c r="HR249" s="1150"/>
      <c r="HS249" s="1200"/>
      <c r="HT249" s="1141"/>
      <c r="HU249" s="1150"/>
      <c r="HV249" s="1200"/>
      <c r="HW249" s="1141"/>
      <c r="HX249" s="1200"/>
      <c r="HY249" s="1200"/>
      <c r="HZ249" s="0"/>
      <c r="IA249" s="1142"/>
      <c r="IB249" s="1142"/>
      <c r="IC249" s="1142"/>
      <c r="ID249" s="1142"/>
      <c r="IE249" s="1142"/>
      <c r="IF249" s="1142"/>
      <c r="IG249" s="1142"/>
      <c r="IH249" s="1142"/>
      <c r="II249" s="1142"/>
      <c r="IJ249" s="1142"/>
      <c r="IK249" s="1142"/>
      <c r="IL249" s="1190"/>
      <c r="IM249" s="222"/>
      <c r="IN249" s="222"/>
      <c r="IR249" s="844"/>
    </row>
    <row r="250" customFormat="false" ht="13.5" hidden="false" customHeight="false" outlineLevel="0" collapsed="false">
      <c r="A250" s="0" t="str">
        <f aca="false">+D250&amp;"Q"&amp;ROUNDUP(E250/3,0)</f>
        <v>2019Q2</v>
      </c>
      <c r="B250" s="0" t="n">
        <f aca="false">YEAR(C250)</f>
        <v>2019</v>
      </c>
      <c r="C250" s="1153" t="n">
        <f aca="false">EOMONTH(C249,0)+1</f>
        <v>43617</v>
      </c>
      <c r="D250" s="841" t="n">
        <f aca="false">+YEAR(C250)</f>
        <v>2019</v>
      </c>
      <c r="E250" s="807" t="n">
        <f aca="false">MONTH(C250)</f>
        <v>6</v>
      </c>
      <c r="F250" s="1154" t="e">
        <f aca="false">IF(G250="","",Holiday(D250,E250))</f>
        <v>#VALUE!</v>
      </c>
      <c r="G250" s="1155" t="n">
        <v>43617</v>
      </c>
      <c r="H250" s="1156" t="n">
        <v>43646</v>
      </c>
      <c r="I250" s="1157" t="n">
        <f aca="false">I249</f>
        <v>0.0715</v>
      </c>
      <c r="J250" s="1158" t="n">
        <f aca="false">(1+I250/2)^(-2*(DATE(D251,E251,20)-$H$7)/365.25)</f>
        <v>0.252443960261534</v>
      </c>
      <c r="K250" s="1159"/>
      <c r="L250" s="1158"/>
      <c r="M250" s="1082" t="n">
        <v>0</v>
      </c>
      <c r="N250" s="1110" t="n">
        <f aca="false">M250</f>
        <v>0</v>
      </c>
      <c r="O250" s="1174" t="n">
        <f aca="false">N250</f>
        <v>0</v>
      </c>
      <c r="P250" s="1175" t="n">
        <f aca="false">M250</f>
        <v>0</v>
      </c>
      <c r="Q250" s="1110" t="n">
        <f aca="false">P250</f>
        <v>0</v>
      </c>
      <c r="R250" s="1174" t="n">
        <f aca="false">Q250</f>
        <v>0</v>
      </c>
      <c r="S250" s="1110" t="n">
        <f aca="false">R250</f>
        <v>0</v>
      </c>
      <c r="T250" s="1110" t="n">
        <f aca="false">S250</f>
        <v>0</v>
      </c>
      <c r="U250" s="1110" t="n">
        <f aca="false">T250</f>
        <v>0</v>
      </c>
      <c r="V250" s="1175" t="n">
        <f aca="false">U250</f>
        <v>0</v>
      </c>
      <c r="W250" s="1110" t="n">
        <f aca="false">V250</f>
        <v>0</v>
      </c>
      <c r="X250" s="1176" t="n">
        <f aca="false">W250</f>
        <v>0</v>
      </c>
      <c r="Y250" s="1086" t="n">
        <v>0</v>
      </c>
      <c r="Z250" s="1086" t="n">
        <v>0</v>
      </c>
      <c r="AA250" s="1087" t="n">
        <v>0</v>
      </c>
      <c r="AB250" s="1086" t="n">
        <v>0</v>
      </c>
      <c r="AC250" s="1086" t="n">
        <v>0</v>
      </c>
      <c r="AD250" s="1087" t="n">
        <v>0</v>
      </c>
      <c r="AE250" s="1086" t="n">
        <v>0</v>
      </c>
      <c r="AF250" s="1086" t="n">
        <v>0</v>
      </c>
      <c r="AG250" s="1087" t="n">
        <v>0</v>
      </c>
      <c r="AH250" s="1086" t="n">
        <v>0</v>
      </c>
      <c r="AI250" s="1086" t="n">
        <v>0</v>
      </c>
      <c r="AJ250" s="1087" t="n">
        <v>0</v>
      </c>
      <c r="AK250" s="1086" t="n">
        <v>0</v>
      </c>
      <c r="AL250" s="1086" t="n">
        <v>0</v>
      </c>
      <c r="AM250" s="1087" t="n">
        <v>0</v>
      </c>
      <c r="AN250" s="1086" t="n">
        <v>0</v>
      </c>
      <c r="AO250" s="1086" t="n">
        <v>0</v>
      </c>
      <c r="AP250" s="1087" t="n">
        <v>0</v>
      </c>
      <c r="AQ250" s="1086" t="n">
        <v>0</v>
      </c>
      <c r="AR250" s="1086" t="n">
        <v>0</v>
      </c>
      <c r="AS250" s="1087" t="n">
        <v>0</v>
      </c>
      <c r="AT250" s="1086" t="n">
        <v>0</v>
      </c>
      <c r="AU250" s="1086" t="n">
        <v>0</v>
      </c>
      <c r="AV250" s="1086" t="n">
        <v>0</v>
      </c>
      <c r="AW250" s="1172" t="n">
        <v>0</v>
      </c>
      <c r="AX250" s="807" t="n">
        <f aca="false">BB250-SUM(AY250:BA250)</f>
        <v>20</v>
      </c>
      <c r="AY250" s="807" t="n">
        <f aca="false">IF(AND($E250=MONTH(Summary!$E$24),$D250=YEAR(Summary!$E$24)),Summary!$E$25,1)*IF(G250="",0,INT((H250-MOD(H250,7)-G250)/7)+1-IF(BA250,IF(WEEKDAY(F250)=7,1,0),0))</f>
        <v>5</v>
      </c>
      <c r="AZ250" s="807" t="n">
        <f aca="false">IF(AND($E250=MONTH(Summary!$E$24),$D250=YEAR(Summary!$E$24)),Summary!$E$25,1)*IF(G250="",0,INT((H250-MOD(H250-1,7)-G250)/7)+1-IF(BA250,IF(WEEKDAY(F250)=1,1,0),0))</f>
        <v>5</v>
      </c>
      <c r="BA250" s="807" t="n">
        <v>0</v>
      </c>
      <c r="BB250" s="807" t="n">
        <f aca="false">IF(AND($E250=MONTH(Summary!$E$24),$D250=YEAR(Summary!$E$24)),Summary!$E$25,1)*IF(G250="",0,H250-G250+1)</f>
        <v>30</v>
      </c>
      <c r="BC250" s="1089" t="n">
        <f aca="false">Summary!$E$19</f>
        <v>0.015</v>
      </c>
      <c r="BD250" s="1090" t="n">
        <v>14184</v>
      </c>
      <c r="BE250" s="1091" t="n">
        <v>3546</v>
      </c>
      <c r="BF250" s="1091" t="n">
        <v>3546</v>
      </c>
      <c r="BG250" s="842"/>
      <c r="BH250" s="1092" t="n">
        <v>1</v>
      </c>
      <c r="BI250" s="1092" t="n">
        <v>1</v>
      </c>
      <c r="BJ250" s="1092" t="n">
        <v>1</v>
      </c>
      <c r="BK250" s="1092" t="n">
        <v>1</v>
      </c>
      <c r="BL250" s="1093" t="n">
        <v>2836.8</v>
      </c>
      <c r="BM250" s="1091" t="n">
        <v>709.2</v>
      </c>
      <c r="BN250" s="1091" t="n">
        <v>709.2</v>
      </c>
      <c r="BO250" s="842"/>
      <c r="BP250" s="1092" t="n">
        <v>1</v>
      </c>
      <c r="BQ250" s="1094" t="n">
        <v>1</v>
      </c>
      <c r="BR250" s="1094" t="n">
        <v>1</v>
      </c>
      <c r="BS250" s="1095" t="n">
        <v>1</v>
      </c>
      <c r="BT250" s="1093" t="n">
        <f aca="false">SUM(BD250:BF250)</f>
        <v>21276</v>
      </c>
      <c r="BU250" s="1098" t="n">
        <f aca="false">SUM(BD250:BG250)</f>
        <v>21276</v>
      </c>
      <c r="BV250" s="1090" t="n">
        <f aca="false">SUM(BL250:BN250)</f>
        <v>4255.2</v>
      </c>
      <c r="BW250" s="1098" t="n">
        <f aca="false">SUM(BL250:BO250)</f>
        <v>4255.2</v>
      </c>
      <c r="BX250" s="852" t="n">
        <v>19.460643394935</v>
      </c>
      <c r="BY250" s="1099" t="n">
        <v>0</v>
      </c>
      <c r="BZ250" s="852" t="n">
        <v>0</v>
      </c>
      <c r="CA250" s="852" t="n">
        <v>0</v>
      </c>
      <c r="CB250" s="852" t="n">
        <v>0</v>
      </c>
      <c r="CC250" s="852" t="n">
        <v>0</v>
      </c>
      <c r="CD250" s="852" t="n">
        <v>0</v>
      </c>
      <c r="CE250" s="1100" t="n">
        <v>0</v>
      </c>
      <c r="CF250" s="852" t="n">
        <v>0</v>
      </c>
      <c r="CG250" s="852" t="n">
        <v>0</v>
      </c>
      <c r="CH250" s="852" t="n">
        <v>0</v>
      </c>
      <c r="CI250" s="852" t="n">
        <v>0</v>
      </c>
      <c r="CJ250" s="1101" t="n">
        <v>0</v>
      </c>
      <c r="CK250" s="852" t="n">
        <v>0</v>
      </c>
      <c r="CL250" s="852" t="n">
        <v>0</v>
      </c>
      <c r="CM250" s="852" t="n">
        <v>0</v>
      </c>
      <c r="CN250" s="852" t="n">
        <v>0</v>
      </c>
      <c r="CO250" s="852" t="n">
        <v>0</v>
      </c>
      <c r="CP250" s="852" t="n">
        <v>0</v>
      </c>
      <c r="CQ250" s="1102" t="n">
        <v>0</v>
      </c>
      <c r="CR250" s="1103" t="n">
        <v>0</v>
      </c>
      <c r="CS250" s="1103" t="n">
        <v>0</v>
      </c>
      <c r="CT250" s="1103" t="n">
        <v>0</v>
      </c>
      <c r="CU250" s="1103" t="n">
        <v>0</v>
      </c>
      <c r="CV250" s="1103" t="n">
        <v>0</v>
      </c>
      <c r="CW250" s="1103" t="n">
        <v>0</v>
      </c>
      <c r="CX250" s="1104" t="n">
        <v>0</v>
      </c>
      <c r="CY250" s="1105" t="n">
        <v>7749.30032</v>
      </c>
      <c r="CZ250" s="1099" t="n">
        <v>0</v>
      </c>
      <c r="DA250" s="852" t="n">
        <v>0</v>
      </c>
      <c r="DB250" s="852" t="n">
        <v>0</v>
      </c>
      <c r="DC250" s="852" t="n">
        <v>0</v>
      </c>
      <c r="DD250" s="852" t="n">
        <v>0</v>
      </c>
      <c r="DE250" s="1113" t="n">
        <v>0</v>
      </c>
      <c r="DF250" s="1109" t="n">
        <v>0</v>
      </c>
      <c r="DG250" s="1110" t="n">
        <v>0</v>
      </c>
      <c r="DH250" s="1111" t="n">
        <v>0</v>
      </c>
      <c r="DI250" s="1112" t="n">
        <v>0</v>
      </c>
      <c r="DJ250" s="1112" t="n">
        <v>0</v>
      </c>
      <c r="DK250" s="1112" t="n">
        <v>0</v>
      </c>
      <c r="DL250" s="1113" t="n">
        <v>0</v>
      </c>
      <c r="DM250" s="1114" t="n">
        <v>0</v>
      </c>
      <c r="DN250" s="1114" t="n">
        <v>0</v>
      </c>
      <c r="DO250" s="1114" t="n">
        <v>0</v>
      </c>
      <c r="DP250" s="1114" t="n">
        <v>0</v>
      </c>
      <c r="DQ250" s="1114" t="n">
        <v>0</v>
      </c>
      <c r="DR250" s="1109" t="n">
        <v>0</v>
      </c>
      <c r="DS250" s="852" t="n">
        <v>0</v>
      </c>
      <c r="DT250" s="852" t="n">
        <v>0</v>
      </c>
      <c r="DU250" s="852" t="n">
        <v>0</v>
      </c>
      <c r="DV250" s="852" t="n">
        <v>0</v>
      </c>
      <c r="DW250" s="852" t="n">
        <v>0</v>
      </c>
      <c r="DX250" s="852" t="n">
        <v>0</v>
      </c>
      <c r="DY250" s="852" t="n">
        <v>0</v>
      </c>
      <c r="DZ250" s="852" t="n">
        <v>0</v>
      </c>
      <c r="EA250" s="852" t="n">
        <v>0</v>
      </c>
      <c r="EB250" s="1113" t="n">
        <v>0</v>
      </c>
      <c r="EC250" s="1115" t="n">
        <f aca="false">DS250*BD250</f>
        <v>0</v>
      </c>
      <c r="ED250" s="1115" t="n">
        <f aca="false">DT250*BE250</f>
        <v>0</v>
      </c>
      <c r="EE250" s="1115" t="n">
        <f aca="false">DU250*BF250</f>
        <v>0</v>
      </c>
      <c r="EF250" s="1115" t="n">
        <f aca="false">DV250*BG250</f>
        <v>0</v>
      </c>
      <c r="EG250" s="1115" t="n">
        <f aca="false">DS250*BD250+DT250*BE250+DU250*BF250+DV250*BG250</f>
        <v>0</v>
      </c>
      <c r="EH250" s="1116" t="n">
        <v>0</v>
      </c>
      <c r="EI250" s="1117" t="n">
        <v>0</v>
      </c>
      <c r="EJ250" s="1117" t="n">
        <v>0</v>
      </c>
      <c r="EK250" s="1117" t="n">
        <v>0</v>
      </c>
      <c r="EL250" s="1118" t="n">
        <f aca="false">IF(C250&gt;=Summary!$E$26,MAX(0,SUM(EH250:EK250)),0)</f>
        <v>0</v>
      </c>
      <c r="EM250" s="1115" t="n">
        <f aca="false">IF(C250&gt;=Summary!$E$26,DX250*BL250,0)</f>
        <v>0</v>
      </c>
      <c r="EN250" s="1115" t="n">
        <f aca="false">IF(C250&gt;=Summary!$E$26,DY250*BM250,0)</f>
        <v>0</v>
      </c>
      <c r="EO250" s="1115" t="n">
        <f aca="false">IF(C250&gt;=Summary!$E$26,DZ250*BN250,0)</f>
        <v>0</v>
      </c>
      <c r="EP250" s="1115" t="n">
        <f aca="false">IF(C250&gt;=Summary!$E$26,EA250*BO250,0)</f>
        <v>0</v>
      </c>
      <c r="EQ250" s="1115" t="n">
        <f aca="false">IF(C250&gt;=Summary!$E$26,DX250*BL250+DY250*BM250+DZ250*BN250+EA250*BO250,0)</f>
        <v>0</v>
      </c>
      <c r="ER250" s="1119" t="n">
        <v>0</v>
      </c>
      <c r="ES250" s="1120" t="n">
        <v>0</v>
      </c>
      <c r="ET250" s="1120" t="n">
        <v>0</v>
      </c>
      <c r="EU250" s="1120" t="n">
        <v>0</v>
      </c>
      <c r="EV250" s="1143" t="n">
        <f aca="false">IF(C250&gt;=Summary!$E$26,MAX(0,SUM(ER250:EU250)),0)</f>
        <v>0</v>
      </c>
      <c r="EW250" s="1115"/>
      <c r="EX250" s="1165" t="n">
        <f aca="false">(EQ250-EV250)+IF(EZ250="Yes",(EG250-EL250),0)</f>
        <v>0</v>
      </c>
      <c r="EY250" s="1166" t="str">
        <f aca="false">IF(EX250,EX250/EQ250,"")</f>
        <v/>
      </c>
      <c r="EZ250" s="1122" t="s">
        <v>37</v>
      </c>
      <c r="FA250" s="1096" t="n">
        <f aca="false">FA249</f>
        <v>45</v>
      </c>
      <c r="FB250" s="1167" t="n">
        <f aca="false">IF(EZ250="No",IF((OR(MONTH(C250)=5,MONTH(C250)=6,MONTH(C250)=7,MONTH(C250)=8,MONTH(C250)=9)),$FA250*12*AX250*(1-$BC250),$FA250*10*AX250*(1-$BC250)),0)</f>
        <v>10638</v>
      </c>
      <c r="FC250" s="1129" t="n">
        <f aca="false">IF(EZ250="No",IF((OR(MONTH(C250)=5,MONTH(C250)=6,MONTH(C250)=7,MONTH(C250)=8,MONTH(C250)=9)),0,$FA250*3*AX250*(1-$BC250)),0)</f>
        <v>0</v>
      </c>
      <c r="FD250" s="1129" t="n">
        <f aca="false">IF(EZ250="No",IF((OR(MONTH(C250)=5,MONTH(C250)=6,MONTH(C250)=7,MONTH(C250)=8,MONTH(C250)=9)),$FA250*12*AY250*(1-$BC250),$FA250*10*AY250*(1-$BC250)),0)</f>
        <v>2659.5</v>
      </c>
      <c r="FE250" s="1129" t="n">
        <f aca="false">IF(EZ250="No",IF((OR(MONTH(C250)=5,MONTH(C250)=6,MONTH(C250)=7,MONTH(C250)=8,MONTH(C250)=9)),0,$FA250*3*AY250*(1-$BC250)),0)</f>
        <v>0</v>
      </c>
      <c r="FF250" s="1129" t="n">
        <f aca="false">IF(EZ250="No",IF((OR(MONTH(C250)=5,MONTH(C250)=6,MONTH(C250)=7,MONTH(C250)=8,MONTH(C250)=9)),$FA250*12*(AZ250+BA250)*(1-$BC250),$FA250*10*(AZ250+BA250)*(1-$BC250)),0)</f>
        <v>2659.5</v>
      </c>
      <c r="FG250" s="1129" t="n">
        <f aca="false">IF(EZ250="No",IF((OR(MONTH(C250)=5,MONTH(C250)=6,MONTH(C250)=7,MONTH(C250)=8,MONTH(C250)=9)),0,$FA250*3*(AZ250+BA250)*(1-$BC250)),0)</f>
        <v>0</v>
      </c>
      <c r="FH250" s="1170" t="n">
        <f aca="false">IF(EZ250="No",IF((OR(MONTH(C250)=5,MONTH(C250)=6,MONTH(C250)=7,MONTH(C250)=8,MONTH(C250)=9)),Summary!$O$15*12*(AX250+AY250+AZ250+BA250)*(1-$BC250),Summary!$O$15*13*(AX250+AY250+AZ250+BA250)*(1-$BC250)+IF(Summary!$O$16="Yes",(CALC!FA250+Summary!$O$15)*6*(AX250+AY250+AZ250+BA250)*(1-$BC250),0)),0)</f>
        <v>0</v>
      </c>
      <c r="FI250" s="1126" t="n">
        <f aca="false">IF(MONTH(C250)=5,FI249*(IF(Summary!$E$70="no",(1+(Summary!$E$71*0.8)),1+HLOOKUP(YEAR(C250)-1,CCFMODEL!$I$127:$AF$128,2)*0.8)),+FI249)</f>
        <v>42.7486893662432</v>
      </c>
      <c r="FJ250" s="1127" t="n">
        <f aca="false">IF(MONTH(C250)=5,FJ249*(IF(Summary!$E$70="no",(1+(Summary!$E$71*0.8)),1+HLOOKUP(YEAR(CALC!C250)-1,CCFMODEL!$I$127:$AF$128,2)*0.8)),FJ249)</f>
        <v>37.3630277138031</v>
      </c>
      <c r="FK250" s="1128" t="n">
        <f aca="false">SUM(FB250:FG250)*FI250+FH250*FJ250</f>
        <v>682140.836217143</v>
      </c>
      <c r="FL250" s="1126" t="n">
        <f aca="false">IF(MONTH(C250)=5,FL249*(IF(Summary!$E$70="no",(1+(Summary!$E$71*0.8)),1+HLOOKUP(YEAR(CALC!C250)-1,CCFMODEL!$I$127:$AF$128,2)*0.8)),+FL249)</f>
        <v>89.9052863349299</v>
      </c>
      <c r="FM250" s="1127" t="n">
        <f aca="false">IF(MONTH(C250)=5,FM249*(IF(Summary!$E$70="no",(1+(Summary!$E$71*0.8)),1+HLOOKUP(YEAR(CALC!C250)-1,CCFMODEL!$I$127:$AF$128,2)*0.8)),+FM249)</f>
        <v>42.908976915423</v>
      </c>
      <c r="FN250" s="1128" t="n">
        <f aca="false">IF((OR(MONTH(C250)=5,MONTH(C250)=6,MONTH(C250)=7,MONTH(C250)=8,MONTH(C250)=9)),SUM(FB250:FG250)/(1-BC250)*FL250,SUM(FB250:FG250)/(1-BC250)*FM250)</f>
        <v>1456465.63862586</v>
      </c>
      <c r="FO250" s="1129" t="n">
        <f aca="false">FK250+FN250</f>
        <v>2138606.47484301</v>
      </c>
      <c r="FP250" s="1169" t="n">
        <f aca="false">FB250</f>
        <v>10638</v>
      </c>
      <c r="FQ250" s="1129" t="n">
        <f aca="false">FC250</f>
        <v>0</v>
      </c>
      <c r="FR250" s="1129" t="n">
        <f aca="false">FD250</f>
        <v>2659.5</v>
      </c>
      <c r="FS250" s="1129" t="n">
        <f aca="false">FE250</f>
        <v>0</v>
      </c>
      <c r="FT250" s="1129" t="n">
        <f aca="false">FF250</f>
        <v>2659.5</v>
      </c>
      <c r="FU250" s="1129" t="n">
        <f aca="false">FG250</f>
        <v>0</v>
      </c>
      <c r="FV250" s="1170" t="n">
        <f aca="false">FH250</f>
        <v>0</v>
      </c>
      <c r="FW250" s="1115" t="n">
        <f aca="false">IF(ER250&gt;0,MIN(FB250-FP250,BL250),0)</f>
        <v>0</v>
      </c>
      <c r="FX250" s="1115" t="n">
        <f aca="false">IF(ES250&gt;0,MIN(FD250-FR250,BM250),0)</f>
        <v>0</v>
      </c>
      <c r="FY250" s="1115" t="n">
        <f aca="false">IF(ET250&gt;0,MIN(FF250-FT250,BN250),0)</f>
        <v>0</v>
      </c>
      <c r="FZ250" s="1143" t="n">
        <f aca="false">IF(EU250&gt;0,MIN(FH250-FV250,BO250),0)</f>
        <v>0</v>
      </c>
      <c r="GA250" s="1132" t="n">
        <f aca="false">(SUM(FP250:FV250)+SUM(GU250:HB250)/(1-Summary!$O$25))*CY250/1000</f>
        <v>197848.936329984</v>
      </c>
      <c r="GB250" s="1133" t="n">
        <f aca="false">IF($C250&lt;Summary!$M$81,+Summary!$O$81,VLOOKUP(C250,GasTable,19))</f>
        <v>3.62370612961684</v>
      </c>
      <c r="GC250" s="1134" t="n">
        <f aca="false">IF(H250&lt;=Summary!$N$84,MIN(GA250,Summary!$O$75*(H250-G250+1)),0)</f>
        <v>0</v>
      </c>
      <c r="GD250" s="1135" t="n">
        <f aca="false">IF(C250&lt;Summary!$N$84,IF(Summary!$O$75*(H250-G250+1)*0.8&gt;GC250,1,0),0)</f>
        <v>0</v>
      </c>
      <c r="GE250" s="1136" t="n">
        <v>0</v>
      </c>
      <c r="GF250" s="1134" t="n">
        <f aca="false">ABS(MIN(0,GC250-$GA250))</f>
        <v>197848.936329984</v>
      </c>
      <c r="GG250" s="1135" t="n">
        <f aca="false">GF250*(IF(Summary!$O$74=1,VLOOKUP($C250,GasTable,16)+Summary!$O$92+Summary!$O$93,VLOOKUP($C250,GasTable,19)+Summary!$O$92+Summary!$O$93))</f>
        <v>727254.332899928</v>
      </c>
      <c r="GH250" s="1137" t="n">
        <v>5435.55919442526</v>
      </c>
      <c r="GI250" s="1138" t="n">
        <v>0</v>
      </c>
      <c r="GJ250" s="1139" t="n">
        <f aca="false">+GB250*GC250+GE250+GG250+GH250-GI250</f>
        <v>732689.892094353</v>
      </c>
      <c r="GK250" s="1115" t="n">
        <f aca="false">SUM(FP250:FV250,GU250:GX250,GY250:HB250)</f>
        <v>25196.103</v>
      </c>
      <c r="GL250" s="1140" t="n">
        <v>0.51920312144</v>
      </c>
      <c r="GM250" s="1141" t="n">
        <f aca="false">IF(GK250&gt;GC250/(CY250/1000),GC250/(CY250/1000),+GK250)*GL250</f>
        <v>0</v>
      </c>
      <c r="GN250" s="1115" t="n">
        <f aca="false">IF(SUM(GU250:HB250)=0,0,IF(Summary!$O$16="Yes",SUM(GX250:HB250),IF(Summary!$O$17="Yes",SUM(GY250:HB250),SUM(GU250:HB250))))</f>
        <v>9239.103</v>
      </c>
      <c r="GO250" s="1142" t="n">
        <v>4.17251245089686</v>
      </c>
      <c r="GP250" s="1143" t="n">
        <f aca="false">GN250*GO250</f>
        <v>38550.2723026185</v>
      </c>
      <c r="GQ250" s="1115"/>
      <c r="GR250" s="1115"/>
      <c r="GS250" s="1115"/>
      <c r="GT250" s="1115"/>
      <c r="GU250" s="1150" t="n">
        <v>3421.89</v>
      </c>
      <c r="GV250" s="1115" t="n">
        <v>855.4725</v>
      </c>
      <c r="GW250" s="1115" t="n">
        <v>855.4725</v>
      </c>
      <c r="GX250" s="1115"/>
      <c r="GY250" s="1151" t="n">
        <v>2737.512</v>
      </c>
      <c r="GZ250" s="1115" t="n">
        <v>684.378</v>
      </c>
      <c r="HA250" s="1115" t="n">
        <v>684.378</v>
      </c>
      <c r="HB250" s="1141"/>
      <c r="HC250" s="1115" t="n">
        <v>9239.103</v>
      </c>
      <c r="HD250" s="1115"/>
      <c r="HE250" s="1115" t="n">
        <v>21557.907</v>
      </c>
      <c r="HF250" s="1115" t="n">
        <v>417251.242108603</v>
      </c>
      <c r="HG250" s="1115"/>
      <c r="HH250" s="1142" t="n">
        <v>46.7201221747534</v>
      </c>
      <c r="HI250" s="1115" t="n">
        <v>1007188.04887197</v>
      </c>
      <c r="HJ250" s="1150" t="n">
        <f aca="false">MAX(FB250-FP250-FW250,0)</f>
        <v>0</v>
      </c>
      <c r="HK250" s="1115" t="n">
        <f aca="false">MAX(FD250-FR250-FX250,0)</f>
        <v>0</v>
      </c>
      <c r="HL250" s="1115" t="n">
        <f aca="false">MAX(FF250-FT250-FY250,0)</f>
        <v>0</v>
      </c>
      <c r="HM250" s="1141" t="n">
        <f aca="false">MAX(FH250-FV250-FZ250,0)</f>
        <v>0</v>
      </c>
      <c r="HN250" s="1115" t="n">
        <f aca="false">SUM(HJ250:HM250)</f>
        <v>0</v>
      </c>
      <c r="HO250" s="1142" t="n">
        <f aca="false">IF(ISERROR(+HP250/HN250),0,+HP250/HN250)</f>
        <v>0</v>
      </c>
      <c r="HP250" s="1143" t="n">
        <f aca="false">(HJ250*CE250+HK250*CF250+HL250*CG250+HM250*CH250)</f>
        <v>0</v>
      </c>
      <c r="HQ250" s="1142"/>
      <c r="HR250" s="1150"/>
      <c r="HS250" s="1200"/>
      <c r="HT250" s="1141"/>
      <c r="HU250" s="1150"/>
      <c r="HV250" s="1200"/>
      <c r="HW250" s="1141"/>
      <c r="HX250" s="1200"/>
      <c r="HY250" s="1200"/>
      <c r="HZ250" s="0"/>
      <c r="IA250" s="1142"/>
      <c r="IB250" s="1142"/>
      <c r="IC250" s="1142"/>
      <c r="ID250" s="1142"/>
      <c r="IE250" s="1142"/>
      <c r="IF250" s="1142"/>
      <c r="IG250" s="1142"/>
      <c r="IH250" s="1142"/>
      <c r="II250" s="1142"/>
      <c r="IJ250" s="1142"/>
      <c r="IK250" s="1142"/>
      <c r="IL250" s="1190"/>
      <c r="IM250" s="222"/>
      <c r="IN250" s="222"/>
      <c r="IR250" s="844"/>
    </row>
    <row r="251" customFormat="false" ht="13.5" hidden="false" customHeight="false" outlineLevel="0" collapsed="false">
      <c r="A251" s="0" t="str">
        <f aca="false">+D251&amp;"Q"&amp;ROUNDUP(E251/3,0)</f>
        <v>2019Q3</v>
      </c>
      <c r="B251" s="0" t="n">
        <f aca="false">YEAR(C251)</f>
        <v>2019</v>
      </c>
      <c r="C251" s="1153" t="n">
        <f aca="false">EOMONTH(C250,0)+1</f>
        <v>43647</v>
      </c>
      <c r="D251" s="841" t="n">
        <f aca="false">+YEAR(C251)</f>
        <v>2019</v>
      </c>
      <c r="E251" s="807" t="n">
        <f aca="false">MONTH(C251)</f>
        <v>7</v>
      </c>
      <c r="F251" s="1154" t="e">
        <f aca="false">IF(G251="","",Holiday(D251,E251))</f>
        <v>#VALUE!</v>
      </c>
      <c r="G251" s="1155" t="n">
        <v>43647</v>
      </c>
      <c r="H251" s="1156" t="n">
        <v>43677</v>
      </c>
      <c r="I251" s="1157" t="n">
        <f aca="false">I250</f>
        <v>0.0715</v>
      </c>
      <c r="J251" s="1158" t="n">
        <f aca="false">(1+I251/2)^(-2*(DATE(D252,E252,20)-$H$7)/365.25)</f>
        <v>0.25094324394969</v>
      </c>
      <c r="K251" s="1159"/>
      <c r="L251" s="1158"/>
      <c r="M251" s="1082" t="n">
        <v>0</v>
      </c>
      <c r="N251" s="1110" t="n">
        <f aca="false">M251</f>
        <v>0</v>
      </c>
      <c r="O251" s="1174" t="n">
        <f aca="false">N251</f>
        <v>0</v>
      </c>
      <c r="P251" s="1175" t="n">
        <f aca="false">M251</f>
        <v>0</v>
      </c>
      <c r="Q251" s="1110" t="n">
        <f aca="false">P251</f>
        <v>0</v>
      </c>
      <c r="R251" s="1174" t="n">
        <f aca="false">Q251</f>
        <v>0</v>
      </c>
      <c r="S251" s="1110" t="n">
        <f aca="false">R251</f>
        <v>0</v>
      </c>
      <c r="T251" s="1110" t="n">
        <f aca="false">S251</f>
        <v>0</v>
      </c>
      <c r="U251" s="1110" t="n">
        <f aca="false">T251</f>
        <v>0</v>
      </c>
      <c r="V251" s="1175" t="n">
        <f aca="false">U251</f>
        <v>0</v>
      </c>
      <c r="W251" s="1110" t="n">
        <f aca="false">V251</f>
        <v>0</v>
      </c>
      <c r="X251" s="1176" t="n">
        <f aca="false">W251</f>
        <v>0</v>
      </c>
      <c r="Y251" s="1086" t="n">
        <v>0</v>
      </c>
      <c r="Z251" s="1086" t="n">
        <v>0</v>
      </c>
      <c r="AA251" s="1087" t="n">
        <v>0</v>
      </c>
      <c r="AB251" s="1086" t="n">
        <v>0</v>
      </c>
      <c r="AC251" s="1086" t="n">
        <v>0</v>
      </c>
      <c r="AD251" s="1087" t="n">
        <v>0</v>
      </c>
      <c r="AE251" s="1086" t="n">
        <v>0</v>
      </c>
      <c r="AF251" s="1086" t="n">
        <v>0</v>
      </c>
      <c r="AG251" s="1087" t="n">
        <v>0</v>
      </c>
      <c r="AH251" s="1086" t="n">
        <v>0</v>
      </c>
      <c r="AI251" s="1086" t="n">
        <v>0</v>
      </c>
      <c r="AJ251" s="1087" t="n">
        <v>0</v>
      </c>
      <c r="AK251" s="1086" t="n">
        <v>0</v>
      </c>
      <c r="AL251" s="1086" t="n">
        <v>0</v>
      </c>
      <c r="AM251" s="1087" t="n">
        <v>0</v>
      </c>
      <c r="AN251" s="1086" t="n">
        <v>0</v>
      </c>
      <c r="AO251" s="1086" t="n">
        <v>0</v>
      </c>
      <c r="AP251" s="1087" t="n">
        <v>0</v>
      </c>
      <c r="AQ251" s="1086" t="n">
        <v>0</v>
      </c>
      <c r="AR251" s="1086" t="n">
        <v>0</v>
      </c>
      <c r="AS251" s="1087" t="n">
        <v>0</v>
      </c>
      <c r="AT251" s="1086" t="n">
        <v>0</v>
      </c>
      <c r="AU251" s="1086" t="n">
        <v>0</v>
      </c>
      <c r="AV251" s="1086" t="n">
        <v>0</v>
      </c>
      <c r="AW251" s="1172" t="n">
        <v>0</v>
      </c>
      <c r="AX251" s="807" t="e">
        <f aca="false">BB251-SUM(AY251:BA251)</f>
        <v>#VALUE!</v>
      </c>
      <c r="AY251" s="807" t="e">
        <f aca="false">IF(AND($E251=MONTH(Summary!$E$24),$D251=YEAR(Summary!$E$24)),Summary!$E$25,1)*IF(G251="",0,INT((H251-MOD(H251,7)-G251)/7)+1-IF(BA251,IF(WEEKDAY(F251)=7,1,0),0))</f>
        <v>#VALUE!</v>
      </c>
      <c r="AZ251" s="807" t="e">
        <f aca="false">IF(AND($E251=MONTH(Summary!$E$24),$D251=YEAR(Summary!$E$24)),Summary!$E$25,1)*IF(G251="",0,INT((H251-MOD(H251-1,7)-G251)/7)+1-IF(BA251,IF(WEEKDAY(F251)=1,1,0),0))</f>
        <v>#VALUE!</v>
      </c>
      <c r="BA251" s="807" t="n">
        <v>1</v>
      </c>
      <c r="BB251" s="807" t="n">
        <f aca="false">IF(AND($E251=MONTH(Summary!$E$24),$D251=YEAR(Summary!$E$24)),Summary!$E$25,1)*IF(G251="",0,H251-G251+1)</f>
        <v>31</v>
      </c>
      <c r="BC251" s="1089" t="n">
        <f aca="false">Summary!$E$19</f>
        <v>0.015</v>
      </c>
      <c r="BD251" s="1090" t="n">
        <v>15602.4</v>
      </c>
      <c r="BE251" s="1091" t="n">
        <v>2836.8</v>
      </c>
      <c r="BF251" s="1091" t="n">
        <v>3546</v>
      </c>
      <c r="BG251" s="842"/>
      <c r="BH251" s="1092" t="n">
        <v>1</v>
      </c>
      <c r="BI251" s="1092" t="n">
        <v>1</v>
      </c>
      <c r="BJ251" s="1092" t="n">
        <v>1</v>
      </c>
      <c r="BK251" s="1092" t="n">
        <v>1</v>
      </c>
      <c r="BL251" s="1093" t="n">
        <v>3120.48</v>
      </c>
      <c r="BM251" s="1091" t="n">
        <v>567.36</v>
      </c>
      <c r="BN251" s="1091" t="n">
        <v>709.2</v>
      </c>
      <c r="BO251" s="842"/>
      <c r="BP251" s="1092" t="n">
        <v>1</v>
      </c>
      <c r="BQ251" s="1094" t="n">
        <v>1</v>
      </c>
      <c r="BR251" s="1094" t="n">
        <v>1</v>
      </c>
      <c r="BS251" s="1095" t="n">
        <v>1</v>
      </c>
      <c r="BT251" s="1093" t="n">
        <f aca="false">SUM(BD251:BF251)</f>
        <v>21985.2</v>
      </c>
      <c r="BU251" s="1098" t="n">
        <f aca="false">SUM(BD251:BG251)</f>
        <v>21985.2</v>
      </c>
      <c r="BV251" s="1090" t="n">
        <f aca="false">SUM(BL251:BN251)</f>
        <v>4397.04</v>
      </c>
      <c r="BW251" s="1098" t="n">
        <f aca="false">SUM(BL251:BO251)</f>
        <v>4397.04</v>
      </c>
      <c r="BX251" s="852" t="n">
        <v>19.5427789185489</v>
      </c>
      <c r="BY251" s="1099" t="n">
        <v>0</v>
      </c>
      <c r="BZ251" s="852" t="n">
        <v>0</v>
      </c>
      <c r="CA251" s="852" t="n">
        <v>0</v>
      </c>
      <c r="CB251" s="852" t="n">
        <v>0</v>
      </c>
      <c r="CC251" s="852" t="n">
        <v>0</v>
      </c>
      <c r="CD251" s="852" t="n">
        <v>0</v>
      </c>
      <c r="CE251" s="1100" t="n">
        <v>0</v>
      </c>
      <c r="CF251" s="852" t="n">
        <v>0</v>
      </c>
      <c r="CG251" s="852" t="n">
        <v>0</v>
      </c>
      <c r="CH251" s="852" t="n">
        <v>0</v>
      </c>
      <c r="CI251" s="852" t="n">
        <v>0</v>
      </c>
      <c r="CJ251" s="1101" t="n">
        <v>0</v>
      </c>
      <c r="CK251" s="852" t="n">
        <v>0</v>
      </c>
      <c r="CL251" s="852" t="n">
        <v>0</v>
      </c>
      <c r="CM251" s="852" t="n">
        <v>0</v>
      </c>
      <c r="CN251" s="852" t="n">
        <v>0</v>
      </c>
      <c r="CO251" s="852" t="n">
        <v>0</v>
      </c>
      <c r="CP251" s="852" t="n">
        <v>0</v>
      </c>
      <c r="CQ251" s="1102" t="n">
        <v>0</v>
      </c>
      <c r="CR251" s="1103" t="n">
        <v>0</v>
      </c>
      <c r="CS251" s="1103" t="n">
        <v>0</v>
      </c>
      <c r="CT251" s="1103" t="n">
        <v>0</v>
      </c>
      <c r="CU251" s="1103" t="n">
        <v>0</v>
      </c>
      <c r="CV251" s="1103" t="n">
        <v>0</v>
      </c>
      <c r="CW251" s="1103" t="n">
        <v>0</v>
      </c>
      <c r="CX251" s="1104" t="n">
        <v>0</v>
      </c>
      <c r="CY251" s="1105" t="n">
        <v>7751.33128</v>
      </c>
      <c r="CZ251" s="1099" t="n">
        <v>0</v>
      </c>
      <c r="DA251" s="852" t="n">
        <v>0</v>
      </c>
      <c r="DB251" s="852" t="n">
        <v>0</v>
      </c>
      <c r="DC251" s="852" t="n">
        <v>0</v>
      </c>
      <c r="DD251" s="852" t="n">
        <v>0</v>
      </c>
      <c r="DE251" s="1113" t="n">
        <v>0</v>
      </c>
      <c r="DF251" s="1109" t="n">
        <v>0</v>
      </c>
      <c r="DG251" s="1110" t="n">
        <v>0</v>
      </c>
      <c r="DH251" s="1111" t="n">
        <v>0</v>
      </c>
      <c r="DI251" s="1112" t="n">
        <v>0</v>
      </c>
      <c r="DJ251" s="1112" t="n">
        <v>0</v>
      </c>
      <c r="DK251" s="1112" t="n">
        <v>0</v>
      </c>
      <c r="DL251" s="1113" t="n">
        <v>0</v>
      </c>
      <c r="DM251" s="1114" t="n">
        <v>0</v>
      </c>
      <c r="DN251" s="1114" t="n">
        <v>0</v>
      </c>
      <c r="DO251" s="1114" t="n">
        <v>0</v>
      </c>
      <c r="DP251" s="1114" t="n">
        <v>0</v>
      </c>
      <c r="DQ251" s="1114" t="n">
        <v>0</v>
      </c>
      <c r="DR251" s="1109" t="n">
        <v>0</v>
      </c>
      <c r="DS251" s="852" t="n">
        <v>0</v>
      </c>
      <c r="DT251" s="852" t="n">
        <v>0</v>
      </c>
      <c r="DU251" s="852" t="n">
        <v>0</v>
      </c>
      <c r="DV251" s="852" t="n">
        <v>0</v>
      </c>
      <c r="DW251" s="852" t="n">
        <v>0</v>
      </c>
      <c r="DX251" s="852" t="n">
        <v>0</v>
      </c>
      <c r="DY251" s="852" t="n">
        <v>0</v>
      </c>
      <c r="DZ251" s="852" t="n">
        <v>0</v>
      </c>
      <c r="EA251" s="852" t="n">
        <v>0</v>
      </c>
      <c r="EB251" s="1113" t="n">
        <v>0</v>
      </c>
      <c r="EC251" s="1115" t="n">
        <f aca="false">DS251*BD251</f>
        <v>0</v>
      </c>
      <c r="ED251" s="1115" t="n">
        <f aca="false">DT251*BE251</f>
        <v>0</v>
      </c>
      <c r="EE251" s="1115" t="n">
        <f aca="false">DU251*BF251</f>
        <v>0</v>
      </c>
      <c r="EF251" s="1115" t="n">
        <f aca="false">DV251*BG251</f>
        <v>0</v>
      </c>
      <c r="EG251" s="1115" t="n">
        <f aca="false">DS251*BD251+DT251*BE251+DU251*BF251+DV251*BG251</f>
        <v>0</v>
      </c>
      <c r="EH251" s="1116" t="n">
        <v>0</v>
      </c>
      <c r="EI251" s="1117" t="n">
        <v>0</v>
      </c>
      <c r="EJ251" s="1117" t="n">
        <v>0</v>
      </c>
      <c r="EK251" s="1117" t="n">
        <v>0</v>
      </c>
      <c r="EL251" s="1118" t="n">
        <f aca="false">IF(C251&gt;=Summary!$E$26,MAX(0,SUM(EH251:EK251)),0)</f>
        <v>0</v>
      </c>
      <c r="EM251" s="1115" t="n">
        <f aca="false">IF(C251&gt;=Summary!$E$26,DX251*BL251,0)</f>
        <v>0</v>
      </c>
      <c r="EN251" s="1115" t="n">
        <f aca="false">IF(C251&gt;=Summary!$E$26,DY251*BM251,0)</f>
        <v>0</v>
      </c>
      <c r="EO251" s="1115" t="n">
        <f aca="false">IF(C251&gt;=Summary!$E$26,DZ251*BN251,0)</f>
        <v>0</v>
      </c>
      <c r="EP251" s="1115" t="n">
        <f aca="false">IF(C251&gt;=Summary!$E$26,EA251*BO251,0)</f>
        <v>0</v>
      </c>
      <c r="EQ251" s="1115" t="n">
        <f aca="false">IF(C251&gt;=Summary!$E$26,DX251*BL251+DY251*BM251+DZ251*BN251+EA251*BO251,0)</f>
        <v>0</v>
      </c>
      <c r="ER251" s="1119" t="n">
        <v>0</v>
      </c>
      <c r="ES251" s="1120" t="n">
        <v>0</v>
      </c>
      <c r="ET251" s="1120" t="n">
        <v>0</v>
      </c>
      <c r="EU251" s="1120" t="n">
        <v>0</v>
      </c>
      <c r="EV251" s="1143" t="n">
        <f aca="false">IF(C251&gt;=Summary!$E$26,MAX(0,SUM(ER251:EU251)),0)</f>
        <v>0</v>
      </c>
      <c r="EW251" s="1115"/>
      <c r="EX251" s="1165" t="n">
        <f aca="false">(EQ251-EV251)+IF(EZ251="Yes",(EG251-EL251),0)</f>
        <v>0</v>
      </c>
      <c r="EY251" s="1166" t="str">
        <f aca="false">IF(EX251,EX251/EQ251,"")</f>
        <v/>
      </c>
      <c r="EZ251" s="1122" t="s">
        <v>37</v>
      </c>
      <c r="FA251" s="1096" t="n">
        <f aca="false">FA250</f>
        <v>45</v>
      </c>
      <c r="FB251" s="1167" t="e">
        <f aca="false">IF(EZ251="No",IF((OR(MONTH(C251)=5,MONTH(C251)=6,MONTH(C251)=7,MONTH(C251)=8,MONTH(C251)=9)),$FA251*12*AX251*(1-$BC251),$FA251*10*AX251*(1-$BC251)),0)</f>
        <v>#VALUE!</v>
      </c>
      <c r="FC251" s="1129" t="n">
        <f aca="false">IF(EZ251="No",IF((OR(MONTH(C251)=5,MONTH(C251)=6,MONTH(C251)=7,MONTH(C251)=8,MONTH(C251)=9)),0,$FA251*3*AX251*(1-$BC251)),0)</f>
        <v>0</v>
      </c>
      <c r="FD251" s="1129" t="e">
        <f aca="false">IF(EZ251="No",IF((OR(MONTH(C251)=5,MONTH(C251)=6,MONTH(C251)=7,MONTH(C251)=8,MONTH(C251)=9)),$FA251*12*AY251*(1-$BC251),$FA251*10*AY251*(1-$BC251)),0)</f>
        <v>#VALUE!</v>
      </c>
      <c r="FE251" s="1129" t="n">
        <f aca="false">IF(EZ251="No",IF((OR(MONTH(C251)=5,MONTH(C251)=6,MONTH(C251)=7,MONTH(C251)=8,MONTH(C251)=9)),0,$FA251*3*AY251*(1-$BC251)),0)</f>
        <v>0</v>
      </c>
      <c r="FF251" s="1129" t="e">
        <f aca="false">IF(EZ251="No",IF((OR(MONTH(C251)=5,MONTH(C251)=6,MONTH(C251)=7,MONTH(C251)=8,MONTH(C251)=9)),$FA251*12*(AZ251+BA251)*(1-$BC251),$FA251*10*(AZ251+BA251)*(1-$BC251)),0)</f>
        <v>#VALUE!</v>
      </c>
      <c r="FG251" s="1129" t="n">
        <f aca="false">IF(EZ251="No",IF((OR(MONTH(C251)=5,MONTH(C251)=6,MONTH(C251)=7,MONTH(C251)=8,MONTH(C251)=9)),0,$FA251*3*(AZ251+BA251)*(1-$BC251)),0)</f>
        <v>0</v>
      </c>
      <c r="FH251" s="1170" t="e">
        <f aca="false">IF(EZ251="No",IF((OR(MONTH(C251)=5,MONTH(C251)=6,MONTH(C251)=7,MONTH(C251)=8,MONTH(C251)=9)),Summary!$O$15*12*(AX251+AY251+AZ251+BA251)*(1-$BC251),Summary!$O$15*13*(AX251+AY251+AZ251+BA251)*(1-$BC251)+IF(Summary!$O$16="Yes",(CALC!FA251+Summary!$O$15)*6*(AX251+AY251+AZ251+BA251)*(1-$BC251),0)),0)</f>
        <v>#VALUE!</v>
      </c>
      <c r="FI251" s="1126" t="n">
        <f aca="false">IF(MONTH(C251)=5,FI250*(IF(Summary!$E$70="no",(1+(Summary!$E$71*0.8)),1+HLOOKUP(YEAR(C251)-1,CCFMODEL!$I$127:$AF$128,2)*0.8)),+FI250)</f>
        <v>42.7486893662432</v>
      </c>
      <c r="FJ251" s="1127" t="n">
        <f aca="false">IF(MONTH(C251)=5,FJ250*(IF(Summary!$E$70="no",(1+(Summary!$E$71*0.8)),1+HLOOKUP(YEAR(CALC!C251)-1,CCFMODEL!$I$127:$AF$128,2)*0.8)),FJ250)</f>
        <v>37.3630277138031</v>
      </c>
      <c r="FK251" s="1128" t="e">
        <f aca="false">SUM(FB251:FG251)*FI251+FH251*FJ251</f>
        <v>#VALUE!</v>
      </c>
      <c r="FL251" s="1126" t="n">
        <f aca="false">IF(MONTH(C251)=5,FL250*(IF(Summary!$E$70="no",(1+(Summary!$E$71*0.8)),1+HLOOKUP(YEAR(CALC!C251)-1,CCFMODEL!$I$127:$AF$128,2)*0.8)),+FL250)</f>
        <v>89.9052863349299</v>
      </c>
      <c r="FM251" s="1127" t="n">
        <f aca="false">IF(MONTH(C251)=5,FM250*(IF(Summary!$E$70="no",(1+(Summary!$E$71*0.8)),1+HLOOKUP(YEAR(CALC!C251)-1,CCFMODEL!$I$127:$AF$128,2)*0.8)),+FM250)</f>
        <v>42.908976915423</v>
      </c>
      <c r="FN251" s="1128" t="e">
        <f aca="false">IF((OR(MONTH(C251)=5,MONTH(C251)=6,MONTH(C251)=7,MONTH(C251)=8,MONTH(C251)=9)),SUM(FB251:FG251)/(1-BC251)*FL251,SUM(FB251:FG251)/(1-BC251)*FM251)</f>
        <v>#VALUE!</v>
      </c>
      <c r="FO251" s="1129" t="e">
        <f aca="false">FK251+FN251</f>
        <v>#VALUE!</v>
      </c>
      <c r="FP251" s="1169" t="e">
        <f aca="false">FB251</f>
        <v>#VALUE!</v>
      </c>
      <c r="FQ251" s="1129" t="n">
        <f aca="false">FC251</f>
        <v>0</v>
      </c>
      <c r="FR251" s="1129" t="e">
        <f aca="false">FD251</f>
        <v>#VALUE!</v>
      </c>
      <c r="FS251" s="1129" t="n">
        <f aca="false">FE251</f>
        <v>0</v>
      </c>
      <c r="FT251" s="1129" t="e">
        <f aca="false">FF251</f>
        <v>#VALUE!</v>
      </c>
      <c r="FU251" s="1129" t="n">
        <f aca="false">FG251</f>
        <v>0</v>
      </c>
      <c r="FV251" s="1170" t="e">
        <f aca="false">FH251</f>
        <v>#VALUE!</v>
      </c>
      <c r="FW251" s="1115" t="n">
        <f aca="false">IF(ER251&gt;0,MIN(FB251-FP251,BL251),0)</f>
        <v>0</v>
      </c>
      <c r="FX251" s="1115" t="n">
        <f aca="false">IF(ES251&gt;0,MIN(FD251-FR251,BM251),0)</f>
        <v>0</v>
      </c>
      <c r="FY251" s="1115" t="n">
        <f aca="false">IF(ET251&gt;0,MIN(FF251-FT251,BN251),0)</f>
        <v>0</v>
      </c>
      <c r="FZ251" s="1143" t="n">
        <f aca="false">IF(EU251&gt;0,MIN(FH251-FV251,BO251),0)</f>
        <v>0</v>
      </c>
      <c r="GA251" s="1132" t="e">
        <f aca="false">(SUM(FP251:FV251)+SUM(GU251:HB251)/(1-Summary!$O$25))*CY251/1000</f>
        <v>#VALUE!</v>
      </c>
      <c r="GB251" s="1133" t="n">
        <f aca="false">IF($C251&lt;Summary!$M$81,+Summary!$O$81,VLOOKUP(C251,GasTable,19))</f>
        <v>3.72261913964118</v>
      </c>
      <c r="GC251" s="1134" t="n">
        <f aca="false">IF(H251&lt;=Summary!$N$84,MIN(GA251,Summary!$O$75*(H251-G251+1)),0)</f>
        <v>0</v>
      </c>
      <c r="GD251" s="1135" t="n">
        <f aca="false">IF(C251&lt;Summary!$N$84,IF(Summary!$O$75*(H251-G251+1)*0.8&gt;GC251,1,0),0)</f>
        <v>0</v>
      </c>
      <c r="GE251" s="1136" t="n">
        <v>0</v>
      </c>
      <c r="GF251" s="1134" t="e">
        <f aca="false">ABS(MIN(0,GC251-$GA251))</f>
        <v>#VALUE!</v>
      </c>
      <c r="GG251" s="1135" t="e">
        <f aca="false">GF251*(IF(Summary!$O$74=1,VLOOKUP($C251,GasTable,16)+Summary!$O$92+Summary!$O$93,VLOOKUP($C251,GasTable,19)+Summary!$O$92+Summary!$O$93))</f>
        <v>#VALUE!</v>
      </c>
      <c r="GH251" s="1137" t="n">
        <v>5770.05966644383</v>
      </c>
      <c r="GI251" s="1138" t="n">
        <v>0</v>
      </c>
      <c r="GJ251" s="1139" t="e">
        <f aca="false">+GB251*GC251+GE251+GG251+GH251-GI251</f>
        <v>#VALUE!</v>
      </c>
      <c r="GK251" s="1115" t="e">
        <f aca="false">SUM(FP251:FV251,GU251:GX251,GY251:HB251)</f>
        <v>#VALUE!</v>
      </c>
      <c r="GL251" s="1140" t="n">
        <v>0.51933919576</v>
      </c>
      <c r="GM251" s="1141" t="e">
        <f aca="false">IF(GK251&gt;GC251/(CY251/1000),GC251/(CY251/1000),+GK251)*GL251</f>
        <v>#VALUE!</v>
      </c>
      <c r="GN251" s="1115" t="n">
        <f aca="false">IF(SUM(GU251:HB251)=0,0,IF(Summary!$O$16="Yes",SUM(GX251:HB251),IF(Summary!$O$17="Yes",SUM(GY251:HB251),SUM(GU251:HB251))))</f>
        <v>9547.0731</v>
      </c>
      <c r="GO251" s="1142" t="n">
        <v>4.17251245089686</v>
      </c>
      <c r="GP251" s="1143" t="n">
        <f aca="false">GN251*GO251</f>
        <v>39835.2813793725</v>
      </c>
      <c r="GQ251" s="1115"/>
      <c r="GR251" s="1115"/>
      <c r="GS251" s="1115"/>
      <c r="GT251" s="1115"/>
      <c r="GU251" s="1150" t="n">
        <v>3764.079</v>
      </c>
      <c r="GV251" s="1115" t="n">
        <v>684.378</v>
      </c>
      <c r="GW251" s="1115" t="n">
        <v>855.4725</v>
      </c>
      <c r="GX251" s="1115"/>
      <c r="GY251" s="1151" t="n">
        <v>3011.2632</v>
      </c>
      <c r="GZ251" s="1115" t="n">
        <v>547.5024</v>
      </c>
      <c r="HA251" s="1115" t="n">
        <v>684.378</v>
      </c>
      <c r="HB251" s="1141"/>
      <c r="HC251" s="1115" t="n">
        <v>9547.0731</v>
      </c>
      <c r="HD251" s="1115"/>
      <c r="HE251" s="1115" t="n">
        <v>22276.5039</v>
      </c>
      <c r="HF251" s="1115" t="n">
        <v>570094.479989671</v>
      </c>
      <c r="HG251" s="1115"/>
      <c r="HH251" s="1142" t="n">
        <v>63.2356918337824</v>
      </c>
      <c r="HI251" s="1115" t="n">
        <v>1408670.13575445</v>
      </c>
      <c r="HJ251" s="1150" t="e">
        <f aca="false">MAX(FB251-FP251-FW251,0)</f>
        <v>#VALUE!</v>
      </c>
      <c r="HK251" s="1115" t="e">
        <f aca="false">MAX(FD251-FR251-FX251,0)</f>
        <v>#VALUE!</v>
      </c>
      <c r="HL251" s="1115" t="e">
        <f aca="false">MAX(FF251-FT251-FY251,0)</f>
        <v>#VALUE!</v>
      </c>
      <c r="HM251" s="1141" t="e">
        <f aca="false">MAX(FH251-FV251-FZ251,0)</f>
        <v>#VALUE!</v>
      </c>
      <c r="HN251" s="1115" t="e">
        <f aca="false">SUM(HJ251:HM251)</f>
        <v>#VALUE!</v>
      </c>
      <c r="HO251" s="1142" t="n">
        <f aca="false">IF(ISERROR(+HP251/HN251),0,+HP251/HN251)</f>
        <v>0</v>
      </c>
      <c r="HP251" s="1143" t="e">
        <f aca="false">(HJ251*CE251+HK251*CF251+HL251*CG251+HM251*CH251)</f>
        <v>#VALUE!</v>
      </c>
      <c r="HQ251" s="1142" t="s">
        <v>921</v>
      </c>
      <c r="HR251" s="1150" t="e">
        <f aca="false">SUMIF($A$17:$A$292,HQ251,$GF$17:$GF$292)</f>
        <v>#VALUE!</v>
      </c>
      <c r="HS251" s="1200" t="e">
        <f aca="false">IF(HT251=0,IF(OR(SUMIF(CURVES!$AU$6:$AU$283,$HQ251,CURVES!$BQ$6:$BQ$283)=0,COUNTIF(CURVES!$AU$6:$AU$283,$HQ251)=0),0,SUMIF(CURVES!$AU$6:$AU$283,$HQ251,CURVES!$BQ$6:$BQ$283)/COUNTIF(CURVES!$AU$6:$AU$283,$HQ251)),HT251/HR251)</f>
        <v>#VALUE!</v>
      </c>
      <c r="HT251" s="1141" t="e">
        <f aca="false">SUMIF($A$17:$A$292,HQ251,$GG$17:$GG$292)</f>
        <v>#VALUE!</v>
      </c>
      <c r="HU251" s="1150" t="n">
        <f aca="false">SUMIF($A$17:$A$292,HQ251,$GC$17:$GC$292)</f>
        <v>0</v>
      </c>
      <c r="HV251" s="1200" t="e">
        <f aca="false">IF(HW251=0,0,HW251/Summary!$O$79/HU251)</f>
        <v>#DIV/0!</v>
      </c>
      <c r="HW251" s="1141" t="n">
        <f aca="false">SUMIF($A$17:$A$292,HQ251,$GH$17:$GH$292)</f>
        <v>16391.3341746046</v>
      </c>
      <c r="HX251" s="1200" t="n">
        <f aca="false">IF(OR(SUMIF(CURVES!$AU$6:$AU$283,$HQ251,CURVES!$BQ$6:$BQ$283)=0,COUNTIF(CURVES!$AU$6:$AU$283,$HQ251)=0),0,SUMIF(CURVES!$AU$6:$AU$283,$HQ251,CURVES!$BQ$6:$BQ$283)/COUNTIF(CURVES!$AU$6:$AU$283,$HQ251))</f>
        <v>3.92905893370015</v>
      </c>
      <c r="HY251" s="1200" t="n">
        <f aca="false">IF(OR(SUMIF(CURVES!$AU$6:$AU$283,$HQ251,CURVES!$BR$6:$BR$283)=0,COUNTIF(CURVES!$AU$6:$AU$283,$HQ251)=0),0,SUMIF(CURVES!$AU$6:$AU$283,$HQ251,CURVES!$BR$6:$BR$283)/COUNTIF(CURVES!$AU$6:$AU$283,$HQ251))</f>
        <v>3.15365132481893</v>
      </c>
      <c r="HZ251" s="0"/>
      <c r="IA251" s="1142"/>
      <c r="IB251" s="1142"/>
      <c r="IC251" s="1142"/>
      <c r="ID251" s="1142"/>
      <c r="IE251" s="1142"/>
      <c r="IF251" s="1142"/>
      <c r="IG251" s="1142"/>
      <c r="IH251" s="1142"/>
      <c r="II251" s="1142"/>
      <c r="IJ251" s="1142"/>
      <c r="IK251" s="1142"/>
      <c r="IL251" s="1190"/>
      <c r="IM251" s="222"/>
      <c r="IN251" s="222"/>
      <c r="IR251" s="844"/>
    </row>
    <row r="252" customFormat="false" ht="13.5" hidden="false" customHeight="false" outlineLevel="0" collapsed="false">
      <c r="A252" s="0" t="str">
        <f aca="false">+D252&amp;"Q"&amp;ROUNDUP(E252/3,0)</f>
        <v>2019Q3</v>
      </c>
      <c r="B252" s="0" t="n">
        <f aca="false">YEAR(C252)</f>
        <v>2019</v>
      </c>
      <c r="C252" s="1153" t="n">
        <f aca="false">EOMONTH(C251,0)+1</f>
        <v>43678</v>
      </c>
      <c r="D252" s="841" t="n">
        <f aca="false">+YEAR(C252)</f>
        <v>2019</v>
      </c>
      <c r="E252" s="807" t="n">
        <f aca="false">MONTH(C252)</f>
        <v>8</v>
      </c>
      <c r="F252" s="1154" t="e">
        <f aca="false">IF(G252="","",Holiday(D252,E252))</f>
        <v>#VALUE!</v>
      </c>
      <c r="G252" s="1155" t="n">
        <v>43678</v>
      </c>
      <c r="H252" s="1156" t="n">
        <v>43708</v>
      </c>
      <c r="I252" s="1157" t="n">
        <f aca="false">I251</f>
        <v>0.0715</v>
      </c>
      <c r="J252" s="1158" t="n">
        <f aca="false">(1+I252/2)^(-2*(DATE(D253,E253,20)-$H$7)/365.25)</f>
        <v>0.249451449021611</v>
      </c>
      <c r="K252" s="1159"/>
      <c r="L252" s="1158"/>
      <c r="M252" s="1082" t="n">
        <v>0</v>
      </c>
      <c r="N252" s="1110" t="n">
        <f aca="false">M252</f>
        <v>0</v>
      </c>
      <c r="O252" s="1174" t="n">
        <f aca="false">N252</f>
        <v>0</v>
      </c>
      <c r="P252" s="1175" t="n">
        <f aca="false">M252</f>
        <v>0</v>
      </c>
      <c r="Q252" s="1110" t="n">
        <f aca="false">P252</f>
        <v>0</v>
      </c>
      <c r="R252" s="1174" t="n">
        <f aca="false">Q252</f>
        <v>0</v>
      </c>
      <c r="S252" s="1110" t="n">
        <f aca="false">R252</f>
        <v>0</v>
      </c>
      <c r="T252" s="1110" t="n">
        <f aca="false">S252</f>
        <v>0</v>
      </c>
      <c r="U252" s="1110" t="n">
        <f aca="false">T252</f>
        <v>0</v>
      </c>
      <c r="V252" s="1175" t="n">
        <f aca="false">U252</f>
        <v>0</v>
      </c>
      <c r="W252" s="1110" t="n">
        <f aca="false">V252</f>
        <v>0</v>
      </c>
      <c r="X252" s="1176" t="n">
        <f aca="false">W252</f>
        <v>0</v>
      </c>
      <c r="Y252" s="1086" t="n">
        <v>0</v>
      </c>
      <c r="Z252" s="1086" t="n">
        <v>0</v>
      </c>
      <c r="AA252" s="1087" t="n">
        <v>0</v>
      </c>
      <c r="AB252" s="1086" t="n">
        <v>0</v>
      </c>
      <c r="AC252" s="1086" t="n">
        <v>0</v>
      </c>
      <c r="AD252" s="1087" t="n">
        <v>0</v>
      </c>
      <c r="AE252" s="1086" t="n">
        <v>0</v>
      </c>
      <c r="AF252" s="1086" t="n">
        <v>0</v>
      </c>
      <c r="AG252" s="1087" t="n">
        <v>0</v>
      </c>
      <c r="AH252" s="1086" t="n">
        <v>0</v>
      </c>
      <c r="AI252" s="1086" t="n">
        <v>0</v>
      </c>
      <c r="AJ252" s="1087" t="n">
        <v>0</v>
      </c>
      <c r="AK252" s="1086" t="n">
        <v>0</v>
      </c>
      <c r="AL252" s="1086" t="n">
        <v>0</v>
      </c>
      <c r="AM252" s="1087" t="n">
        <v>0</v>
      </c>
      <c r="AN252" s="1086" t="n">
        <v>0</v>
      </c>
      <c r="AO252" s="1086" t="n">
        <v>0</v>
      </c>
      <c r="AP252" s="1087" t="n">
        <v>0</v>
      </c>
      <c r="AQ252" s="1086" t="n">
        <v>0</v>
      </c>
      <c r="AR252" s="1086" t="n">
        <v>0</v>
      </c>
      <c r="AS252" s="1087" t="n">
        <v>0</v>
      </c>
      <c r="AT252" s="1086" t="n">
        <v>0</v>
      </c>
      <c r="AU252" s="1086" t="n">
        <v>0</v>
      </c>
      <c r="AV252" s="1086" t="n">
        <v>0</v>
      </c>
      <c r="AW252" s="1172" t="n">
        <v>0</v>
      </c>
      <c r="AX252" s="807" t="n">
        <f aca="false">BB252-SUM(AY252:BA252)</f>
        <v>22</v>
      </c>
      <c r="AY252" s="807" t="n">
        <f aca="false">IF(AND($E252=MONTH(Summary!$E$24),$D252=YEAR(Summary!$E$24)),Summary!$E$25,1)*IF(G252="",0,INT((H252-MOD(H252,7)-G252)/7)+1-IF(BA252,IF(WEEKDAY(F252)=7,1,0),0))</f>
        <v>5</v>
      </c>
      <c r="AZ252" s="807" t="n">
        <f aca="false">IF(AND($E252=MONTH(Summary!$E$24),$D252=YEAR(Summary!$E$24)),Summary!$E$25,1)*IF(G252="",0,INT((H252-MOD(H252-1,7)-G252)/7)+1-IF(BA252,IF(WEEKDAY(F252)=1,1,0),0))</f>
        <v>4</v>
      </c>
      <c r="BA252" s="807" t="n">
        <v>0</v>
      </c>
      <c r="BB252" s="807" t="n">
        <f aca="false">IF(AND($E252=MONTH(Summary!$E$24),$D252=YEAR(Summary!$E$24)),Summary!$E$25,1)*IF(G252="",0,H252-G252+1)</f>
        <v>31</v>
      </c>
      <c r="BC252" s="1089" t="n">
        <f aca="false">Summary!$E$19</f>
        <v>0.015</v>
      </c>
      <c r="BD252" s="1090" t="n">
        <v>15602.4</v>
      </c>
      <c r="BE252" s="1091" t="n">
        <v>3546</v>
      </c>
      <c r="BF252" s="1091" t="n">
        <v>2836.8</v>
      </c>
      <c r="BG252" s="842"/>
      <c r="BH252" s="1092" t="n">
        <v>1</v>
      </c>
      <c r="BI252" s="1092" t="n">
        <v>1</v>
      </c>
      <c r="BJ252" s="1092" t="n">
        <v>1</v>
      </c>
      <c r="BK252" s="1092" t="n">
        <v>1</v>
      </c>
      <c r="BL252" s="1093" t="n">
        <v>3120.48</v>
      </c>
      <c r="BM252" s="1091" t="n">
        <v>709.2</v>
      </c>
      <c r="BN252" s="1091" t="n">
        <v>567.36</v>
      </c>
      <c r="BO252" s="842"/>
      <c r="BP252" s="1092" t="n">
        <v>1</v>
      </c>
      <c r="BQ252" s="1094" t="n">
        <v>1</v>
      </c>
      <c r="BR252" s="1094" t="n">
        <v>1</v>
      </c>
      <c r="BS252" s="1095" t="n">
        <v>1</v>
      </c>
      <c r="BT252" s="1093" t="n">
        <f aca="false">SUM(BD252:BF252)</f>
        <v>21985.2</v>
      </c>
      <c r="BU252" s="1098" t="n">
        <f aca="false">SUM(BD252:BG252)</f>
        <v>21985.2</v>
      </c>
      <c r="BV252" s="1090" t="n">
        <f aca="false">SUM(BL252:BN252)</f>
        <v>4397.04</v>
      </c>
      <c r="BW252" s="1098" t="n">
        <f aca="false">SUM(BL252:BO252)</f>
        <v>4397.04</v>
      </c>
      <c r="BX252" s="852" t="n">
        <v>19.62765229295</v>
      </c>
      <c r="BY252" s="1099" t="n">
        <v>0</v>
      </c>
      <c r="BZ252" s="852" t="n">
        <v>0</v>
      </c>
      <c r="CA252" s="852" t="n">
        <v>0</v>
      </c>
      <c r="CB252" s="852" t="n">
        <v>0</v>
      </c>
      <c r="CC252" s="852" t="n">
        <v>0</v>
      </c>
      <c r="CD252" s="852" t="n">
        <v>0</v>
      </c>
      <c r="CE252" s="1100" t="n">
        <v>0</v>
      </c>
      <c r="CF252" s="852" t="n">
        <v>0</v>
      </c>
      <c r="CG252" s="852" t="n">
        <v>0</v>
      </c>
      <c r="CH252" s="852" t="n">
        <v>0</v>
      </c>
      <c r="CI252" s="852" t="n">
        <v>0</v>
      </c>
      <c r="CJ252" s="1101" t="n">
        <v>0</v>
      </c>
      <c r="CK252" s="852" t="n">
        <v>0</v>
      </c>
      <c r="CL252" s="852" t="n">
        <v>0</v>
      </c>
      <c r="CM252" s="852" t="n">
        <v>0</v>
      </c>
      <c r="CN252" s="852" t="n">
        <v>0</v>
      </c>
      <c r="CO252" s="852" t="n">
        <v>0</v>
      </c>
      <c r="CP252" s="852" t="n">
        <v>0</v>
      </c>
      <c r="CQ252" s="1102" t="n">
        <v>0</v>
      </c>
      <c r="CR252" s="1103" t="n">
        <v>0</v>
      </c>
      <c r="CS252" s="1103" t="n">
        <v>0</v>
      </c>
      <c r="CT252" s="1103" t="n">
        <v>0</v>
      </c>
      <c r="CU252" s="1103" t="n">
        <v>0</v>
      </c>
      <c r="CV252" s="1103" t="n">
        <v>0</v>
      </c>
      <c r="CW252" s="1103" t="n">
        <v>0</v>
      </c>
      <c r="CX252" s="1104" t="n">
        <v>0</v>
      </c>
      <c r="CY252" s="1105" t="n">
        <v>7753.36224</v>
      </c>
      <c r="CZ252" s="1099" t="n">
        <v>0</v>
      </c>
      <c r="DA252" s="852" t="n">
        <v>0</v>
      </c>
      <c r="DB252" s="852" t="n">
        <v>0</v>
      </c>
      <c r="DC252" s="852" t="n">
        <v>0</v>
      </c>
      <c r="DD252" s="852" t="n">
        <v>0</v>
      </c>
      <c r="DE252" s="1113" t="n">
        <v>0</v>
      </c>
      <c r="DF252" s="1109" t="n">
        <v>0</v>
      </c>
      <c r="DG252" s="1110" t="n">
        <v>0</v>
      </c>
      <c r="DH252" s="1111" t="n">
        <v>0</v>
      </c>
      <c r="DI252" s="1112" t="n">
        <v>0</v>
      </c>
      <c r="DJ252" s="1112" t="n">
        <v>0</v>
      </c>
      <c r="DK252" s="1112" t="n">
        <v>0</v>
      </c>
      <c r="DL252" s="1113" t="n">
        <v>0</v>
      </c>
      <c r="DM252" s="1114" t="n">
        <v>0</v>
      </c>
      <c r="DN252" s="1114" t="n">
        <v>0</v>
      </c>
      <c r="DO252" s="1114" t="n">
        <v>0</v>
      </c>
      <c r="DP252" s="1114" t="n">
        <v>0</v>
      </c>
      <c r="DQ252" s="1114" t="n">
        <v>0</v>
      </c>
      <c r="DR252" s="1109" t="n">
        <v>0</v>
      </c>
      <c r="DS252" s="852" t="n">
        <v>0</v>
      </c>
      <c r="DT252" s="852" t="n">
        <v>0</v>
      </c>
      <c r="DU252" s="852" t="n">
        <v>0</v>
      </c>
      <c r="DV252" s="852" t="n">
        <v>0</v>
      </c>
      <c r="DW252" s="852" t="n">
        <v>0</v>
      </c>
      <c r="DX252" s="852" t="n">
        <v>0</v>
      </c>
      <c r="DY252" s="852" t="n">
        <v>0</v>
      </c>
      <c r="DZ252" s="852" t="n">
        <v>0</v>
      </c>
      <c r="EA252" s="852" t="n">
        <v>0</v>
      </c>
      <c r="EB252" s="1113" t="n">
        <v>0</v>
      </c>
      <c r="EC252" s="1115" t="n">
        <f aca="false">DS252*BD252</f>
        <v>0</v>
      </c>
      <c r="ED252" s="1115" t="n">
        <f aca="false">DT252*BE252</f>
        <v>0</v>
      </c>
      <c r="EE252" s="1115" t="n">
        <f aca="false">DU252*BF252</f>
        <v>0</v>
      </c>
      <c r="EF252" s="1115" t="n">
        <f aca="false">DV252*BG252</f>
        <v>0</v>
      </c>
      <c r="EG252" s="1115" t="n">
        <f aca="false">DS252*BD252+DT252*BE252+DU252*BF252+DV252*BG252</f>
        <v>0</v>
      </c>
      <c r="EH252" s="1116" t="n">
        <v>0</v>
      </c>
      <c r="EI252" s="1117" t="n">
        <v>0</v>
      </c>
      <c r="EJ252" s="1117" t="n">
        <v>0</v>
      </c>
      <c r="EK252" s="1117" t="n">
        <v>0</v>
      </c>
      <c r="EL252" s="1118" t="n">
        <f aca="false">IF(C252&gt;=Summary!$E$26,MAX(0,SUM(EH252:EK252)),0)</f>
        <v>0</v>
      </c>
      <c r="EM252" s="1115" t="n">
        <f aca="false">IF(C252&gt;=Summary!$E$26,DX252*BL252,0)</f>
        <v>0</v>
      </c>
      <c r="EN252" s="1115" t="n">
        <f aca="false">IF(C252&gt;=Summary!$E$26,DY252*BM252,0)</f>
        <v>0</v>
      </c>
      <c r="EO252" s="1115" t="n">
        <f aca="false">IF(C252&gt;=Summary!$E$26,DZ252*BN252,0)</f>
        <v>0</v>
      </c>
      <c r="EP252" s="1115" t="n">
        <f aca="false">IF(C252&gt;=Summary!$E$26,EA252*BO252,0)</f>
        <v>0</v>
      </c>
      <c r="EQ252" s="1115" t="n">
        <f aca="false">IF(C252&gt;=Summary!$E$26,DX252*BL252+DY252*BM252+DZ252*BN252+EA252*BO252,0)</f>
        <v>0</v>
      </c>
      <c r="ER252" s="1119" t="n">
        <v>0</v>
      </c>
      <c r="ES252" s="1120" t="n">
        <v>0</v>
      </c>
      <c r="ET252" s="1120" t="n">
        <v>0</v>
      </c>
      <c r="EU252" s="1120" t="n">
        <v>0</v>
      </c>
      <c r="EV252" s="1143" t="n">
        <f aca="false">IF(C252&gt;=Summary!$E$26,MAX(0,SUM(ER252:EU252)),0)</f>
        <v>0</v>
      </c>
      <c r="EW252" s="1115"/>
      <c r="EX252" s="1165" t="n">
        <f aca="false">(EQ252-EV252)+IF(EZ252="Yes",(EG252-EL252),0)</f>
        <v>0</v>
      </c>
      <c r="EY252" s="1166" t="str">
        <f aca="false">IF(EX252,EX252/EQ252,"")</f>
        <v/>
      </c>
      <c r="EZ252" s="1122" t="s">
        <v>37</v>
      </c>
      <c r="FA252" s="1096" t="n">
        <f aca="false">FA251</f>
        <v>45</v>
      </c>
      <c r="FB252" s="1167" t="n">
        <f aca="false">IF(EZ252="No",IF((OR(MONTH(C252)=5,MONTH(C252)=6,MONTH(C252)=7,MONTH(C252)=8,MONTH(C252)=9)),$FA252*12*AX252*(1-$BC252),$FA252*10*AX252*(1-$BC252)),0)</f>
        <v>11701.8</v>
      </c>
      <c r="FC252" s="1129" t="n">
        <f aca="false">IF(EZ252="No",IF((OR(MONTH(C252)=5,MONTH(C252)=6,MONTH(C252)=7,MONTH(C252)=8,MONTH(C252)=9)),0,$FA252*3*AX252*(1-$BC252)),0)</f>
        <v>0</v>
      </c>
      <c r="FD252" s="1129" t="n">
        <f aca="false">IF(EZ252="No",IF((OR(MONTH(C252)=5,MONTH(C252)=6,MONTH(C252)=7,MONTH(C252)=8,MONTH(C252)=9)),$FA252*12*AY252*(1-$BC252),$FA252*10*AY252*(1-$BC252)),0)</f>
        <v>2659.5</v>
      </c>
      <c r="FE252" s="1129" t="n">
        <f aca="false">IF(EZ252="No",IF((OR(MONTH(C252)=5,MONTH(C252)=6,MONTH(C252)=7,MONTH(C252)=8,MONTH(C252)=9)),0,$FA252*3*AY252*(1-$BC252)),0)</f>
        <v>0</v>
      </c>
      <c r="FF252" s="1129" t="n">
        <f aca="false">IF(EZ252="No",IF((OR(MONTH(C252)=5,MONTH(C252)=6,MONTH(C252)=7,MONTH(C252)=8,MONTH(C252)=9)),$FA252*12*(AZ252+BA252)*(1-$BC252),$FA252*10*(AZ252+BA252)*(1-$BC252)),0)</f>
        <v>2127.6</v>
      </c>
      <c r="FG252" s="1129" t="n">
        <f aca="false">IF(EZ252="No",IF((OR(MONTH(C252)=5,MONTH(C252)=6,MONTH(C252)=7,MONTH(C252)=8,MONTH(C252)=9)),0,$FA252*3*(AZ252+BA252)*(1-$BC252)),0)</f>
        <v>0</v>
      </c>
      <c r="FH252" s="1170" t="n">
        <f aca="false">IF(EZ252="No",IF((OR(MONTH(C252)=5,MONTH(C252)=6,MONTH(C252)=7,MONTH(C252)=8,MONTH(C252)=9)),Summary!$O$15*12*(AX252+AY252+AZ252+BA252)*(1-$BC252),Summary!$O$15*13*(AX252+AY252+AZ252+BA252)*(1-$BC252)+IF(Summary!$O$16="Yes",(CALC!FA252+Summary!$O$15)*6*(AX252+AY252+AZ252+BA252)*(1-$BC252),0)),0)</f>
        <v>0</v>
      </c>
      <c r="FI252" s="1126" t="n">
        <f aca="false">IF(MONTH(C252)=5,FI251*(IF(Summary!$E$70="no",(1+(Summary!$E$71*0.8)),1+HLOOKUP(YEAR(C252)-1,CCFMODEL!$I$127:$AF$128,2)*0.8)),+FI251)</f>
        <v>42.7486893662432</v>
      </c>
      <c r="FJ252" s="1127" t="n">
        <f aca="false">IF(MONTH(C252)=5,FJ251*(IF(Summary!$E$70="no",(1+(Summary!$E$71*0.8)),1+HLOOKUP(YEAR(CALC!C252)-1,CCFMODEL!$I$127:$AF$128,2)*0.8)),FJ251)</f>
        <v>37.3630277138031</v>
      </c>
      <c r="FK252" s="1128" t="n">
        <f aca="false">SUM(FB252:FG252)*FI252+FH252*FJ252</f>
        <v>704878.864091048</v>
      </c>
      <c r="FL252" s="1126" t="n">
        <f aca="false">IF(MONTH(C252)=5,FL251*(IF(Summary!$E$70="no",(1+(Summary!$E$71*0.8)),1+HLOOKUP(YEAR(CALC!C252)-1,CCFMODEL!$I$127:$AF$128,2)*0.8)),+FL251)</f>
        <v>89.9052863349299</v>
      </c>
      <c r="FM252" s="1127" t="n">
        <f aca="false">IF(MONTH(C252)=5,FM251*(IF(Summary!$E$70="no",(1+(Summary!$E$71*0.8)),1+HLOOKUP(YEAR(CALC!C252)-1,CCFMODEL!$I$127:$AF$128,2)*0.8)),+FM251)</f>
        <v>42.908976915423</v>
      </c>
      <c r="FN252" s="1128" t="n">
        <f aca="false">IF((OR(MONTH(C252)=5,MONTH(C252)=6,MONTH(C252)=7,MONTH(C252)=8,MONTH(C252)=9)),SUM(FB252:FG252)/(1-BC252)*FL252,SUM(FB252:FG252)/(1-BC252)*FM252)</f>
        <v>1505014.49324673</v>
      </c>
      <c r="FO252" s="1129" t="n">
        <f aca="false">FK252+FN252</f>
        <v>2209893.35733777</v>
      </c>
      <c r="FP252" s="1169" t="n">
        <f aca="false">FB252</f>
        <v>11701.8</v>
      </c>
      <c r="FQ252" s="1129" t="n">
        <f aca="false">FC252</f>
        <v>0</v>
      </c>
      <c r="FR252" s="1129" t="n">
        <f aca="false">FD252</f>
        <v>2659.5</v>
      </c>
      <c r="FS252" s="1129" t="n">
        <f aca="false">FE252</f>
        <v>0</v>
      </c>
      <c r="FT252" s="1129" t="n">
        <f aca="false">FF252</f>
        <v>2127.6</v>
      </c>
      <c r="FU252" s="1129" t="n">
        <f aca="false">FG252</f>
        <v>0</v>
      </c>
      <c r="FV252" s="1170" t="n">
        <f aca="false">FH252</f>
        <v>0</v>
      </c>
      <c r="FW252" s="1115" t="n">
        <f aca="false">IF(ER252&gt;0,MIN(FB252-FP252,BL252),0)</f>
        <v>0</v>
      </c>
      <c r="FX252" s="1115" t="n">
        <f aca="false">IF(ES252&gt;0,MIN(FD252-FR252,BM252),0)</f>
        <v>0</v>
      </c>
      <c r="FY252" s="1115" t="n">
        <f aca="false">IF(ET252&gt;0,MIN(FF252-FT252,BN252),0)</f>
        <v>0</v>
      </c>
      <c r="FZ252" s="1143" t="n">
        <f aca="false">IF(EU252&gt;0,MIN(FH252-FV252,BO252),0)</f>
        <v>0</v>
      </c>
      <c r="GA252" s="1132" t="n">
        <f aca="false">(SUM(FP252:FV252)+SUM(GU252:HB252)/(1-Summary!$O$25))*CY252/1000</f>
        <v>204551.063422618</v>
      </c>
      <c r="GB252" s="1133" t="n">
        <f aca="false">IF($C252&lt;Summary!$M$81,+Summary!$O$81,VLOOKUP(C252,GasTable,19))</f>
        <v>3.86309615695957</v>
      </c>
      <c r="GC252" s="1134" t="n">
        <f aca="false">IF(H252&lt;=Summary!$N$84,MIN(GA252,Summary!$O$75*(H252-G252+1)),0)</f>
        <v>0</v>
      </c>
      <c r="GD252" s="1135" t="n">
        <f aca="false">IF(C252&lt;Summary!$N$84,IF(Summary!$O$75*(H252-G252+1)*0.8&gt;GC252,1,0),0)</f>
        <v>0</v>
      </c>
      <c r="GE252" s="1136" t="n">
        <v>0</v>
      </c>
      <c r="GF252" s="1134" t="n">
        <f aca="false">ABS(MIN(0,GC252-$GA252))</f>
        <v>204551.063422618</v>
      </c>
      <c r="GG252" s="1135" t="n">
        <f aca="false">GF252*(IF(Summary!$O$74=1,VLOOKUP($C252,GasTable,16)+Summary!$O$92+Summary!$O$93,VLOOKUP($C252,GasTable,19)+Summary!$O$92+Summary!$O$93))</f>
        <v>800857.537414226</v>
      </c>
      <c r="GH252" s="1137" t="n">
        <v>5987.79904328734</v>
      </c>
      <c r="GI252" s="1138" t="n">
        <v>0</v>
      </c>
      <c r="GJ252" s="1139" t="n">
        <f aca="false">+GB252*GC252+GE252+GG252+GH252-GI252</f>
        <v>806845.336457513</v>
      </c>
      <c r="GK252" s="1115" t="n">
        <f aca="false">SUM(FP252:FV252,GU252:GX252,GY252:HB252)</f>
        <v>26035.9731</v>
      </c>
      <c r="GL252" s="1140" t="n">
        <v>0.51947527008</v>
      </c>
      <c r="GM252" s="1141" t="n">
        <f aca="false">IF(GK252&gt;GC252/(CY252/1000),GC252/(CY252/1000),+GK252)*GL252</f>
        <v>0</v>
      </c>
      <c r="GN252" s="1115" t="n">
        <f aca="false">IF(SUM(GU252:HB252)=0,0,IF(Summary!$O$16="Yes",SUM(GX252:HB252),IF(Summary!$O$17="Yes",SUM(GY252:HB252),SUM(GU252:HB252))))</f>
        <v>9547.0731</v>
      </c>
      <c r="GO252" s="1142" t="n">
        <v>4.17251245089686</v>
      </c>
      <c r="GP252" s="1143" t="n">
        <f aca="false">GN252*GO252</f>
        <v>39835.2813793725</v>
      </c>
      <c r="GQ252" s="1115"/>
      <c r="GR252" s="1115"/>
      <c r="GS252" s="1115"/>
      <c r="GT252" s="1115"/>
      <c r="GU252" s="1150" t="n">
        <v>3764.079</v>
      </c>
      <c r="GV252" s="1115" t="n">
        <v>855.4725</v>
      </c>
      <c r="GW252" s="1115" t="n">
        <v>684.378</v>
      </c>
      <c r="GX252" s="1115"/>
      <c r="GY252" s="1151" t="n">
        <v>3011.2632</v>
      </c>
      <c r="GZ252" s="1115" t="n">
        <v>684.378</v>
      </c>
      <c r="HA252" s="1115" t="n">
        <v>547.5024</v>
      </c>
      <c r="HB252" s="1141"/>
      <c r="HC252" s="1115" t="n">
        <v>9547.0731</v>
      </c>
      <c r="HD252" s="1115"/>
      <c r="HE252" s="1115" t="n">
        <v>22276.5039</v>
      </c>
      <c r="HF252" s="1115" t="n">
        <v>692099.634540244</v>
      </c>
      <c r="HG252" s="1115"/>
      <c r="HH252" s="1142" t="n">
        <v>76.3285353092097</v>
      </c>
      <c r="HI252" s="1115" t="n">
        <v>1700332.9144969</v>
      </c>
      <c r="HJ252" s="1150" t="n">
        <f aca="false">MAX(FB252-FP252-FW252,0)</f>
        <v>0</v>
      </c>
      <c r="HK252" s="1115" t="n">
        <f aca="false">MAX(FD252-FR252-FX252,0)</f>
        <v>0</v>
      </c>
      <c r="HL252" s="1115" t="n">
        <f aca="false">MAX(FF252-FT252-FY252,0)</f>
        <v>0</v>
      </c>
      <c r="HM252" s="1141" t="n">
        <f aca="false">MAX(FH252-FV252-FZ252,0)</f>
        <v>0</v>
      </c>
      <c r="HN252" s="1115" t="n">
        <f aca="false">SUM(HJ252:HM252)</f>
        <v>0</v>
      </c>
      <c r="HO252" s="1142" t="n">
        <f aca="false">IF(ISERROR(+HP252/HN252),0,+HP252/HN252)</f>
        <v>0</v>
      </c>
      <c r="HP252" s="1143" t="n">
        <f aca="false">(HJ252*CE252+HK252*CF252+HL252*CG252+HM252*CH252)</f>
        <v>0</v>
      </c>
      <c r="HQ252" s="1142" t="s">
        <v>922</v>
      </c>
      <c r="HR252" s="1150" t="e">
        <f aca="false">SUMIF($A$17:$A$292,HQ252,$GF$17:$GF$292)</f>
        <v>#VALUE!</v>
      </c>
      <c r="HS252" s="1200" t="e">
        <f aca="false">IF(HT252=0,IF(OR(SUMIF(CURVES!$AU$6:$AU$283,$HQ252,CURVES!$BQ$6:$BQ$283)=0,COUNTIF(CURVES!$AU$6:$AU$283,$HQ252)=0),0,SUMIF(CURVES!$AU$6:$AU$283,$HQ252,CURVES!$BQ$6:$BQ$283)/COUNTIF(CURVES!$AU$6:$AU$283,$HQ252)),HT252/HR252)</f>
        <v>#VALUE!</v>
      </c>
      <c r="HT252" s="1141" t="e">
        <f aca="false">SUMIF($A$17:$A$292,HQ252,$GG$17:$GG$292)</f>
        <v>#VALUE!</v>
      </c>
      <c r="HU252" s="1150" t="n">
        <f aca="false">SUMIF($A$17:$A$292,HQ252,$GC$17:$GC$292)</f>
        <v>0</v>
      </c>
      <c r="HV252" s="1200" t="e">
        <f aca="false">IF(HW252=0,0,HW252/Summary!$O$79/HU252)</f>
        <v>#DIV/0!</v>
      </c>
      <c r="HW252" s="1141" t="n">
        <f aca="false">SUMIF($A$17:$A$292,HQ252,$GH$17:$GH$292)</f>
        <v>18589.8976013987</v>
      </c>
      <c r="HX252" s="1200" t="n">
        <f aca="false">IF(OR(SUMIF(CURVES!$AU$6:$AU$283,$HQ252,CURVES!$BQ$6:$BQ$283)=0,COUNTIF(CURVES!$AU$6:$AU$283,$HQ252)=0),0,SUMIF(CURVES!$AU$6:$AU$283,$HQ252,CURVES!$BQ$6:$BQ$283)/COUNTIF(CURVES!$AU$6:$AU$283,$HQ252))</f>
        <v>4.39563007339047</v>
      </c>
      <c r="HY252" s="1200" t="n">
        <f aca="false">IF(OR(SUMIF(CURVES!$AU$6:$AU$283,$HQ252,CURVES!$BR$6:$BR$283)=0,COUNTIF(CURVES!$AU$6:$AU$283,$HQ252)=0),0,SUMIF(CURVES!$AU$6:$AU$283,$HQ252,CURVES!$BR$6:$BR$283)/COUNTIF(CURVES!$AU$6:$AU$283,$HQ252))</f>
        <v>3.41339022551662</v>
      </c>
      <c r="HZ252" s="0"/>
      <c r="IA252" s="1142"/>
      <c r="IB252" s="1142"/>
      <c r="IC252" s="1142"/>
      <c r="ID252" s="1142"/>
      <c r="IE252" s="1142"/>
      <c r="IF252" s="1142"/>
      <c r="IG252" s="1142"/>
      <c r="IH252" s="1142"/>
      <c r="II252" s="1142"/>
      <c r="IJ252" s="1142"/>
      <c r="IK252" s="1142"/>
      <c r="IL252" s="1190"/>
      <c r="IM252" s="222"/>
      <c r="IN252" s="222"/>
      <c r="IR252" s="844"/>
    </row>
    <row r="253" customFormat="false" ht="13.5" hidden="false" customHeight="false" outlineLevel="0" collapsed="false">
      <c r="A253" s="0" t="str">
        <f aca="false">+D253&amp;"Q"&amp;ROUNDUP(E253/3,0)</f>
        <v>2019Q3</v>
      </c>
      <c r="B253" s="0" t="n">
        <f aca="false">YEAR(C253)</f>
        <v>2019</v>
      </c>
      <c r="C253" s="1153" t="n">
        <f aca="false">EOMONTH(C252,0)+1</f>
        <v>43709</v>
      </c>
      <c r="D253" s="841" t="n">
        <f aca="false">+YEAR(C253)</f>
        <v>2019</v>
      </c>
      <c r="E253" s="807" t="n">
        <f aca="false">MONTH(C253)</f>
        <v>9</v>
      </c>
      <c r="F253" s="1154" t="e">
        <f aca="false">IF(G253="","",Holiday(D253,E253))</f>
        <v>#VALUE!</v>
      </c>
      <c r="G253" s="1155" t="n">
        <v>43709</v>
      </c>
      <c r="H253" s="1156" t="n">
        <v>43738</v>
      </c>
      <c r="I253" s="1157" t="n">
        <f aca="false">I252</f>
        <v>0.0715</v>
      </c>
      <c r="J253" s="1158" t="n">
        <f aca="false">(1+I253/2)^(-2*(DATE(D254,E254,20)-$H$7)/365.25)</f>
        <v>0.248016220900006</v>
      </c>
      <c r="K253" s="1159"/>
      <c r="L253" s="1158"/>
      <c r="M253" s="1082" t="n">
        <v>0</v>
      </c>
      <c r="N253" s="1110" t="n">
        <f aca="false">M253</f>
        <v>0</v>
      </c>
      <c r="O253" s="1174" t="n">
        <f aca="false">N253</f>
        <v>0</v>
      </c>
      <c r="P253" s="1175" t="n">
        <f aca="false">M253</f>
        <v>0</v>
      </c>
      <c r="Q253" s="1110" t="n">
        <f aca="false">P253</f>
        <v>0</v>
      </c>
      <c r="R253" s="1174" t="n">
        <f aca="false">Q253</f>
        <v>0</v>
      </c>
      <c r="S253" s="1110" t="n">
        <f aca="false">R253</f>
        <v>0</v>
      </c>
      <c r="T253" s="1110" t="n">
        <f aca="false">S253</f>
        <v>0</v>
      </c>
      <c r="U253" s="1110" t="n">
        <f aca="false">T253</f>
        <v>0</v>
      </c>
      <c r="V253" s="1175" t="n">
        <f aca="false">U253</f>
        <v>0</v>
      </c>
      <c r="W253" s="1110" t="n">
        <f aca="false">V253</f>
        <v>0</v>
      </c>
      <c r="X253" s="1176" t="n">
        <f aca="false">W253</f>
        <v>0</v>
      </c>
      <c r="Y253" s="1086" t="n">
        <v>0</v>
      </c>
      <c r="Z253" s="1086" t="n">
        <v>0</v>
      </c>
      <c r="AA253" s="1087" t="n">
        <v>0</v>
      </c>
      <c r="AB253" s="1086" t="n">
        <v>0</v>
      </c>
      <c r="AC253" s="1086" t="n">
        <v>0</v>
      </c>
      <c r="AD253" s="1087" t="n">
        <v>0</v>
      </c>
      <c r="AE253" s="1086" t="n">
        <v>0</v>
      </c>
      <c r="AF253" s="1086" t="n">
        <v>0</v>
      </c>
      <c r="AG253" s="1087" t="n">
        <v>0</v>
      </c>
      <c r="AH253" s="1086" t="n">
        <v>0</v>
      </c>
      <c r="AI253" s="1086" t="n">
        <v>0</v>
      </c>
      <c r="AJ253" s="1087" t="n">
        <v>0</v>
      </c>
      <c r="AK253" s="1086" t="n">
        <v>0</v>
      </c>
      <c r="AL253" s="1086" t="n">
        <v>0</v>
      </c>
      <c r="AM253" s="1087" t="n">
        <v>0</v>
      </c>
      <c r="AN253" s="1086" t="n">
        <v>0</v>
      </c>
      <c r="AO253" s="1086" t="n">
        <v>0</v>
      </c>
      <c r="AP253" s="1087" t="n">
        <v>0</v>
      </c>
      <c r="AQ253" s="1086" t="n">
        <v>0</v>
      </c>
      <c r="AR253" s="1086" t="n">
        <v>0</v>
      </c>
      <c r="AS253" s="1087" t="n">
        <v>0</v>
      </c>
      <c r="AT253" s="1086" t="n">
        <v>0</v>
      </c>
      <c r="AU253" s="1086" t="n">
        <v>0</v>
      </c>
      <c r="AV253" s="1086" t="n">
        <v>0</v>
      </c>
      <c r="AW253" s="1172" t="n">
        <v>0</v>
      </c>
      <c r="AX253" s="807" t="e">
        <f aca="false">BB253-SUM(AY253:BA253)</f>
        <v>#VALUE!</v>
      </c>
      <c r="AY253" s="807" t="e">
        <f aca="false">IF(AND($E253=MONTH(Summary!$E$24),$D253=YEAR(Summary!$E$24)),Summary!$E$25,1)*IF(G253="",0,INT((H253-MOD(H253,7)-G253)/7)+1-IF(BA253,IF(WEEKDAY(F253)=7,1,0),0))</f>
        <v>#VALUE!</v>
      </c>
      <c r="AZ253" s="807" t="e">
        <f aca="false">IF(AND($E253=MONTH(Summary!$E$24),$D253=YEAR(Summary!$E$24)),Summary!$E$25,1)*IF(G253="",0,INT((H253-MOD(H253-1,7)-G253)/7)+1-IF(BA253,IF(WEEKDAY(F253)=1,1,0),0))</f>
        <v>#VALUE!</v>
      </c>
      <c r="BA253" s="807" t="n">
        <v>1</v>
      </c>
      <c r="BB253" s="807" t="n">
        <f aca="false">IF(AND($E253=MONTH(Summary!$E$24),$D253=YEAR(Summary!$E$24)),Summary!$E$25,1)*IF(G253="",0,H253-G253+1)</f>
        <v>30</v>
      </c>
      <c r="BC253" s="1089" t="n">
        <f aca="false">Summary!$E$19</f>
        <v>0.015</v>
      </c>
      <c r="BD253" s="1090" t="n">
        <v>14184</v>
      </c>
      <c r="BE253" s="1091" t="n">
        <v>2836.8</v>
      </c>
      <c r="BF253" s="1091" t="n">
        <v>4255.2</v>
      </c>
      <c r="BG253" s="842"/>
      <c r="BH253" s="1092" t="n">
        <v>1</v>
      </c>
      <c r="BI253" s="1092" t="n">
        <v>1</v>
      </c>
      <c r="BJ253" s="1092" t="n">
        <v>1</v>
      </c>
      <c r="BK253" s="1092" t="n">
        <v>1</v>
      </c>
      <c r="BL253" s="1093" t="n">
        <v>2836.8</v>
      </c>
      <c r="BM253" s="1091" t="n">
        <v>567.36</v>
      </c>
      <c r="BN253" s="1091" t="n">
        <v>851.04</v>
      </c>
      <c r="BO253" s="842"/>
      <c r="BP253" s="1092" t="n">
        <v>1</v>
      </c>
      <c r="BQ253" s="1094" t="n">
        <v>1</v>
      </c>
      <c r="BR253" s="1094" t="n">
        <v>1</v>
      </c>
      <c r="BS253" s="1095" t="n">
        <v>1</v>
      </c>
      <c r="BT253" s="1093" t="n">
        <f aca="false">SUM(BD253:BF253)</f>
        <v>21276</v>
      </c>
      <c r="BU253" s="1098" t="n">
        <f aca="false">SUM(BD253:BG253)</f>
        <v>21276</v>
      </c>
      <c r="BV253" s="1090" t="n">
        <f aca="false">SUM(BL253:BN253)</f>
        <v>4255.2</v>
      </c>
      <c r="BW253" s="1098" t="n">
        <f aca="false">SUM(BL253:BO253)</f>
        <v>4255.2</v>
      </c>
      <c r="BX253" s="852" t="n">
        <v>19.7125256673511</v>
      </c>
      <c r="BY253" s="1099" t="n">
        <v>0</v>
      </c>
      <c r="BZ253" s="852" t="n">
        <v>0</v>
      </c>
      <c r="CA253" s="852" t="n">
        <v>0</v>
      </c>
      <c r="CB253" s="852" t="n">
        <v>0</v>
      </c>
      <c r="CC253" s="852" t="n">
        <v>0</v>
      </c>
      <c r="CD253" s="852" t="n">
        <v>0</v>
      </c>
      <c r="CE253" s="1100" t="n">
        <v>0</v>
      </c>
      <c r="CF253" s="852" t="n">
        <v>0</v>
      </c>
      <c r="CG253" s="852" t="n">
        <v>0</v>
      </c>
      <c r="CH253" s="852" t="n">
        <v>0</v>
      </c>
      <c r="CI253" s="852" t="n">
        <v>0</v>
      </c>
      <c r="CJ253" s="1101" t="n">
        <v>0</v>
      </c>
      <c r="CK253" s="852" t="n">
        <v>0</v>
      </c>
      <c r="CL253" s="852" t="n">
        <v>0</v>
      </c>
      <c r="CM253" s="852" t="n">
        <v>0</v>
      </c>
      <c r="CN253" s="852" t="n">
        <v>0</v>
      </c>
      <c r="CO253" s="852" t="n">
        <v>0</v>
      </c>
      <c r="CP253" s="852" t="n">
        <v>0</v>
      </c>
      <c r="CQ253" s="1102" t="n">
        <v>0</v>
      </c>
      <c r="CR253" s="1103" t="n">
        <v>0</v>
      </c>
      <c r="CS253" s="1103" t="n">
        <v>0</v>
      </c>
      <c r="CT253" s="1103" t="n">
        <v>0</v>
      </c>
      <c r="CU253" s="1103" t="n">
        <v>0</v>
      </c>
      <c r="CV253" s="1103" t="n">
        <v>0</v>
      </c>
      <c r="CW253" s="1103" t="n">
        <v>0</v>
      </c>
      <c r="CX253" s="1104" t="n">
        <v>0</v>
      </c>
      <c r="CY253" s="1105" t="n">
        <v>7755.3932</v>
      </c>
      <c r="CZ253" s="1099" t="n">
        <v>0</v>
      </c>
      <c r="DA253" s="852" t="n">
        <v>0</v>
      </c>
      <c r="DB253" s="852" t="n">
        <v>0</v>
      </c>
      <c r="DC253" s="852" t="n">
        <v>0</v>
      </c>
      <c r="DD253" s="852" t="n">
        <v>0</v>
      </c>
      <c r="DE253" s="1113" t="n">
        <v>0</v>
      </c>
      <c r="DF253" s="1109" t="n">
        <v>0</v>
      </c>
      <c r="DG253" s="1110" t="n">
        <v>0</v>
      </c>
      <c r="DH253" s="1111" t="n">
        <v>0</v>
      </c>
      <c r="DI253" s="1112" t="n">
        <v>0</v>
      </c>
      <c r="DJ253" s="1112" t="n">
        <v>0</v>
      </c>
      <c r="DK253" s="1112" t="n">
        <v>0</v>
      </c>
      <c r="DL253" s="1113" t="n">
        <v>0</v>
      </c>
      <c r="DM253" s="1114" t="n">
        <v>0</v>
      </c>
      <c r="DN253" s="1114" t="n">
        <v>0</v>
      </c>
      <c r="DO253" s="1114" t="n">
        <v>0</v>
      </c>
      <c r="DP253" s="1114" t="n">
        <v>0</v>
      </c>
      <c r="DQ253" s="1114" t="n">
        <v>0</v>
      </c>
      <c r="DR253" s="1109" t="n">
        <v>0</v>
      </c>
      <c r="DS253" s="852" t="n">
        <v>0</v>
      </c>
      <c r="DT253" s="852" t="n">
        <v>0</v>
      </c>
      <c r="DU253" s="852" t="n">
        <v>0</v>
      </c>
      <c r="DV253" s="852" t="n">
        <v>0</v>
      </c>
      <c r="DW253" s="852" t="n">
        <v>0</v>
      </c>
      <c r="DX253" s="852" t="n">
        <v>0</v>
      </c>
      <c r="DY253" s="852" t="n">
        <v>0</v>
      </c>
      <c r="DZ253" s="852" t="n">
        <v>0</v>
      </c>
      <c r="EA253" s="852" t="n">
        <v>0</v>
      </c>
      <c r="EB253" s="1113" t="n">
        <v>0</v>
      </c>
      <c r="EC253" s="1115" t="n">
        <f aca="false">DS253*BD253</f>
        <v>0</v>
      </c>
      <c r="ED253" s="1115" t="n">
        <f aca="false">DT253*BE253</f>
        <v>0</v>
      </c>
      <c r="EE253" s="1115" t="n">
        <f aca="false">DU253*BF253</f>
        <v>0</v>
      </c>
      <c r="EF253" s="1115" t="n">
        <f aca="false">DV253*BG253</f>
        <v>0</v>
      </c>
      <c r="EG253" s="1115" t="n">
        <f aca="false">DS253*BD253+DT253*BE253+DU253*BF253+DV253*BG253</f>
        <v>0</v>
      </c>
      <c r="EH253" s="1116" t="n">
        <v>0</v>
      </c>
      <c r="EI253" s="1117" t="n">
        <v>0</v>
      </c>
      <c r="EJ253" s="1117" t="n">
        <v>0</v>
      </c>
      <c r="EK253" s="1117" t="n">
        <v>0</v>
      </c>
      <c r="EL253" s="1118" t="n">
        <f aca="false">IF(C253&gt;=Summary!$E$26,MAX(0,SUM(EH253:EK253)),0)</f>
        <v>0</v>
      </c>
      <c r="EM253" s="1115" t="n">
        <f aca="false">IF(C253&gt;=Summary!$E$26,DX253*BL253,0)</f>
        <v>0</v>
      </c>
      <c r="EN253" s="1115" t="n">
        <f aca="false">IF(C253&gt;=Summary!$E$26,DY253*BM253,0)</f>
        <v>0</v>
      </c>
      <c r="EO253" s="1115" t="n">
        <f aca="false">IF(C253&gt;=Summary!$E$26,DZ253*BN253,0)</f>
        <v>0</v>
      </c>
      <c r="EP253" s="1115" t="n">
        <f aca="false">IF(C253&gt;=Summary!$E$26,EA253*BO253,0)</f>
        <v>0</v>
      </c>
      <c r="EQ253" s="1115" t="n">
        <f aca="false">IF(C253&gt;=Summary!$E$26,DX253*BL253+DY253*BM253+DZ253*BN253+EA253*BO253,0)</f>
        <v>0</v>
      </c>
      <c r="ER253" s="1119" t="n">
        <v>0</v>
      </c>
      <c r="ES253" s="1120" t="n">
        <v>0</v>
      </c>
      <c r="ET253" s="1120" t="n">
        <v>0</v>
      </c>
      <c r="EU253" s="1120" t="n">
        <v>0</v>
      </c>
      <c r="EV253" s="1143" t="n">
        <f aca="false">IF(C253&gt;=Summary!$E$26,MAX(0,SUM(ER253:EU253)),0)</f>
        <v>0</v>
      </c>
      <c r="EW253" s="1115"/>
      <c r="EX253" s="1165" t="n">
        <f aca="false">(EQ253-EV253)+IF(EZ253="Yes",(EG253-EL253),0)</f>
        <v>0</v>
      </c>
      <c r="EY253" s="1166" t="str">
        <f aca="false">IF(EX253,EX253/EQ253,"")</f>
        <v/>
      </c>
      <c r="EZ253" s="1122" t="s">
        <v>37</v>
      </c>
      <c r="FA253" s="1096" t="n">
        <f aca="false">FA252</f>
        <v>45</v>
      </c>
      <c r="FB253" s="1167" t="e">
        <f aca="false">IF(EZ253="No",IF((OR(MONTH(C253)=5,MONTH(C253)=6,MONTH(C253)=7,MONTH(C253)=8,MONTH(C253)=9)),$FA253*12*AX253*(1-$BC253),$FA253*10*AX253*(1-$BC253)),0)</f>
        <v>#VALUE!</v>
      </c>
      <c r="FC253" s="1129" t="n">
        <f aca="false">IF(EZ253="No",IF((OR(MONTH(C253)=5,MONTH(C253)=6,MONTH(C253)=7,MONTH(C253)=8,MONTH(C253)=9)),0,$FA253*3*AX253*(1-$BC253)),0)</f>
        <v>0</v>
      </c>
      <c r="FD253" s="1129" t="e">
        <f aca="false">IF(EZ253="No",IF((OR(MONTH(C253)=5,MONTH(C253)=6,MONTH(C253)=7,MONTH(C253)=8,MONTH(C253)=9)),$FA253*12*AY253*(1-$BC253),$FA253*10*AY253*(1-$BC253)),0)</f>
        <v>#VALUE!</v>
      </c>
      <c r="FE253" s="1129" t="n">
        <f aca="false">IF(EZ253="No",IF((OR(MONTH(C253)=5,MONTH(C253)=6,MONTH(C253)=7,MONTH(C253)=8,MONTH(C253)=9)),0,$FA253*3*AY253*(1-$BC253)),0)</f>
        <v>0</v>
      </c>
      <c r="FF253" s="1129" t="e">
        <f aca="false">IF(EZ253="No",IF((OR(MONTH(C253)=5,MONTH(C253)=6,MONTH(C253)=7,MONTH(C253)=8,MONTH(C253)=9)),$FA253*12*(AZ253+BA253)*(1-$BC253),$FA253*10*(AZ253+BA253)*(1-$BC253)),0)</f>
        <v>#VALUE!</v>
      </c>
      <c r="FG253" s="1129" t="n">
        <f aca="false">IF(EZ253="No",IF((OR(MONTH(C253)=5,MONTH(C253)=6,MONTH(C253)=7,MONTH(C253)=8,MONTH(C253)=9)),0,$FA253*3*(AZ253+BA253)*(1-$BC253)),0)</f>
        <v>0</v>
      </c>
      <c r="FH253" s="1170" t="e">
        <f aca="false">IF(EZ253="No",IF((OR(MONTH(C253)=5,MONTH(C253)=6,MONTH(C253)=7,MONTH(C253)=8,MONTH(C253)=9)),Summary!$O$15*12*(AX253+AY253+AZ253+BA253)*(1-$BC253),Summary!$O$15*13*(AX253+AY253+AZ253+BA253)*(1-$BC253)+IF(Summary!$O$16="Yes",(CALC!FA253+Summary!$O$15)*6*(AX253+AY253+AZ253+BA253)*(1-$BC253),0)),0)</f>
        <v>#VALUE!</v>
      </c>
      <c r="FI253" s="1126" t="n">
        <f aca="false">IF(MONTH(C253)=5,FI252*(IF(Summary!$E$70="no",(1+(Summary!$E$71*0.8)),1+HLOOKUP(YEAR(C253)-1,CCFMODEL!$I$127:$AF$128,2)*0.8)),+FI252)</f>
        <v>42.7486893662432</v>
      </c>
      <c r="FJ253" s="1127" t="n">
        <f aca="false">IF(MONTH(C253)=5,FJ252*(IF(Summary!$E$70="no",(1+(Summary!$E$71*0.8)),1+HLOOKUP(YEAR(CALC!C253)-1,CCFMODEL!$I$127:$AF$128,2)*0.8)),FJ252)</f>
        <v>37.3630277138031</v>
      </c>
      <c r="FK253" s="1128" t="e">
        <f aca="false">SUM(FB253:FG253)*FI253+FH253*FJ253</f>
        <v>#VALUE!</v>
      </c>
      <c r="FL253" s="1126" t="n">
        <f aca="false">IF(MONTH(C253)=5,FL252*(IF(Summary!$E$70="no",(1+(Summary!$E$71*0.8)),1+HLOOKUP(YEAR(CALC!C253)-1,CCFMODEL!$I$127:$AF$128,2)*0.8)),+FL252)</f>
        <v>89.9052863349299</v>
      </c>
      <c r="FM253" s="1127" t="n">
        <f aca="false">IF(MONTH(C253)=5,FM252*(IF(Summary!$E$70="no",(1+(Summary!$E$71*0.8)),1+HLOOKUP(YEAR(CALC!C253)-1,CCFMODEL!$I$127:$AF$128,2)*0.8)),+FM252)</f>
        <v>42.908976915423</v>
      </c>
      <c r="FN253" s="1128" t="e">
        <f aca="false">IF((OR(MONTH(C253)=5,MONTH(C253)=6,MONTH(C253)=7,MONTH(C253)=8,MONTH(C253)=9)),SUM(FB253:FG253)/(1-BC253)*FL253,SUM(FB253:FG253)/(1-BC253)*FM253)</f>
        <v>#VALUE!</v>
      </c>
      <c r="FO253" s="1129" t="e">
        <f aca="false">FK253+FN253</f>
        <v>#VALUE!</v>
      </c>
      <c r="FP253" s="1169" t="e">
        <f aca="false">FB253</f>
        <v>#VALUE!</v>
      </c>
      <c r="FQ253" s="1129" t="n">
        <f aca="false">FC253</f>
        <v>0</v>
      </c>
      <c r="FR253" s="1129" t="e">
        <f aca="false">FD253</f>
        <v>#VALUE!</v>
      </c>
      <c r="FS253" s="1129" t="n">
        <f aca="false">FE253</f>
        <v>0</v>
      </c>
      <c r="FT253" s="1129" t="e">
        <f aca="false">FF253</f>
        <v>#VALUE!</v>
      </c>
      <c r="FU253" s="1129" t="n">
        <f aca="false">FG253</f>
        <v>0</v>
      </c>
      <c r="FV253" s="1170" t="e">
        <f aca="false">FH253</f>
        <v>#VALUE!</v>
      </c>
      <c r="FW253" s="1115" t="n">
        <f aca="false">IF(ER253&gt;0,MIN(FB253-FP253,BL253),0)</f>
        <v>0</v>
      </c>
      <c r="FX253" s="1115" t="n">
        <f aca="false">IF(ES253&gt;0,MIN(FD253-FR253,BM253),0)</f>
        <v>0</v>
      </c>
      <c r="FY253" s="1115" t="n">
        <f aca="false">IF(ET253&gt;0,MIN(FF253-FT253,BN253),0)</f>
        <v>0</v>
      </c>
      <c r="FZ253" s="1143" t="n">
        <f aca="false">IF(EU253&gt;0,MIN(FH253-FV253,BO253),0)</f>
        <v>0</v>
      </c>
      <c r="GA253" s="1132" t="e">
        <f aca="false">(SUM(FP253:FV253)+SUM(GU253:HB253)/(1-Summary!$O$25))*CY253/1000</f>
        <v>#VALUE!</v>
      </c>
      <c r="GB253" s="1133" t="n">
        <f aca="false">IF($C253&lt;Summary!$M$81,+Summary!$O$81,VLOOKUP(C253,GasTable,19))</f>
        <v>4.03034782582921</v>
      </c>
      <c r="GC253" s="1134" t="n">
        <f aca="false">IF(H253&lt;=Summary!$N$84,MIN(GA253,Summary!$O$75*(H253-G253+1)),0)</f>
        <v>0</v>
      </c>
      <c r="GD253" s="1135" t="n">
        <f aca="false">IF(C253&lt;Summary!$N$84,IF(Summary!$O$75*(H253-G253+1)*0.8&gt;GC253,1,0),0)</f>
        <v>0</v>
      </c>
      <c r="GE253" s="1136" t="n">
        <v>0</v>
      </c>
      <c r="GF253" s="1134" t="e">
        <f aca="false">ABS(MIN(0,GC253-$GA253))</f>
        <v>#VALUE!</v>
      </c>
      <c r="GG253" s="1135" t="e">
        <f aca="false">GF253*(IF(Summary!$O$74=1,VLOOKUP($C253,GasTable,16)+Summary!$O$92+Summary!$O$93,VLOOKUP($C253,GasTable,19)+Summary!$O$92+Summary!$O$93))</f>
        <v>#VALUE!</v>
      </c>
      <c r="GH253" s="1137" t="n">
        <v>6045.52173874381</v>
      </c>
      <c r="GI253" s="1138" t="n">
        <v>0</v>
      </c>
      <c r="GJ253" s="1139" t="e">
        <f aca="false">+GB253*GC253+GE253+GG253+GH253-GI253</f>
        <v>#VALUE!</v>
      </c>
      <c r="GK253" s="1115" t="e">
        <f aca="false">SUM(FP253:FV253,GU253:GX253,GY253:HB253)</f>
        <v>#VALUE!</v>
      </c>
      <c r="GL253" s="1140" t="n">
        <v>0.5196113444</v>
      </c>
      <c r="GM253" s="1141" t="e">
        <f aca="false">IF(GK253&gt;GC253/(CY253/1000),GC253/(CY253/1000),+GK253)*GL253</f>
        <v>#VALUE!</v>
      </c>
      <c r="GN253" s="1115" t="n">
        <f aca="false">IF(SUM(GU253:HB253)=0,0,IF(Summary!$O$16="Yes",SUM(GX253:HB253),IF(Summary!$O$17="Yes",SUM(GY253:HB253),SUM(GU253:HB253))))</f>
        <v>9239.103</v>
      </c>
      <c r="GO253" s="1142" t="n">
        <v>4.17251245089686</v>
      </c>
      <c r="GP253" s="1143" t="n">
        <f aca="false">GN253*GO253</f>
        <v>38550.2723026185</v>
      </c>
      <c r="GQ253" s="1115"/>
      <c r="GR253" s="1115"/>
      <c r="GS253" s="1115"/>
      <c r="GT253" s="1115"/>
      <c r="GU253" s="1150" t="n">
        <v>3421.89</v>
      </c>
      <c r="GV253" s="1115" t="n">
        <v>684.378</v>
      </c>
      <c r="GW253" s="1115" t="n">
        <v>1026.567</v>
      </c>
      <c r="GX253" s="1115"/>
      <c r="GY253" s="1151" t="n">
        <v>2737.512</v>
      </c>
      <c r="GZ253" s="1115" t="n">
        <v>547.5024</v>
      </c>
      <c r="HA253" s="1115" t="n">
        <v>821.2536</v>
      </c>
      <c r="HB253" s="1141"/>
      <c r="HC253" s="1115" t="n">
        <v>9239.103</v>
      </c>
      <c r="HD253" s="1115"/>
      <c r="HE253" s="1115" t="n">
        <v>21557.907</v>
      </c>
      <c r="HF253" s="1115" t="n">
        <v>598939.098222404</v>
      </c>
      <c r="HG253" s="1115"/>
      <c r="HH253" s="1142" t="n">
        <v>67.2861755045394</v>
      </c>
      <c r="HI253" s="1115" t="n">
        <v>1450549.11391254</v>
      </c>
      <c r="HJ253" s="1150" t="e">
        <f aca="false">MAX(FB253-FP253-FW253,0)</f>
        <v>#VALUE!</v>
      </c>
      <c r="HK253" s="1115" t="e">
        <f aca="false">MAX(FD253-FR253-FX253,0)</f>
        <v>#VALUE!</v>
      </c>
      <c r="HL253" s="1115" t="e">
        <f aca="false">MAX(FF253-FT253-FY253,0)</f>
        <v>#VALUE!</v>
      </c>
      <c r="HM253" s="1141" t="e">
        <f aca="false">MAX(FH253-FV253-FZ253,0)</f>
        <v>#VALUE!</v>
      </c>
      <c r="HN253" s="1115" t="e">
        <f aca="false">SUM(HJ253:HM253)</f>
        <v>#VALUE!</v>
      </c>
      <c r="HO253" s="1142" t="n">
        <f aca="false">IF(ISERROR(+HP253/HN253),0,+HP253/HN253)</f>
        <v>0</v>
      </c>
      <c r="HP253" s="1143" t="e">
        <f aca="false">(HJ253*CE253+HK253*CF253+HL253*CG253+HM253*CH253)</f>
        <v>#VALUE!</v>
      </c>
      <c r="HQ253" s="1142" t="s">
        <v>923</v>
      </c>
      <c r="HR253" s="1150" t="e">
        <f aca="false">SUMIF($A$17:$A$292,HQ253,$GF$17:$GF$292)</f>
        <v>#VALUE!</v>
      </c>
      <c r="HS253" s="1200" t="e">
        <f aca="false">IF(HT253=0,IF(OR(SUMIF(CURVES!$AU$6:$AU$283,$HQ253,CURVES!$BQ$6:$BQ$283)=0,COUNTIF(CURVES!$AU$6:$AU$283,$HQ253)=0),0,SUMIF(CURVES!$AU$6:$AU$283,$HQ253,CURVES!$BQ$6:$BQ$283)/COUNTIF(CURVES!$AU$6:$AU$283,$HQ253)),HT253/HR253)</f>
        <v>#VALUE!</v>
      </c>
      <c r="HT253" s="1141" t="e">
        <f aca="false">SUMIF($A$17:$A$292,HQ253,$GG$17:$GG$292)</f>
        <v>#VALUE!</v>
      </c>
      <c r="HU253" s="1150" t="n">
        <f aca="false">SUMIF($A$17:$A$292,HQ253,$GC$17:$GC$292)</f>
        <v>0</v>
      </c>
      <c r="HV253" s="1200" t="e">
        <f aca="false">IF(HW253=0,0,HW253/Summary!$O$79/HU253)</f>
        <v>#DIV/0!</v>
      </c>
      <c r="HW253" s="1141" t="n">
        <f aca="false">SUMIF($A$17:$A$292,HQ253,$GH$17:$GH$292)</f>
        <v>16929.1035811946</v>
      </c>
      <c r="HX253" s="1200" t="n">
        <f aca="false">IF(OR(SUMIF(CURVES!$AU$6:$AU$283,$HQ253,CURVES!$BQ$6:$BQ$283)=0,COUNTIF(CURVES!$AU$6:$AU$283,$HQ253)=0),0,SUMIF(CURVES!$AU$6:$AU$283,$HQ253,CURVES!$BQ$6:$BQ$283)/COUNTIF(CURVES!$AU$6:$AU$283,$HQ253))</f>
        <v>4.20117903113211</v>
      </c>
      <c r="HY253" s="1200" t="n">
        <f aca="false">IF(OR(SUMIF(CURVES!$AU$6:$AU$283,$HQ253,CURVES!$BR$6:$BR$283)=0,COUNTIF(CURVES!$AU$6:$AU$283,$HQ253)=0),0,SUMIF(CURVES!$AU$6:$AU$283,$HQ253,CURVES!$BR$6:$BR$283)/COUNTIF(CURVES!$AU$6:$AU$283,$HQ253))</f>
        <v>3.44460584162146</v>
      </c>
      <c r="HZ253" s="0"/>
      <c r="IA253" s="1142"/>
      <c r="IB253" s="1142"/>
      <c r="IC253" s="1142"/>
      <c r="ID253" s="1142"/>
      <c r="IE253" s="1142"/>
      <c r="IF253" s="1142"/>
      <c r="IG253" s="1142"/>
      <c r="IH253" s="1142"/>
      <c r="II253" s="1142"/>
      <c r="IJ253" s="1142"/>
      <c r="IK253" s="1142"/>
      <c r="IL253" s="1190"/>
      <c r="IM253" s="222"/>
      <c r="IN253" s="222"/>
      <c r="IR253" s="844"/>
    </row>
    <row r="254" customFormat="false" ht="13.5" hidden="false" customHeight="false" outlineLevel="0" collapsed="false">
      <c r="A254" s="0" t="str">
        <f aca="false">+D254&amp;"Q"&amp;ROUNDUP(E254/3,0)</f>
        <v>2019Q4</v>
      </c>
      <c r="B254" s="0" t="n">
        <f aca="false">YEAR(C254)</f>
        <v>2019</v>
      </c>
      <c r="C254" s="1153" t="n">
        <f aca="false">EOMONTH(C253,0)+1</f>
        <v>43739</v>
      </c>
      <c r="D254" s="841" t="n">
        <f aca="false">+YEAR(C254)</f>
        <v>2019</v>
      </c>
      <c r="E254" s="807" t="n">
        <f aca="false">MONTH(C254)</f>
        <v>10</v>
      </c>
      <c r="F254" s="1154" t="e">
        <f aca="false">IF(G254="","",Holiday(D254,E254))</f>
        <v>#VALUE!</v>
      </c>
      <c r="G254" s="1155" t="n">
        <v>43739</v>
      </c>
      <c r="H254" s="1156" t="n">
        <v>43769</v>
      </c>
      <c r="I254" s="1157" t="n">
        <f aca="false">I253</f>
        <v>0.0715</v>
      </c>
      <c r="J254" s="1158" t="n">
        <f aca="false">(1+I254/2)^(-2*(DATE(D255,E255,20)-$H$7)/365.25)</f>
        <v>0.246541826393118</v>
      </c>
      <c r="K254" s="1159"/>
      <c r="L254" s="1158"/>
      <c r="M254" s="1082" t="n">
        <v>0</v>
      </c>
      <c r="N254" s="1110" t="n">
        <f aca="false">M254</f>
        <v>0</v>
      </c>
      <c r="O254" s="1174" t="n">
        <f aca="false">N254</f>
        <v>0</v>
      </c>
      <c r="P254" s="1175" t="n">
        <f aca="false">M254</f>
        <v>0</v>
      </c>
      <c r="Q254" s="1110" t="n">
        <f aca="false">P254</f>
        <v>0</v>
      </c>
      <c r="R254" s="1174" t="n">
        <f aca="false">Q254</f>
        <v>0</v>
      </c>
      <c r="S254" s="1110" t="n">
        <f aca="false">R254</f>
        <v>0</v>
      </c>
      <c r="T254" s="1110" t="n">
        <f aca="false">S254</f>
        <v>0</v>
      </c>
      <c r="U254" s="1110" t="n">
        <f aca="false">T254</f>
        <v>0</v>
      </c>
      <c r="V254" s="1175" t="n">
        <f aca="false">U254</f>
        <v>0</v>
      </c>
      <c r="W254" s="1110" t="n">
        <f aca="false">V254</f>
        <v>0</v>
      </c>
      <c r="X254" s="1176" t="n">
        <f aca="false">W254</f>
        <v>0</v>
      </c>
      <c r="Y254" s="1086" t="n">
        <v>0</v>
      </c>
      <c r="Z254" s="1086" t="n">
        <v>0</v>
      </c>
      <c r="AA254" s="1087" t="n">
        <v>0</v>
      </c>
      <c r="AB254" s="1086" t="n">
        <v>0</v>
      </c>
      <c r="AC254" s="1086" t="n">
        <v>0</v>
      </c>
      <c r="AD254" s="1087" t="n">
        <v>0</v>
      </c>
      <c r="AE254" s="1086" t="n">
        <v>0</v>
      </c>
      <c r="AF254" s="1086" t="n">
        <v>0</v>
      </c>
      <c r="AG254" s="1087" t="n">
        <v>0</v>
      </c>
      <c r="AH254" s="1086" t="n">
        <v>0</v>
      </c>
      <c r="AI254" s="1086" t="n">
        <v>0</v>
      </c>
      <c r="AJ254" s="1087" t="n">
        <v>0</v>
      </c>
      <c r="AK254" s="1086" t="n">
        <v>0</v>
      </c>
      <c r="AL254" s="1086" t="n">
        <v>0</v>
      </c>
      <c r="AM254" s="1087" t="n">
        <v>0</v>
      </c>
      <c r="AN254" s="1086" t="n">
        <v>0</v>
      </c>
      <c r="AO254" s="1086" t="n">
        <v>0</v>
      </c>
      <c r="AP254" s="1087" t="n">
        <v>0</v>
      </c>
      <c r="AQ254" s="1086" t="n">
        <v>0</v>
      </c>
      <c r="AR254" s="1086" t="n">
        <v>0</v>
      </c>
      <c r="AS254" s="1087" t="n">
        <v>0</v>
      </c>
      <c r="AT254" s="1086" t="n">
        <v>0</v>
      </c>
      <c r="AU254" s="1086" t="n">
        <v>0</v>
      </c>
      <c r="AV254" s="1086" t="n">
        <v>0</v>
      </c>
      <c r="AW254" s="1172" t="n">
        <v>0</v>
      </c>
      <c r="AX254" s="807" t="n">
        <f aca="false">BB254-SUM(AY254:BA254)</f>
        <v>23</v>
      </c>
      <c r="AY254" s="807" t="n">
        <f aca="false">IF(AND($E254=MONTH(Summary!$E$24),$D254=YEAR(Summary!$E$24)),Summary!$E$25,1)*IF(G254="",0,INT((H254-MOD(H254,7)-G254)/7)+1-IF(BA254,IF(WEEKDAY(F254)=7,1,0),0))</f>
        <v>4</v>
      </c>
      <c r="AZ254" s="807" t="n">
        <f aca="false">IF(AND($E254=MONTH(Summary!$E$24),$D254=YEAR(Summary!$E$24)),Summary!$E$25,1)*IF(G254="",0,INT((H254-MOD(H254-1,7)-G254)/7)+1-IF(BA254,IF(WEEKDAY(F254)=1,1,0),0))</f>
        <v>4</v>
      </c>
      <c r="BA254" s="807" t="n">
        <v>0</v>
      </c>
      <c r="BB254" s="807" t="n">
        <f aca="false">IF(AND($E254=MONTH(Summary!$E$24),$D254=YEAR(Summary!$E$24)),Summary!$E$25,1)*IF(G254="",0,H254-G254+1)</f>
        <v>31</v>
      </c>
      <c r="BC254" s="1089" t="n">
        <f aca="false">Summary!$E$19</f>
        <v>0.015</v>
      </c>
      <c r="BD254" s="1090" t="n">
        <v>16311.6</v>
      </c>
      <c r="BE254" s="1091" t="n">
        <v>2836.8</v>
      </c>
      <c r="BF254" s="1091" t="n">
        <v>2836.8</v>
      </c>
      <c r="BG254" s="842"/>
      <c r="BH254" s="1092" t="n">
        <v>1</v>
      </c>
      <c r="BI254" s="1092" t="n">
        <v>1</v>
      </c>
      <c r="BJ254" s="1092" t="n">
        <v>1</v>
      </c>
      <c r="BK254" s="1092" t="n">
        <v>1</v>
      </c>
      <c r="BL254" s="1093" t="n">
        <v>3262.32</v>
      </c>
      <c r="BM254" s="1091" t="n">
        <v>567.36</v>
      </c>
      <c r="BN254" s="1091" t="n">
        <v>567.36</v>
      </c>
      <c r="BO254" s="842"/>
      <c r="BP254" s="1092" t="n">
        <v>1</v>
      </c>
      <c r="BQ254" s="1094" t="n">
        <v>1</v>
      </c>
      <c r="BR254" s="1094" t="n">
        <v>1</v>
      </c>
      <c r="BS254" s="1095" t="n">
        <v>1</v>
      </c>
      <c r="BT254" s="1093" t="n">
        <f aca="false">SUM(BD254:BF254)</f>
        <v>21985.2</v>
      </c>
      <c r="BU254" s="1098" t="n">
        <f aca="false">SUM(BD254:BG254)</f>
        <v>21985.2</v>
      </c>
      <c r="BV254" s="1090" t="n">
        <f aca="false">SUM(BL254:BN254)</f>
        <v>4397.04</v>
      </c>
      <c r="BW254" s="1098" t="n">
        <f aca="false">SUM(BL254:BO254)</f>
        <v>4397.04</v>
      </c>
      <c r="BX254" s="852" t="n">
        <v>19.7946611909651</v>
      </c>
      <c r="BY254" s="1099" t="n">
        <v>0</v>
      </c>
      <c r="BZ254" s="852" t="n">
        <v>0</v>
      </c>
      <c r="CA254" s="852" t="n">
        <v>0</v>
      </c>
      <c r="CB254" s="852" t="n">
        <v>0</v>
      </c>
      <c r="CC254" s="852" t="n">
        <v>0</v>
      </c>
      <c r="CD254" s="852" t="n">
        <v>0</v>
      </c>
      <c r="CE254" s="1100" t="n">
        <v>0</v>
      </c>
      <c r="CF254" s="852" t="n">
        <v>0</v>
      </c>
      <c r="CG254" s="852" t="n">
        <v>0</v>
      </c>
      <c r="CH254" s="852" t="n">
        <v>0</v>
      </c>
      <c r="CI254" s="852" t="n">
        <v>0</v>
      </c>
      <c r="CJ254" s="1101" t="n">
        <v>0</v>
      </c>
      <c r="CK254" s="852" t="n">
        <v>0</v>
      </c>
      <c r="CL254" s="852" t="n">
        <v>0</v>
      </c>
      <c r="CM254" s="852" t="n">
        <v>0</v>
      </c>
      <c r="CN254" s="852" t="n">
        <v>0</v>
      </c>
      <c r="CO254" s="852" t="n">
        <v>0</v>
      </c>
      <c r="CP254" s="852" t="n">
        <v>0</v>
      </c>
      <c r="CQ254" s="1102" t="n">
        <v>0</v>
      </c>
      <c r="CR254" s="1103" t="n">
        <v>0</v>
      </c>
      <c r="CS254" s="1103" t="n">
        <v>0</v>
      </c>
      <c r="CT254" s="1103" t="n">
        <v>0</v>
      </c>
      <c r="CU254" s="1103" t="n">
        <v>0</v>
      </c>
      <c r="CV254" s="1103" t="n">
        <v>0</v>
      </c>
      <c r="CW254" s="1103" t="n">
        <v>0</v>
      </c>
      <c r="CX254" s="1104" t="n">
        <v>0</v>
      </c>
      <c r="CY254" s="1105" t="n">
        <v>7757.42416</v>
      </c>
      <c r="CZ254" s="1099" t="n">
        <v>0</v>
      </c>
      <c r="DA254" s="852" t="n">
        <v>0</v>
      </c>
      <c r="DB254" s="852" t="n">
        <v>0</v>
      </c>
      <c r="DC254" s="852" t="n">
        <v>0</v>
      </c>
      <c r="DD254" s="852" t="n">
        <v>0</v>
      </c>
      <c r="DE254" s="1113" t="n">
        <v>0</v>
      </c>
      <c r="DF254" s="1109" t="n">
        <v>0</v>
      </c>
      <c r="DG254" s="1110" t="n">
        <v>0</v>
      </c>
      <c r="DH254" s="1111" t="n">
        <v>0</v>
      </c>
      <c r="DI254" s="1112" t="n">
        <v>0</v>
      </c>
      <c r="DJ254" s="1112" t="n">
        <v>0</v>
      </c>
      <c r="DK254" s="1112" t="n">
        <v>0</v>
      </c>
      <c r="DL254" s="1113" t="n">
        <v>0</v>
      </c>
      <c r="DM254" s="1114" t="n">
        <v>0</v>
      </c>
      <c r="DN254" s="1114" t="n">
        <v>0</v>
      </c>
      <c r="DO254" s="1114" t="n">
        <v>0</v>
      </c>
      <c r="DP254" s="1114" t="n">
        <v>0</v>
      </c>
      <c r="DQ254" s="1114" t="n">
        <v>0</v>
      </c>
      <c r="DR254" s="1109" t="n">
        <v>0</v>
      </c>
      <c r="DS254" s="852" t="n">
        <v>0</v>
      </c>
      <c r="DT254" s="852" t="n">
        <v>0</v>
      </c>
      <c r="DU254" s="852" t="n">
        <v>0</v>
      </c>
      <c r="DV254" s="852" t="n">
        <v>0</v>
      </c>
      <c r="DW254" s="852" t="n">
        <v>0</v>
      </c>
      <c r="DX254" s="852" t="n">
        <v>0</v>
      </c>
      <c r="DY254" s="852" t="n">
        <v>0</v>
      </c>
      <c r="DZ254" s="852" t="n">
        <v>0</v>
      </c>
      <c r="EA254" s="852" t="n">
        <v>0</v>
      </c>
      <c r="EB254" s="1113" t="n">
        <v>0</v>
      </c>
      <c r="EC254" s="1115" t="n">
        <f aca="false">DS254*BD254</f>
        <v>0</v>
      </c>
      <c r="ED254" s="1115" t="n">
        <f aca="false">DT254*BE254</f>
        <v>0</v>
      </c>
      <c r="EE254" s="1115" t="n">
        <f aca="false">DU254*BF254</f>
        <v>0</v>
      </c>
      <c r="EF254" s="1115" t="n">
        <f aca="false">DV254*BG254</f>
        <v>0</v>
      </c>
      <c r="EG254" s="1115" t="n">
        <f aca="false">DS254*BD254+DT254*BE254+DU254*BF254+DV254*BG254</f>
        <v>0</v>
      </c>
      <c r="EH254" s="1116" t="n">
        <v>0</v>
      </c>
      <c r="EI254" s="1117" t="n">
        <v>0</v>
      </c>
      <c r="EJ254" s="1117" t="n">
        <v>0</v>
      </c>
      <c r="EK254" s="1117" t="n">
        <v>0</v>
      </c>
      <c r="EL254" s="1118" t="n">
        <f aca="false">IF(C254&gt;=Summary!$E$26,MAX(0,SUM(EH254:EK254)),0)</f>
        <v>0</v>
      </c>
      <c r="EM254" s="1115" t="n">
        <f aca="false">IF(C254&gt;=Summary!$E$26,DX254*BL254,0)</f>
        <v>0</v>
      </c>
      <c r="EN254" s="1115" t="n">
        <f aca="false">IF(C254&gt;=Summary!$E$26,DY254*BM254,0)</f>
        <v>0</v>
      </c>
      <c r="EO254" s="1115" t="n">
        <f aca="false">IF(C254&gt;=Summary!$E$26,DZ254*BN254,0)</f>
        <v>0</v>
      </c>
      <c r="EP254" s="1115" t="n">
        <f aca="false">IF(C254&gt;=Summary!$E$26,EA254*BO254,0)</f>
        <v>0</v>
      </c>
      <c r="EQ254" s="1115" t="n">
        <f aca="false">IF(C254&gt;=Summary!$E$26,DX254*BL254+DY254*BM254+DZ254*BN254+EA254*BO254,0)</f>
        <v>0</v>
      </c>
      <c r="ER254" s="1119" t="n">
        <v>0</v>
      </c>
      <c r="ES254" s="1120" t="n">
        <v>0</v>
      </c>
      <c r="ET254" s="1120" t="n">
        <v>0</v>
      </c>
      <c r="EU254" s="1120" t="n">
        <v>0</v>
      </c>
      <c r="EV254" s="1143" t="n">
        <f aca="false">IF(C254&gt;=Summary!$E$26,MAX(0,SUM(ER254:EU254)),0)</f>
        <v>0</v>
      </c>
      <c r="EW254" s="1115"/>
      <c r="EX254" s="1165" t="n">
        <f aca="false">(EQ254-EV254)+IF(EZ254="Yes",(EG254-EL254),0)</f>
        <v>0</v>
      </c>
      <c r="EY254" s="1166" t="str">
        <f aca="false">IF(EX254,EX254/EQ254,"")</f>
        <v/>
      </c>
      <c r="EZ254" s="1122" t="s">
        <v>37</v>
      </c>
      <c r="FA254" s="1096" t="n">
        <f aca="false">FA253</f>
        <v>45</v>
      </c>
      <c r="FB254" s="1167" t="n">
        <f aca="false">IF(EZ254="No",IF((OR(MONTH(C254)=5,MONTH(C254)=6,MONTH(C254)=7,MONTH(C254)=8,MONTH(C254)=9)),$FA254*12*AX254*(1-$BC254),$FA254*10*AX254*(1-$BC254)),0)</f>
        <v>10194.75</v>
      </c>
      <c r="FC254" s="1129" t="n">
        <f aca="false">IF(EZ254="No",IF((OR(MONTH(C254)=5,MONTH(C254)=6,MONTH(C254)=7,MONTH(C254)=8,MONTH(C254)=9)),0,$FA254*3*AX254*(1-$BC254)),0)</f>
        <v>3058.425</v>
      </c>
      <c r="FD254" s="1129" t="n">
        <f aca="false">IF(EZ254="No",IF((OR(MONTH(C254)=5,MONTH(C254)=6,MONTH(C254)=7,MONTH(C254)=8,MONTH(C254)=9)),$FA254*12*AY254*(1-$BC254),$FA254*10*AY254*(1-$BC254)),0)</f>
        <v>1773</v>
      </c>
      <c r="FE254" s="1129" t="n">
        <f aca="false">IF(EZ254="No",IF((OR(MONTH(C254)=5,MONTH(C254)=6,MONTH(C254)=7,MONTH(C254)=8,MONTH(C254)=9)),0,$FA254*3*AY254*(1-$BC254)),0)</f>
        <v>531.9</v>
      </c>
      <c r="FF254" s="1129" t="n">
        <f aca="false">IF(EZ254="No",IF((OR(MONTH(C254)=5,MONTH(C254)=6,MONTH(C254)=7,MONTH(C254)=8,MONTH(C254)=9)),$FA254*12*(AZ254+BA254)*(1-$BC254),$FA254*10*(AZ254+BA254)*(1-$BC254)),0)</f>
        <v>1773</v>
      </c>
      <c r="FG254" s="1129" t="n">
        <f aca="false">IF(EZ254="No",IF((OR(MONTH(C254)=5,MONTH(C254)=6,MONTH(C254)=7,MONTH(C254)=8,MONTH(C254)=9)),0,$FA254*3*(AZ254+BA254)*(1-$BC254)),0)</f>
        <v>531.9</v>
      </c>
      <c r="FH254" s="1170" t="n">
        <f aca="false">IF(EZ254="No",IF((OR(MONTH(C254)=5,MONTH(C254)=6,MONTH(C254)=7,MONTH(C254)=8,MONTH(C254)=9)),Summary!$O$15*12*(AX254+AY254+AZ254+BA254)*(1-$BC254),Summary!$O$15*13*(AX254+AY254+AZ254+BA254)*(1-$BC254)+IF(Summary!$O$16="Yes",(CALC!FA254+Summary!$O$15)*6*(AX254+AY254+AZ254+BA254)*(1-$BC254),0)),0)</f>
        <v>0</v>
      </c>
      <c r="FI254" s="1126" t="n">
        <f aca="false">IF(MONTH(C254)=5,FI253*(IF(Summary!$E$70="no",(1+(Summary!$E$71*0.8)),1+HLOOKUP(YEAR(C254)-1,CCFMODEL!$I$127:$AF$128,2)*0.8)),+FI253)</f>
        <v>42.7486893662432</v>
      </c>
      <c r="FJ254" s="1127" t="n">
        <f aca="false">IF(MONTH(C254)=5,FJ253*(IF(Summary!$E$70="no",(1+(Summary!$E$71*0.8)),1+HLOOKUP(YEAR(CALC!C254)-1,CCFMODEL!$I$127:$AF$128,2)*0.8)),FJ253)</f>
        <v>37.3630277138031</v>
      </c>
      <c r="FK254" s="1128" t="n">
        <f aca="false">SUM(FB254:FG254)*FI254+FH254*FJ254</f>
        <v>763618.769431969</v>
      </c>
      <c r="FL254" s="1126" t="n">
        <f aca="false">IF(MONTH(C254)=5,FL253*(IF(Summary!$E$70="no",(1+(Summary!$E$71*0.8)),1+HLOOKUP(YEAR(CALC!C254)-1,CCFMODEL!$I$127:$AF$128,2)*0.8)),+FL253)</f>
        <v>89.9052863349299</v>
      </c>
      <c r="FM254" s="1127" t="n">
        <f aca="false">IF(MONTH(C254)=5,FM253*(IF(Summary!$E$70="no",(1+(Summary!$E$71*0.8)),1+HLOOKUP(YEAR(CALC!C254)-1,CCFMODEL!$I$127:$AF$128,2)*0.8)),+FM253)</f>
        <v>42.908976915423</v>
      </c>
      <c r="FN254" s="1128" t="n">
        <f aca="false">IF((OR(MONTH(C254)=5,MONTH(C254)=6,MONTH(C254)=7,MONTH(C254)=8,MONTH(C254)=9)),SUM(FB254:FG254)/(1-BC254)*FL254,SUM(FB254:FG254)/(1-BC254)*FM254)</f>
        <v>778154.296361196</v>
      </c>
      <c r="FO254" s="1129" t="n">
        <f aca="false">FK254+FN254</f>
        <v>1541773.06579316</v>
      </c>
      <c r="FP254" s="1169" t="n">
        <f aca="false">FB254</f>
        <v>10194.75</v>
      </c>
      <c r="FQ254" s="1129" t="n">
        <f aca="false">FC254</f>
        <v>3058.425</v>
      </c>
      <c r="FR254" s="1129" t="n">
        <f aca="false">FD254</f>
        <v>1773</v>
      </c>
      <c r="FS254" s="1129" t="n">
        <f aca="false">FE254</f>
        <v>531.9</v>
      </c>
      <c r="FT254" s="1129" t="n">
        <f aca="false">FF254</f>
        <v>1773</v>
      </c>
      <c r="FU254" s="1129" t="n">
        <f aca="false">FG254</f>
        <v>531.9</v>
      </c>
      <c r="FV254" s="1170" t="n">
        <f aca="false">FH254</f>
        <v>0</v>
      </c>
      <c r="FW254" s="1115" t="n">
        <f aca="false">IF(ER254&gt;0,MIN(FB254-FP254,BL254),0)</f>
        <v>0</v>
      </c>
      <c r="FX254" s="1115" t="n">
        <f aca="false">IF(ES254&gt;0,MIN(FD254-FR254,BM254),0)</f>
        <v>0</v>
      </c>
      <c r="FY254" s="1115" t="n">
        <f aca="false">IF(ET254&gt;0,MIN(FF254-FT254,BN254),0)</f>
        <v>0</v>
      </c>
      <c r="FZ254" s="1143" t="n">
        <f aca="false">IF(EU254&gt;0,MIN(FH254-FV254,BO254),0)</f>
        <v>0</v>
      </c>
      <c r="GA254" s="1132" t="n">
        <f aca="false">(SUM(FP254:FV254)+SUM(GU254:HB254)/(1-Summary!$O$25))*CY254/1000</f>
        <v>236636.073778874</v>
      </c>
      <c r="GB254" s="1133" t="n">
        <f aca="false">IF($C254&lt;Summary!$M$81,+Summary!$O$81,VLOOKUP(C254,GasTable,19))</f>
        <v>4.20945413272021</v>
      </c>
      <c r="GC254" s="1134" t="n">
        <f aca="false">IF(H254&lt;=Summary!$N$84,MIN(GA254,Summary!$O$75*(H254-G254+1)),0)</f>
        <v>0</v>
      </c>
      <c r="GD254" s="1135" t="n">
        <f aca="false">IF(C254&lt;Summary!$N$84,IF(Summary!$O$75*(H254-G254+1)*0.8&gt;GC254,1,0),0)</f>
        <v>0</v>
      </c>
      <c r="GE254" s="1136" t="n">
        <v>0</v>
      </c>
      <c r="GF254" s="1134" t="n">
        <f aca="false">ABS(MIN(0,GC254-$GA254))</f>
        <v>236636.073778874</v>
      </c>
      <c r="GG254" s="1135" t="n">
        <f aca="false">GF254*(IF(Summary!$O$74=1,VLOOKUP($C254,GasTable,16)+Summary!$O$92+Summary!$O$93,VLOOKUP($C254,GasTable,19)+Summary!$O$92+Summary!$O$93))</f>
        <v>1008437.43816305</v>
      </c>
      <c r="GH254" s="1137" t="n">
        <v>6524.65390571633</v>
      </c>
      <c r="GI254" s="1138" t="n">
        <v>0</v>
      </c>
      <c r="GJ254" s="1139" t="n">
        <f aca="false">+GB254*GC254+GE254+GG254+GH254-GI254</f>
        <v>1014962.09206876</v>
      </c>
      <c r="GK254" s="1115" t="n">
        <f aca="false">SUM(FP254:FV254,GU254:GX254,GY254:HB254)</f>
        <v>30062.01285</v>
      </c>
      <c r="GL254" s="1140" t="n">
        <v>0.51974741872</v>
      </c>
      <c r="GM254" s="1141" t="n">
        <f aca="false">IF(GK254&gt;GC254/(CY254/1000),GC254/(CY254/1000),+GK254)*GL254</f>
        <v>0</v>
      </c>
      <c r="GN254" s="1115" t="n">
        <f aca="false">IF(SUM(GU254:HB254)=0,0,IF(Summary!$O$16="Yes",SUM(GX254:HB254),IF(Summary!$O$17="Yes",SUM(GY254:HB254),SUM(GU254:HB254))))</f>
        <v>12199.03785</v>
      </c>
      <c r="GO254" s="1142" t="n">
        <v>4.17251245089686</v>
      </c>
      <c r="GP254" s="1143" t="n">
        <f aca="false">GN254*GO254</f>
        <v>50900.6373180871</v>
      </c>
      <c r="GQ254" s="1115"/>
      <c r="GR254" s="1115"/>
      <c r="GS254" s="1115"/>
      <c r="GT254" s="1115"/>
      <c r="GU254" s="1150" t="n">
        <v>5902.76025</v>
      </c>
      <c r="GV254" s="1115" t="n">
        <v>1026.567</v>
      </c>
      <c r="GW254" s="1115" t="n">
        <v>1026.567</v>
      </c>
      <c r="GX254" s="1115"/>
      <c r="GY254" s="1151" t="n">
        <v>3148.1388</v>
      </c>
      <c r="GZ254" s="1115" t="n">
        <v>547.5024</v>
      </c>
      <c r="HA254" s="1115" t="n">
        <v>547.5024</v>
      </c>
      <c r="HB254" s="1141"/>
      <c r="HC254" s="1115" t="n">
        <v>12199.03785</v>
      </c>
      <c r="HD254" s="1115"/>
      <c r="HE254" s="1115" t="n">
        <v>20950.521525</v>
      </c>
      <c r="HF254" s="1115" t="n">
        <v>707755.968776235</v>
      </c>
      <c r="HG254" s="1115"/>
      <c r="HH254" s="1142" t="n">
        <v>57.0997308490491</v>
      </c>
      <c r="HI254" s="1115" t="n">
        <v>1196269.14022471</v>
      </c>
      <c r="HJ254" s="1150" t="n">
        <f aca="false">MAX(FB254-FP254-FW254,0)</f>
        <v>0</v>
      </c>
      <c r="HK254" s="1115" t="n">
        <f aca="false">MAX(FD254-FR254-FX254,0)</f>
        <v>0</v>
      </c>
      <c r="HL254" s="1115" t="n">
        <f aca="false">MAX(FF254-FT254-FY254,0)</f>
        <v>0</v>
      </c>
      <c r="HM254" s="1141" t="n">
        <f aca="false">MAX(FH254-FV254-FZ254,0)</f>
        <v>0</v>
      </c>
      <c r="HN254" s="1115" t="n">
        <f aca="false">SUM(HJ254:HM254)</f>
        <v>0</v>
      </c>
      <c r="HO254" s="1142" t="n">
        <f aca="false">IF(ISERROR(+HP254/HN254),0,+HP254/HN254)</f>
        <v>0</v>
      </c>
      <c r="HP254" s="1143" t="n">
        <f aca="false">(HJ254*CE254+HK254*CF254+HL254*CG254+HM254*CH254)</f>
        <v>0</v>
      </c>
      <c r="HQ254" s="1142" t="s">
        <v>924</v>
      </c>
      <c r="HR254" s="1150" t="e">
        <f aca="false">SUMIF($A$17:$A$292,HQ254,$GF$17:$GF$292)</f>
        <v>#VALUE!</v>
      </c>
      <c r="HS254" s="1200" t="e">
        <f aca="false">IF(HT254=0,IF(OR(SUMIF(CURVES!$AU$6:$AU$283,$HQ254,CURVES!$BQ$6:$BQ$283)=0,COUNTIF(CURVES!$AU$6:$AU$283,$HQ254)=0),0,SUMIF(CURVES!$AU$6:$AU$283,$HQ254,CURVES!$BQ$6:$BQ$283)/COUNTIF(CURVES!$AU$6:$AU$283,$HQ254)),HT254/HR254)</f>
        <v>#VALUE!</v>
      </c>
      <c r="HT254" s="1141" t="e">
        <f aca="false">SUMIF($A$17:$A$292,HQ254,$GG$17:$GG$292)</f>
        <v>#VALUE!</v>
      </c>
      <c r="HU254" s="1150" t="n">
        <f aca="false">SUMIF($A$17:$A$292,HQ254,$GC$17:$GC$292)</f>
        <v>0</v>
      </c>
      <c r="HV254" s="1200" t="e">
        <f aca="false">IF(HW254=0,0,HW254/Summary!$O$79/HU254)</f>
        <v>#DIV/0!</v>
      </c>
      <c r="HW254" s="1141" t="n">
        <f aca="false">SUMIF($A$17:$A$292,HQ254,$GH$17:$GH$292)</f>
        <v>15371.1619178672</v>
      </c>
      <c r="HX254" s="1200" t="n">
        <f aca="false">IF(OR(SUMIF(CURVES!$AU$6:$AU$283,$HQ254,CURVES!$BQ$6:$BQ$283)=0,COUNTIF(CURVES!$AU$6:$AU$283,$HQ254)=0),0,SUMIF(CURVES!$AU$6:$AU$283,$HQ254,CURVES!$BQ$6:$BQ$283)/COUNTIF(CURVES!$AU$6:$AU$283,$HQ254))</f>
        <v>3.90561065869999</v>
      </c>
      <c r="HY254" s="1200" t="n">
        <f aca="false">IF(OR(SUMIF(CURVES!$AU$6:$AU$283,$HQ254,CURVES!$BR$6:$BR$283)=0,COUNTIF(CURVES!$AU$6:$AU$283,$HQ254)=0),0,SUMIF(CURVES!$AU$6:$AU$283,$HQ254,CURVES!$BR$6:$BR$283)/COUNTIF(CURVES!$AU$6:$AU$283,$HQ254))</f>
        <v>3.12652973171055</v>
      </c>
      <c r="HZ254" s="0"/>
      <c r="IA254" s="1142"/>
      <c r="IB254" s="1142"/>
      <c r="IC254" s="1142"/>
      <c r="ID254" s="1142"/>
      <c r="IE254" s="1142"/>
      <c r="IF254" s="1142"/>
      <c r="IG254" s="1142"/>
      <c r="IH254" s="1142"/>
      <c r="II254" s="1142"/>
      <c r="IJ254" s="1142"/>
      <c r="IK254" s="1142"/>
      <c r="IL254" s="1190"/>
      <c r="IM254" s="222"/>
      <c r="IN254" s="222"/>
      <c r="IR254" s="844"/>
    </row>
    <row r="255" customFormat="false" ht="13.5" hidden="false" customHeight="false" outlineLevel="0" collapsed="false">
      <c r="A255" s="0" t="str">
        <f aca="false">+D255&amp;"Q"&amp;ROUNDUP(E255/3,0)</f>
        <v>2019Q4</v>
      </c>
      <c r="B255" s="0" t="n">
        <f aca="false">YEAR(C255)</f>
        <v>2019</v>
      </c>
      <c r="C255" s="1153" t="n">
        <f aca="false">EOMONTH(C254,0)+1</f>
        <v>43770</v>
      </c>
      <c r="D255" s="841" t="n">
        <f aca="false">+YEAR(C255)</f>
        <v>2019</v>
      </c>
      <c r="E255" s="807" t="n">
        <f aca="false">MONTH(C255)</f>
        <v>11</v>
      </c>
      <c r="F255" s="1154" t="e">
        <f aca="false">IF(G255="","",Holiday(D255,E255))</f>
        <v>#VALUE!</v>
      </c>
      <c r="G255" s="1155" t="n">
        <v>43770</v>
      </c>
      <c r="H255" s="1156" t="n">
        <v>43799</v>
      </c>
      <c r="I255" s="1157" t="n">
        <f aca="false">I254</f>
        <v>0.0715</v>
      </c>
      <c r="J255" s="1158" t="n">
        <f aca="false">(1+I255/2)^(-2*(DATE(D256,E256,20)-$H$7)/365.25)</f>
        <v>0.245123338892728</v>
      </c>
      <c r="K255" s="1159"/>
      <c r="L255" s="1158"/>
      <c r="M255" s="1082" t="n">
        <v>0</v>
      </c>
      <c r="N255" s="1110" t="n">
        <f aca="false">M255</f>
        <v>0</v>
      </c>
      <c r="O255" s="1174" t="n">
        <f aca="false">N255</f>
        <v>0</v>
      </c>
      <c r="P255" s="1175" t="n">
        <f aca="false">M255</f>
        <v>0</v>
      </c>
      <c r="Q255" s="1110" t="n">
        <f aca="false">P255</f>
        <v>0</v>
      </c>
      <c r="R255" s="1174" t="n">
        <f aca="false">Q255</f>
        <v>0</v>
      </c>
      <c r="S255" s="1110" t="n">
        <f aca="false">R255</f>
        <v>0</v>
      </c>
      <c r="T255" s="1110" t="n">
        <f aca="false">S255</f>
        <v>0</v>
      </c>
      <c r="U255" s="1110" t="n">
        <f aca="false">T255</f>
        <v>0</v>
      </c>
      <c r="V255" s="1175" t="n">
        <f aca="false">U255</f>
        <v>0</v>
      </c>
      <c r="W255" s="1110" t="n">
        <f aca="false">V255</f>
        <v>0</v>
      </c>
      <c r="X255" s="1176" t="n">
        <f aca="false">W255</f>
        <v>0</v>
      </c>
      <c r="Y255" s="1086" t="n">
        <v>0</v>
      </c>
      <c r="Z255" s="1086" t="n">
        <v>0</v>
      </c>
      <c r="AA255" s="1087" t="n">
        <v>0</v>
      </c>
      <c r="AB255" s="1086" t="n">
        <v>0</v>
      </c>
      <c r="AC255" s="1086" t="n">
        <v>0</v>
      </c>
      <c r="AD255" s="1087" t="n">
        <v>0</v>
      </c>
      <c r="AE255" s="1086" t="n">
        <v>0</v>
      </c>
      <c r="AF255" s="1086" t="n">
        <v>0</v>
      </c>
      <c r="AG255" s="1087" t="n">
        <v>0</v>
      </c>
      <c r="AH255" s="1086" t="n">
        <v>0</v>
      </c>
      <c r="AI255" s="1086" t="n">
        <v>0</v>
      </c>
      <c r="AJ255" s="1087" t="n">
        <v>0</v>
      </c>
      <c r="AK255" s="1086" t="n">
        <v>0</v>
      </c>
      <c r="AL255" s="1086" t="n">
        <v>0</v>
      </c>
      <c r="AM255" s="1087" t="n">
        <v>0</v>
      </c>
      <c r="AN255" s="1086" t="n">
        <v>0</v>
      </c>
      <c r="AO255" s="1086" t="n">
        <v>0</v>
      </c>
      <c r="AP255" s="1087" t="n">
        <v>0</v>
      </c>
      <c r="AQ255" s="1086" t="n">
        <v>0</v>
      </c>
      <c r="AR255" s="1086" t="n">
        <v>0</v>
      </c>
      <c r="AS255" s="1087" t="n">
        <v>0</v>
      </c>
      <c r="AT255" s="1086" t="n">
        <v>0</v>
      </c>
      <c r="AU255" s="1086" t="n">
        <v>0</v>
      </c>
      <c r="AV255" s="1086" t="n">
        <v>0</v>
      </c>
      <c r="AW255" s="1172" t="n">
        <v>0</v>
      </c>
      <c r="AX255" s="807" t="e">
        <f aca="false">BB255-SUM(AY255:BA255)</f>
        <v>#VALUE!</v>
      </c>
      <c r="AY255" s="807" t="e">
        <f aca="false">IF(AND($E255=MONTH(Summary!$E$24),$D255=YEAR(Summary!$E$24)),Summary!$E$25,1)*IF(G255="",0,INT((H255-MOD(H255,7)-G255)/7)+1-IF(BA255,IF(WEEKDAY(F255)=7,1,0),0))</f>
        <v>#VALUE!</v>
      </c>
      <c r="AZ255" s="807" t="e">
        <f aca="false">IF(AND($E255=MONTH(Summary!$E$24),$D255=YEAR(Summary!$E$24)),Summary!$E$25,1)*IF(G255="",0,INT((H255-MOD(H255-1,7)-G255)/7)+1-IF(BA255,IF(WEEKDAY(F255)=1,1,0),0))</f>
        <v>#VALUE!</v>
      </c>
      <c r="BA255" s="807" t="n">
        <v>1</v>
      </c>
      <c r="BB255" s="807" t="n">
        <f aca="false">IF(AND($E255=MONTH(Summary!$E$24),$D255=YEAR(Summary!$E$24)),Summary!$E$25,1)*IF(G255="",0,H255-G255+1)</f>
        <v>30</v>
      </c>
      <c r="BC255" s="1089" t="n">
        <f aca="false">Summary!$E$19</f>
        <v>0.015</v>
      </c>
      <c r="BD255" s="1090" t="n">
        <v>14184</v>
      </c>
      <c r="BE255" s="1091" t="n">
        <v>3546</v>
      </c>
      <c r="BF255" s="1091" t="n">
        <v>3546</v>
      </c>
      <c r="BG255" s="842"/>
      <c r="BH255" s="1092" t="n">
        <v>1</v>
      </c>
      <c r="BI255" s="1092" t="n">
        <v>1</v>
      </c>
      <c r="BJ255" s="1092" t="n">
        <v>1</v>
      </c>
      <c r="BK255" s="1092" t="n">
        <v>1</v>
      </c>
      <c r="BL255" s="1093" t="n">
        <v>2836.8</v>
      </c>
      <c r="BM255" s="1091" t="n">
        <v>709.2</v>
      </c>
      <c r="BN255" s="1091" t="n">
        <v>709.2</v>
      </c>
      <c r="BO255" s="842"/>
      <c r="BP255" s="1092" t="n">
        <v>1</v>
      </c>
      <c r="BQ255" s="1094" t="n">
        <v>1</v>
      </c>
      <c r="BR255" s="1094" t="n">
        <v>1</v>
      </c>
      <c r="BS255" s="1095" t="n">
        <v>1</v>
      </c>
      <c r="BT255" s="1093" t="n">
        <f aca="false">SUM(BD255:BF255)</f>
        <v>21276</v>
      </c>
      <c r="BU255" s="1098" t="n">
        <f aca="false">SUM(BD255:BG255)</f>
        <v>21276</v>
      </c>
      <c r="BV255" s="1090" t="n">
        <f aca="false">SUM(BL255:BN255)</f>
        <v>4255.2</v>
      </c>
      <c r="BW255" s="1098" t="n">
        <f aca="false">SUM(BL255:BO255)</f>
        <v>4255.2</v>
      </c>
      <c r="BX255" s="852" t="n">
        <v>19.8795345653662</v>
      </c>
      <c r="BY255" s="1099" t="n">
        <v>0</v>
      </c>
      <c r="BZ255" s="852" t="n">
        <v>0</v>
      </c>
      <c r="CA255" s="852" t="n">
        <v>0</v>
      </c>
      <c r="CB255" s="852" t="n">
        <v>0</v>
      </c>
      <c r="CC255" s="852" t="n">
        <v>0</v>
      </c>
      <c r="CD255" s="852" t="n">
        <v>0</v>
      </c>
      <c r="CE255" s="1100" t="n">
        <v>0</v>
      </c>
      <c r="CF255" s="852" t="n">
        <v>0</v>
      </c>
      <c r="CG255" s="852" t="n">
        <v>0</v>
      </c>
      <c r="CH255" s="852" t="n">
        <v>0</v>
      </c>
      <c r="CI255" s="852" t="n">
        <v>0</v>
      </c>
      <c r="CJ255" s="1101" t="n">
        <v>0</v>
      </c>
      <c r="CK255" s="852" t="n">
        <v>0</v>
      </c>
      <c r="CL255" s="852" t="n">
        <v>0</v>
      </c>
      <c r="CM255" s="852" t="n">
        <v>0</v>
      </c>
      <c r="CN255" s="852" t="n">
        <v>0</v>
      </c>
      <c r="CO255" s="852" t="n">
        <v>0</v>
      </c>
      <c r="CP255" s="852" t="n">
        <v>0</v>
      </c>
      <c r="CQ255" s="1102" t="n">
        <v>0</v>
      </c>
      <c r="CR255" s="1103" t="n">
        <v>0</v>
      </c>
      <c r="CS255" s="1103" t="n">
        <v>0</v>
      </c>
      <c r="CT255" s="1103" t="n">
        <v>0</v>
      </c>
      <c r="CU255" s="1103" t="n">
        <v>0</v>
      </c>
      <c r="CV255" s="1103" t="n">
        <v>0</v>
      </c>
      <c r="CW255" s="1103" t="n">
        <v>0</v>
      </c>
      <c r="CX255" s="1104" t="n">
        <v>0</v>
      </c>
      <c r="CY255" s="1105" t="n">
        <v>7759.45512</v>
      </c>
      <c r="CZ255" s="1099" t="n">
        <v>0</v>
      </c>
      <c r="DA255" s="852" t="n">
        <v>0</v>
      </c>
      <c r="DB255" s="852" t="n">
        <v>0</v>
      </c>
      <c r="DC255" s="852" t="n">
        <v>0</v>
      </c>
      <c r="DD255" s="852" t="n">
        <v>0</v>
      </c>
      <c r="DE255" s="1113" t="n">
        <v>0</v>
      </c>
      <c r="DF255" s="1109" t="n">
        <v>0</v>
      </c>
      <c r="DG255" s="1110" t="n">
        <v>0</v>
      </c>
      <c r="DH255" s="1111" t="n">
        <v>0</v>
      </c>
      <c r="DI255" s="1112" t="n">
        <v>0</v>
      </c>
      <c r="DJ255" s="1112" t="n">
        <v>0</v>
      </c>
      <c r="DK255" s="1112" t="n">
        <v>0</v>
      </c>
      <c r="DL255" s="1113" t="n">
        <v>0</v>
      </c>
      <c r="DM255" s="1114" t="n">
        <v>0</v>
      </c>
      <c r="DN255" s="1114" t="n">
        <v>0</v>
      </c>
      <c r="DO255" s="1114" t="n">
        <v>0</v>
      </c>
      <c r="DP255" s="1114" t="n">
        <v>0</v>
      </c>
      <c r="DQ255" s="1114" t="n">
        <v>0</v>
      </c>
      <c r="DR255" s="1109" t="n">
        <v>0</v>
      </c>
      <c r="DS255" s="852" t="n">
        <v>0</v>
      </c>
      <c r="DT255" s="852" t="n">
        <v>0</v>
      </c>
      <c r="DU255" s="852" t="n">
        <v>0</v>
      </c>
      <c r="DV255" s="852" t="n">
        <v>0</v>
      </c>
      <c r="DW255" s="852" t="n">
        <v>0</v>
      </c>
      <c r="DX255" s="852" t="n">
        <v>0</v>
      </c>
      <c r="DY255" s="852" t="n">
        <v>0</v>
      </c>
      <c r="DZ255" s="852" t="n">
        <v>0</v>
      </c>
      <c r="EA255" s="852" t="n">
        <v>0</v>
      </c>
      <c r="EB255" s="1113" t="n">
        <v>0</v>
      </c>
      <c r="EC255" s="1115" t="n">
        <f aca="false">DS255*BD255</f>
        <v>0</v>
      </c>
      <c r="ED255" s="1115" t="n">
        <f aca="false">DT255*BE255</f>
        <v>0</v>
      </c>
      <c r="EE255" s="1115" t="n">
        <f aca="false">DU255*BF255</f>
        <v>0</v>
      </c>
      <c r="EF255" s="1115" t="n">
        <f aca="false">DV255*BG255</f>
        <v>0</v>
      </c>
      <c r="EG255" s="1115" t="n">
        <f aca="false">DS255*BD255+DT255*BE255+DU255*BF255+DV255*BG255</f>
        <v>0</v>
      </c>
      <c r="EH255" s="1116" t="n">
        <v>0</v>
      </c>
      <c r="EI255" s="1117" t="n">
        <v>0</v>
      </c>
      <c r="EJ255" s="1117" t="n">
        <v>0</v>
      </c>
      <c r="EK255" s="1117" t="n">
        <v>0</v>
      </c>
      <c r="EL255" s="1118" t="n">
        <f aca="false">IF(C255&gt;=Summary!$E$26,MAX(0,SUM(EH255:EK255)),0)</f>
        <v>0</v>
      </c>
      <c r="EM255" s="1115" t="n">
        <f aca="false">IF(C255&gt;=Summary!$E$26,DX255*BL255,0)</f>
        <v>0</v>
      </c>
      <c r="EN255" s="1115" t="n">
        <f aca="false">IF(C255&gt;=Summary!$E$26,DY255*BM255,0)</f>
        <v>0</v>
      </c>
      <c r="EO255" s="1115" t="n">
        <f aca="false">IF(C255&gt;=Summary!$E$26,DZ255*BN255,0)</f>
        <v>0</v>
      </c>
      <c r="EP255" s="1115" t="n">
        <f aca="false">IF(C255&gt;=Summary!$E$26,EA255*BO255,0)</f>
        <v>0</v>
      </c>
      <c r="EQ255" s="1115" t="n">
        <f aca="false">IF(C255&gt;=Summary!$E$26,DX255*BL255+DY255*BM255+DZ255*BN255+EA255*BO255,0)</f>
        <v>0</v>
      </c>
      <c r="ER255" s="1119" t="n">
        <v>0</v>
      </c>
      <c r="ES255" s="1120" t="n">
        <v>0</v>
      </c>
      <c r="ET255" s="1120" t="n">
        <v>0</v>
      </c>
      <c r="EU255" s="1120" t="n">
        <v>0</v>
      </c>
      <c r="EV255" s="1143" t="n">
        <f aca="false">IF(C255&gt;=Summary!$E$26,MAX(0,SUM(ER255:EU255)),0)</f>
        <v>0</v>
      </c>
      <c r="EW255" s="1115"/>
      <c r="EX255" s="1165" t="n">
        <f aca="false">(EQ255-EV255)+IF(EZ255="Yes",(EG255-EL255),0)</f>
        <v>0</v>
      </c>
      <c r="EY255" s="1166" t="str">
        <f aca="false">IF(EX255,EX255/EQ255,"")</f>
        <v/>
      </c>
      <c r="EZ255" s="1122" t="s">
        <v>37</v>
      </c>
      <c r="FA255" s="1096" t="n">
        <f aca="false">FA254</f>
        <v>45</v>
      </c>
      <c r="FB255" s="1167" t="e">
        <f aca="false">IF(EZ255="No",IF((OR(MONTH(C255)=5,MONTH(C255)=6,MONTH(C255)=7,MONTH(C255)=8,MONTH(C255)=9)),$FA255*12*AX255*(1-$BC255),$FA255*10*AX255*(1-$BC255)),0)</f>
        <v>#VALUE!</v>
      </c>
      <c r="FC255" s="1129" t="e">
        <f aca="false">IF(EZ255="No",IF((OR(MONTH(C255)=5,MONTH(C255)=6,MONTH(C255)=7,MONTH(C255)=8,MONTH(C255)=9)),0,$FA255*3*AX255*(1-$BC255)),0)</f>
        <v>#VALUE!</v>
      </c>
      <c r="FD255" s="1129" t="e">
        <f aca="false">IF(EZ255="No",IF((OR(MONTH(C255)=5,MONTH(C255)=6,MONTH(C255)=7,MONTH(C255)=8,MONTH(C255)=9)),$FA255*12*AY255*(1-$BC255),$FA255*10*AY255*(1-$BC255)),0)</f>
        <v>#VALUE!</v>
      </c>
      <c r="FE255" s="1129" t="e">
        <f aca="false">IF(EZ255="No",IF((OR(MONTH(C255)=5,MONTH(C255)=6,MONTH(C255)=7,MONTH(C255)=8,MONTH(C255)=9)),0,$FA255*3*AY255*(1-$BC255)),0)</f>
        <v>#VALUE!</v>
      </c>
      <c r="FF255" s="1129" t="e">
        <f aca="false">IF(EZ255="No",IF((OR(MONTH(C255)=5,MONTH(C255)=6,MONTH(C255)=7,MONTH(C255)=8,MONTH(C255)=9)),$FA255*12*(AZ255+BA255)*(1-$BC255),$FA255*10*(AZ255+BA255)*(1-$BC255)),0)</f>
        <v>#VALUE!</v>
      </c>
      <c r="FG255" s="1129" t="e">
        <f aca="false">IF(EZ255="No",IF((OR(MONTH(C255)=5,MONTH(C255)=6,MONTH(C255)=7,MONTH(C255)=8,MONTH(C255)=9)),0,$FA255*3*(AZ255+BA255)*(1-$BC255)),0)</f>
        <v>#VALUE!</v>
      </c>
      <c r="FH255" s="1170" t="e">
        <f aca="false">IF(EZ255="No",IF((OR(MONTH(C255)=5,MONTH(C255)=6,MONTH(C255)=7,MONTH(C255)=8,MONTH(C255)=9)),Summary!$O$15*12*(AX255+AY255+AZ255+BA255)*(1-$BC255),Summary!$O$15*13*(AX255+AY255+AZ255+BA255)*(1-$BC255)+IF(Summary!$O$16="Yes",(CALC!FA255+Summary!$O$15)*6*(AX255+AY255+AZ255+BA255)*(1-$BC255),0)),0)</f>
        <v>#VALUE!</v>
      </c>
      <c r="FI255" s="1126" t="n">
        <f aca="false">IF(MONTH(C255)=5,FI254*(IF(Summary!$E$70="no",(1+(Summary!$E$71*0.8)),1+HLOOKUP(YEAR(C255)-1,CCFMODEL!$I$127:$AF$128,2)*0.8)),+FI254)</f>
        <v>42.7486893662432</v>
      </c>
      <c r="FJ255" s="1127" t="n">
        <f aca="false">IF(MONTH(C255)=5,FJ254*(IF(Summary!$E$70="no",(1+(Summary!$E$71*0.8)),1+HLOOKUP(YEAR(CALC!C255)-1,CCFMODEL!$I$127:$AF$128,2)*0.8)),FJ254)</f>
        <v>37.3630277138031</v>
      </c>
      <c r="FK255" s="1128" t="e">
        <f aca="false">SUM(FB255:FG255)*FI255+FH255*FJ255</f>
        <v>#VALUE!</v>
      </c>
      <c r="FL255" s="1126" t="n">
        <f aca="false">IF(MONTH(C255)=5,FL254*(IF(Summary!$E$70="no",(1+(Summary!$E$71*0.8)),1+HLOOKUP(YEAR(CALC!C255)-1,CCFMODEL!$I$127:$AF$128,2)*0.8)),+FL254)</f>
        <v>89.9052863349299</v>
      </c>
      <c r="FM255" s="1127" t="n">
        <f aca="false">IF(MONTH(C255)=5,FM254*(IF(Summary!$E$70="no",(1+(Summary!$E$71*0.8)),1+HLOOKUP(YEAR(CALC!C255)-1,CCFMODEL!$I$127:$AF$128,2)*0.8)),+FM254)</f>
        <v>42.908976915423</v>
      </c>
      <c r="FN255" s="1128" t="e">
        <f aca="false">IF((OR(MONTH(C255)=5,MONTH(C255)=6,MONTH(C255)=7,MONTH(C255)=8,MONTH(C255)=9)),SUM(FB255:FG255)/(1-BC255)*FL255,SUM(FB255:FG255)/(1-BC255)*FM255)</f>
        <v>#VALUE!</v>
      </c>
      <c r="FO255" s="1129" t="e">
        <f aca="false">FK255+FN255</f>
        <v>#VALUE!</v>
      </c>
      <c r="FP255" s="1169" t="e">
        <f aca="false">FB255</f>
        <v>#VALUE!</v>
      </c>
      <c r="FQ255" s="1129" t="e">
        <f aca="false">FC255</f>
        <v>#VALUE!</v>
      </c>
      <c r="FR255" s="1129" t="e">
        <f aca="false">FD255</f>
        <v>#VALUE!</v>
      </c>
      <c r="FS255" s="1129" t="e">
        <f aca="false">FE255</f>
        <v>#VALUE!</v>
      </c>
      <c r="FT255" s="1129" t="e">
        <f aca="false">FF255</f>
        <v>#VALUE!</v>
      </c>
      <c r="FU255" s="1129" t="e">
        <f aca="false">FG255</f>
        <v>#VALUE!</v>
      </c>
      <c r="FV255" s="1170" t="e">
        <f aca="false">FH255</f>
        <v>#VALUE!</v>
      </c>
      <c r="FW255" s="1115" t="n">
        <f aca="false">IF(ER255&gt;0,MIN(FB255-FP255,BL255),0)</f>
        <v>0</v>
      </c>
      <c r="FX255" s="1115" t="n">
        <f aca="false">IF(ES255&gt;0,MIN(FD255-FR255,BM255),0)</f>
        <v>0</v>
      </c>
      <c r="FY255" s="1115" t="n">
        <f aca="false">IF(ET255&gt;0,MIN(FF255-FT255,BN255),0)</f>
        <v>0</v>
      </c>
      <c r="FZ255" s="1143" t="n">
        <f aca="false">IF(EU255&gt;0,MIN(FH255-FV255,BO255),0)</f>
        <v>0</v>
      </c>
      <c r="GA255" s="1132" t="e">
        <f aca="false">(SUM(FP255:FV255)+SUM(GU255:HB255)/(1-Summary!$O$25))*CY255/1000</f>
        <v>#VALUE!</v>
      </c>
      <c r="GB255" s="1133" t="n">
        <f aca="false">IF($C255&lt;Summary!$M$81,+Summary!$O$81,VLOOKUP(C255,GasTable,19))</f>
        <v>4.38607086837252</v>
      </c>
      <c r="GC255" s="1134" t="n">
        <f aca="false">IF(H255&lt;=Summary!$N$84,MIN(GA255,Summary!$O$75*(H255-G255+1)),0)</f>
        <v>0</v>
      </c>
      <c r="GD255" s="1135" t="n">
        <f aca="false">IF(C255&lt;Summary!$N$84,IF(Summary!$O$75*(H255-G255+1)*0.8&gt;GC255,1,0),0)</f>
        <v>0</v>
      </c>
      <c r="GE255" s="1136" t="n">
        <v>0</v>
      </c>
      <c r="GF255" s="1134" t="e">
        <f aca="false">ABS(MIN(0,GC255-$GA255))</f>
        <v>#VALUE!</v>
      </c>
      <c r="GG255" s="1135" t="e">
        <f aca="false">GF255*(IF(Summary!$O$74=1,VLOOKUP($C255,GasTable,16)+Summary!$O$92+Summary!$O$93,VLOOKUP($C255,GasTable,19)+Summary!$O$92+Summary!$O$93))</f>
        <v>#VALUE!</v>
      </c>
      <c r="GH255" s="1137" t="n">
        <v>6579.10630255878</v>
      </c>
      <c r="GI255" s="1138" t="n">
        <v>0</v>
      </c>
      <c r="GJ255" s="1139" t="e">
        <f aca="false">+GB255*GC255+GE255+GG255+GH255-GI255</f>
        <v>#VALUE!</v>
      </c>
      <c r="GK255" s="1115" t="e">
        <f aca="false">SUM(FP255:FV255,GU255:GX255,GY255:HB255)</f>
        <v>#VALUE!</v>
      </c>
      <c r="GL255" s="1140" t="n">
        <v>0.51988349304</v>
      </c>
      <c r="GM255" s="1141" t="e">
        <f aca="false">IF(GK255&gt;GC255/(CY255/1000),GC255/(CY255/1000),+GK255)*GL255</f>
        <v>#VALUE!</v>
      </c>
      <c r="GN255" s="1115" t="n">
        <f aca="false">IF(SUM(GU255:HB255)=0,0,IF(Summary!$O$16="Yes",SUM(GX255:HB255),IF(Summary!$O$17="Yes",SUM(GY255:HB255),SUM(GU255:HB255))))</f>
        <v>11805.5205</v>
      </c>
      <c r="GO255" s="1142" t="n">
        <v>4.17251245089686</v>
      </c>
      <c r="GP255" s="1143" t="n">
        <f aca="false">GN255*GO255</f>
        <v>49258.6812755681</v>
      </c>
      <c r="GQ255" s="1115"/>
      <c r="GR255" s="1115"/>
      <c r="GS255" s="1115"/>
      <c r="GT255" s="1115"/>
      <c r="GU255" s="1150" t="n">
        <v>5132.835</v>
      </c>
      <c r="GV255" s="1115" t="n">
        <v>1283.20875</v>
      </c>
      <c r="GW255" s="1115" t="n">
        <v>1283.20875</v>
      </c>
      <c r="GX255" s="1115"/>
      <c r="GY255" s="1151" t="n">
        <v>2737.512</v>
      </c>
      <c r="GZ255" s="1115" t="n">
        <v>684.378</v>
      </c>
      <c r="HA255" s="1115" t="n">
        <v>684.378</v>
      </c>
      <c r="HB255" s="1141"/>
      <c r="HC255" s="1115" t="n">
        <v>11805.5205</v>
      </c>
      <c r="HD255" s="1115"/>
      <c r="HE255" s="1115" t="n">
        <v>20274.69825</v>
      </c>
      <c r="HF255" s="1115" t="n">
        <v>732210.389365185</v>
      </c>
      <c r="HG255" s="1115"/>
      <c r="HH255" s="1142" t="n">
        <v>61.6575994477145</v>
      </c>
      <c r="HI255" s="1115" t="n">
        <v>1250089.22362178</v>
      </c>
      <c r="HJ255" s="1150" t="e">
        <f aca="false">MAX(FB255-FP255-FW255,0)</f>
        <v>#VALUE!</v>
      </c>
      <c r="HK255" s="1115" t="e">
        <f aca="false">MAX(FD255-FR255-FX255,0)</f>
        <v>#VALUE!</v>
      </c>
      <c r="HL255" s="1115" t="e">
        <f aca="false">MAX(FF255-FT255-FY255,0)</f>
        <v>#VALUE!</v>
      </c>
      <c r="HM255" s="1141" t="e">
        <f aca="false">MAX(FH255-FV255-FZ255,0)</f>
        <v>#VALUE!</v>
      </c>
      <c r="HN255" s="1115" t="e">
        <f aca="false">SUM(HJ255:HM255)</f>
        <v>#VALUE!</v>
      </c>
      <c r="HO255" s="1142" t="n">
        <f aca="false">IF(ISERROR(+HP255/HN255),0,+HP255/HN255)</f>
        <v>0</v>
      </c>
      <c r="HP255" s="1143" t="e">
        <f aca="false">(HJ255*CE255+HK255*CF255+HL255*CG255+HM255*CH255)</f>
        <v>#VALUE!</v>
      </c>
      <c r="HQ255" s="1142" t="s">
        <v>925</v>
      </c>
      <c r="HR255" s="1150" t="e">
        <f aca="false">SUMIF($A$17:$A$292,HQ255,$GF$17:$GF$292)</f>
        <v>#VALUE!</v>
      </c>
      <c r="HS255" s="1200" t="e">
        <f aca="false">IF(HT255=0,IF(OR(SUMIF(CURVES!$AU$6:$AU$283,$HQ255,CURVES!$BQ$6:$BQ$283)=0,COUNTIF(CURVES!$AU$6:$AU$283,$HQ255)=0),0,SUMIF(CURVES!$AU$6:$AU$283,$HQ255,CURVES!$BQ$6:$BQ$283)/COUNTIF(CURVES!$AU$6:$AU$283,$HQ255)),HT255/HR255)</f>
        <v>#VALUE!</v>
      </c>
      <c r="HT255" s="1141" t="e">
        <f aca="false">SUMIF($A$17:$A$292,HQ255,$GG$17:$GG$292)</f>
        <v>#VALUE!</v>
      </c>
      <c r="HU255" s="1150" t="n">
        <f aca="false">SUMIF($A$17:$A$292,HQ255,$GC$17:$GC$292)</f>
        <v>0</v>
      </c>
      <c r="HV255" s="1200" t="e">
        <f aca="false">IF(HW255=0,0,HW255/Summary!$O$79/HU255)</f>
        <v>#DIV/0!</v>
      </c>
      <c r="HW255" s="1141" t="n">
        <f aca="false">SUMIF($A$17:$A$292,HQ255,$GH$17:$GH$292)</f>
        <v>16689.7971672666</v>
      </c>
      <c r="HX255" s="1200" t="n">
        <f aca="false">IF(OR(SUMIF(CURVES!$AU$6:$AU$283,$HQ255,CURVES!$BQ$6:$BQ$283)=0,COUNTIF(CURVES!$AU$6:$AU$283,$HQ255)=0),0,SUMIF(CURVES!$AU$6:$AU$283,$HQ255,CURVES!$BQ$6:$BQ$283)/COUNTIF(CURVES!$AU$6:$AU$283,$HQ255))</f>
        <v>4.05528979404478</v>
      </c>
      <c r="HY255" s="1200" t="n">
        <f aca="false">IF(OR(SUMIF(CURVES!$AU$6:$AU$283,$HQ255,CURVES!$BR$6:$BR$283)=0,COUNTIF(CURVES!$AU$6:$AU$283,$HQ255)=0),0,SUMIF(CURVES!$AU$6:$AU$283,$HQ255,CURVES!$BR$6:$BR$283)/COUNTIF(CURVES!$AU$6:$AU$283,$HQ255))</f>
        <v>3.24937291898649</v>
      </c>
      <c r="HZ255" s="0"/>
      <c r="IA255" s="1142"/>
      <c r="IB255" s="1142"/>
      <c r="IC255" s="1142"/>
      <c r="ID255" s="1142"/>
      <c r="IE255" s="1142"/>
      <c r="IF255" s="1142"/>
      <c r="IG255" s="1142"/>
      <c r="IH255" s="1142"/>
      <c r="II255" s="1142"/>
      <c r="IJ255" s="1142"/>
      <c r="IK255" s="1142"/>
      <c r="IL255" s="1190"/>
      <c r="IM255" s="222"/>
      <c r="IN255" s="222"/>
      <c r="IR255" s="844"/>
    </row>
    <row r="256" customFormat="false" ht="13.5" hidden="false" customHeight="false" outlineLevel="0" collapsed="false">
      <c r="A256" s="0" t="str">
        <f aca="false">+D256&amp;"Q"&amp;ROUNDUP(E256/3,0)</f>
        <v>2019Q4</v>
      </c>
      <c r="B256" s="0" t="n">
        <f aca="false">YEAR(C256)</f>
        <v>2019</v>
      </c>
      <c r="C256" s="1153" t="n">
        <f aca="false">EOMONTH(C255,0)+1</f>
        <v>43800</v>
      </c>
      <c r="D256" s="841" t="n">
        <f aca="false">+YEAR(C256)</f>
        <v>2019</v>
      </c>
      <c r="E256" s="807" t="n">
        <f aca="false">MONTH(C256)</f>
        <v>12</v>
      </c>
      <c r="F256" s="1154" t="e">
        <f aca="false">IF(G256="","",Holiday(D256,E256))</f>
        <v>#VALUE!</v>
      </c>
      <c r="G256" s="1155" t="n">
        <v>43800</v>
      </c>
      <c r="H256" s="1156" t="n">
        <v>43830</v>
      </c>
      <c r="I256" s="1157" t="n">
        <f aca="false">I255</f>
        <v>0.0715</v>
      </c>
      <c r="J256" s="1158" t="n">
        <f aca="false">(1+I256/2)^(-2*(DATE(D257,E257,20)-$H$7)/365.25)</f>
        <v>0.24366614184706</v>
      </c>
      <c r="K256" s="1159"/>
      <c r="L256" s="1158"/>
      <c r="M256" s="1082" t="n">
        <v>0</v>
      </c>
      <c r="N256" s="1110" t="n">
        <f aca="false">M256</f>
        <v>0</v>
      </c>
      <c r="O256" s="1174" t="n">
        <f aca="false">N256</f>
        <v>0</v>
      </c>
      <c r="P256" s="1175" t="n">
        <f aca="false">M256</f>
        <v>0</v>
      </c>
      <c r="Q256" s="1110" t="n">
        <f aca="false">P256</f>
        <v>0</v>
      </c>
      <c r="R256" s="1174" t="n">
        <f aca="false">Q256</f>
        <v>0</v>
      </c>
      <c r="S256" s="1110" t="n">
        <f aca="false">R256</f>
        <v>0</v>
      </c>
      <c r="T256" s="1110" t="n">
        <f aca="false">S256</f>
        <v>0</v>
      </c>
      <c r="U256" s="1110" t="n">
        <f aca="false">T256</f>
        <v>0</v>
      </c>
      <c r="V256" s="1175" t="n">
        <f aca="false">U256</f>
        <v>0</v>
      </c>
      <c r="W256" s="1110" t="n">
        <f aca="false">V256</f>
        <v>0</v>
      </c>
      <c r="X256" s="1176" t="n">
        <f aca="false">W256</f>
        <v>0</v>
      </c>
      <c r="Y256" s="1086" t="n">
        <v>0</v>
      </c>
      <c r="Z256" s="1086" t="n">
        <v>0</v>
      </c>
      <c r="AA256" s="1087" t="n">
        <v>0</v>
      </c>
      <c r="AB256" s="1086" t="n">
        <v>0</v>
      </c>
      <c r="AC256" s="1086" t="n">
        <v>0</v>
      </c>
      <c r="AD256" s="1087" t="n">
        <v>0</v>
      </c>
      <c r="AE256" s="1086" t="n">
        <v>0</v>
      </c>
      <c r="AF256" s="1086" t="n">
        <v>0</v>
      </c>
      <c r="AG256" s="1087" t="n">
        <v>0</v>
      </c>
      <c r="AH256" s="1086" t="n">
        <v>0</v>
      </c>
      <c r="AI256" s="1086" t="n">
        <v>0</v>
      </c>
      <c r="AJ256" s="1087" t="n">
        <v>0</v>
      </c>
      <c r="AK256" s="1086" t="n">
        <v>0</v>
      </c>
      <c r="AL256" s="1086" t="n">
        <v>0</v>
      </c>
      <c r="AM256" s="1087" t="n">
        <v>0</v>
      </c>
      <c r="AN256" s="1086" t="n">
        <v>0</v>
      </c>
      <c r="AO256" s="1086" t="n">
        <v>0</v>
      </c>
      <c r="AP256" s="1087" t="n">
        <v>0</v>
      </c>
      <c r="AQ256" s="1086" t="n">
        <v>0</v>
      </c>
      <c r="AR256" s="1086" t="n">
        <v>0</v>
      </c>
      <c r="AS256" s="1087" t="n">
        <v>0</v>
      </c>
      <c r="AT256" s="1086" t="n">
        <v>0</v>
      </c>
      <c r="AU256" s="1086" t="n">
        <v>0</v>
      </c>
      <c r="AV256" s="1086" t="n">
        <v>0</v>
      </c>
      <c r="AW256" s="1172" t="n">
        <v>0</v>
      </c>
      <c r="AX256" s="807" t="e">
        <f aca="false">BB256-SUM(AY256:BA256)</f>
        <v>#VALUE!</v>
      </c>
      <c r="AY256" s="807" t="e">
        <f aca="false">IF(AND($E256=MONTH(Summary!$E$24),$D256=YEAR(Summary!$E$24)),Summary!$E$25,1)*IF(G256="",0,INT((H256-MOD(H256,7)-G256)/7)+1-IF(BA256,IF(WEEKDAY(F256)=7,1,0),0))</f>
        <v>#VALUE!</v>
      </c>
      <c r="AZ256" s="807" t="e">
        <f aca="false">IF(AND($E256=MONTH(Summary!$E$24),$D256=YEAR(Summary!$E$24)),Summary!$E$25,1)*IF(G256="",0,INT((H256-MOD(H256-1,7)-G256)/7)+1-IF(BA256,IF(WEEKDAY(F256)=1,1,0),0))</f>
        <v>#VALUE!</v>
      </c>
      <c r="BA256" s="807" t="n">
        <v>1</v>
      </c>
      <c r="BB256" s="807" t="n">
        <f aca="false">IF(AND($E256=MONTH(Summary!$E$24),$D256=YEAR(Summary!$E$24)),Summary!$E$25,1)*IF(G256="",0,H256-G256+1)</f>
        <v>31</v>
      </c>
      <c r="BC256" s="1089" t="n">
        <f aca="false">Summary!$E$19</f>
        <v>0.015</v>
      </c>
      <c r="BD256" s="1090" t="n">
        <v>14893.2</v>
      </c>
      <c r="BE256" s="1091" t="n">
        <v>2836.8</v>
      </c>
      <c r="BF256" s="1091" t="n">
        <v>4255.2</v>
      </c>
      <c r="BG256" s="842"/>
      <c r="BH256" s="1092" t="n">
        <v>1</v>
      </c>
      <c r="BI256" s="1092" t="n">
        <v>1</v>
      </c>
      <c r="BJ256" s="1092" t="n">
        <v>1</v>
      </c>
      <c r="BK256" s="1092" t="n">
        <v>1</v>
      </c>
      <c r="BL256" s="1093" t="n">
        <v>2978.64</v>
      </c>
      <c r="BM256" s="1091" t="n">
        <v>567.36</v>
      </c>
      <c r="BN256" s="1091" t="n">
        <v>851.04</v>
      </c>
      <c r="BO256" s="842"/>
      <c r="BP256" s="1092" t="n">
        <v>1</v>
      </c>
      <c r="BQ256" s="1094" t="n">
        <v>1</v>
      </c>
      <c r="BR256" s="1094" t="n">
        <v>1</v>
      </c>
      <c r="BS256" s="1095" t="n">
        <v>1</v>
      </c>
      <c r="BT256" s="1093" t="n">
        <f aca="false">SUM(BD256:BF256)</f>
        <v>21985.2</v>
      </c>
      <c r="BU256" s="1098" t="n">
        <f aca="false">SUM(BD256:BG256)</f>
        <v>21985.2</v>
      </c>
      <c r="BV256" s="1090" t="n">
        <f aca="false">SUM(BL256:BN256)</f>
        <v>4397.04</v>
      </c>
      <c r="BW256" s="1098" t="n">
        <f aca="false">SUM(BL256:BO256)</f>
        <v>4397.04</v>
      </c>
      <c r="BX256" s="852" t="n">
        <v>19.9616700889802</v>
      </c>
      <c r="BY256" s="1099" t="n">
        <v>0</v>
      </c>
      <c r="BZ256" s="852" t="n">
        <v>0</v>
      </c>
      <c r="CA256" s="852" t="n">
        <v>0</v>
      </c>
      <c r="CB256" s="852" t="n">
        <v>0</v>
      </c>
      <c r="CC256" s="852" t="n">
        <v>0</v>
      </c>
      <c r="CD256" s="852" t="n">
        <v>0</v>
      </c>
      <c r="CE256" s="1100" t="n">
        <v>0</v>
      </c>
      <c r="CF256" s="852" t="n">
        <v>0</v>
      </c>
      <c r="CG256" s="852" t="n">
        <v>0</v>
      </c>
      <c r="CH256" s="852" t="n">
        <v>0</v>
      </c>
      <c r="CI256" s="852" t="n">
        <v>0</v>
      </c>
      <c r="CJ256" s="1101" t="n">
        <v>0</v>
      </c>
      <c r="CK256" s="852" t="n">
        <v>0</v>
      </c>
      <c r="CL256" s="852" t="n">
        <v>0</v>
      </c>
      <c r="CM256" s="852" t="n">
        <v>0</v>
      </c>
      <c r="CN256" s="852" t="n">
        <v>0</v>
      </c>
      <c r="CO256" s="852" t="n">
        <v>0</v>
      </c>
      <c r="CP256" s="852" t="n">
        <v>0</v>
      </c>
      <c r="CQ256" s="1102" t="n">
        <v>0</v>
      </c>
      <c r="CR256" s="1103" t="n">
        <v>0</v>
      </c>
      <c r="CS256" s="1103" t="n">
        <v>0</v>
      </c>
      <c r="CT256" s="1103" t="n">
        <v>0</v>
      </c>
      <c r="CU256" s="1103" t="n">
        <v>0</v>
      </c>
      <c r="CV256" s="1103" t="n">
        <v>0</v>
      </c>
      <c r="CW256" s="1103" t="n">
        <v>0</v>
      </c>
      <c r="CX256" s="1104" t="n">
        <v>0</v>
      </c>
      <c r="CY256" s="1105" t="n">
        <v>7761.48608</v>
      </c>
      <c r="CZ256" s="1099" t="n">
        <v>0</v>
      </c>
      <c r="DA256" s="852" t="n">
        <v>0</v>
      </c>
      <c r="DB256" s="852" t="n">
        <v>0</v>
      </c>
      <c r="DC256" s="852" t="n">
        <v>0</v>
      </c>
      <c r="DD256" s="852" t="n">
        <v>0</v>
      </c>
      <c r="DE256" s="1113" t="n">
        <v>0</v>
      </c>
      <c r="DF256" s="1109" t="n">
        <v>0</v>
      </c>
      <c r="DG256" s="1110" t="n">
        <v>0</v>
      </c>
      <c r="DH256" s="1111" t="n">
        <v>0</v>
      </c>
      <c r="DI256" s="1112" t="n">
        <v>0</v>
      </c>
      <c r="DJ256" s="1112" t="n">
        <v>0</v>
      </c>
      <c r="DK256" s="1112" t="n">
        <v>0</v>
      </c>
      <c r="DL256" s="1113" t="n">
        <v>0</v>
      </c>
      <c r="DM256" s="1114" t="n">
        <v>0</v>
      </c>
      <c r="DN256" s="1114" t="n">
        <v>0</v>
      </c>
      <c r="DO256" s="1114" t="n">
        <v>0</v>
      </c>
      <c r="DP256" s="1114" t="n">
        <v>0</v>
      </c>
      <c r="DQ256" s="1114" t="n">
        <v>0</v>
      </c>
      <c r="DR256" s="1109" t="n">
        <v>0</v>
      </c>
      <c r="DS256" s="852" t="n">
        <v>0</v>
      </c>
      <c r="DT256" s="852" t="n">
        <v>0</v>
      </c>
      <c r="DU256" s="852" t="n">
        <v>0</v>
      </c>
      <c r="DV256" s="852" t="n">
        <v>0</v>
      </c>
      <c r="DW256" s="852" t="n">
        <v>0</v>
      </c>
      <c r="DX256" s="852" t="n">
        <v>0</v>
      </c>
      <c r="DY256" s="852" t="n">
        <v>0</v>
      </c>
      <c r="DZ256" s="852" t="n">
        <v>0</v>
      </c>
      <c r="EA256" s="852" t="n">
        <v>0</v>
      </c>
      <c r="EB256" s="1113" t="n">
        <v>0</v>
      </c>
      <c r="EC256" s="1115" t="n">
        <f aca="false">DS256*BD256</f>
        <v>0</v>
      </c>
      <c r="ED256" s="1115" t="n">
        <f aca="false">DT256*BE256</f>
        <v>0</v>
      </c>
      <c r="EE256" s="1115" t="n">
        <f aca="false">DU256*BF256</f>
        <v>0</v>
      </c>
      <c r="EF256" s="1115" t="n">
        <f aca="false">DV256*BG256</f>
        <v>0</v>
      </c>
      <c r="EG256" s="1115" t="n">
        <f aca="false">DS256*BD256+DT256*BE256+DU256*BF256+DV256*BG256</f>
        <v>0</v>
      </c>
      <c r="EH256" s="1116" t="n">
        <v>0</v>
      </c>
      <c r="EI256" s="1117" t="n">
        <v>0</v>
      </c>
      <c r="EJ256" s="1117" t="n">
        <v>0</v>
      </c>
      <c r="EK256" s="1117" t="n">
        <v>0</v>
      </c>
      <c r="EL256" s="1118" t="n">
        <f aca="false">IF(C256&gt;=Summary!$E$26,MAX(0,SUM(EH256:EK256)),0)</f>
        <v>0</v>
      </c>
      <c r="EM256" s="1115" t="n">
        <f aca="false">IF(C256&gt;=Summary!$E$26,DX256*BL256,0)</f>
        <v>0</v>
      </c>
      <c r="EN256" s="1115" t="n">
        <f aca="false">IF(C256&gt;=Summary!$E$26,DY256*BM256,0)</f>
        <v>0</v>
      </c>
      <c r="EO256" s="1115" t="n">
        <f aca="false">IF(C256&gt;=Summary!$E$26,DZ256*BN256,0)</f>
        <v>0</v>
      </c>
      <c r="EP256" s="1115" t="n">
        <f aca="false">IF(C256&gt;=Summary!$E$26,EA256*BO256,0)</f>
        <v>0</v>
      </c>
      <c r="EQ256" s="1115" t="n">
        <f aca="false">IF(C256&gt;=Summary!$E$26,DX256*BL256+DY256*BM256+DZ256*BN256+EA256*BO256,0)</f>
        <v>0</v>
      </c>
      <c r="ER256" s="1119" t="n">
        <v>0</v>
      </c>
      <c r="ES256" s="1120" t="n">
        <v>0</v>
      </c>
      <c r="ET256" s="1120" t="n">
        <v>0</v>
      </c>
      <c r="EU256" s="1120" t="n">
        <v>0</v>
      </c>
      <c r="EV256" s="1143" t="n">
        <f aca="false">IF(C256&gt;=Summary!$E$26,MAX(0,SUM(ER256:EU256)),0)</f>
        <v>0</v>
      </c>
      <c r="EW256" s="1115"/>
      <c r="EX256" s="1165" t="n">
        <f aca="false">(EQ256-EV256)+IF(EZ256="Yes",(EG256-EL256),0)</f>
        <v>0</v>
      </c>
      <c r="EY256" s="1166" t="str">
        <f aca="false">IF(EX256,EX256/EQ256,"")</f>
        <v/>
      </c>
      <c r="EZ256" s="1122" t="s">
        <v>37</v>
      </c>
      <c r="FA256" s="1096" t="n">
        <f aca="false">FA255</f>
        <v>45</v>
      </c>
      <c r="FB256" s="1167" t="e">
        <f aca="false">IF(EZ256="No",IF((OR(MONTH(C256)=5,MONTH(C256)=6,MONTH(C256)=7,MONTH(C256)=8,MONTH(C256)=9)),$FA256*12*AX256*(1-$BC256),$FA256*10*AX256*(1-$BC256)),0)</f>
        <v>#VALUE!</v>
      </c>
      <c r="FC256" s="1129" t="e">
        <f aca="false">IF(EZ256="No",IF((OR(MONTH(C256)=5,MONTH(C256)=6,MONTH(C256)=7,MONTH(C256)=8,MONTH(C256)=9)),0,$FA256*3*AX256*(1-$BC256)),0)</f>
        <v>#VALUE!</v>
      </c>
      <c r="FD256" s="1129" t="e">
        <f aca="false">IF(EZ256="No",IF((OR(MONTH(C256)=5,MONTH(C256)=6,MONTH(C256)=7,MONTH(C256)=8,MONTH(C256)=9)),$FA256*12*AY256*(1-$BC256),$FA256*10*AY256*(1-$BC256)),0)</f>
        <v>#VALUE!</v>
      </c>
      <c r="FE256" s="1129" t="e">
        <f aca="false">IF(EZ256="No",IF((OR(MONTH(C256)=5,MONTH(C256)=6,MONTH(C256)=7,MONTH(C256)=8,MONTH(C256)=9)),0,$FA256*3*AY256*(1-$BC256)),0)</f>
        <v>#VALUE!</v>
      </c>
      <c r="FF256" s="1129" t="e">
        <f aca="false">IF(EZ256="No",IF((OR(MONTH(C256)=5,MONTH(C256)=6,MONTH(C256)=7,MONTH(C256)=8,MONTH(C256)=9)),$FA256*12*(AZ256+BA256)*(1-$BC256),$FA256*10*(AZ256+BA256)*(1-$BC256)),0)</f>
        <v>#VALUE!</v>
      </c>
      <c r="FG256" s="1129" t="e">
        <f aca="false">IF(EZ256="No",IF((OR(MONTH(C256)=5,MONTH(C256)=6,MONTH(C256)=7,MONTH(C256)=8,MONTH(C256)=9)),0,$FA256*3*(AZ256+BA256)*(1-$BC256)),0)</f>
        <v>#VALUE!</v>
      </c>
      <c r="FH256" s="1170" t="e">
        <f aca="false">IF(EZ256="No",IF((OR(MONTH(C256)=5,MONTH(C256)=6,MONTH(C256)=7,MONTH(C256)=8,MONTH(C256)=9)),Summary!$O$15*12*(AX256+AY256+AZ256+BA256)*(1-$BC256),Summary!$O$15*13*(AX256+AY256+AZ256+BA256)*(1-$BC256)+IF(Summary!$O$16="Yes",(CALC!FA256+Summary!$O$15)*6*(AX256+AY256+AZ256+BA256)*(1-$BC256),0)),0)</f>
        <v>#VALUE!</v>
      </c>
      <c r="FI256" s="1126" t="n">
        <f aca="false">IF(MONTH(C256)=5,FI255*(IF(Summary!$E$70="no",(1+(Summary!$E$71*0.8)),1+HLOOKUP(YEAR(C256)-1,CCFMODEL!$I$127:$AF$128,2)*0.8)),+FI255)</f>
        <v>42.7486893662432</v>
      </c>
      <c r="FJ256" s="1127" t="n">
        <f aca="false">IF(MONTH(C256)=5,FJ255*(IF(Summary!$E$70="no",(1+(Summary!$E$71*0.8)),1+HLOOKUP(YEAR(CALC!C256)-1,CCFMODEL!$I$127:$AF$128,2)*0.8)),FJ255)</f>
        <v>37.3630277138031</v>
      </c>
      <c r="FK256" s="1128" t="e">
        <f aca="false">SUM(FB256:FG256)*FI256+FH256*FJ256</f>
        <v>#VALUE!</v>
      </c>
      <c r="FL256" s="1126" t="n">
        <f aca="false">IF(MONTH(C256)=5,FL255*(IF(Summary!$E$70="no",(1+(Summary!$E$71*0.8)),1+HLOOKUP(YEAR(CALC!C256)-1,CCFMODEL!$I$127:$AF$128,2)*0.8)),+FL255)</f>
        <v>89.9052863349299</v>
      </c>
      <c r="FM256" s="1127" t="n">
        <f aca="false">IF(MONTH(C256)=5,FM255*(IF(Summary!$E$70="no",(1+(Summary!$E$71*0.8)),1+HLOOKUP(YEAR(CALC!C256)-1,CCFMODEL!$I$127:$AF$128,2)*0.8)),+FM255)</f>
        <v>42.908976915423</v>
      </c>
      <c r="FN256" s="1128" t="e">
        <f aca="false">IF((OR(MONTH(C256)=5,MONTH(C256)=6,MONTH(C256)=7,MONTH(C256)=8,MONTH(C256)=9)),SUM(FB256:FG256)/(1-BC256)*FL256,SUM(FB256:FG256)/(1-BC256)*FM256)</f>
        <v>#VALUE!</v>
      </c>
      <c r="FO256" s="1129" t="e">
        <f aca="false">FK256+FN256</f>
        <v>#VALUE!</v>
      </c>
      <c r="FP256" s="1169" t="e">
        <f aca="false">FB256</f>
        <v>#VALUE!</v>
      </c>
      <c r="FQ256" s="1129" t="e">
        <f aca="false">FC256</f>
        <v>#VALUE!</v>
      </c>
      <c r="FR256" s="1129" t="e">
        <f aca="false">FD256</f>
        <v>#VALUE!</v>
      </c>
      <c r="FS256" s="1129" t="e">
        <f aca="false">FE256</f>
        <v>#VALUE!</v>
      </c>
      <c r="FT256" s="1129" t="e">
        <f aca="false">FF256</f>
        <v>#VALUE!</v>
      </c>
      <c r="FU256" s="1129" t="e">
        <f aca="false">FG256</f>
        <v>#VALUE!</v>
      </c>
      <c r="FV256" s="1170" t="e">
        <f aca="false">FH256</f>
        <v>#VALUE!</v>
      </c>
      <c r="FW256" s="1115" t="n">
        <f aca="false">IF(ER256&gt;0,MIN(FB256-FP256,BL256),0)</f>
        <v>0</v>
      </c>
      <c r="FX256" s="1115" t="n">
        <f aca="false">IF(ES256&gt;0,MIN(FD256-FR256,BM256),0)</f>
        <v>0</v>
      </c>
      <c r="FY256" s="1115" t="n">
        <f aca="false">IF(ET256&gt;0,MIN(FF256-FT256,BN256),0)</f>
        <v>0</v>
      </c>
      <c r="FZ256" s="1143" t="n">
        <f aca="false">IF(EU256&gt;0,MIN(FH256-FV256,BO256),0)</f>
        <v>0</v>
      </c>
      <c r="GA256" s="1132" t="e">
        <f aca="false">(SUM(FP256:FV256)+SUM(GU256:HB256)/(1-Summary!$O$25))*CY256/1000</f>
        <v>#VALUE!</v>
      </c>
      <c r="GB256" s="1133" t="n">
        <f aca="false">IF($C256&lt;Summary!$M$81,+Summary!$O$81,VLOOKUP(C256,GasTable,19))</f>
        <v>4.57263283700635</v>
      </c>
      <c r="GC256" s="1134" t="n">
        <f aca="false">IF(H256&lt;=Summary!$N$84,MIN(GA256,Summary!$O$75*(H256-G256+1)),0)</f>
        <v>0</v>
      </c>
      <c r="GD256" s="1135" t="n">
        <f aca="false">IF(C256&lt;Summary!$N$84,IF(Summary!$O$75*(H256-G256+1)*0.8&gt;GC256,1,0),0)</f>
        <v>0</v>
      </c>
      <c r="GE256" s="1136" t="n">
        <v>0</v>
      </c>
      <c r="GF256" s="1134" t="e">
        <f aca="false">ABS(MIN(0,GC256-$GA256))</f>
        <v>#VALUE!</v>
      </c>
      <c r="GG256" s="1135" t="e">
        <f aca="false">GF256*(IF(Summary!$O$74=1,VLOOKUP($C256,GasTable,16)+Summary!$O$92+Summary!$O$93,VLOOKUP($C256,GasTable,19)+Summary!$O$92+Summary!$O$93))</f>
        <v>#VALUE!</v>
      </c>
      <c r="GH256" s="1137" t="n">
        <v>7087.58089735985</v>
      </c>
      <c r="GI256" s="1138" t="n">
        <v>0</v>
      </c>
      <c r="GJ256" s="1139" t="e">
        <f aca="false">+GB256*GC256+GE256+GG256+GH256-GI256</f>
        <v>#VALUE!</v>
      </c>
      <c r="GK256" s="1115" t="e">
        <f aca="false">SUM(FP256:FV256,GU256:GX256,GY256:HB256)</f>
        <v>#VALUE!</v>
      </c>
      <c r="GL256" s="1140" t="n">
        <v>0.52001956736</v>
      </c>
      <c r="GM256" s="1141" t="e">
        <f aca="false">IF(GK256&gt;GC256/(CY256/1000),GC256/(CY256/1000),+GK256)*GL256</f>
        <v>#VALUE!</v>
      </c>
      <c r="GN256" s="1115" t="n">
        <f aca="false">IF(SUM(GU256:HB256)=0,0,IF(Summary!$O$16="Yes",SUM(GX256:HB256),IF(Summary!$O$17="Yes",SUM(GY256:HB256),SUM(GU256:HB256))))</f>
        <v>12199.03785</v>
      </c>
      <c r="GO256" s="1142" t="n">
        <v>4.17251245089686</v>
      </c>
      <c r="GP256" s="1143" t="n">
        <f aca="false">GN256*GO256</f>
        <v>50900.6373180871</v>
      </c>
      <c r="GQ256" s="1115"/>
      <c r="GR256" s="1115"/>
      <c r="GS256" s="1115"/>
      <c r="GT256" s="1115"/>
      <c r="GU256" s="1150" t="n">
        <v>5389.47675</v>
      </c>
      <c r="GV256" s="1115" t="n">
        <v>1026.567</v>
      </c>
      <c r="GW256" s="1115" t="n">
        <v>1539.8505</v>
      </c>
      <c r="GX256" s="1115"/>
      <c r="GY256" s="1151" t="n">
        <v>2874.3876</v>
      </c>
      <c r="GZ256" s="1115" t="n">
        <v>547.5024</v>
      </c>
      <c r="HA256" s="1115" t="n">
        <v>821.2536</v>
      </c>
      <c r="HB256" s="1141"/>
      <c r="HC256" s="1115" t="n">
        <v>12199.03785</v>
      </c>
      <c r="HD256" s="1115"/>
      <c r="HE256" s="1115" t="n">
        <v>20950.521525</v>
      </c>
      <c r="HF256" s="1115" t="n">
        <v>741955.069700245</v>
      </c>
      <c r="HG256" s="1115"/>
      <c r="HH256" s="1142" t="n">
        <v>60.4283241147103</v>
      </c>
      <c r="HI256" s="1115" t="n">
        <v>1266004.90508491</v>
      </c>
      <c r="HJ256" s="1150" t="e">
        <f aca="false">MAX(FB256-FP256-FW256,0)</f>
        <v>#VALUE!</v>
      </c>
      <c r="HK256" s="1115" t="e">
        <f aca="false">MAX(FD256-FR256-FX256,0)</f>
        <v>#VALUE!</v>
      </c>
      <c r="HL256" s="1115" t="e">
        <f aca="false">MAX(FF256-FT256-FY256,0)</f>
        <v>#VALUE!</v>
      </c>
      <c r="HM256" s="1141" t="e">
        <f aca="false">MAX(FH256-FV256-FZ256,0)</f>
        <v>#VALUE!</v>
      </c>
      <c r="HN256" s="1115" t="e">
        <f aca="false">SUM(HJ256:HM256)</f>
        <v>#VALUE!</v>
      </c>
      <c r="HO256" s="1142" t="n">
        <f aca="false">IF(ISERROR(+HP256/HN256),0,+HP256/HN256)</f>
        <v>0</v>
      </c>
      <c r="HP256" s="1143" t="e">
        <f aca="false">(HJ256*CE256+HK256*CF256+HL256*CG256+HM256*CH256)</f>
        <v>#VALUE!</v>
      </c>
      <c r="HQ256" s="1142" t="s">
        <v>926</v>
      </c>
      <c r="HR256" s="1150" t="e">
        <f aca="false">SUMIF($A$17:$A$292,HQ256,$GF$17:$GF$292)</f>
        <v>#VALUE!</v>
      </c>
      <c r="HS256" s="1200" t="e">
        <f aca="false">IF(HT256=0,IF(OR(SUMIF(CURVES!$AU$6:$AU$283,$HQ256,CURVES!$BQ$6:$BQ$283)=0,COUNTIF(CURVES!$AU$6:$AU$283,$HQ256)=0),0,SUMIF(CURVES!$AU$6:$AU$283,$HQ256,CURVES!$BQ$6:$BQ$283)/COUNTIF(CURVES!$AU$6:$AU$283,$HQ256)),HT256/HR256)</f>
        <v>#VALUE!</v>
      </c>
      <c r="HT256" s="1141" t="e">
        <f aca="false">SUMIF($A$17:$A$292,HQ256,$GG$17:$GG$292)</f>
        <v>#VALUE!</v>
      </c>
      <c r="HU256" s="1150" t="n">
        <f aca="false">SUMIF($A$17:$A$292,HQ256,$GC$17:$GC$292)</f>
        <v>0</v>
      </c>
      <c r="HV256" s="1200" t="e">
        <f aca="false">IF(HW256=0,0,HW256/Summary!$O$79/HU256)</f>
        <v>#DIV/0!</v>
      </c>
      <c r="HW256" s="1141" t="n">
        <f aca="false">SUMIF($A$17:$A$292,HQ256,$GH$17:$GH$292)</f>
        <v>18928.3933218989</v>
      </c>
      <c r="HX256" s="1200" t="n">
        <f aca="false">IF(OR(SUMIF(CURVES!$AU$6:$AU$283,$HQ256,CURVES!$BQ$6:$BQ$283)=0,COUNTIF(CURVES!$AU$6:$AU$283,$HQ256)=0),0,SUMIF(CURVES!$AU$6:$AU$283,$HQ256,CURVES!$BQ$6:$BQ$283)/COUNTIF(CURVES!$AU$6:$AU$283,$HQ256))</f>
        <v>4.53685070033542</v>
      </c>
      <c r="HY256" s="1200" t="n">
        <f aca="false">IF(OR(SUMIF(CURVES!$AU$6:$AU$283,$HQ256,CURVES!$BR$6:$BR$283)=0,COUNTIF(CURVES!$AU$6:$AU$283,$HQ256)=0),0,SUMIF(CURVES!$AU$6:$AU$283,$HQ256,CURVES!$BR$6:$BR$283)/COUNTIF(CURVES!$AU$6:$AU$283,$HQ256))</f>
        <v>3.5169955769805</v>
      </c>
      <c r="HZ256" s="0"/>
      <c r="IA256" s="1142"/>
      <c r="IB256" s="1142"/>
      <c r="IC256" s="1142"/>
      <c r="ID256" s="1142"/>
      <c r="IE256" s="1142"/>
      <c r="IF256" s="1142"/>
      <c r="IG256" s="1142"/>
      <c r="IH256" s="1142"/>
      <c r="II256" s="1142"/>
      <c r="IJ256" s="1142"/>
      <c r="IK256" s="1142"/>
      <c r="IL256" s="1190"/>
      <c r="IM256" s="222"/>
      <c r="IN256" s="222"/>
      <c r="IR256" s="844"/>
    </row>
    <row r="257" customFormat="false" ht="13.5" hidden="false" customHeight="false" outlineLevel="0" collapsed="false">
      <c r="A257" s="0" t="str">
        <f aca="false">+D257&amp;"Q"&amp;ROUNDUP(E257/3,0)</f>
        <v>2020Q1</v>
      </c>
      <c r="B257" s="0" t="n">
        <f aca="false">YEAR(C257)</f>
        <v>2020</v>
      </c>
      <c r="C257" s="1153" t="n">
        <f aca="false">EOMONTH(C256,0)+1</f>
        <v>43831</v>
      </c>
      <c r="D257" s="841" t="n">
        <f aca="false">+YEAR(C257)</f>
        <v>2020</v>
      </c>
      <c r="E257" s="807" t="n">
        <f aca="false">MONTH(C257)</f>
        <v>1</v>
      </c>
      <c r="F257" s="1154" t="e">
        <f aca="false">IF(G257="","",Holiday(D257,E257))</f>
        <v>#VALUE!</v>
      </c>
      <c r="G257" s="1155" t="n">
        <v>43831</v>
      </c>
      <c r="H257" s="1156" t="n">
        <v>43861</v>
      </c>
      <c r="I257" s="1157" t="n">
        <f aca="false">I256</f>
        <v>0.0715</v>
      </c>
      <c r="J257" s="1158" t="n">
        <f aca="false">(1+I257/2)^(-2*(DATE(D258,E258,20)-$H$7)/365.25)</f>
        <v>0.242217607473986</v>
      </c>
      <c r="K257" s="1159"/>
      <c r="L257" s="1158"/>
      <c r="M257" s="1082" t="n">
        <v>0</v>
      </c>
      <c r="N257" s="1110" t="n">
        <f aca="false">M257</f>
        <v>0</v>
      </c>
      <c r="O257" s="1174" t="n">
        <f aca="false">N257</f>
        <v>0</v>
      </c>
      <c r="P257" s="1175" t="n">
        <f aca="false">M257</f>
        <v>0</v>
      </c>
      <c r="Q257" s="1110" t="n">
        <f aca="false">P257</f>
        <v>0</v>
      </c>
      <c r="R257" s="1174" t="n">
        <f aca="false">Q257</f>
        <v>0</v>
      </c>
      <c r="S257" s="1110" t="n">
        <f aca="false">R257</f>
        <v>0</v>
      </c>
      <c r="T257" s="1110" t="n">
        <f aca="false">S257</f>
        <v>0</v>
      </c>
      <c r="U257" s="1110" t="n">
        <f aca="false">T257</f>
        <v>0</v>
      </c>
      <c r="V257" s="1175" t="n">
        <f aca="false">U257</f>
        <v>0</v>
      </c>
      <c r="W257" s="1110" t="n">
        <f aca="false">V257</f>
        <v>0</v>
      </c>
      <c r="X257" s="1176" t="n">
        <f aca="false">W257</f>
        <v>0</v>
      </c>
      <c r="Y257" s="1086" t="n">
        <v>0</v>
      </c>
      <c r="Z257" s="1086" t="n">
        <v>0</v>
      </c>
      <c r="AA257" s="1087" t="n">
        <v>0</v>
      </c>
      <c r="AB257" s="1086" t="n">
        <v>0</v>
      </c>
      <c r="AC257" s="1086" t="n">
        <v>0</v>
      </c>
      <c r="AD257" s="1087" t="n">
        <v>0</v>
      </c>
      <c r="AE257" s="1086" t="n">
        <v>0</v>
      </c>
      <c r="AF257" s="1086" t="n">
        <v>0</v>
      </c>
      <c r="AG257" s="1087" t="n">
        <v>0</v>
      </c>
      <c r="AH257" s="1086" t="n">
        <v>0</v>
      </c>
      <c r="AI257" s="1086" t="n">
        <v>0</v>
      </c>
      <c r="AJ257" s="1087" t="n">
        <v>0</v>
      </c>
      <c r="AK257" s="1086" t="n">
        <v>0</v>
      </c>
      <c r="AL257" s="1086" t="n">
        <v>0</v>
      </c>
      <c r="AM257" s="1087" t="n">
        <v>0</v>
      </c>
      <c r="AN257" s="1086" t="n">
        <v>0</v>
      </c>
      <c r="AO257" s="1086" t="n">
        <v>0</v>
      </c>
      <c r="AP257" s="1087" t="n">
        <v>0</v>
      </c>
      <c r="AQ257" s="1086" t="n">
        <v>0</v>
      </c>
      <c r="AR257" s="1086" t="n">
        <v>0</v>
      </c>
      <c r="AS257" s="1087" t="n">
        <v>0</v>
      </c>
      <c r="AT257" s="1086" t="n">
        <v>0</v>
      </c>
      <c r="AU257" s="1086" t="n">
        <v>0</v>
      </c>
      <c r="AV257" s="1086" t="n">
        <v>0</v>
      </c>
      <c r="AW257" s="1172" t="n">
        <v>0</v>
      </c>
      <c r="AX257" s="807" t="e">
        <f aca="false">BB257-SUM(AY257:BA257)</f>
        <v>#VALUE!</v>
      </c>
      <c r="AY257" s="807" t="e">
        <f aca="false">IF(AND($E257=MONTH(Summary!$E$24),$D257=YEAR(Summary!$E$24)),Summary!$E$25,1)*IF(G257="",0,INT((H257-MOD(H257,7)-G257)/7)+1-IF(BA257,IF(WEEKDAY(F257)=7,1,0),0))</f>
        <v>#VALUE!</v>
      </c>
      <c r="AZ257" s="807" t="e">
        <f aca="false">IF(AND($E257=MONTH(Summary!$E$24),$D257=YEAR(Summary!$E$24)),Summary!$E$25,1)*IF(G257="",0,INT((H257-MOD(H257-1,7)-G257)/7)+1-IF(BA257,IF(WEEKDAY(F257)=1,1,0),0))</f>
        <v>#VALUE!</v>
      </c>
      <c r="BA257" s="807" t="n">
        <v>1</v>
      </c>
      <c r="BB257" s="807" t="n">
        <f aca="false">IF(AND($E257=MONTH(Summary!$E$24),$D257=YEAR(Summary!$E$24)),Summary!$E$25,1)*IF(G257="",0,H257-G257+1)</f>
        <v>31</v>
      </c>
      <c r="BC257" s="1089" t="n">
        <f aca="false">Summary!$E$19</f>
        <v>0.015</v>
      </c>
      <c r="BD257" s="1090" t="n">
        <v>15602.4</v>
      </c>
      <c r="BE257" s="1091" t="n">
        <v>2836.8</v>
      </c>
      <c r="BF257" s="1091" t="n">
        <v>3546</v>
      </c>
      <c r="BG257" s="842"/>
      <c r="BH257" s="1092" t="n">
        <v>1</v>
      </c>
      <c r="BI257" s="1092" t="n">
        <v>1</v>
      </c>
      <c r="BJ257" s="1092" t="n">
        <v>1</v>
      </c>
      <c r="BK257" s="1092" t="n">
        <v>1</v>
      </c>
      <c r="BL257" s="1093" t="n">
        <v>3120.48</v>
      </c>
      <c r="BM257" s="1091" t="n">
        <v>567.36</v>
      </c>
      <c r="BN257" s="1091" t="n">
        <v>709.2</v>
      </c>
      <c r="BO257" s="842"/>
      <c r="BP257" s="1092" t="n">
        <v>1</v>
      </c>
      <c r="BQ257" s="1094" t="n">
        <v>1</v>
      </c>
      <c r="BR257" s="1094" t="n">
        <v>1</v>
      </c>
      <c r="BS257" s="1095" t="n">
        <v>1</v>
      </c>
      <c r="BT257" s="1093" t="n">
        <f aca="false">SUM(BD257:BF257)</f>
        <v>21985.2</v>
      </c>
      <c r="BU257" s="1098" t="n">
        <f aca="false">SUM(BD257:BG257)</f>
        <v>21985.2</v>
      </c>
      <c r="BV257" s="1090" t="n">
        <f aca="false">SUM(BL257:BN257)</f>
        <v>4397.04</v>
      </c>
      <c r="BW257" s="1098" t="n">
        <f aca="false">SUM(BL257:BO257)</f>
        <v>4397.04</v>
      </c>
      <c r="BX257" s="852" t="n">
        <v>20.0465434633812</v>
      </c>
      <c r="BY257" s="1099" t="n">
        <v>0</v>
      </c>
      <c r="BZ257" s="852" t="n">
        <v>0</v>
      </c>
      <c r="CA257" s="852" t="n">
        <v>0</v>
      </c>
      <c r="CB257" s="852" t="n">
        <v>0</v>
      </c>
      <c r="CC257" s="852" t="n">
        <v>0</v>
      </c>
      <c r="CD257" s="852" t="n">
        <v>0</v>
      </c>
      <c r="CE257" s="1100" t="n">
        <v>0</v>
      </c>
      <c r="CF257" s="852" t="n">
        <v>0</v>
      </c>
      <c r="CG257" s="852" t="n">
        <v>0</v>
      </c>
      <c r="CH257" s="852" t="n">
        <v>0</v>
      </c>
      <c r="CI257" s="852" t="n">
        <v>0</v>
      </c>
      <c r="CJ257" s="1101" t="n">
        <v>0</v>
      </c>
      <c r="CK257" s="852" t="n">
        <v>0</v>
      </c>
      <c r="CL257" s="852" t="n">
        <v>0</v>
      </c>
      <c r="CM257" s="852" t="n">
        <v>0</v>
      </c>
      <c r="CN257" s="852" t="n">
        <v>0</v>
      </c>
      <c r="CO257" s="852" t="n">
        <v>0</v>
      </c>
      <c r="CP257" s="852" t="n">
        <v>0</v>
      </c>
      <c r="CQ257" s="1102" t="n">
        <v>0</v>
      </c>
      <c r="CR257" s="1103" t="n">
        <v>0</v>
      </c>
      <c r="CS257" s="1103" t="n">
        <v>0</v>
      </c>
      <c r="CT257" s="1103" t="n">
        <v>0</v>
      </c>
      <c r="CU257" s="1103" t="n">
        <v>0</v>
      </c>
      <c r="CV257" s="1103" t="n">
        <v>0</v>
      </c>
      <c r="CW257" s="1103" t="n">
        <v>0</v>
      </c>
      <c r="CX257" s="1104" t="n">
        <v>0</v>
      </c>
      <c r="CY257" s="1105" t="n">
        <v>7763.51704</v>
      </c>
      <c r="CZ257" s="1099" t="n">
        <v>0</v>
      </c>
      <c r="DA257" s="852" t="n">
        <v>0</v>
      </c>
      <c r="DB257" s="852" t="n">
        <v>0</v>
      </c>
      <c r="DC257" s="852" t="n">
        <v>0</v>
      </c>
      <c r="DD257" s="852" t="n">
        <v>0</v>
      </c>
      <c r="DE257" s="1113" t="n">
        <v>0</v>
      </c>
      <c r="DF257" s="1109" t="n">
        <v>0</v>
      </c>
      <c r="DG257" s="1110" t="n">
        <v>0</v>
      </c>
      <c r="DH257" s="1111" t="n">
        <v>0</v>
      </c>
      <c r="DI257" s="1112" t="n">
        <v>0</v>
      </c>
      <c r="DJ257" s="1112" t="n">
        <v>0</v>
      </c>
      <c r="DK257" s="1112" t="n">
        <v>0</v>
      </c>
      <c r="DL257" s="1113" t="n">
        <v>0</v>
      </c>
      <c r="DM257" s="1114" t="n">
        <v>0</v>
      </c>
      <c r="DN257" s="1114" t="n">
        <v>0</v>
      </c>
      <c r="DO257" s="1114" t="n">
        <v>0</v>
      </c>
      <c r="DP257" s="1114" t="n">
        <v>0</v>
      </c>
      <c r="DQ257" s="1114" t="n">
        <v>0</v>
      </c>
      <c r="DR257" s="1109" t="n">
        <v>0</v>
      </c>
      <c r="DS257" s="852" t="n">
        <v>0</v>
      </c>
      <c r="DT257" s="852" t="n">
        <v>0</v>
      </c>
      <c r="DU257" s="852" t="n">
        <v>0</v>
      </c>
      <c r="DV257" s="852" t="n">
        <v>0</v>
      </c>
      <c r="DW257" s="852" t="n">
        <v>0</v>
      </c>
      <c r="DX257" s="852" t="n">
        <v>0</v>
      </c>
      <c r="DY257" s="852" t="n">
        <v>0</v>
      </c>
      <c r="DZ257" s="852" t="n">
        <v>0</v>
      </c>
      <c r="EA257" s="852" t="n">
        <v>0</v>
      </c>
      <c r="EB257" s="1113" t="n">
        <v>0</v>
      </c>
      <c r="EC257" s="1115" t="n">
        <f aca="false">DS257*BD257</f>
        <v>0</v>
      </c>
      <c r="ED257" s="1115" t="n">
        <f aca="false">DT257*BE257</f>
        <v>0</v>
      </c>
      <c r="EE257" s="1115" t="n">
        <f aca="false">DU257*BF257</f>
        <v>0</v>
      </c>
      <c r="EF257" s="1115" t="n">
        <f aca="false">DV257*BG257</f>
        <v>0</v>
      </c>
      <c r="EG257" s="1115" t="n">
        <f aca="false">DS257*BD257+DT257*BE257+DU257*BF257+DV257*BG257</f>
        <v>0</v>
      </c>
      <c r="EH257" s="1116" t="n">
        <v>0</v>
      </c>
      <c r="EI257" s="1117" t="n">
        <v>0</v>
      </c>
      <c r="EJ257" s="1117" t="n">
        <v>0</v>
      </c>
      <c r="EK257" s="1117" t="n">
        <v>0</v>
      </c>
      <c r="EL257" s="1118" t="n">
        <f aca="false">IF(C257&gt;=Summary!$E$26,MAX(0,SUM(EH257:EK257)),0)</f>
        <v>0</v>
      </c>
      <c r="EM257" s="1115" t="n">
        <f aca="false">IF(C257&gt;=Summary!$E$26,DX257*BL257,0)</f>
        <v>0</v>
      </c>
      <c r="EN257" s="1115" t="n">
        <f aca="false">IF(C257&gt;=Summary!$E$26,DY257*BM257,0)</f>
        <v>0</v>
      </c>
      <c r="EO257" s="1115" t="n">
        <f aca="false">IF(C257&gt;=Summary!$E$26,DZ257*BN257,0)</f>
        <v>0</v>
      </c>
      <c r="EP257" s="1115" t="n">
        <f aca="false">IF(C257&gt;=Summary!$E$26,EA257*BO257,0)</f>
        <v>0</v>
      </c>
      <c r="EQ257" s="1115" t="n">
        <f aca="false">IF(C257&gt;=Summary!$E$26,DX257*BL257+DY257*BM257+DZ257*BN257+EA257*BO257,0)</f>
        <v>0</v>
      </c>
      <c r="ER257" s="1119" t="n">
        <v>0</v>
      </c>
      <c r="ES257" s="1120" t="n">
        <v>0</v>
      </c>
      <c r="ET257" s="1120" t="n">
        <v>0</v>
      </c>
      <c r="EU257" s="1120" t="n">
        <v>0</v>
      </c>
      <c r="EV257" s="1143" t="n">
        <f aca="false">IF(C257&gt;=Summary!$E$26,MAX(0,SUM(ER257:EU257)),0)</f>
        <v>0</v>
      </c>
      <c r="EW257" s="1115"/>
      <c r="EX257" s="1165" t="n">
        <f aca="false">(EQ257-EV257)+IF(EZ257="Yes",(EG257-EL257),0)</f>
        <v>0</v>
      </c>
      <c r="EY257" s="1166" t="str">
        <f aca="false">IF(EX257,EX257/EQ257,"")</f>
        <v/>
      </c>
      <c r="EZ257" s="1122" t="s">
        <v>37</v>
      </c>
      <c r="FA257" s="1096" t="n">
        <f aca="false">FA256</f>
        <v>45</v>
      </c>
      <c r="FB257" s="1167" t="e">
        <f aca="false">IF(EZ257="No",IF((OR(MONTH(C257)=5,MONTH(C257)=6,MONTH(C257)=7,MONTH(C257)=8,MONTH(C257)=9)),$FA257*12*AX257*(1-$BC257),$FA257*10*AX257*(1-$BC257)),0)</f>
        <v>#VALUE!</v>
      </c>
      <c r="FC257" s="1129" t="e">
        <f aca="false">IF(EZ257="No",IF((OR(MONTH(C257)=5,MONTH(C257)=6,MONTH(C257)=7,MONTH(C257)=8,MONTH(C257)=9)),0,$FA257*3*AX257*(1-$BC257)),0)</f>
        <v>#VALUE!</v>
      </c>
      <c r="FD257" s="1129" t="e">
        <f aca="false">IF(EZ257="No",IF((OR(MONTH(C257)=5,MONTH(C257)=6,MONTH(C257)=7,MONTH(C257)=8,MONTH(C257)=9)),$FA257*12*AY257*(1-$BC257),$FA257*10*AY257*(1-$BC257)),0)</f>
        <v>#VALUE!</v>
      </c>
      <c r="FE257" s="1129" t="e">
        <f aca="false">IF(EZ257="No",IF((OR(MONTH(C257)=5,MONTH(C257)=6,MONTH(C257)=7,MONTH(C257)=8,MONTH(C257)=9)),0,$FA257*3*AY257*(1-$BC257)),0)</f>
        <v>#VALUE!</v>
      </c>
      <c r="FF257" s="1129" t="e">
        <f aca="false">IF(EZ257="No",IF((OR(MONTH(C257)=5,MONTH(C257)=6,MONTH(C257)=7,MONTH(C257)=8,MONTH(C257)=9)),$FA257*12*(AZ257+BA257)*(1-$BC257),$FA257*10*(AZ257+BA257)*(1-$BC257)),0)</f>
        <v>#VALUE!</v>
      </c>
      <c r="FG257" s="1129" t="e">
        <f aca="false">IF(EZ257="No",IF((OR(MONTH(C257)=5,MONTH(C257)=6,MONTH(C257)=7,MONTH(C257)=8,MONTH(C257)=9)),0,$FA257*3*(AZ257+BA257)*(1-$BC257)),0)</f>
        <v>#VALUE!</v>
      </c>
      <c r="FH257" s="1170" t="e">
        <f aca="false">IF(EZ257="No",IF((OR(MONTH(C257)=5,MONTH(C257)=6,MONTH(C257)=7,MONTH(C257)=8,MONTH(C257)=9)),Summary!$O$15*12*(AX257+AY257+AZ257+BA257)*(1-$BC257),Summary!$O$15*13*(AX257+AY257+AZ257+BA257)*(1-$BC257)+IF(Summary!$O$16="Yes",(CALC!FA257+Summary!$O$15)*6*(AX257+AY257+AZ257+BA257)*(1-$BC257),0)),0)</f>
        <v>#VALUE!</v>
      </c>
      <c r="FI257" s="1126" t="n">
        <f aca="false">IF(MONTH(C257)=5,FI256*(IF(Summary!$E$70="no",(1+(Summary!$E$71*0.8)),1+HLOOKUP(YEAR(C257)-1,CCFMODEL!$I$127:$AF$128,2)*0.8)),+FI256)</f>
        <v>42.7486893662432</v>
      </c>
      <c r="FJ257" s="1127" t="n">
        <f aca="false">IF(MONTH(C257)=5,FJ256*(IF(Summary!$E$70="no",(1+(Summary!$E$71*0.8)),1+HLOOKUP(YEAR(CALC!C257)-1,CCFMODEL!$I$127:$AF$128,2)*0.8)),FJ256)</f>
        <v>37.3630277138031</v>
      </c>
      <c r="FK257" s="1128" t="e">
        <f aca="false">SUM(FB257:FG257)*FI257+FH257*FJ257</f>
        <v>#VALUE!</v>
      </c>
      <c r="FL257" s="1126" t="n">
        <f aca="false">IF(MONTH(C257)=5,FL256*(IF(Summary!$E$70="no",(1+(Summary!$E$71*0.8)),1+HLOOKUP(YEAR(CALC!C257)-1,CCFMODEL!$I$127:$AF$128,2)*0.8)),+FL256)</f>
        <v>89.9052863349299</v>
      </c>
      <c r="FM257" s="1127" t="n">
        <f aca="false">IF(MONTH(C257)=5,FM256*(IF(Summary!$E$70="no",(1+(Summary!$E$71*0.8)),1+HLOOKUP(YEAR(CALC!C257)-1,CCFMODEL!$I$127:$AF$128,2)*0.8)),+FM256)</f>
        <v>42.908976915423</v>
      </c>
      <c r="FN257" s="1128" t="e">
        <f aca="false">IF((OR(MONTH(C257)=5,MONTH(C257)=6,MONTH(C257)=7,MONTH(C257)=8,MONTH(C257)=9)),SUM(FB257:FG257)/(1-BC257)*FL257,SUM(FB257:FG257)/(1-BC257)*FM257)</f>
        <v>#VALUE!</v>
      </c>
      <c r="FO257" s="1129" t="e">
        <f aca="false">FK257+FN257</f>
        <v>#VALUE!</v>
      </c>
      <c r="FP257" s="1169" t="e">
        <f aca="false">FB257</f>
        <v>#VALUE!</v>
      </c>
      <c r="FQ257" s="1129" t="e">
        <f aca="false">FC257</f>
        <v>#VALUE!</v>
      </c>
      <c r="FR257" s="1129" t="e">
        <f aca="false">FD257</f>
        <v>#VALUE!</v>
      </c>
      <c r="FS257" s="1129" t="e">
        <f aca="false">FE257</f>
        <v>#VALUE!</v>
      </c>
      <c r="FT257" s="1129" t="e">
        <f aca="false">FF257</f>
        <v>#VALUE!</v>
      </c>
      <c r="FU257" s="1129" t="e">
        <f aca="false">FG257</f>
        <v>#VALUE!</v>
      </c>
      <c r="FV257" s="1170" t="e">
        <f aca="false">FH257</f>
        <v>#VALUE!</v>
      </c>
      <c r="FW257" s="1115" t="n">
        <f aca="false">IF(ER257&gt;0,MIN(FB257-FP257,BL257),0)</f>
        <v>0</v>
      </c>
      <c r="FX257" s="1115" t="n">
        <f aca="false">IF(ES257&gt;0,MIN(FD257-FR257,BM257),0)</f>
        <v>0</v>
      </c>
      <c r="FY257" s="1115" t="n">
        <f aca="false">IF(ET257&gt;0,MIN(FF257-FT257,BN257),0)</f>
        <v>0</v>
      </c>
      <c r="FZ257" s="1143" t="n">
        <f aca="false">IF(EU257&gt;0,MIN(FH257-FV257,BO257),0)</f>
        <v>0</v>
      </c>
      <c r="GA257" s="1132" t="e">
        <f aca="false">(SUM(FP257:FV257)+SUM(GU257:HB257)/(1-Summary!$O$25))*CY257/1000</f>
        <v>#VALUE!</v>
      </c>
      <c r="GB257" s="1133" t="n">
        <f aca="false">IF($C257&lt;Summary!$M$81,+Summary!$O$81,VLOOKUP(C257,GasTable,19))</f>
        <v>4.36859174031781</v>
      </c>
      <c r="GC257" s="1134" t="n">
        <f aca="false">IF(H257&lt;=Summary!$N$84,MIN(GA257,Summary!$O$75*(H257-G257+1)),0)</f>
        <v>0</v>
      </c>
      <c r="GD257" s="1135" t="n">
        <f aca="false">IF(C257&lt;Summary!$N$84,IF(Summary!$O$75*(H257-G257+1)*0.8&gt;GC257,1,0),0)</f>
        <v>0</v>
      </c>
      <c r="GE257" s="1136" t="n">
        <v>0</v>
      </c>
      <c r="GF257" s="1134" t="e">
        <f aca="false">ABS(MIN(0,GC257-$GA257))</f>
        <v>#VALUE!</v>
      </c>
      <c r="GG257" s="1135" t="e">
        <f aca="false">GF257*(IF(Summary!$O$74=1,VLOOKUP($C257,GasTable,16)+Summary!$O$92+Summary!$O$93,VLOOKUP($C257,GasTable,19)+Summary!$O$92+Summary!$O$93))</f>
        <v>#VALUE!</v>
      </c>
      <c r="GH257" s="1137" t="n">
        <v>6771.31719749261</v>
      </c>
      <c r="GI257" s="1138" t="n">
        <v>0</v>
      </c>
      <c r="GJ257" s="1139" t="e">
        <f aca="false">+GB257*GC257+GE257+GG257+GH257-GI257</f>
        <v>#VALUE!</v>
      </c>
      <c r="GK257" s="1115" t="e">
        <f aca="false">SUM(FP257:FV257,GU257:GX257,GY257:HB257)</f>
        <v>#VALUE!</v>
      </c>
      <c r="GL257" s="1140" t="n">
        <v>0.52015564168</v>
      </c>
      <c r="GM257" s="1141" t="e">
        <f aca="false">IF(GK257&gt;GC257/(CY257/1000),GC257/(CY257/1000),+GK257)*GL257</f>
        <v>#VALUE!</v>
      </c>
      <c r="GN257" s="1115" t="n">
        <f aca="false">IF(SUM(GU257:HB257)=0,0,IF(Summary!$O$16="Yes",SUM(GX257:HB257),IF(Summary!$O$17="Yes",SUM(GY257:HB257),SUM(GU257:HB257))))</f>
        <v>12199.03785</v>
      </c>
      <c r="GO257" s="1142" t="n">
        <v>4.29768782442377</v>
      </c>
      <c r="GP257" s="1143" t="n">
        <f aca="false">GN257*GO257</f>
        <v>52427.6564376297</v>
      </c>
      <c r="GQ257" s="1115"/>
      <c r="GR257" s="1115"/>
      <c r="GS257" s="1115"/>
      <c r="GT257" s="1115"/>
      <c r="GU257" s="1150" t="n">
        <v>5646.1185</v>
      </c>
      <c r="GV257" s="1115" t="n">
        <v>1026.567</v>
      </c>
      <c r="GW257" s="1115" t="n">
        <v>1283.20875</v>
      </c>
      <c r="GX257" s="1115"/>
      <c r="GY257" s="1151" t="n">
        <v>3011.2632</v>
      </c>
      <c r="GZ257" s="1115" t="n">
        <v>547.5024</v>
      </c>
      <c r="HA257" s="1115" t="n">
        <v>684.378</v>
      </c>
      <c r="HB257" s="1141"/>
      <c r="HC257" s="1115" t="n">
        <v>12199.03785</v>
      </c>
      <c r="HD257" s="1115"/>
      <c r="HE257" s="1115" t="n">
        <v>20950.521525</v>
      </c>
      <c r="HF257" s="1115" t="n">
        <v>696283.064986063</v>
      </c>
      <c r="HG257" s="1115"/>
      <c r="HH257" s="1142" t="n">
        <v>56.6398101726024</v>
      </c>
      <c r="HI257" s="1115" t="n">
        <v>1186633.56219302</v>
      </c>
      <c r="HJ257" s="1150" t="e">
        <f aca="false">MAX(FB257-FP257-FW257,0)</f>
        <v>#VALUE!</v>
      </c>
      <c r="HK257" s="1115" t="e">
        <f aca="false">MAX(FD257-FR257-FX257,0)</f>
        <v>#VALUE!</v>
      </c>
      <c r="HL257" s="1115" t="e">
        <f aca="false">MAX(FF257-FT257-FY257,0)</f>
        <v>#VALUE!</v>
      </c>
      <c r="HM257" s="1141" t="e">
        <f aca="false">MAX(FH257-FV257-FZ257,0)</f>
        <v>#VALUE!</v>
      </c>
      <c r="HN257" s="1115" t="e">
        <f aca="false">SUM(HJ257:HM257)</f>
        <v>#VALUE!</v>
      </c>
      <c r="HO257" s="1142" t="n">
        <f aca="false">IF(ISERROR(+HP257/HN257),0,+HP257/HN257)</f>
        <v>0</v>
      </c>
      <c r="HP257" s="1143" t="e">
        <f aca="false">(HJ257*CE257+HK257*CF257+HL257*CG257+HM257*CH257)</f>
        <v>#VALUE!</v>
      </c>
      <c r="HQ257" s="1142" t="s">
        <v>927</v>
      </c>
      <c r="HR257" s="1150" t="e">
        <f aca="false">SUMIF($A$17:$A$292,HQ257,$GF$17:$GF$292)</f>
        <v>#VALUE!</v>
      </c>
      <c r="HS257" s="1200" t="e">
        <f aca="false">IF(HT257=0,IF(OR(SUMIF(CURVES!$AU$6:$AU$283,$HQ257,CURVES!$BQ$6:$BQ$283)=0,COUNTIF(CURVES!$AU$6:$AU$283,$HQ257)=0),0,SUMIF(CURVES!$AU$6:$AU$283,$HQ257,CURVES!$BQ$6:$BQ$283)/COUNTIF(CURVES!$AU$6:$AU$283,$HQ257)),HT257/HR257)</f>
        <v>#VALUE!</v>
      </c>
      <c r="HT257" s="1141" t="e">
        <f aca="false">SUMIF($A$17:$A$292,HQ257,$GG$17:$GG$292)</f>
        <v>#VALUE!</v>
      </c>
      <c r="HU257" s="1150" t="n">
        <f aca="false">SUMIF($A$17:$A$292,HQ257,$GC$17:$GC$292)</f>
        <v>0</v>
      </c>
      <c r="HV257" s="1200" t="e">
        <f aca="false">IF(HW257=0,0,HW257/Summary!$O$79/HU257)</f>
        <v>#DIV/0!</v>
      </c>
      <c r="HW257" s="1141" t="n">
        <f aca="false">SUMIF($A$17:$A$292,HQ257,$GH$17:$GH$292)</f>
        <v>17090.420176271</v>
      </c>
      <c r="HX257" s="1200" t="n">
        <f aca="false">IF(OR(SUMIF(CURVES!$AU$6:$AU$283,$HQ257,CURVES!$BQ$6:$BQ$283)=0,COUNTIF(CURVES!$AU$6:$AU$283,$HQ257)=0),0,SUMIF(CURVES!$AU$6:$AU$283,$HQ257,CURVES!$BQ$6:$BQ$283)/COUNTIF(CURVES!$AU$6:$AU$283,$HQ257))</f>
        <v>4.34272226641498</v>
      </c>
      <c r="HY257" s="1200" t="n">
        <f aca="false">IF(OR(SUMIF(CURVES!$AU$6:$AU$283,$HQ257,CURVES!$BR$6:$BR$283)=0,COUNTIF(CURVES!$AU$6:$AU$283,$HQ257)=0),0,SUMIF(CURVES!$AU$6:$AU$283,$HQ257,CURVES!$BR$6:$BR$283)/COUNTIF(CURVES!$AU$6:$AU$283,$HQ257))</f>
        <v>3.56885651371962</v>
      </c>
      <c r="HZ257" s="0"/>
      <c r="IA257" s="1142"/>
      <c r="IB257" s="1142"/>
      <c r="IC257" s="1142"/>
      <c r="ID257" s="1142"/>
      <c r="IE257" s="1142"/>
      <c r="IF257" s="1142"/>
      <c r="IG257" s="1142"/>
      <c r="IH257" s="1142"/>
      <c r="II257" s="1142"/>
      <c r="IJ257" s="1142"/>
      <c r="IK257" s="1142"/>
      <c r="IL257" s="1190"/>
      <c r="IM257" s="222"/>
      <c r="IN257" s="222"/>
      <c r="IR257" s="844"/>
    </row>
    <row r="258" customFormat="false" ht="13.5" hidden="false" customHeight="false" outlineLevel="0" collapsed="false">
      <c r="A258" s="0" t="str">
        <f aca="false">+D258&amp;"Q"&amp;ROUNDUP(E258/3,0)</f>
        <v>2020Q1</v>
      </c>
      <c r="B258" s="0" t="n">
        <f aca="false">YEAR(C258)</f>
        <v>2020</v>
      </c>
      <c r="C258" s="1153" t="n">
        <f aca="false">EOMONTH(C257,0)+1</f>
        <v>43862</v>
      </c>
      <c r="D258" s="841" t="n">
        <f aca="false">+YEAR(C258)</f>
        <v>2020</v>
      </c>
      <c r="E258" s="807" t="n">
        <f aca="false">MONTH(C258)</f>
        <v>2</v>
      </c>
      <c r="F258" s="1154" t="e">
        <f aca="false">IF(G258="","",Holiday(D258,E258))</f>
        <v>#VALUE!</v>
      </c>
      <c r="G258" s="1155" t="n">
        <v>43862</v>
      </c>
      <c r="H258" s="1156" t="n">
        <v>43890</v>
      </c>
      <c r="I258" s="1157" t="n">
        <f aca="false">I257</f>
        <v>0.0715</v>
      </c>
      <c r="J258" s="1158" t="n">
        <f aca="false">(1+I258/2)^(-2*(DATE(D259,E259,20)-$H$7)/365.25)</f>
        <v>0.24087032368657</v>
      </c>
      <c r="K258" s="1159"/>
      <c r="L258" s="1158"/>
      <c r="M258" s="1082" t="n">
        <v>0</v>
      </c>
      <c r="N258" s="1110" t="n">
        <f aca="false">M258</f>
        <v>0</v>
      </c>
      <c r="O258" s="1174" t="n">
        <f aca="false">N258</f>
        <v>0</v>
      </c>
      <c r="P258" s="1175" t="n">
        <f aca="false">M258</f>
        <v>0</v>
      </c>
      <c r="Q258" s="1110" t="n">
        <f aca="false">P258</f>
        <v>0</v>
      </c>
      <c r="R258" s="1174" t="n">
        <f aca="false">Q258</f>
        <v>0</v>
      </c>
      <c r="S258" s="1110" t="n">
        <f aca="false">R258</f>
        <v>0</v>
      </c>
      <c r="T258" s="1110" t="n">
        <f aca="false">S258</f>
        <v>0</v>
      </c>
      <c r="U258" s="1110" t="n">
        <f aca="false">T258</f>
        <v>0</v>
      </c>
      <c r="V258" s="1175" t="n">
        <f aca="false">U258</f>
        <v>0</v>
      </c>
      <c r="W258" s="1110" t="n">
        <f aca="false">V258</f>
        <v>0</v>
      </c>
      <c r="X258" s="1176" t="n">
        <f aca="false">W258</f>
        <v>0</v>
      </c>
      <c r="Y258" s="1086" t="n">
        <v>0</v>
      </c>
      <c r="Z258" s="1086" t="n">
        <v>0</v>
      </c>
      <c r="AA258" s="1087" t="n">
        <v>0</v>
      </c>
      <c r="AB258" s="1086" t="n">
        <v>0</v>
      </c>
      <c r="AC258" s="1086" t="n">
        <v>0</v>
      </c>
      <c r="AD258" s="1087" t="n">
        <v>0</v>
      </c>
      <c r="AE258" s="1086" t="n">
        <v>0</v>
      </c>
      <c r="AF258" s="1086" t="n">
        <v>0</v>
      </c>
      <c r="AG258" s="1087" t="n">
        <v>0</v>
      </c>
      <c r="AH258" s="1086" t="n">
        <v>0</v>
      </c>
      <c r="AI258" s="1086" t="n">
        <v>0</v>
      </c>
      <c r="AJ258" s="1087" t="n">
        <v>0</v>
      </c>
      <c r="AK258" s="1086" t="n">
        <v>0</v>
      </c>
      <c r="AL258" s="1086" t="n">
        <v>0</v>
      </c>
      <c r="AM258" s="1087" t="n">
        <v>0</v>
      </c>
      <c r="AN258" s="1086" t="n">
        <v>0</v>
      </c>
      <c r="AO258" s="1086" t="n">
        <v>0</v>
      </c>
      <c r="AP258" s="1087" t="n">
        <v>0</v>
      </c>
      <c r="AQ258" s="1086" t="n">
        <v>0</v>
      </c>
      <c r="AR258" s="1086" t="n">
        <v>0</v>
      </c>
      <c r="AS258" s="1087" t="n">
        <v>0</v>
      </c>
      <c r="AT258" s="1086" t="n">
        <v>0</v>
      </c>
      <c r="AU258" s="1086" t="n">
        <v>0</v>
      </c>
      <c r="AV258" s="1086" t="n">
        <v>0</v>
      </c>
      <c r="AW258" s="1172" t="n">
        <v>0</v>
      </c>
      <c r="AX258" s="807" t="n">
        <f aca="false">BB258-SUM(AY258:BA258)</f>
        <v>20</v>
      </c>
      <c r="AY258" s="807" t="n">
        <f aca="false">IF(AND($E258=MONTH(Summary!$E$24),$D258=YEAR(Summary!$E$24)),Summary!$E$25,1)*IF(G258="",0,INT((H258-MOD(H258,7)-G258)/7)+1-IF(BA258,IF(WEEKDAY(F258)=7,1,0),0))</f>
        <v>5</v>
      </c>
      <c r="AZ258" s="807" t="n">
        <f aca="false">IF(AND($E258=MONTH(Summary!$E$24),$D258=YEAR(Summary!$E$24)),Summary!$E$25,1)*IF(G258="",0,INT((H258-MOD(H258-1,7)-G258)/7)+1-IF(BA258,IF(WEEKDAY(F258)=1,1,0),0))</f>
        <v>4</v>
      </c>
      <c r="BA258" s="807" t="n">
        <v>0</v>
      </c>
      <c r="BB258" s="807" t="n">
        <f aca="false">IF(AND($E258=MONTH(Summary!$E$24),$D258=YEAR(Summary!$E$24)),Summary!$E$25,1)*IF(G258="",0,H258-G258+1)</f>
        <v>29</v>
      </c>
      <c r="BC258" s="1089" t="n">
        <f aca="false">Summary!$E$19</f>
        <v>0.015</v>
      </c>
      <c r="BD258" s="1090" t="n">
        <v>14184</v>
      </c>
      <c r="BE258" s="1091" t="n">
        <v>3546</v>
      </c>
      <c r="BF258" s="1091" t="n">
        <v>2836.8</v>
      </c>
      <c r="BG258" s="842"/>
      <c r="BH258" s="1092" t="n">
        <v>1</v>
      </c>
      <c r="BI258" s="1092" t="n">
        <v>1</v>
      </c>
      <c r="BJ258" s="1092" t="n">
        <v>1</v>
      </c>
      <c r="BK258" s="1092" t="n">
        <v>1</v>
      </c>
      <c r="BL258" s="1093" t="n">
        <v>2836.8</v>
      </c>
      <c r="BM258" s="1091" t="n">
        <v>709.2</v>
      </c>
      <c r="BN258" s="1091" t="n">
        <v>567.36</v>
      </c>
      <c r="BO258" s="842"/>
      <c r="BP258" s="1092" t="n">
        <v>1</v>
      </c>
      <c r="BQ258" s="1094" t="n">
        <v>1</v>
      </c>
      <c r="BR258" s="1094" t="n">
        <v>1</v>
      </c>
      <c r="BS258" s="1095" t="n">
        <v>1</v>
      </c>
      <c r="BT258" s="1093" t="n">
        <f aca="false">SUM(BD258:BF258)</f>
        <v>20566.8</v>
      </c>
      <c r="BU258" s="1098" t="n">
        <f aca="false">SUM(BD258:BG258)</f>
        <v>20566.8</v>
      </c>
      <c r="BV258" s="1090" t="n">
        <f aca="false">SUM(BL258:BN258)</f>
        <v>4113.36</v>
      </c>
      <c r="BW258" s="1098" t="n">
        <f aca="false">SUM(BL258:BO258)</f>
        <v>4113.36</v>
      </c>
      <c r="BX258" s="852" t="n">
        <v>20.1314168377823</v>
      </c>
      <c r="BY258" s="1099" t="n">
        <v>0</v>
      </c>
      <c r="BZ258" s="852" t="n">
        <v>0</v>
      </c>
      <c r="CA258" s="852" t="n">
        <v>0</v>
      </c>
      <c r="CB258" s="852" t="n">
        <v>0</v>
      </c>
      <c r="CC258" s="852" t="n">
        <v>0</v>
      </c>
      <c r="CD258" s="852" t="n">
        <v>0</v>
      </c>
      <c r="CE258" s="1100" t="n">
        <v>0</v>
      </c>
      <c r="CF258" s="852" t="n">
        <v>0</v>
      </c>
      <c r="CG258" s="852" t="n">
        <v>0</v>
      </c>
      <c r="CH258" s="852" t="n">
        <v>0</v>
      </c>
      <c r="CI258" s="852" t="n">
        <v>0</v>
      </c>
      <c r="CJ258" s="1101" t="n">
        <v>0</v>
      </c>
      <c r="CK258" s="852" t="n">
        <v>0</v>
      </c>
      <c r="CL258" s="852" t="n">
        <v>0</v>
      </c>
      <c r="CM258" s="852" t="n">
        <v>0</v>
      </c>
      <c r="CN258" s="852" t="n">
        <v>0</v>
      </c>
      <c r="CO258" s="852" t="n">
        <v>0</v>
      </c>
      <c r="CP258" s="852" t="n">
        <v>0</v>
      </c>
      <c r="CQ258" s="1102" t="n">
        <v>0</v>
      </c>
      <c r="CR258" s="1103" t="n">
        <v>0</v>
      </c>
      <c r="CS258" s="1103" t="n">
        <v>0</v>
      </c>
      <c r="CT258" s="1103" t="n">
        <v>0</v>
      </c>
      <c r="CU258" s="1103" t="n">
        <v>0</v>
      </c>
      <c r="CV258" s="1103" t="n">
        <v>0</v>
      </c>
      <c r="CW258" s="1103" t="n">
        <v>0</v>
      </c>
      <c r="CX258" s="1104" t="n">
        <v>0</v>
      </c>
      <c r="CY258" s="1105" t="n">
        <v>7765.548</v>
      </c>
      <c r="CZ258" s="1099" t="n">
        <v>0</v>
      </c>
      <c r="DA258" s="852" t="n">
        <v>0</v>
      </c>
      <c r="DB258" s="852" t="n">
        <v>0</v>
      </c>
      <c r="DC258" s="852" t="n">
        <v>0</v>
      </c>
      <c r="DD258" s="852" t="n">
        <v>0</v>
      </c>
      <c r="DE258" s="1113" t="n">
        <v>0</v>
      </c>
      <c r="DF258" s="1109" t="n">
        <v>0</v>
      </c>
      <c r="DG258" s="1110" t="n">
        <v>0</v>
      </c>
      <c r="DH258" s="1111" t="n">
        <v>0</v>
      </c>
      <c r="DI258" s="1112" t="n">
        <v>0</v>
      </c>
      <c r="DJ258" s="1112" t="n">
        <v>0</v>
      </c>
      <c r="DK258" s="1112" t="n">
        <v>0</v>
      </c>
      <c r="DL258" s="1113" t="n">
        <v>0</v>
      </c>
      <c r="DM258" s="1114" t="n">
        <v>0</v>
      </c>
      <c r="DN258" s="1114" t="n">
        <v>0</v>
      </c>
      <c r="DO258" s="1114" t="n">
        <v>0</v>
      </c>
      <c r="DP258" s="1114" t="n">
        <v>0</v>
      </c>
      <c r="DQ258" s="1114" t="n">
        <v>0</v>
      </c>
      <c r="DR258" s="1109" t="n">
        <v>0</v>
      </c>
      <c r="DS258" s="852" t="n">
        <v>0</v>
      </c>
      <c r="DT258" s="852" t="n">
        <v>0</v>
      </c>
      <c r="DU258" s="852" t="n">
        <v>0</v>
      </c>
      <c r="DV258" s="852" t="n">
        <v>0</v>
      </c>
      <c r="DW258" s="852" t="n">
        <v>0</v>
      </c>
      <c r="DX258" s="852" t="n">
        <v>0</v>
      </c>
      <c r="DY258" s="852" t="n">
        <v>0</v>
      </c>
      <c r="DZ258" s="852" t="n">
        <v>0</v>
      </c>
      <c r="EA258" s="852" t="n">
        <v>0</v>
      </c>
      <c r="EB258" s="1113" t="n">
        <v>0</v>
      </c>
      <c r="EC258" s="1115" t="n">
        <f aca="false">DS258*BD258</f>
        <v>0</v>
      </c>
      <c r="ED258" s="1115" t="n">
        <f aca="false">DT258*BE258</f>
        <v>0</v>
      </c>
      <c r="EE258" s="1115" t="n">
        <f aca="false">DU258*BF258</f>
        <v>0</v>
      </c>
      <c r="EF258" s="1115" t="n">
        <f aca="false">DV258*BG258</f>
        <v>0</v>
      </c>
      <c r="EG258" s="1115" t="n">
        <f aca="false">DS258*BD258+DT258*BE258+DU258*BF258+DV258*BG258</f>
        <v>0</v>
      </c>
      <c r="EH258" s="1116" t="n">
        <v>0</v>
      </c>
      <c r="EI258" s="1117" t="n">
        <v>0</v>
      </c>
      <c r="EJ258" s="1117" t="n">
        <v>0</v>
      </c>
      <c r="EK258" s="1117" t="n">
        <v>0</v>
      </c>
      <c r="EL258" s="1118" t="n">
        <f aca="false">IF(C258&gt;=Summary!$E$26,MAX(0,SUM(EH258:EK258)),0)</f>
        <v>0</v>
      </c>
      <c r="EM258" s="1115" t="n">
        <f aca="false">IF(C258&gt;=Summary!$E$26,DX258*BL258,0)</f>
        <v>0</v>
      </c>
      <c r="EN258" s="1115" t="n">
        <f aca="false">IF(C258&gt;=Summary!$E$26,DY258*BM258,0)</f>
        <v>0</v>
      </c>
      <c r="EO258" s="1115" t="n">
        <f aca="false">IF(C258&gt;=Summary!$E$26,DZ258*BN258,0)</f>
        <v>0</v>
      </c>
      <c r="EP258" s="1115" t="n">
        <f aca="false">IF(C258&gt;=Summary!$E$26,EA258*BO258,0)</f>
        <v>0</v>
      </c>
      <c r="EQ258" s="1115" t="n">
        <f aca="false">IF(C258&gt;=Summary!$E$26,DX258*BL258+DY258*BM258+DZ258*BN258+EA258*BO258,0)</f>
        <v>0</v>
      </c>
      <c r="ER258" s="1119" t="n">
        <v>0</v>
      </c>
      <c r="ES258" s="1120" t="n">
        <v>0</v>
      </c>
      <c r="ET258" s="1120" t="n">
        <v>0</v>
      </c>
      <c r="EU258" s="1120" t="n">
        <v>0</v>
      </c>
      <c r="EV258" s="1143" t="n">
        <f aca="false">IF(C258&gt;=Summary!$E$26,MAX(0,SUM(ER258:EU258)),0)</f>
        <v>0</v>
      </c>
      <c r="EW258" s="1115"/>
      <c r="EX258" s="1165" t="n">
        <f aca="false">(EQ258-EV258)+IF(EZ258="Yes",(EG258-EL258),0)</f>
        <v>0</v>
      </c>
      <c r="EY258" s="1166" t="str">
        <f aca="false">IF(EX258,EX258/EQ258,"")</f>
        <v/>
      </c>
      <c r="EZ258" s="1122" t="s">
        <v>37</v>
      </c>
      <c r="FA258" s="1096" t="n">
        <f aca="false">FA257</f>
        <v>45</v>
      </c>
      <c r="FB258" s="1167" t="n">
        <f aca="false">IF(EZ258="No",IF((OR(MONTH(C258)=5,MONTH(C258)=6,MONTH(C258)=7,MONTH(C258)=8,MONTH(C258)=9)),$FA258*12*AX258*(1-$BC258),$FA258*10*AX258*(1-$BC258)),0)</f>
        <v>8865</v>
      </c>
      <c r="FC258" s="1129" t="n">
        <f aca="false">IF(EZ258="No",IF((OR(MONTH(C258)=5,MONTH(C258)=6,MONTH(C258)=7,MONTH(C258)=8,MONTH(C258)=9)),0,$FA258*3*AX258*(1-$BC258)),0)</f>
        <v>2659.5</v>
      </c>
      <c r="FD258" s="1129" t="n">
        <f aca="false">IF(EZ258="No",IF((OR(MONTH(C258)=5,MONTH(C258)=6,MONTH(C258)=7,MONTH(C258)=8,MONTH(C258)=9)),$FA258*12*AY258*(1-$BC258),$FA258*10*AY258*(1-$BC258)),0)</f>
        <v>2216.25</v>
      </c>
      <c r="FE258" s="1129" t="n">
        <f aca="false">IF(EZ258="No",IF((OR(MONTH(C258)=5,MONTH(C258)=6,MONTH(C258)=7,MONTH(C258)=8,MONTH(C258)=9)),0,$FA258*3*AY258*(1-$BC258)),0)</f>
        <v>664.875</v>
      </c>
      <c r="FF258" s="1129" t="n">
        <f aca="false">IF(EZ258="No",IF((OR(MONTH(C258)=5,MONTH(C258)=6,MONTH(C258)=7,MONTH(C258)=8,MONTH(C258)=9)),$FA258*12*(AZ258+BA258)*(1-$BC258),$FA258*10*(AZ258+BA258)*(1-$BC258)),0)</f>
        <v>1773</v>
      </c>
      <c r="FG258" s="1129" t="n">
        <f aca="false">IF(EZ258="No",IF((OR(MONTH(C258)=5,MONTH(C258)=6,MONTH(C258)=7,MONTH(C258)=8,MONTH(C258)=9)),0,$FA258*3*(AZ258+BA258)*(1-$BC258)),0)</f>
        <v>531.9</v>
      </c>
      <c r="FH258" s="1170" t="n">
        <f aca="false">IF(EZ258="No",IF((OR(MONTH(C258)=5,MONTH(C258)=6,MONTH(C258)=7,MONTH(C258)=8,MONTH(C258)=9)),Summary!$O$15*12*(AX258+AY258+AZ258+BA258)*(1-$BC258),Summary!$O$15*13*(AX258+AY258+AZ258+BA258)*(1-$BC258)+IF(Summary!$O$16="Yes",(CALC!FA258+Summary!$O$15)*6*(AX258+AY258+AZ258+BA258)*(1-$BC258),0)),0)</f>
        <v>0</v>
      </c>
      <c r="FI258" s="1126" t="n">
        <f aca="false">IF(MONTH(C258)=5,FI257*(IF(Summary!$E$70="no",(1+(Summary!$E$71*0.8)),1+HLOOKUP(YEAR(C258)-1,CCFMODEL!$I$127:$AF$128,2)*0.8)),+FI257)</f>
        <v>42.7486893662432</v>
      </c>
      <c r="FJ258" s="1127" t="n">
        <f aca="false">IF(MONTH(C258)=5,FJ257*(IF(Summary!$E$70="no",(1+(Summary!$E$71*0.8)),1+HLOOKUP(YEAR(CALC!C258)-1,CCFMODEL!$I$127:$AF$128,2)*0.8)),FJ257)</f>
        <v>37.3630277138031</v>
      </c>
      <c r="FK258" s="1128" t="n">
        <f aca="false">SUM(FB258:FG258)*FI258+FH258*FJ258</f>
        <v>714353.042371841</v>
      </c>
      <c r="FL258" s="1126" t="n">
        <f aca="false">IF(MONTH(C258)=5,FL257*(IF(Summary!$E$70="no",(1+(Summary!$E$71*0.8)),1+HLOOKUP(YEAR(CALC!C258)-1,CCFMODEL!$I$127:$AF$128,2)*0.8)),+FL257)</f>
        <v>89.9052863349299</v>
      </c>
      <c r="FM258" s="1127" t="n">
        <f aca="false">IF(MONTH(C258)=5,FM257*(IF(Summary!$E$70="no",(1+(Summary!$E$71*0.8)),1+HLOOKUP(YEAR(CALC!C258)-1,CCFMODEL!$I$127:$AF$128,2)*0.8)),+FM257)</f>
        <v>42.908976915423</v>
      </c>
      <c r="FN258" s="1128" t="n">
        <f aca="false">IF((OR(MONTH(C258)=5,MONTH(C258)=6,MONTH(C258)=7,MONTH(C258)=8,MONTH(C258)=9)),SUM(FB258:FG258)/(1-BC258)*FL258,SUM(FB258:FG258)/(1-BC258)*FM258)</f>
        <v>727950.793370151</v>
      </c>
      <c r="FO258" s="1129" t="n">
        <f aca="false">FK258+FN258</f>
        <v>1442303.83574199</v>
      </c>
      <c r="FP258" s="1169" t="n">
        <f aca="false">FB258</f>
        <v>8865</v>
      </c>
      <c r="FQ258" s="1129" t="n">
        <f aca="false">FC258</f>
        <v>2659.5</v>
      </c>
      <c r="FR258" s="1129" t="n">
        <f aca="false">FD258</f>
        <v>2216.25</v>
      </c>
      <c r="FS258" s="1129" t="n">
        <f aca="false">FE258</f>
        <v>664.875</v>
      </c>
      <c r="FT258" s="1129" t="n">
        <f aca="false">FF258</f>
        <v>1773</v>
      </c>
      <c r="FU258" s="1129" t="n">
        <f aca="false">FG258</f>
        <v>531.9</v>
      </c>
      <c r="FV258" s="1170" t="n">
        <f aca="false">FH258</f>
        <v>0</v>
      </c>
      <c r="FW258" s="1115" t="n">
        <f aca="false">IF(ER258&gt;0,MIN(FB258-FP258,BL258),0)</f>
        <v>0</v>
      </c>
      <c r="FX258" s="1115" t="n">
        <f aca="false">IF(ES258&gt;0,MIN(FD258-FR258,BM258),0)</f>
        <v>0</v>
      </c>
      <c r="FY258" s="1115" t="n">
        <f aca="false">IF(ET258&gt;0,MIN(FF258-FT258,BN258),0)</f>
        <v>0</v>
      </c>
      <c r="FZ258" s="1143" t="n">
        <f aca="false">IF(EU258&gt;0,MIN(FH258-FV258,BO258),0)</f>
        <v>0</v>
      </c>
      <c r="GA258" s="1132" t="n">
        <f aca="false">(SUM(FP258:FV258)+SUM(GU258:HB258)/(1-Summary!$O$25))*CY258/1000</f>
        <v>221601.05574138</v>
      </c>
      <c r="GB258" s="1133" t="n">
        <f aca="false">IF($C258&lt;Summary!$M$81,+Summary!$O$81,VLOOKUP(C258,GasTable,19))</f>
        <v>4.03490661738077</v>
      </c>
      <c r="GC258" s="1134" t="n">
        <f aca="false">IF(H258&lt;=Summary!$N$84,MIN(GA258,Summary!$O$75*(H258-G258+1)),0)</f>
        <v>0</v>
      </c>
      <c r="GD258" s="1135" t="n">
        <f aca="false">IF(C258&lt;Summary!$N$84,IF(Summary!$O$75*(H258-G258+1)*0.8&gt;GC258,1,0),0)</f>
        <v>0</v>
      </c>
      <c r="GE258" s="1136" t="n">
        <v>0</v>
      </c>
      <c r="GF258" s="1134" t="n">
        <f aca="false">ABS(MIN(0,GC258-$GA258))</f>
        <v>221601.05574138</v>
      </c>
      <c r="GG258" s="1135" t="n">
        <f aca="false">GF258*(IF(Summary!$O$74=1,VLOOKUP($C258,GasTable,16)+Summary!$O$92+Summary!$O$93,VLOOKUP($C258,GasTable,19)+Summary!$O$92+Summary!$O$93))</f>
        <v>905684.981233585</v>
      </c>
      <c r="GH258" s="1137" t="n">
        <v>5850.61459520212</v>
      </c>
      <c r="GI258" s="1138" t="n">
        <v>0</v>
      </c>
      <c r="GJ258" s="1139" t="n">
        <f aca="false">+GB258*GC258+GE258+GG258+GH258-GI258</f>
        <v>911535.595828787</v>
      </c>
      <c r="GK258" s="1115" t="n">
        <f aca="false">SUM(FP258:FV258,GU258:GX258,GY258:HB258)</f>
        <v>28122.52815</v>
      </c>
      <c r="GL258" s="1140" t="n">
        <v>0.520291716</v>
      </c>
      <c r="GM258" s="1141" t="n">
        <f aca="false">IF(GK258&gt;GC258/(CY258/1000),GC258/(CY258/1000),+GK258)*GL258</f>
        <v>0</v>
      </c>
      <c r="GN258" s="1115" t="n">
        <f aca="false">IF(SUM(GU258:HB258)=0,0,IF(Summary!$O$16="Yes",SUM(GX258:HB258),IF(Summary!$O$17="Yes",SUM(GY258:HB258),SUM(GU258:HB258))))</f>
        <v>11412.00315</v>
      </c>
      <c r="GO258" s="1142" t="n">
        <v>4.29768782442377</v>
      </c>
      <c r="GP258" s="1143" t="n">
        <f aca="false">GN258*GO258</f>
        <v>49045.2269900407</v>
      </c>
      <c r="GQ258" s="1115"/>
      <c r="GR258" s="1115"/>
      <c r="GS258" s="1115"/>
      <c r="GT258" s="1115"/>
      <c r="GU258" s="1150" t="n">
        <v>5132.835</v>
      </c>
      <c r="GV258" s="1115" t="n">
        <v>1283.20875</v>
      </c>
      <c r="GW258" s="1115" t="n">
        <v>1026.567</v>
      </c>
      <c r="GX258" s="1115"/>
      <c r="GY258" s="1151" t="n">
        <v>2737.512</v>
      </c>
      <c r="GZ258" s="1115" t="n">
        <v>684.378</v>
      </c>
      <c r="HA258" s="1115" t="n">
        <v>547.5024</v>
      </c>
      <c r="HB258" s="1141"/>
      <c r="HC258" s="1115" t="n">
        <v>11412.00315</v>
      </c>
      <c r="HD258" s="1115"/>
      <c r="HE258" s="1115" t="n">
        <v>19598.874975</v>
      </c>
      <c r="HF258" s="1115" t="n">
        <v>505622.498441128</v>
      </c>
      <c r="HG258" s="1115"/>
      <c r="HH258" s="1142" t="n">
        <v>43.9754143046757</v>
      </c>
      <c r="HI258" s="1115" t="n">
        <v>861868.646931165</v>
      </c>
      <c r="HJ258" s="1150" t="n">
        <f aca="false">MAX(FB258-FP258-FW258,0)</f>
        <v>0</v>
      </c>
      <c r="HK258" s="1115" t="n">
        <f aca="false">MAX(FD258-FR258-FX258,0)</f>
        <v>0</v>
      </c>
      <c r="HL258" s="1115" t="n">
        <f aca="false">MAX(FF258-FT258-FY258,0)</f>
        <v>0</v>
      </c>
      <c r="HM258" s="1141" t="n">
        <f aca="false">MAX(FH258-FV258-FZ258,0)</f>
        <v>0</v>
      </c>
      <c r="HN258" s="1115" t="n">
        <f aca="false">SUM(HJ258:HM258)</f>
        <v>0</v>
      </c>
      <c r="HO258" s="1142" t="n">
        <f aca="false">IF(ISERROR(+HP258/HN258),0,+HP258/HN258)</f>
        <v>0</v>
      </c>
      <c r="HP258" s="1143" t="n">
        <f aca="false">(HJ258*CE258+HK258*CF258+HL258*CG258+HM258*CH258)</f>
        <v>0</v>
      </c>
      <c r="HQ258" s="1142" t="s">
        <v>928</v>
      </c>
      <c r="HR258" s="1150" t="e">
        <f aca="false">SUMIF($A$17:$A$292,HQ258,$GF$17:$GF$292)</f>
        <v>#VALUE!</v>
      </c>
      <c r="HS258" s="1200" t="e">
        <f aca="false">IF(HT258=0,IF(OR(SUMIF(CURVES!$AU$6:$AU$283,$HQ258,CURVES!$BQ$6:$BQ$283)=0,COUNTIF(CURVES!$AU$6:$AU$283,$HQ258)=0),0,SUMIF(CURVES!$AU$6:$AU$283,$HQ258,CURVES!$BQ$6:$BQ$283)/COUNTIF(CURVES!$AU$6:$AU$283,$HQ258)),HT258/HR258)</f>
        <v>#VALUE!</v>
      </c>
      <c r="HT258" s="1141" t="e">
        <f aca="false">SUMIF($A$17:$A$292,HQ258,$GG$17:$GG$292)</f>
        <v>#VALUE!</v>
      </c>
      <c r="HU258" s="1150" t="n">
        <f aca="false">SUMIF($A$17:$A$292,HQ258,$GC$17:$GC$292)</f>
        <v>0</v>
      </c>
      <c r="HV258" s="1200" t="e">
        <f aca="false">IF(HW258=0,0,HW258/Summary!$O$79/HU258)</f>
        <v>#DIV/0!</v>
      </c>
      <c r="HW258" s="1141" t="n">
        <f aca="false">SUMIF($A$17:$A$292,HQ258,$GH$17:$GH$292)</f>
        <v>15687.7658970941</v>
      </c>
      <c r="HX258" s="1200" t="n">
        <f aca="false">IF(OR(SUMIF(CURVES!$AU$6:$AU$283,$HQ258,CURVES!$BQ$6:$BQ$283)=0,COUNTIF(CURVES!$AU$6:$AU$283,$HQ258)=0),0,SUMIF(CURVES!$AU$6:$AU$283,$HQ258,CURVES!$BQ$6:$BQ$283)/COUNTIF(CURVES!$AU$6:$AU$283,$HQ258))</f>
        <v>4.03719580760489</v>
      </c>
      <c r="HY258" s="1200" t="n">
        <f aca="false">IF(OR(SUMIF(CURVES!$AU$6:$AU$283,$HQ258,CURVES!$BR$6:$BR$283)=0,COUNTIF(CURVES!$AU$6:$AU$283,$HQ258)=0),0,SUMIF(CURVES!$AU$6:$AU$283,$HQ258,CURVES!$BR$6:$BR$283)/COUNTIF(CURVES!$AU$6:$AU$283,$HQ258))</f>
        <v>3.23930705322755</v>
      </c>
      <c r="HZ258" s="0"/>
      <c r="IA258" s="1142"/>
      <c r="IB258" s="1142"/>
      <c r="IC258" s="1142"/>
      <c r="ID258" s="1142"/>
      <c r="IE258" s="1142"/>
      <c r="IF258" s="1142"/>
      <c r="IG258" s="1142"/>
      <c r="IH258" s="1142"/>
      <c r="II258" s="1142"/>
      <c r="IJ258" s="1142"/>
      <c r="IK258" s="1142"/>
      <c r="IL258" s="1190"/>
      <c r="IM258" s="222"/>
      <c r="IN258" s="222"/>
      <c r="IR258" s="844"/>
    </row>
    <row r="259" customFormat="false" ht="13.5" hidden="false" customHeight="false" outlineLevel="0" collapsed="false">
      <c r="A259" s="0" t="str">
        <f aca="false">+D259&amp;"Q"&amp;ROUNDUP(E259/3,0)</f>
        <v>2020Q1</v>
      </c>
      <c r="B259" s="0" t="n">
        <f aca="false">YEAR(C259)</f>
        <v>2020</v>
      </c>
      <c r="C259" s="1153" t="n">
        <f aca="false">EOMONTH(C258,0)+1</f>
        <v>43891</v>
      </c>
      <c r="D259" s="841" t="n">
        <f aca="false">+YEAR(C259)</f>
        <v>2020</v>
      </c>
      <c r="E259" s="807" t="n">
        <f aca="false">MONTH(C259)</f>
        <v>3</v>
      </c>
      <c r="F259" s="1154" t="e">
        <f aca="false">IF(G259="","",Holiday(D259,E259))</f>
        <v>#VALUE!</v>
      </c>
      <c r="G259" s="1155" t="n">
        <v>43891</v>
      </c>
      <c r="H259" s="1156" t="n">
        <v>43921</v>
      </c>
      <c r="I259" s="1157" t="n">
        <f aca="false">I258</f>
        <v>0.0715</v>
      </c>
      <c r="J259" s="1158" t="n">
        <f aca="false">(1+I259/2)^(-2*(DATE(D260,E260,20)-$H$7)/365.25)</f>
        <v>0.239438409754381</v>
      </c>
      <c r="K259" s="1159"/>
      <c r="L259" s="1158"/>
      <c r="M259" s="1082" t="n">
        <v>0</v>
      </c>
      <c r="N259" s="1110" t="n">
        <f aca="false">M259</f>
        <v>0</v>
      </c>
      <c r="O259" s="1174" t="n">
        <f aca="false">N259</f>
        <v>0</v>
      </c>
      <c r="P259" s="1175" t="n">
        <f aca="false">M259</f>
        <v>0</v>
      </c>
      <c r="Q259" s="1110" t="n">
        <f aca="false">P259</f>
        <v>0</v>
      </c>
      <c r="R259" s="1174" t="n">
        <f aca="false">Q259</f>
        <v>0</v>
      </c>
      <c r="S259" s="1110" t="n">
        <f aca="false">R259</f>
        <v>0</v>
      </c>
      <c r="T259" s="1110" t="n">
        <f aca="false">S259</f>
        <v>0</v>
      </c>
      <c r="U259" s="1110" t="n">
        <f aca="false">T259</f>
        <v>0</v>
      </c>
      <c r="V259" s="1175" t="n">
        <f aca="false">U259</f>
        <v>0</v>
      </c>
      <c r="W259" s="1110" t="n">
        <f aca="false">V259</f>
        <v>0</v>
      </c>
      <c r="X259" s="1176" t="n">
        <f aca="false">W259</f>
        <v>0</v>
      </c>
      <c r="Y259" s="1086" t="n">
        <v>0</v>
      </c>
      <c r="Z259" s="1086" t="n">
        <v>0</v>
      </c>
      <c r="AA259" s="1087" t="n">
        <v>0</v>
      </c>
      <c r="AB259" s="1086" t="n">
        <v>0</v>
      </c>
      <c r="AC259" s="1086" t="n">
        <v>0</v>
      </c>
      <c r="AD259" s="1087" t="n">
        <v>0</v>
      </c>
      <c r="AE259" s="1086" t="n">
        <v>0</v>
      </c>
      <c r="AF259" s="1086" t="n">
        <v>0</v>
      </c>
      <c r="AG259" s="1087" t="n">
        <v>0</v>
      </c>
      <c r="AH259" s="1086" t="n">
        <v>0</v>
      </c>
      <c r="AI259" s="1086" t="n">
        <v>0</v>
      </c>
      <c r="AJ259" s="1087" t="n">
        <v>0</v>
      </c>
      <c r="AK259" s="1086" t="n">
        <v>0</v>
      </c>
      <c r="AL259" s="1086" t="n">
        <v>0</v>
      </c>
      <c r="AM259" s="1087" t="n">
        <v>0</v>
      </c>
      <c r="AN259" s="1086" t="n">
        <v>0</v>
      </c>
      <c r="AO259" s="1086" t="n">
        <v>0</v>
      </c>
      <c r="AP259" s="1087" t="n">
        <v>0</v>
      </c>
      <c r="AQ259" s="1086" t="n">
        <v>0</v>
      </c>
      <c r="AR259" s="1086" t="n">
        <v>0</v>
      </c>
      <c r="AS259" s="1087" t="n">
        <v>0</v>
      </c>
      <c r="AT259" s="1086" t="n">
        <v>0</v>
      </c>
      <c r="AU259" s="1086" t="n">
        <v>0</v>
      </c>
      <c r="AV259" s="1086" t="n">
        <v>0</v>
      </c>
      <c r="AW259" s="1172" t="n">
        <v>0</v>
      </c>
      <c r="AX259" s="807" t="n">
        <f aca="false">BB259-SUM(AY259:BA259)</f>
        <v>22</v>
      </c>
      <c r="AY259" s="807" t="n">
        <f aca="false">IF(AND($E259=MONTH(Summary!$E$24),$D259=YEAR(Summary!$E$24)),Summary!$E$25,1)*IF(G259="",0,INT((H259-MOD(H259,7)-G259)/7)+1-IF(BA259,IF(WEEKDAY(F259)=7,1,0),0))</f>
        <v>4</v>
      </c>
      <c r="AZ259" s="807" t="n">
        <f aca="false">IF(AND($E259=MONTH(Summary!$E$24),$D259=YEAR(Summary!$E$24)),Summary!$E$25,1)*IF(G259="",0,INT((H259-MOD(H259-1,7)-G259)/7)+1-IF(BA259,IF(WEEKDAY(F259)=1,1,0),0))</f>
        <v>5</v>
      </c>
      <c r="BA259" s="807" t="n">
        <v>0</v>
      </c>
      <c r="BB259" s="807" t="n">
        <f aca="false">IF(AND($E259=MONTH(Summary!$E$24),$D259=YEAR(Summary!$E$24)),Summary!$E$25,1)*IF(G259="",0,H259-G259+1)</f>
        <v>31</v>
      </c>
      <c r="BC259" s="1089" t="n">
        <f aca="false">Summary!$E$19</f>
        <v>0.015</v>
      </c>
      <c r="BD259" s="1090" t="n">
        <v>15602.4</v>
      </c>
      <c r="BE259" s="1091" t="n">
        <v>2836.8</v>
      </c>
      <c r="BF259" s="1091" t="n">
        <v>3546</v>
      </c>
      <c r="BG259" s="842"/>
      <c r="BH259" s="1092" t="n">
        <v>1</v>
      </c>
      <c r="BI259" s="1092" t="n">
        <v>1</v>
      </c>
      <c r="BJ259" s="1092" t="n">
        <v>1</v>
      </c>
      <c r="BK259" s="1092" t="n">
        <v>1</v>
      </c>
      <c r="BL259" s="1093" t="n">
        <v>3120.48</v>
      </c>
      <c r="BM259" s="1091" t="n">
        <v>567.36</v>
      </c>
      <c r="BN259" s="1091" t="n">
        <v>709.2</v>
      </c>
      <c r="BO259" s="842"/>
      <c r="BP259" s="1092" t="n">
        <v>1</v>
      </c>
      <c r="BQ259" s="1094" t="n">
        <v>1</v>
      </c>
      <c r="BR259" s="1094" t="n">
        <v>1</v>
      </c>
      <c r="BS259" s="1095" t="n">
        <v>1</v>
      </c>
      <c r="BT259" s="1093" t="n">
        <f aca="false">SUM(BD259:BF259)</f>
        <v>21985.2</v>
      </c>
      <c r="BU259" s="1098" t="n">
        <f aca="false">SUM(BD259:BG259)</f>
        <v>21985.2</v>
      </c>
      <c r="BV259" s="1090" t="n">
        <f aca="false">SUM(BL259:BN259)</f>
        <v>4397.04</v>
      </c>
      <c r="BW259" s="1098" t="n">
        <f aca="false">SUM(BL259:BO259)</f>
        <v>4397.04</v>
      </c>
      <c r="BX259" s="852" t="n">
        <v>20.2108145106092</v>
      </c>
      <c r="BY259" s="1099" t="n">
        <v>0</v>
      </c>
      <c r="BZ259" s="852" t="n">
        <v>0</v>
      </c>
      <c r="CA259" s="852" t="n">
        <v>0</v>
      </c>
      <c r="CB259" s="852" t="n">
        <v>0</v>
      </c>
      <c r="CC259" s="852" t="n">
        <v>0</v>
      </c>
      <c r="CD259" s="852" t="n">
        <v>0</v>
      </c>
      <c r="CE259" s="1100" t="n">
        <v>0</v>
      </c>
      <c r="CF259" s="852" t="n">
        <v>0</v>
      </c>
      <c r="CG259" s="852" t="n">
        <v>0</v>
      </c>
      <c r="CH259" s="852" t="n">
        <v>0</v>
      </c>
      <c r="CI259" s="852" t="n">
        <v>0</v>
      </c>
      <c r="CJ259" s="1101" t="n">
        <v>0</v>
      </c>
      <c r="CK259" s="852" t="n">
        <v>0</v>
      </c>
      <c r="CL259" s="852" t="n">
        <v>0</v>
      </c>
      <c r="CM259" s="852" t="n">
        <v>0</v>
      </c>
      <c r="CN259" s="852" t="n">
        <v>0</v>
      </c>
      <c r="CO259" s="852" t="n">
        <v>0</v>
      </c>
      <c r="CP259" s="852" t="n">
        <v>0</v>
      </c>
      <c r="CQ259" s="1102" t="n">
        <v>0</v>
      </c>
      <c r="CR259" s="1103" t="n">
        <v>0</v>
      </c>
      <c r="CS259" s="1103" t="n">
        <v>0</v>
      </c>
      <c r="CT259" s="1103" t="n">
        <v>0</v>
      </c>
      <c r="CU259" s="1103" t="n">
        <v>0</v>
      </c>
      <c r="CV259" s="1103" t="n">
        <v>0</v>
      </c>
      <c r="CW259" s="1103" t="n">
        <v>0</v>
      </c>
      <c r="CX259" s="1104" t="n">
        <v>0</v>
      </c>
      <c r="CY259" s="1105" t="n">
        <v>7767.57896</v>
      </c>
      <c r="CZ259" s="1099" t="n">
        <v>0</v>
      </c>
      <c r="DA259" s="852" t="n">
        <v>0</v>
      </c>
      <c r="DB259" s="852" t="n">
        <v>0</v>
      </c>
      <c r="DC259" s="852" t="n">
        <v>0</v>
      </c>
      <c r="DD259" s="852" t="n">
        <v>0</v>
      </c>
      <c r="DE259" s="1113" t="n">
        <v>0</v>
      </c>
      <c r="DF259" s="1109" t="n">
        <v>0</v>
      </c>
      <c r="DG259" s="1110" t="n">
        <v>0</v>
      </c>
      <c r="DH259" s="1111" t="n">
        <v>0</v>
      </c>
      <c r="DI259" s="1112" t="n">
        <v>0</v>
      </c>
      <c r="DJ259" s="1112" t="n">
        <v>0</v>
      </c>
      <c r="DK259" s="1112" t="n">
        <v>0</v>
      </c>
      <c r="DL259" s="1113" t="n">
        <v>0</v>
      </c>
      <c r="DM259" s="1114" t="n">
        <v>0</v>
      </c>
      <c r="DN259" s="1114" t="n">
        <v>0</v>
      </c>
      <c r="DO259" s="1114" t="n">
        <v>0</v>
      </c>
      <c r="DP259" s="1114" t="n">
        <v>0</v>
      </c>
      <c r="DQ259" s="1114" t="n">
        <v>0</v>
      </c>
      <c r="DR259" s="1109" t="n">
        <v>0</v>
      </c>
      <c r="DS259" s="852" t="n">
        <v>0</v>
      </c>
      <c r="DT259" s="852" t="n">
        <v>0</v>
      </c>
      <c r="DU259" s="852" t="n">
        <v>0</v>
      </c>
      <c r="DV259" s="852" t="n">
        <v>0</v>
      </c>
      <c r="DW259" s="852" t="n">
        <v>0</v>
      </c>
      <c r="DX259" s="852" t="n">
        <v>0</v>
      </c>
      <c r="DY259" s="852" t="n">
        <v>0</v>
      </c>
      <c r="DZ259" s="852" t="n">
        <v>0</v>
      </c>
      <c r="EA259" s="852" t="n">
        <v>0</v>
      </c>
      <c r="EB259" s="1113" t="n">
        <v>0</v>
      </c>
      <c r="EC259" s="1115" t="n">
        <f aca="false">DS259*BD259</f>
        <v>0</v>
      </c>
      <c r="ED259" s="1115" t="n">
        <f aca="false">DT259*BE259</f>
        <v>0</v>
      </c>
      <c r="EE259" s="1115" t="n">
        <f aca="false">DU259*BF259</f>
        <v>0</v>
      </c>
      <c r="EF259" s="1115" t="n">
        <f aca="false">DV259*BG259</f>
        <v>0</v>
      </c>
      <c r="EG259" s="1115" t="n">
        <f aca="false">DS259*BD259+DT259*BE259+DU259*BF259+DV259*BG259</f>
        <v>0</v>
      </c>
      <c r="EH259" s="1116" t="n">
        <v>0</v>
      </c>
      <c r="EI259" s="1117" t="n">
        <v>0</v>
      </c>
      <c r="EJ259" s="1117" t="n">
        <v>0</v>
      </c>
      <c r="EK259" s="1117" t="n">
        <v>0</v>
      </c>
      <c r="EL259" s="1118" t="n">
        <f aca="false">IF(C259&gt;=Summary!$E$26,MAX(0,SUM(EH259:EK259)),0)</f>
        <v>0</v>
      </c>
      <c r="EM259" s="1115" t="n">
        <f aca="false">IF(C259&gt;=Summary!$E$26,DX259*BL259,0)</f>
        <v>0</v>
      </c>
      <c r="EN259" s="1115" t="n">
        <f aca="false">IF(C259&gt;=Summary!$E$26,DY259*BM259,0)</f>
        <v>0</v>
      </c>
      <c r="EO259" s="1115" t="n">
        <f aca="false">IF(C259&gt;=Summary!$E$26,DZ259*BN259,0)</f>
        <v>0</v>
      </c>
      <c r="EP259" s="1115" t="n">
        <f aca="false">IF(C259&gt;=Summary!$E$26,EA259*BO259,0)</f>
        <v>0</v>
      </c>
      <c r="EQ259" s="1115" t="n">
        <f aca="false">IF(C259&gt;=Summary!$E$26,DX259*BL259+DY259*BM259+DZ259*BN259+EA259*BO259,0)</f>
        <v>0</v>
      </c>
      <c r="ER259" s="1119" t="n">
        <v>0</v>
      </c>
      <c r="ES259" s="1120" t="n">
        <v>0</v>
      </c>
      <c r="ET259" s="1120" t="n">
        <v>0</v>
      </c>
      <c r="EU259" s="1120" t="n">
        <v>0</v>
      </c>
      <c r="EV259" s="1143" t="n">
        <f aca="false">IF(C259&gt;=Summary!$E$26,MAX(0,SUM(ER259:EU259)),0)</f>
        <v>0</v>
      </c>
      <c r="EW259" s="1115"/>
      <c r="EX259" s="1165" t="n">
        <f aca="false">(EQ259-EV259)+IF(EZ259="Yes",(EG259-EL259),0)</f>
        <v>0</v>
      </c>
      <c r="EY259" s="1166" t="str">
        <f aca="false">IF(EX259,EX259/EQ259,"")</f>
        <v/>
      </c>
      <c r="EZ259" s="1122" t="s">
        <v>37</v>
      </c>
      <c r="FA259" s="1096" t="n">
        <f aca="false">FA258</f>
        <v>45</v>
      </c>
      <c r="FB259" s="1167" t="n">
        <f aca="false">IF(EZ259="No",IF((OR(MONTH(C259)=5,MONTH(C259)=6,MONTH(C259)=7,MONTH(C259)=8,MONTH(C259)=9)),$FA259*12*AX259*(1-$BC259),$FA259*10*AX259*(1-$BC259)),0)</f>
        <v>9751.5</v>
      </c>
      <c r="FC259" s="1129" t="n">
        <f aca="false">IF(EZ259="No",IF((OR(MONTH(C259)=5,MONTH(C259)=6,MONTH(C259)=7,MONTH(C259)=8,MONTH(C259)=9)),0,$FA259*3*AX259*(1-$BC259)),0)</f>
        <v>2925.45</v>
      </c>
      <c r="FD259" s="1129" t="n">
        <f aca="false">IF(EZ259="No",IF((OR(MONTH(C259)=5,MONTH(C259)=6,MONTH(C259)=7,MONTH(C259)=8,MONTH(C259)=9)),$FA259*12*AY259*(1-$BC259),$FA259*10*AY259*(1-$BC259)),0)</f>
        <v>1773</v>
      </c>
      <c r="FE259" s="1129" t="n">
        <f aca="false">IF(EZ259="No",IF((OR(MONTH(C259)=5,MONTH(C259)=6,MONTH(C259)=7,MONTH(C259)=8,MONTH(C259)=9)),0,$FA259*3*AY259*(1-$BC259)),0)</f>
        <v>531.9</v>
      </c>
      <c r="FF259" s="1129" t="n">
        <f aca="false">IF(EZ259="No",IF((OR(MONTH(C259)=5,MONTH(C259)=6,MONTH(C259)=7,MONTH(C259)=8,MONTH(C259)=9)),$FA259*12*(AZ259+BA259)*(1-$BC259),$FA259*10*(AZ259+BA259)*(1-$BC259)),0)</f>
        <v>2216.25</v>
      </c>
      <c r="FG259" s="1129" t="n">
        <f aca="false">IF(EZ259="No",IF((OR(MONTH(C259)=5,MONTH(C259)=6,MONTH(C259)=7,MONTH(C259)=8,MONTH(C259)=9)),0,$FA259*3*(AZ259+BA259)*(1-$BC259)),0)</f>
        <v>664.875</v>
      </c>
      <c r="FH259" s="1170" t="n">
        <f aca="false">IF(EZ259="No",IF((OR(MONTH(C259)=5,MONTH(C259)=6,MONTH(C259)=7,MONTH(C259)=8,MONTH(C259)=9)),Summary!$O$15*12*(AX259+AY259+AZ259+BA259)*(1-$BC259),Summary!$O$15*13*(AX259+AY259+AZ259+BA259)*(1-$BC259)+IF(Summary!$O$16="Yes",(CALC!FA259+Summary!$O$15)*6*(AX259+AY259+AZ259+BA259)*(1-$BC259),0)),0)</f>
        <v>0</v>
      </c>
      <c r="FI259" s="1126" t="n">
        <f aca="false">IF(MONTH(C259)=5,FI258*(IF(Summary!$E$70="no",(1+(Summary!$E$71*0.8)),1+HLOOKUP(YEAR(C259)-1,CCFMODEL!$I$127:$AF$128,2)*0.8)),+FI258)</f>
        <v>42.7486893662432</v>
      </c>
      <c r="FJ259" s="1127" t="n">
        <f aca="false">IF(MONTH(C259)=5,FJ258*(IF(Summary!$E$70="no",(1+(Summary!$E$71*0.8)),1+HLOOKUP(YEAR(CALC!C259)-1,CCFMODEL!$I$127:$AF$128,2)*0.8)),FJ258)</f>
        <v>37.3630277138031</v>
      </c>
      <c r="FK259" s="1128" t="n">
        <f aca="false">SUM(FB259:FG259)*FI259+FH259*FJ259</f>
        <v>763618.769431968</v>
      </c>
      <c r="FL259" s="1126" t="n">
        <f aca="false">IF(MONTH(C259)=5,FL258*(IF(Summary!$E$70="no",(1+(Summary!$E$71*0.8)),1+HLOOKUP(YEAR(CALC!C259)-1,CCFMODEL!$I$127:$AF$128,2)*0.8)),+FL258)</f>
        <v>89.9052863349299</v>
      </c>
      <c r="FM259" s="1127" t="n">
        <f aca="false">IF(MONTH(C259)=5,FM258*(IF(Summary!$E$70="no",(1+(Summary!$E$71*0.8)),1+HLOOKUP(YEAR(CALC!C259)-1,CCFMODEL!$I$127:$AF$128,2)*0.8)),+FM258)</f>
        <v>42.908976915423</v>
      </c>
      <c r="FN259" s="1128" t="n">
        <f aca="false">IF((OR(MONTH(C259)=5,MONTH(C259)=6,MONTH(C259)=7,MONTH(C259)=8,MONTH(C259)=9)),SUM(FB259:FG259)/(1-BC259)*FL259,SUM(FB259:FG259)/(1-BC259)*FM259)</f>
        <v>778154.296361196</v>
      </c>
      <c r="FO259" s="1129" t="n">
        <f aca="false">FK259+FN259</f>
        <v>1541773.06579316</v>
      </c>
      <c r="FP259" s="1169" t="n">
        <f aca="false">FB259</f>
        <v>9751.5</v>
      </c>
      <c r="FQ259" s="1129" t="n">
        <f aca="false">FC259</f>
        <v>2925.45</v>
      </c>
      <c r="FR259" s="1129" t="n">
        <f aca="false">FD259</f>
        <v>1773</v>
      </c>
      <c r="FS259" s="1129" t="n">
        <f aca="false">FE259</f>
        <v>531.9</v>
      </c>
      <c r="FT259" s="1129" t="n">
        <f aca="false">FF259</f>
        <v>2216.25</v>
      </c>
      <c r="FU259" s="1129" t="n">
        <f aca="false">FG259</f>
        <v>664.875</v>
      </c>
      <c r="FV259" s="1170" t="n">
        <f aca="false">FH259</f>
        <v>0</v>
      </c>
      <c r="FW259" s="1115" t="n">
        <f aca="false">IF(ER259&gt;0,MIN(FB259-FP259,BL259),0)</f>
        <v>0</v>
      </c>
      <c r="FX259" s="1115" t="n">
        <f aca="false">IF(ES259&gt;0,MIN(FD259-FR259,BM259),0)</f>
        <v>0</v>
      </c>
      <c r="FY259" s="1115" t="n">
        <f aca="false">IF(ET259&gt;0,MIN(FF259-FT259,BN259),0)</f>
        <v>0</v>
      </c>
      <c r="FZ259" s="1143" t="n">
        <f aca="false">IF(EU259&gt;0,MIN(FH259-FV259,BO259),0)</f>
        <v>0</v>
      </c>
      <c r="GA259" s="1132" t="n">
        <f aca="false">(SUM(FP259:FV259)+SUM(GU259:HB259)/(1-Summary!$O$25))*CY259/1000</f>
        <v>236945.840520056</v>
      </c>
      <c r="GB259" s="1133" t="n">
        <f aca="false">IF($C259&lt;Summary!$M$81,+Summary!$O$81,VLOOKUP(C259,GasTable,19))</f>
        <v>3.81850595697933</v>
      </c>
      <c r="GC259" s="1134" t="n">
        <f aca="false">IF(H259&lt;=Summary!$N$84,MIN(GA259,Summary!$O$75*(H259-G259+1)),0)</f>
        <v>0</v>
      </c>
      <c r="GD259" s="1135" t="n">
        <f aca="false">IF(C259&lt;Summary!$N$84,IF(Summary!$O$75*(H259-G259+1)*0.8&gt;GC259,1,0),0)</f>
        <v>0</v>
      </c>
      <c r="GE259" s="1136" t="n">
        <v>0</v>
      </c>
      <c r="GF259" s="1134" t="n">
        <f aca="false">ABS(MIN(0,GC259-$GA259))</f>
        <v>236945.840520056</v>
      </c>
      <c r="GG259" s="1135" t="n">
        <f aca="false">GF259*(IF(Summary!$O$74=1,VLOOKUP($C259,GasTable,16)+Summary!$O$92+Summary!$O$93,VLOOKUP($C259,GasTable,19)+Summary!$O$92+Summary!$O$93))</f>
        <v>917123.981798404</v>
      </c>
      <c r="GH259" s="1137" t="n">
        <v>5918.68423331796</v>
      </c>
      <c r="GI259" s="1138" t="n">
        <v>0</v>
      </c>
      <c r="GJ259" s="1139" t="n">
        <f aca="false">+GB259*GC259+GE259+GG259+GH259-GI259</f>
        <v>923042.666031722</v>
      </c>
      <c r="GK259" s="1115" t="n">
        <f aca="false">SUM(FP259:FV259,GU259:GX259,GY259:HB259)</f>
        <v>30062.01285</v>
      </c>
      <c r="GL259" s="1140" t="n">
        <v>0.52042779032</v>
      </c>
      <c r="GM259" s="1141" t="n">
        <f aca="false">IF(GK259&gt;GC259/(CY259/1000),GC259/(CY259/1000),+GK259)*GL259</f>
        <v>0</v>
      </c>
      <c r="GN259" s="1115" t="n">
        <f aca="false">IF(SUM(GU259:HB259)=0,0,IF(Summary!$O$16="Yes",SUM(GX259:HB259),IF(Summary!$O$17="Yes",SUM(GY259:HB259),SUM(GU259:HB259))))</f>
        <v>12199.03785</v>
      </c>
      <c r="GO259" s="1142" t="n">
        <v>4.29768782442377</v>
      </c>
      <c r="GP259" s="1143" t="n">
        <f aca="false">GN259*GO259</f>
        <v>52427.6564376297</v>
      </c>
      <c r="GQ259" s="1115"/>
      <c r="GR259" s="1115"/>
      <c r="GS259" s="1115"/>
      <c r="GT259" s="1115"/>
      <c r="GU259" s="1150" t="n">
        <v>5646.1185</v>
      </c>
      <c r="GV259" s="1115" t="n">
        <v>1026.567</v>
      </c>
      <c r="GW259" s="1115" t="n">
        <v>1283.20875</v>
      </c>
      <c r="GX259" s="1115"/>
      <c r="GY259" s="1151" t="n">
        <v>3011.2632</v>
      </c>
      <c r="GZ259" s="1115" t="n">
        <v>547.5024</v>
      </c>
      <c r="HA259" s="1115" t="n">
        <v>684.378</v>
      </c>
      <c r="HB259" s="1141"/>
      <c r="HC259" s="1115" t="n">
        <v>12199.03785</v>
      </c>
      <c r="HD259" s="1115"/>
      <c r="HE259" s="1115" t="n">
        <v>20950.521525</v>
      </c>
      <c r="HF259" s="1115" t="n">
        <v>551636.298036984</v>
      </c>
      <c r="HG259" s="1115"/>
      <c r="HH259" s="1142" t="n">
        <v>44.4775831493277</v>
      </c>
      <c r="HI259" s="1115" t="n">
        <v>931828.563149966</v>
      </c>
      <c r="HJ259" s="1150" t="n">
        <f aca="false">MAX(FB259-FP259-FW259,0)</f>
        <v>0</v>
      </c>
      <c r="HK259" s="1115" t="n">
        <f aca="false">MAX(FD259-FR259-FX259,0)</f>
        <v>0</v>
      </c>
      <c r="HL259" s="1115" t="n">
        <f aca="false">MAX(FF259-FT259-FY259,0)</f>
        <v>0</v>
      </c>
      <c r="HM259" s="1141" t="n">
        <f aca="false">MAX(FH259-FV259-FZ259,0)</f>
        <v>0</v>
      </c>
      <c r="HN259" s="1115" t="n">
        <f aca="false">SUM(HJ259:HM259)</f>
        <v>0</v>
      </c>
      <c r="HO259" s="1142" t="n">
        <f aca="false">IF(ISERROR(+HP259/HN259),0,+HP259/HN259)</f>
        <v>0</v>
      </c>
      <c r="HP259" s="1143" t="n">
        <f aca="false">(HJ259*CE259+HK259*CF259+HL259*CG259+HM259*CH259)</f>
        <v>0</v>
      </c>
      <c r="HQ259" s="1142" t="s">
        <v>929</v>
      </c>
      <c r="HR259" s="1150" t="e">
        <f aca="false">SUMIF($A$17:$A$292,HQ259,$GF$17:$GF$292)</f>
        <v>#VALUE!</v>
      </c>
      <c r="HS259" s="1200" t="e">
        <f aca="false">IF(HT259=0,IF(OR(SUMIF(CURVES!$AU$6:$AU$283,$HQ259,CURVES!$BQ$6:$BQ$283)=0,COUNTIF(CURVES!$AU$6:$AU$283,$HQ259)=0),0,SUMIF(CURVES!$AU$6:$AU$283,$HQ259,CURVES!$BQ$6:$BQ$283)/COUNTIF(CURVES!$AU$6:$AU$283,$HQ259)),HT259/HR259)</f>
        <v>#VALUE!</v>
      </c>
      <c r="HT259" s="1141" t="e">
        <f aca="false">SUMIF($A$17:$A$292,HQ259,$GG$17:$GG$292)</f>
        <v>#VALUE!</v>
      </c>
      <c r="HU259" s="1150" t="n">
        <f aca="false">SUMIF($A$17:$A$292,HQ259,$GC$17:$GC$292)</f>
        <v>0</v>
      </c>
      <c r="HV259" s="1200" t="e">
        <f aca="false">IF(HW259=0,0,HW259/Summary!$O$79/HU259)</f>
        <v>#DIV/0!</v>
      </c>
      <c r="HW259" s="1141" t="n">
        <f aca="false">SUMIF($A$17:$A$292,HQ259,$GH$17:$GH$292)</f>
        <v>17033.5614333565</v>
      </c>
      <c r="HX259" s="1200" t="n">
        <f aca="false">IF(OR(SUMIF(CURVES!$AU$6:$AU$283,$HQ259,CURVES!$BQ$6:$BQ$283)=0,COUNTIF(CURVES!$AU$6:$AU$283,$HQ259)=0),0,SUMIF(CURVES!$AU$6:$AU$283,$HQ259,CURVES!$BQ$6:$BQ$283)/COUNTIF(CURVES!$AU$6:$AU$283,$HQ259))</f>
        <v>4.19191782946179</v>
      </c>
      <c r="HY259" s="1200" t="n">
        <f aca="false">IF(OR(SUMIF(CURVES!$AU$6:$AU$283,$HQ259,CURVES!$BR$6:$BR$283)=0,COUNTIF(CURVES!$AU$6:$AU$283,$HQ259)=0),0,SUMIF(CURVES!$AU$6:$AU$283,$HQ259,CURVES!$BR$6:$BR$283)/COUNTIF(CURVES!$AU$6:$AU$283,$HQ259))</f>
        <v>3.36658132762449</v>
      </c>
      <c r="HZ259" s="0"/>
      <c r="IA259" s="1142"/>
      <c r="IB259" s="1142"/>
      <c r="IC259" s="1142"/>
      <c r="ID259" s="1142"/>
      <c r="IE259" s="1142"/>
      <c r="IF259" s="1142"/>
      <c r="IG259" s="1142"/>
      <c r="IH259" s="1142"/>
      <c r="II259" s="1142"/>
      <c r="IJ259" s="1142"/>
      <c r="IK259" s="1142"/>
      <c r="IL259" s="1190"/>
      <c r="IM259" s="222"/>
      <c r="IN259" s="222"/>
      <c r="IR259" s="844"/>
    </row>
    <row r="260" customFormat="false" ht="13.5" hidden="false" customHeight="false" outlineLevel="0" collapsed="false">
      <c r="A260" s="0" t="str">
        <f aca="false">+D260&amp;"Q"&amp;ROUNDUP(E260/3,0)</f>
        <v>2020Q2</v>
      </c>
      <c r="B260" s="0" t="n">
        <f aca="false">YEAR(C260)</f>
        <v>2020</v>
      </c>
      <c r="C260" s="1153" t="n">
        <f aca="false">EOMONTH(C259,0)+1</f>
        <v>43922</v>
      </c>
      <c r="D260" s="841" t="n">
        <f aca="false">+YEAR(C260)</f>
        <v>2020</v>
      </c>
      <c r="E260" s="807" t="n">
        <f aca="false">MONTH(C260)</f>
        <v>4</v>
      </c>
      <c r="F260" s="1154" t="e">
        <f aca="false">IF(G260="","",Holiday(D260,E260))</f>
        <v>#VALUE!</v>
      </c>
      <c r="G260" s="1155" t="n">
        <v>43922</v>
      </c>
      <c r="H260" s="1156" t="n">
        <v>43951</v>
      </c>
      <c r="I260" s="1157" t="n">
        <f aca="false">I259</f>
        <v>0.0715</v>
      </c>
      <c r="J260" s="1158" t="n">
        <f aca="false">(1+I260/2)^(-2*(DATE(D261,E261,20)-$H$7)/365.25)</f>
        <v>0.238060792023877</v>
      </c>
      <c r="K260" s="1159"/>
      <c r="L260" s="1158"/>
      <c r="M260" s="1082" t="n">
        <v>0</v>
      </c>
      <c r="N260" s="1110" t="n">
        <f aca="false">M260</f>
        <v>0</v>
      </c>
      <c r="O260" s="1174" t="n">
        <f aca="false">N260</f>
        <v>0</v>
      </c>
      <c r="P260" s="1175" t="n">
        <f aca="false">M260</f>
        <v>0</v>
      </c>
      <c r="Q260" s="1110" t="n">
        <f aca="false">P260</f>
        <v>0</v>
      </c>
      <c r="R260" s="1174" t="n">
        <f aca="false">Q260</f>
        <v>0</v>
      </c>
      <c r="S260" s="1110" t="n">
        <f aca="false">R260</f>
        <v>0</v>
      </c>
      <c r="T260" s="1110" t="n">
        <f aca="false">S260</f>
        <v>0</v>
      </c>
      <c r="U260" s="1110" t="n">
        <f aca="false">T260</f>
        <v>0</v>
      </c>
      <c r="V260" s="1175" t="n">
        <f aca="false">U260</f>
        <v>0</v>
      </c>
      <c r="W260" s="1110" t="n">
        <f aca="false">V260</f>
        <v>0</v>
      </c>
      <c r="X260" s="1176" t="n">
        <f aca="false">W260</f>
        <v>0</v>
      </c>
      <c r="Y260" s="1086" t="n">
        <v>0</v>
      </c>
      <c r="Z260" s="1086" t="n">
        <v>0</v>
      </c>
      <c r="AA260" s="1087" t="n">
        <v>0</v>
      </c>
      <c r="AB260" s="1086" t="n">
        <v>0</v>
      </c>
      <c r="AC260" s="1086" t="n">
        <v>0</v>
      </c>
      <c r="AD260" s="1087" t="n">
        <v>0</v>
      </c>
      <c r="AE260" s="1086" t="n">
        <v>0</v>
      </c>
      <c r="AF260" s="1086" t="n">
        <v>0</v>
      </c>
      <c r="AG260" s="1087" t="n">
        <v>0</v>
      </c>
      <c r="AH260" s="1086" t="n">
        <v>0</v>
      </c>
      <c r="AI260" s="1086" t="n">
        <v>0</v>
      </c>
      <c r="AJ260" s="1087" t="n">
        <v>0</v>
      </c>
      <c r="AK260" s="1086" t="n">
        <v>0</v>
      </c>
      <c r="AL260" s="1086" t="n">
        <v>0</v>
      </c>
      <c r="AM260" s="1087" t="n">
        <v>0</v>
      </c>
      <c r="AN260" s="1086" t="n">
        <v>0</v>
      </c>
      <c r="AO260" s="1086" t="n">
        <v>0</v>
      </c>
      <c r="AP260" s="1087" t="n">
        <v>0</v>
      </c>
      <c r="AQ260" s="1086" t="n">
        <v>0</v>
      </c>
      <c r="AR260" s="1086" t="n">
        <v>0</v>
      </c>
      <c r="AS260" s="1087" t="n">
        <v>0</v>
      </c>
      <c r="AT260" s="1086" t="n">
        <v>0</v>
      </c>
      <c r="AU260" s="1086" t="n">
        <v>0</v>
      </c>
      <c r="AV260" s="1086" t="n">
        <v>0</v>
      </c>
      <c r="AW260" s="1172" t="n">
        <v>0</v>
      </c>
      <c r="AX260" s="807" t="n">
        <f aca="false">BB260-SUM(AY260:BA260)</f>
        <v>22</v>
      </c>
      <c r="AY260" s="807" t="n">
        <f aca="false">IF(AND($E260=MONTH(Summary!$E$24),$D260=YEAR(Summary!$E$24)),Summary!$E$25,1)*IF(G260="",0,INT((H260-MOD(H260,7)-G260)/7)+1-IF(BA260,IF(WEEKDAY(F260)=7,1,0),0))</f>
        <v>4</v>
      </c>
      <c r="AZ260" s="807" t="n">
        <f aca="false">IF(AND($E260=MONTH(Summary!$E$24),$D260=YEAR(Summary!$E$24)),Summary!$E$25,1)*IF(G260="",0,INT((H260-MOD(H260-1,7)-G260)/7)+1-IF(BA260,IF(WEEKDAY(F260)=1,1,0),0))</f>
        <v>4</v>
      </c>
      <c r="BA260" s="807" t="n">
        <v>0</v>
      </c>
      <c r="BB260" s="807" t="n">
        <f aca="false">IF(AND($E260=MONTH(Summary!$E$24),$D260=YEAR(Summary!$E$24)),Summary!$E$25,1)*IF(G260="",0,H260-G260+1)</f>
        <v>30</v>
      </c>
      <c r="BC260" s="1089" t="n">
        <f aca="false">Summary!$E$19</f>
        <v>0.015</v>
      </c>
      <c r="BD260" s="1090" t="n">
        <v>15602.4</v>
      </c>
      <c r="BE260" s="1091" t="n">
        <v>2836.8</v>
      </c>
      <c r="BF260" s="1091" t="n">
        <v>2836.8</v>
      </c>
      <c r="BG260" s="842"/>
      <c r="BH260" s="1092" t="n">
        <v>1</v>
      </c>
      <c r="BI260" s="1092" t="n">
        <v>1</v>
      </c>
      <c r="BJ260" s="1092" t="n">
        <v>1</v>
      </c>
      <c r="BK260" s="1092" t="n">
        <v>1</v>
      </c>
      <c r="BL260" s="1093" t="n">
        <v>3120.48</v>
      </c>
      <c r="BM260" s="1091" t="n">
        <v>567.36</v>
      </c>
      <c r="BN260" s="1091" t="n">
        <v>567.36</v>
      </c>
      <c r="BO260" s="842"/>
      <c r="BP260" s="1092" t="n">
        <v>1</v>
      </c>
      <c r="BQ260" s="1094" t="n">
        <v>1</v>
      </c>
      <c r="BR260" s="1094" t="n">
        <v>1</v>
      </c>
      <c r="BS260" s="1095" t="n">
        <v>1</v>
      </c>
      <c r="BT260" s="1093" t="n">
        <f aca="false">SUM(BD260:BF260)</f>
        <v>21276</v>
      </c>
      <c r="BU260" s="1098" t="n">
        <f aca="false">SUM(BD260:BG260)</f>
        <v>21276</v>
      </c>
      <c r="BV260" s="1090" t="n">
        <f aca="false">SUM(BL260:BN260)</f>
        <v>4255.2</v>
      </c>
      <c r="BW260" s="1098" t="n">
        <f aca="false">SUM(BL260:BO260)</f>
        <v>4255.2</v>
      </c>
      <c r="BX260" s="852" t="n">
        <v>20.2956878850103</v>
      </c>
      <c r="BY260" s="1099" t="n">
        <v>0</v>
      </c>
      <c r="BZ260" s="852" t="n">
        <v>0</v>
      </c>
      <c r="CA260" s="852" t="n">
        <v>0</v>
      </c>
      <c r="CB260" s="852" t="n">
        <v>0</v>
      </c>
      <c r="CC260" s="852" t="n">
        <v>0</v>
      </c>
      <c r="CD260" s="852" t="n">
        <v>0</v>
      </c>
      <c r="CE260" s="1100" t="n">
        <v>0</v>
      </c>
      <c r="CF260" s="852" t="n">
        <v>0</v>
      </c>
      <c r="CG260" s="852" t="n">
        <v>0</v>
      </c>
      <c r="CH260" s="852" t="n">
        <v>0</v>
      </c>
      <c r="CI260" s="852" t="n">
        <v>0</v>
      </c>
      <c r="CJ260" s="1101" t="n">
        <v>0</v>
      </c>
      <c r="CK260" s="852" t="n">
        <v>0</v>
      </c>
      <c r="CL260" s="852" t="n">
        <v>0</v>
      </c>
      <c r="CM260" s="852" t="n">
        <v>0</v>
      </c>
      <c r="CN260" s="852" t="n">
        <v>0</v>
      </c>
      <c r="CO260" s="852" t="n">
        <v>0</v>
      </c>
      <c r="CP260" s="852" t="n">
        <v>0</v>
      </c>
      <c r="CQ260" s="1102" t="n">
        <v>0</v>
      </c>
      <c r="CR260" s="1103" t="n">
        <v>0</v>
      </c>
      <c r="CS260" s="1103" t="n">
        <v>0</v>
      </c>
      <c r="CT260" s="1103" t="n">
        <v>0</v>
      </c>
      <c r="CU260" s="1103" t="n">
        <v>0</v>
      </c>
      <c r="CV260" s="1103" t="n">
        <v>0</v>
      </c>
      <c r="CW260" s="1103" t="n">
        <v>0</v>
      </c>
      <c r="CX260" s="1104" t="n">
        <v>0</v>
      </c>
      <c r="CY260" s="1105" t="n">
        <v>7769.60992</v>
      </c>
      <c r="CZ260" s="1099" t="n">
        <v>0</v>
      </c>
      <c r="DA260" s="852" t="n">
        <v>0</v>
      </c>
      <c r="DB260" s="852" t="n">
        <v>0</v>
      </c>
      <c r="DC260" s="852" t="n">
        <v>0</v>
      </c>
      <c r="DD260" s="852" t="n">
        <v>0</v>
      </c>
      <c r="DE260" s="1113" t="n">
        <v>0</v>
      </c>
      <c r="DF260" s="1109" t="n">
        <v>0</v>
      </c>
      <c r="DG260" s="1110" t="n">
        <v>0</v>
      </c>
      <c r="DH260" s="1111" t="n">
        <v>0</v>
      </c>
      <c r="DI260" s="1112" t="n">
        <v>0</v>
      </c>
      <c r="DJ260" s="1112" t="n">
        <v>0</v>
      </c>
      <c r="DK260" s="1112" t="n">
        <v>0</v>
      </c>
      <c r="DL260" s="1113" t="n">
        <v>0</v>
      </c>
      <c r="DM260" s="1114" t="n">
        <v>0</v>
      </c>
      <c r="DN260" s="1114" t="n">
        <v>0</v>
      </c>
      <c r="DO260" s="1114" t="n">
        <v>0</v>
      </c>
      <c r="DP260" s="1114" t="n">
        <v>0</v>
      </c>
      <c r="DQ260" s="1114" t="n">
        <v>0</v>
      </c>
      <c r="DR260" s="1109" t="n">
        <v>0</v>
      </c>
      <c r="DS260" s="852" t="n">
        <v>0</v>
      </c>
      <c r="DT260" s="852" t="n">
        <v>0</v>
      </c>
      <c r="DU260" s="852" t="n">
        <v>0</v>
      </c>
      <c r="DV260" s="852" t="n">
        <v>0</v>
      </c>
      <c r="DW260" s="852" t="n">
        <v>0</v>
      </c>
      <c r="DX260" s="852" t="n">
        <v>0</v>
      </c>
      <c r="DY260" s="852" t="n">
        <v>0</v>
      </c>
      <c r="DZ260" s="852" t="n">
        <v>0</v>
      </c>
      <c r="EA260" s="852" t="n">
        <v>0</v>
      </c>
      <c r="EB260" s="1113" t="n">
        <v>0</v>
      </c>
      <c r="EC260" s="1115" t="n">
        <f aca="false">DS260*BD260</f>
        <v>0</v>
      </c>
      <c r="ED260" s="1115" t="n">
        <f aca="false">DT260*BE260</f>
        <v>0</v>
      </c>
      <c r="EE260" s="1115" t="n">
        <f aca="false">DU260*BF260</f>
        <v>0</v>
      </c>
      <c r="EF260" s="1115" t="n">
        <f aca="false">DV260*BG260</f>
        <v>0</v>
      </c>
      <c r="EG260" s="1115" t="n">
        <f aca="false">DS260*BD260+DT260*BE260+DU260*BF260+DV260*BG260</f>
        <v>0</v>
      </c>
      <c r="EH260" s="1116" t="n">
        <v>0</v>
      </c>
      <c r="EI260" s="1117" t="n">
        <v>0</v>
      </c>
      <c r="EJ260" s="1117" t="n">
        <v>0</v>
      </c>
      <c r="EK260" s="1117" t="n">
        <v>0</v>
      </c>
      <c r="EL260" s="1118" t="n">
        <f aca="false">IF(C260&gt;=Summary!$E$26,MAX(0,SUM(EH260:EK260)),0)</f>
        <v>0</v>
      </c>
      <c r="EM260" s="1115" t="n">
        <f aca="false">IF(C260&gt;=Summary!$E$26,DX260*BL260,0)</f>
        <v>0</v>
      </c>
      <c r="EN260" s="1115" t="n">
        <f aca="false">IF(C260&gt;=Summary!$E$26,DY260*BM260,0)</f>
        <v>0</v>
      </c>
      <c r="EO260" s="1115" t="n">
        <f aca="false">IF(C260&gt;=Summary!$E$26,DZ260*BN260,0)</f>
        <v>0</v>
      </c>
      <c r="EP260" s="1115" t="n">
        <f aca="false">IF(C260&gt;=Summary!$E$26,EA260*BO260,0)</f>
        <v>0</v>
      </c>
      <c r="EQ260" s="1115" t="n">
        <f aca="false">IF(C260&gt;=Summary!$E$26,DX260*BL260+DY260*BM260+DZ260*BN260+EA260*BO260,0)</f>
        <v>0</v>
      </c>
      <c r="ER260" s="1119" t="n">
        <v>0</v>
      </c>
      <c r="ES260" s="1120" t="n">
        <v>0</v>
      </c>
      <c r="ET260" s="1120" t="n">
        <v>0</v>
      </c>
      <c r="EU260" s="1120" t="n">
        <v>0</v>
      </c>
      <c r="EV260" s="1143" t="n">
        <f aca="false">IF(C260&gt;=Summary!$E$26,MAX(0,SUM(ER260:EU260)),0)</f>
        <v>0</v>
      </c>
      <c r="EW260" s="1115"/>
      <c r="EX260" s="1165" t="n">
        <f aca="false">(EQ260-EV260)+IF(EZ260="Yes",(EG260-EL260),0)</f>
        <v>0</v>
      </c>
      <c r="EY260" s="1166" t="str">
        <f aca="false">IF(EX260,EX260/EQ260,"")</f>
        <v/>
      </c>
      <c r="EZ260" s="1122" t="s">
        <v>37</v>
      </c>
      <c r="FA260" s="1096" t="n">
        <f aca="false">FA259</f>
        <v>45</v>
      </c>
      <c r="FB260" s="1167" t="n">
        <f aca="false">IF(EZ260="No",IF((OR(MONTH(C260)=5,MONTH(C260)=6,MONTH(C260)=7,MONTH(C260)=8,MONTH(C260)=9)),$FA260*12*AX260*(1-$BC260),$FA260*10*AX260*(1-$BC260)),0)</f>
        <v>9751.5</v>
      </c>
      <c r="FC260" s="1129" t="n">
        <f aca="false">IF(EZ260="No",IF((OR(MONTH(C260)=5,MONTH(C260)=6,MONTH(C260)=7,MONTH(C260)=8,MONTH(C260)=9)),0,$FA260*3*AX260*(1-$BC260)),0)</f>
        <v>2925.45</v>
      </c>
      <c r="FD260" s="1129" t="n">
        <f aca="false">IF(EZ260="No",IF((OR(MONTH(C260)=5,MONTH(C260)=6,MONTH(C260)=7,MONTH(C260)=8,MONTH(C260)=9)),$FA260*12*AY260*(1-$BC260),$FA260*10*AY260*(1-$BC260)),0)</f>
        <v>1773</v>
      </c>
      <c r="FE260" s="1129" t="n">
        <f aca="false">IF(EZ260="No",IF((OR(MONTH(C260)=5,MONTH(C260)=6,MONTH(C260)=7,MONTH(C260)=8,MONTH(C260)=9)),0,$FA260*3*AY260*(1-$BC260)),0)</f>
        <v>531.9</v>
      </c>
      <c r="FF260" s="1129" t="n">
        <f aca="false">IF(EZ260="No",IF((OR(MONTH(C260)=5,MONTH(C260)=6,MONTH(C260)=7,MONTH(C260)=8,MONTH(C260)=9)),$FA260*12*(AZ260+BA260)*(1-$BC260),$FA260*10*(AZ260+BA260)*(1-$BC260)),0)</f>
        <v>1773</v>
      </c>
      <c r="FG260" s="1129" t="n">
        <f aca="false">IF(EZ260="No",IF((OR(MONTH(C260)=5,MONTH(C260)=6,MONTH(C260)=7,MONTH(C260)=8,MONTH(C260)=9)),0,$FA260*3*(AZ260+BA260)*(1-$BC260)),0)</f>
        <v>531.9</v>
      </c>
      <c r="FH260" s="1170" t="n">
        <f aca="false">IF(EZ260="No",IF((OR(MONTH(C260)=5,MONTH(C260)=6,MONTH(C260)=7,MONTH(C260)=8,MONTH(C260)=9)),Summary!$O$15*12*(AX260+AY260+AZ260+BA260)*(1-$BC260),Summary!$O$15*13*(AX260+AY260+AZ260+BA260)*(1-$BC260)+IF(Summary!$O$16="Yes",(CALC!FA260+Summary!$O$15)*6*(AX260+AY260+AZ260+BA260)*(1-$BC260),0)),0)</f>
        <v>0</v>
      </c>
      <c r="FI260" s="1126" t="n">
        <f aca="false">IF(MONTH(C260)=5,FI259*(IF(Summary!$E$70="no",(1+(Summary!$E$71*0.8)),1+HLOOKUP(YEAR(C260)-1,CCFMODEL!$I$127:$AF$128,2)*0.8)),+FI259)</f>
        <v>42.7486893662432</v>
      </c>
      <c r="FJ260" s="1127" t="n">
        <f aca="false">IF(MONTH(C260)=5,FJ259*(IF(Summary!$E$70="no",(1+(Summary!$E$71*0.8)),1+HLOOKUP(YEAR(CALC!C260)-1,CCFMODEL!$I$127:$AF$128,2)*0.8)),FJ259)</f>
        <v>37.3630277138031</v>
      </c>
      <c r="FK260" s="1128" t="n">
        <f aca="false">SUM(FB260:FG260)*FI260+FH260*FJ260</f>
        <v>738985.905901905</v>
      </c>
      <c r="FL260" s="1126" t="n">
        <f aca="false">IF(MONTH(C260)=5,FL259*(IF(Summary!$E$70="no",(1+(Summary!$E$71*0.8)),1+HLOOKUP(YEAR(CALC!C260)-1,CCFMODEL!$I$127:$AF$128,2)*0.8)),+FL259)</f>
        <v>89.9052863349299</v>
      </c>
      <c r="FM260" s="1127" t="n">
        <f aca="false">IF(MONTH(C260)=5,FM259*(IF(Summary!$E$70="no",(1+(Summary!$E$71*0.8)),1+HLOOKUP(YEAR(CALC!C260)-1,CCFMODEL!$I$127:$AF$128,2)*0.8)),+FM259)</f>
        <v>42.908976915423</v>
      </c>
      <c r="FN260" s="1128" t="n">
        <f aca="false">IF((OR(MONTH(C260)=5,MONTH(C260)=6,MONTH(C260)=7,MONTH(C260)=8,MONTH(C260)=9)),SUM(FB260:FG260)/(1-BC260)*FL260,SUM(FB260:FG260)/(1-BC260)*FM260)</f>
        <v>753052.544865673</v>
      </c>
      <c r="FO260" s="1129" t="n">
        <f aca="false">FK260+FN260</f>
        <v>1492038.45076758</v>
      </c>
      <c r="FP260" s="1169" t="n">
        <f aca="false">FB260</f>
        <v>9751.5</v>
      </c>
      <c r="FQ260" s="1129" t="n">
        <f aca="false">FC260</f>
        <v>2925.45</v>
      </c>
      <c r="FR260" s="1129" t="n">
        <f aca="false">FD260</f>
        <v>1773</v>
      </c>
      <c r="FS260" s="1129" t="n">
        <f aca="false">FE260</f>
        <v>531.9</v>
      </c>
      <c r="FT260" s="1129" t="n">
        <f aca="false">FF260</f>
        <v>1773</v>
      </c>
      <c r="FU260" s="1129" t="n">
        <f aca="false">FG260</f>
        <v>531.9</v>
      </c>
      <c r="FV260" s="1170" t="n">
        <f aca="false">FH260</f>
        <v>0</v>
      </c>
      <c r="FW260" s="1115" t="n">
        <f aca="false">IF(ER260&gt;0,MIN(FB260-FP260,BL260),0)</f>
        <v>0</v>
      </c>
      <c r="FX260" s="1115" t="n">
        <f aca="false">IF(ES260&gt;0,MIN(FD260-FR260,BM260),0)</f>
        <v>0</v>
      </c>
      <c r="FY260" s="1115" t="n">
        <f aca="false">IF(ET260&gt;0,MIN(FF260-FT260,BN260),0)</f>
        <v>0</v>
      </c>
      <c r="FZ260" s="1143" t="n">
        <f aca="false">IF(EU260&gt;0,MIN(FH260-FV260,BO260),0)</f>
        <v>0</v>
      </c>
      <c r="GA260" s="1132" t="n">
        <f aca="false">(SUM(FP260:FV260)+SUM(GU260:HB260)/(1-Summary!$O$25))*CY260/1000</f>
        <v>229362.381162864</v>
      </c>
      <c r="GB260" s="1133" t="n">
        <f aca="false">IF($C260&lt;Summary!$M$81,+Summary!$O$81,VLOOKUP(C260,GasTable,19))</f>
        <v>3.70394805234407</v>
      </c>
      <c r="GC260" s="1134" t="n">
        <f aca="false">IF(H260&lt;=Summary!$N$84,MIN(GA260,Summary!$O$75*(H260-G260+1)),0)</f>
        <v>0</v>
      </c>
      <c r="GD260" s="1135" t="n">
        <f aca="false">IF(C260&lt;Summary!$N$84,IF(Summary!$O$75*(H260-G260+1)*0.8&gt;GC260,1,0),0)</f>
        <v>0</v>
      </c>
      <c r="GE260" s="1136" t="n">
        <v>0</v>
      </c>
      <c r="GF260" s="1134" t="n">
        <f aca="false">ABS(MIN(0,GC260-$GA260))</f>
        <v>229362.381162864</v>
      </c>
      <c r="GG260" s="1135" t="n">
        <f aca="false">GF260*(IF(Summary!$O$74=1,VLOOKUP($C260,GasTable,16)+Summary!$O$92+Summary!$O$93,VLOOKUP($C260,GasTable,19)+Summary!$O$92+Summary!$O$93))</f>
        <v>861496.125047773</v>
      </c>
      <c r="GH260" s="1137" t="n">
        <v>5555.92207851611</v>
      </c>
      <c r="GI260" s="1138" t="n">
        <v>0</v>
      </c>
      <c r="GJ260" s="1139" t="n">
        <f aca="false">+GB260*GC260+GE260+GG260+GH260-GI260</f>
        <v>867052.04712629</v>
      </c>
      <c r="GK260" s="1115" t="n">
        <f aca="false">SUM(FP260:FV260,GU260:GX260,GY260:HB260)</f>
        <v>29092.2705</v>
      </c>
      <c r="GL260" s="1140" t="n">
        <v>0.52056386464</v>
      </c>
      <c r="GM260" s="1141" t="n">
        <f aca="false">IF(GK260&gt;GC260/(CY260/1000),GC260/(CY260/1000),+GK260)*GL260</f>
        <v>0</v>
      </c>
      <c r="GN260" s="1115" t="n">
        <f aca="false">IF(SUM(GU260:HB260)=0,0,IF(Summary!$O$16="Yes",SUM(GX260:HB260),IF(Summary!$O$17="Yes",SUM(GY260:HB260),SUM(GU260:HB260))))</f>
        <v>11805.5205</v>
      </c>
      <c r="GO260" s="1142" t="n">
        <v>4.29768782442377</v>
      </c>
      <c r="GP260" s="1143" t="n">
        <f aca="false">GN260*GO260</f>
        <v>50736.4417138352</v>
      </c>
      <c r="GQ260" s="1115"/>
      <c r="GR260" s="1115"/>
      <c r="GS260" s="1115"/>
      <c r="GT260" s="1115"/>
      <c r="GU260" s="1150" t="n">
        <v>5646.1185</v>
      </c>
      <c r="GV260" s="1115" t="n">
        <v>1026.567</v>
      </c>
      <c r="GW260" s="1115" t="n">
        <v>1026.567</v>
      </c>
      <c r="GX260" s="1115"/>
      <c r="GY260" s="1151" t="n">
        <v>3011.2632</v>
      </c>
      <c r="GZ260" s="1115" t="n">
        <v>547.5024</v>
      </c>
      <c r="HA260" s="1115" t="n">
        <v>547.5024</v>
      </c>
      <c r="HB260" s="1141"/>
      <c r="HC260" s="1115" t="n">
        <v>11805.5205</v>
      </c>
      <c r="HD260" s="1115"/>
      <c r="HE260" s="1115" t="n">
        <v>20274.69825</v>
      </c>
      <c r="HF260" s="1115" t="n">
        <v>524869.344043927</v>
      </c>
      <c r="HG260" s="1115"/>
      <c r="HH260" s="1142" t="n">
        <v>43.6562838813016</v>
      </c>
      <c r="HI260" s="1115" t="n">
        <v>885117.982409728</v>
      </c>
      <c r="HJ260" s="1150" t="n">
        <f aca="false">MAX(FB260-FP260-FW260,0)</f>
        <v>0</v>
      </c>
      <c r="HK260" s="1115" t="n">
        <f aca="false">MAX(FD260-FR260-FX260,0)</f>
        <v>0</v>
      </c>
      <c r="HL260" s="1115" t="n">
        <f aca="false">MAX(FF260-FT260-FY260,0)</f>
        <v>0</v>
      </c>
      <c r="HM260" s="1141" t="n">
        <f aca="false">MAX(FH260-FV260-FZ260,0)</f>
        <v>0</v>
      </c>
      <c r="HN260" s="1115" t="n">
        <f aca="false">SUM(HJ260:HM260)</f>
        <v>0</v>
      </c>
      <c r="HO260" s="1142" t="n">
        <f aca="false">IF(ISERROR(+HP260/HN260),0,+HP260/HN260)</f>
        <v>0</v>
      </c>
      <c r="HP260" s="1143" t="n">
        <f aca="false">(HJ260*CE260+HK260*CF260+HL260*CG260+HM260*CH260)</f>
        <v>0</v>
      </c>
      <c r="HQ260" s="1142" t="s">
        <v>930</v>
      </c>
      <c r="HR260" s="1150" t="e">
        <f aca="false">SUMIF($A$17:$A$292,HQ260,$GF$17:$GF$292)</f>
        <v>#VALUE!</v>
      </c>
      <c r="HS260" s="1200" t="e">
        <f aca="false">IF(HT260=0,IF(OR(SUMIF(CURVES!$AU$6:$AU$283,$HQ260,CURVES!$BQ$6:$BQ$283)=0,COUNTIF(CURVES!$AU$6:$AU$283,$HQ260)=0),0,SUMIF(CURVES!$AU$6:$AU$283,$HQ260,CURVES!$BQ$6:$BQ$283)/COUNTIF(CURVES!$AU$6:$AU$283,$HQ260)),HT260/HR260)</f>
        <v>#VALUE!</v>
      </c>
      <c r="HT260" s="1141" t="e">
        <f aca="false">SUMIF($A$17:$A$292,HQ260,$GG$17:$GG$292)</f>
        <v>#VALUE!</v>
      </c>
      <c r="HU260" s="1150" t="n">
        <f aca="false">SUMIF($A$17:$A$292,HQ260,$GC$17:$GC$292)</f>
        <v>0</v>
      </c>
      <c r="HV260" s="1200" t="e">
        <f aca="false">IF(HW260=0,0,HW260/Summary!$O$79/HU260)</f>
        <v>#DIV/0!</v>
      </c>
      <c r="HW260" s="1141" t="n">
        <f aca="false">SUMIF($A$17:$A$292,HQ260,$GH$17:$GH$292)</f>
        <v>19318.2665584249</v>
      </c>
      <c r="HX260" s="1200" t="n">
        <f aca="false">IF(OR(SUMIF(CURVES!$AU$6:$AU$283,$HQ260,CURVES!$BQ$6:$BQ$283)=0,COUNTIF(CURVES!$AU$6:$AU$283,$HQ260)=0),0,SUMIF(CURVES!$AU$6:$AU$283,$HQ260,CURVES!$BQ$6:$BQ$283)/COUNTIF(CURVES!$AU$6:$AU$283,$HQ260))</f>
        <v>4.68970315469697</v>
      </c>
      <c r="HY260" s="1200" t="n">
        <f aca="false">IF(OR(SUMIF(CURVES!$AU$6:$AU$283,$HQ260,CURVES!$BR$6:$BR$283)=0,COUNTIF(CURVES!$AU$6:$AU$283,$HQ260)=0),0,SUMIF(CURVES!$AU$6:$AU$283,$HQ260,CURVES!$BR$6:$BR$283)/COUNTIF(CURVES!$AU$6:$AU$283,$HQ260))</f>
        <v>3.64385742541781</v>
      </c>
      <c r="HZ260" s="0"/>
      <c r="IA260" s="1142"/>
      <c r="IB260" s="1142"/>
      <c r="IC260" s="1142"/>
      <c r="ID260" s="1142"/>
      <c r="IE260" s="1142"/>
      <c r="IF260" s="1142"/>
      <c r="IG260" s="1142"/>
      <c r="IH260" s="1142"/>
      <c r="II260" s="1142"/>
      <c r="IJ260" s="1142"/>
      <c r="IK260" s="1142"/>
      <c r="IL260" s="1190"/>
      <c r="IM260" s="222"/>
      <c r="IN260" s="222"/>
      <c r="IR260" s="844"/>
    </row>
    <row r="261" customFormat="false" ht="13.5" hidden="false" customHeight="false" outlineLevel="0" collapsed="false">
      <c r="A261" s="0" t="str">
        <f aca="false">+D261&amp;"Q"&amp;ROUNDUP(E261/3,0)</f>
        <v>2020Q2</v>
      </c>
      <c r="B261" s="0" t="n">
        <f aca="false">YEAR(C261)</f>
        <v>2020</v>
      </c>
      <c r="C261" s="1153" t="n">
        <f aca="false">EOMONTH(C260,0)+1</f>
        <v>43952</v>
      </c>
      <c r="D261" s="841" t="n">
        <f aca="false">+YEAR(C261)</f>
        <v>2020</v>
      </c>
      <c r="E261" s="807" t="n">
        <f aca="false">MONTH(C261)</f>
        <v>5</v>
      </c>
      <c r="F261" s="1154" t="e">
        <f aca="false">IF(G261="","",Holiday(D261,E261))</f>
        <v>#VALUE!</v>
      </c>
      <c r="G261" s="1155" t="n">
        <v>43952</v>
      </c>
      <c r="H261" s="1156" t="n">
        <v>43982</v>
      </c>
      <c r="I261" s="1157" t="n">
        <f aca="false">I260</f>
        <v>0.0715</v>
      </c>
      <c r="J261" s="1158" t="n">
        <f aca="false">(1+I261/2)^(-2*(DATE(D262,E262,20)-$H$7)/365.25)</f>
        <v>0.23664558005592</v>
      </c>
      <c r="K261" s="1159"/>
      <c r="L261" s="1158"/>
      <c r="M261" s="1082" t="n">
        <v>0</v>
      </c>
      <c r="N261" s="1110" t="n">
        <f aca="false">M261</f>
        <v>0</v>
      </c>
      <c r="O261" s="1174" t="n">
        <f aca="false">N261</f>
        <v>0</v>
      </c>
      <c r="P261" s="1175" t="n">
        <f aca="false">M261</f>
        <v>0</v>
      </c>
      <c r="Q261" s="1110" t="n">
        <f aca="false">P261</f>
        <v>0</v>
      </c>
      <c r="R261" s="1174" t="n">
        <f aca="false">Q261</f>
        <v>0</v>
      </c>
      <c r="S261" s="1110" t="n">
        <f aca="false">R261</f>
        <v>0</v>
      </c>
      <c r="T261" s="1110" t="n">
        <f aca="false">S261</f>
        <v>0</v>
      </c>
      <c r="U261" s="1110" t="n">
        <f aca="false">T261</f>
        <v>0</v>
      </c>
      <c r="V261" s="1175" t="n">
        <f aca="false">U261</f>
        <v>0</v>
      </c>
      <c r="W261" s="1110" t="n">
        <f aca="false">V261</f>
        <v>0</v>
      </c>
      <c r="X261" s="1176" t="n">
        <f aca="false">W261</f>
        <v>0</v>
      </c>
      <c r="Y261" s="1086" t="n">
        <v>0</v>
      </c>
      <c r="Z261" s="1086" t="n">
        <v>0</v>
      </c>
      <c r="AA261" s="1087" t="n">
        <v>0</v>
      </c>
      <c r="AB261" s="1086" t="n">
        <v>0</v>
      </c>
      <c r="AC261" s="1086" t="n">
        <v>0</v>
      </c>
      <c r="AD261" s="1087" t="n">
        <v>0</v>
      </c>
      <c r="AE261" s="1086" t="n">
        <v>0</v>
      </c>
      <c r="AF261" s="1086" t="n">
        <v>0</v>
      </c>
      <c r="AG261" s="1087" t="n">
        <v>0</v>
      </c>
      <c r="AH261" s="1086" t="n">
        <v>0</v>
      </c>
      <c r="AI261" s="1086" t="n">
        <v>0</v>
      </c>
      <c r="AJ261" s="1087" t="n">
        <v>0</v>
      </c>
      <c r="AK261" s="1086" t="n">
        <v>0</v>
      </c>
      <c r="AL261" s="1086" t="n">
        <v>0</v>
      </c>
      <c r="AM261" s="1087" t="n">
        <v>0</v>
      </c>
      <c r="AN261" s="1086" t="n">
        <v>0</v>
      </c>
      <c r="AO261" s="1086" t="n">
        <v>0</v>
      </c>
      <c r="AP261" s="1087" t="n">
        <v>0</v>
      </c>
      <c r="AQ261" s="1086" t="n">
        <v>0</v>
      </c>
      <c r="AR261" s="1086" t="n">
        <v>0</v>
      </c>
      <c r="AS261" s="1087" t="n">
        <v>0</v>
      </c>
      <c r="AT261" s="1086" t="n">
        <v>0</v>
      </c>
      <c r="AU261" s="1086" t="n">
        <v>0</v>
      </c>
      <c r="AV261" s="1086" t="n">
        <v>0</v>
      </c>
      <c r="AW261" s="1172" t="n">
        <v>0</v>
      </c>
      <c r="AX261" s="807" t="e">
        <f aca="false">BB261-SUM(AY261:BA261)</f>
        <v>#VALUE!</v>
      </c>
      <c r="AY261" s="807" t="e">
        <f aca="false">IF(AND($E261=MONTH(Summary!$E$24),$D261=YEAR(Summary!$E$24)),Summary!$E$25,1)*IF(G261="",0,INT((H261-MOD(H261,7)-G261)/7)+1-IF(BA261,IF(WEEKDAY(F261)=7,1,0),0))</f>
        <v>#VALUE!</v>
      </c>
      <c r="AZ261" s="807" t="e">
        <f aca="false">IF(AND($E261=MONTH(Summary!$E$24),$D261=YEAR(Summary!$E$24)),Summary!$E$25,1)*IF(G261="",0,INT((H261-MOD(H261-1,7)-G261)/7)+1-IF(BA261,IF(WEEKDAY(F261)=1,1,0),0))</f>
        <v>#VALUE!</v>
      </c>
      <c r="BA261" s="807" t="n">
        <v>1</v>
      </c>
      <c r="BB261" s="807" t="n">
        <f aca="false">IF(AND($E261=MONTH(Summary!$E$24),$D261=YEAR(Summary!$E$24)),Summary!$E$25,1)*IF(G261="",0,H261-G261+1)</f>
        <v>31</v>
      </c>
      <c r="BC261" s="1089" t="n">
        <f aca="false">Summary!$E$19</f>
        <v>0.015</v>
      </c>
      <c r="BD261" s="1090" t="n">
        <v>14184</v>
      </c>
      <c r="BE261" s="1091" t="n">
        <v>3546</v>
      </c>
      <c r="BF261" s="1091" t="n">
        <v>4255.2</v>
      </c>
      <c r="BG261" s="842"/>
      <c r="BH261" s="1092" t="n">
        <v>1</v>
      </c>
      <c r="BI261" s="1092" t="n">
        <v>1</v>
      </c>
      <c r="BJ261" s="1092" t="n">
        <v>1</v>
      </c>
      <c r="BK261" s="1092" t="n">
        <v>1</v>
      </c>
      <c r="BL261" s="1093" t="n">
        <v>2836.8</v>
      </c>
      <c r="BM261" s="1091" t="n">
        <v>709.2</v>
      </c>
      <c r="BN261" s="1091" t="n">
        <v>851.04</v>
      </c>
      <c r="BO261" s="842"/>
      <c r="BP261" s="1092" t="n">
        <v>1</v>
      </c>
      <c r="BQ261" s="1094" t="n">
        <v>1</v>
      </c>
      <c r="BR261" s="1094" t="n">
        <v>1</v>
      </c>
      <c r="BS261" s="1095" t="n">
        <v>1</v>
      </c>
      <c r="BT261" s="1093" t="n">
        <f aca="false">SUM(BD261:BF261)</f>
        <v>21985.2</v>
      </c>
      <c r="BU261" s="1098" t="n">
        <f aca="false">SUM(BD261:BG261)</f>
        <v>21985.2</v>
      </c>
      <c r="BV261" s="1090" t="n">
        <f aca="false">SUM(BL261:BN261)</f>
        <v>4397.04</v>
      </c>
      <c r="BW261" s="1098" t="n">
        <f aca="false">SUM(BL261:BO261)</f>
        <v>4397.04</v>
      </c>
      <c r="BX261" s="852" t="n">
        <v>20.3778234086242</v>
      </c>
      <c r="BY261" s="1099" t="n">
        <v>0</v>
      </c>
      <c r="BZ261" s="852" t="n">
        <v>0</v>
      </c>
      <c r="CA261" s="852" t="n">
        <v>0</v>
      </c>
      <c r="CB261" s="852" t="n">
        <v>0</v>
      </c>
      <c r="CC261" s="852" t="n">
        <v>0</v>
      </c>
      <c r="CD261" s="852" t="n">
        <v>0</v>
      </c>
      <c r="CE261" s="1100" t="n">
        <v>0</v>
      </c>
      <c r="CF261" s="852" t="n">
        <v>0</v>
      </c>
      <c r="CG261" s="852" t="n">
        <v>0</v>
      </c>
      <c r="CH261" s="852" t="n">
        <v>0</v>
      </c>
      <c r="CI261" s="852" t="n">
        <v>0</v>
      </c>
      <c r="CJ261" s="1101" t="n">
        <v>0</v>
      </c>
      <c r="CK261" s="852" t="n">
        <v>0</v>
      </c>
      <c r="CL261" s="852" t="n">
        <v>0</v>
      </c>
      <c r="CM261" s="852" t="n">
        <v>0</v>
      </c>
      <c r="CN261" s="852" t="n">
        <v>0</v>
      </c>
      <c r="CO261" s="852" t="n">
        <v>0</v>
      </c>
      <c r="CP261" s="852" t="n">
        <v>0</v>
      </c>
      <c r="CQ261" s="1102" t="n">
        <v>0</v>
      </c>
      <c r="CR261" s="1103" t="n">
        <v>0</v>
      </c>
      <c r="CS261" s="1103" t="n">
        <v>0</v>
      </c>
      <c r="CT261" s="1103" t="n">
        <v>0</v>
      </c>
      <c r="CU261" s="1103" t="n">
        <v>0</v>
      </c>
      <c r="CV261" s="1103" t="n">
        <v>0</v>
      </c>
      <c r="CW261" s="1103" t="n">
        <v>0</v>
      </c>
      <c r="CX261" s="1104" t="n">
        <v>0</v>
      </c>
      <c r="CY261" s="1105" t="n">
        <v>7771.64088</v>
      </c>
      <c r="CZ261" s="1099" t="n">
        <v>0</v>
      </c>
      <c r="DA261" s="852" t="n">
        <v>0</v>
      </c>
      <c r="DB261" s="852" t="n">
        <v>0</v>
      </c>
      <c r="DC261" s="852" t="n">
        <v>0</v>
      </c>
      <c r="DD261" s="852" t="n">
        <v>0</v>
      </c>
      <c r="DE261" s="1113" t="n">
        <v>0</v>
      </c>
      <c r="DF261" s="1109" t="n">
        <v>0</v>
      </c>
      <c r="DG261" s="1110" t="n">
        <v>0</v>
      </c>
      <c r="DH261" s="1111" t="n">
        <v>0</v>
      </c>
      <c r="DI261" s="1112" t="n">
        <v>0</v>
      </c>
      <c r="DJ261" s="1112" t="n">
        <v>0</v>
      </c>
      <c r="DK261" s="1112" t="n">
        <v>0</v>
      </c>
      <c r="DL261" s="1113" t="n">
        <v>0</v>
      </c>
      <c r="DM261" s="1114" t="n">
        <v>0</v>
      </c>
      <c r="DN261" s="1114" t="n">
        <v>0</v>
      </c>
      <c r="DO261" s="1114" t="n">
        <v>0</v>
      </c>
      <c r="DP261" s="1114" t="n">
        <v>0</v>
      </c>
      <c r="DQ261" s="1114" t="n">
        <v>0</v>
      </c>
      <c r="DR261" s="1109" t="n">
        <v>0</v>
      </c>
      <c r="DS261" s="852" t="n">
        <v>0</v>
      </c>
      <c r="DT261" s="852" t="n">
        <v>0</v>
      </c>
      <c r="DU261" s="852" t="n">
        <v>0</v>
      </c>
      <c r="DV261" s="852" t="n">
        <v>0</v>
      </c>
      <c r="DW261" s="852" t="n">
        <v>0</v>
      </c>
      <c r="DX261" s="852" t="n">
        <v>0</v>
      </c>
      <c r="DY261" s="852" t="n">
        <v>0</v>
      </c>
      <c r="DZ261" s="852" t="n">
        <v>0</v>
      </c>
      <c r="EA261" s="852" t="n">
        <v>0</v>
      </c>
      <c r="EB261" s="1113" t="n">
        <v>0</v>
      </c>
      <c r="EC261" s="1115" t="n">
        <f aca="false">DS261*BD261</f>
        <v>0</v>
      </c>
      <c r="ED261" s="1115" t="n">
        <f aca="false">DT261*BE261</f>
        <v>0</v>
      </c>
      <c r="EE261" s="1115" t="n">
        <f aca="false">DU261*BF261</f>
        <v>0</v>
      </c>
      <c r="EF261" s="1115" t="n">
        <f aca="false">DV261*BG261</f>
        <v>0</v>
      </c>
      <c r="EG261" s="1115" t="n">
        <f aca="false">DS261*BD261+DT261*BE261+DU261*BF261+DV261*BG261</f>
        <v>0</v>
      </c>
      <c r="EH261" s="1116" t="n">
        <v>0</v>
      </c>
      <c r="EI261" s="1117" t="n">
        <v>0</v>
      </c>
      <c r="EJ261" s="1117" t="n">
        <v>0</v>
      </c>
      <c r="EK261" s="1117" t="n">
        <v>0</v>
      </c>
      <c r="EL261" s="1118" t="n">
        <f aca="false">IF(C261&gt;=Summary!$E$26,MAX(0,SUM(EH261:EK261)),0)</f>
        <v>0</v>
      </c>
      <c r="EM261" s="1115" t="n">
        <f aca="false">IF(C261&gt;=Summary!$E$26,DX261*BL261,0)</f>
        <v>0</v>
      </c>
      <c r="EN261" s="1115" t="n">
        <f aca="false">IF(C261&gt;=Summary!$E$26,DY261*BM261,0)</f>
        <v>0</v>
      </c>
      <c r="EO261" s="1115" t="n">
        <f aca="false">IF(C261&gt;=Summary!$E$26,DZ261*BN261,0)</f>
        <v>0</v>
      </c>
      <c r="EP261" s="1115" t="n">
        <f aca="false">IF(C261&gt;=Summary!$E$26,EA261*BO261,0)</f>
        <v>0</v>
      </c>
      <c r="EQ261" s="1115" t="n">
        <f aca="false">IF(C261&gt;=Summary!$E$26,DX261*BL261+DY261*BM261+DZ261*BN261+EA261*BO261,0)</f>
        <v>0</v>
      </c>
      <c r="ER261" s="1119" t="n">
        <v>0</v>
      </c>
      <c r="ES261" s="1120" t="n">
        <v>0</v>
      </c>
      <c r="ET261" s="1120" t="n">
        <v>0</v>
      </c>
      <c r="EU261" s="1120" t="n">
        <v>0</v>
      </c>
      <c r="EV261" s="1143" t="n">
        <f aca="false">IF(C261&gt;=Summary!$E$26,MAX(0,SUM(ER261:EU261)),0)</f>
        <v>0</v>
      </c>
      <c r="EW261" s="1115"/>
      <c r="EX261" s="1165" t="n">
        <f aca="false">(EQ261-EV261)+IF(EZ261="Yes",(EG261-EL261),0)</f>
        <v>0</v>
      </c>
      <c r="EY261" s="1166" t="str">
        <f aca="false">IF(EX261,EX261/EQ261,"")</f>
        <v/>
      </c>
      <c r="EZ261" s="1122" t="s">
        <v>37</v>
      </c>
      <c r="FA261" s="1096" t="n">
        <f aca="false">FA260</f>
        <v>45</v>
      </c>
      <c r="FB261" s="1167" t="e">
        <f aca="false">IF(EZ261="No",IF((OR(MONTH(C261)=5,MONTH(C261)=6,MONTH(C261)=7,MONTH(C261)=8,MONTH(C261)=9)),$FA261*12*AX261*(1-$BC261),$FA261*10*AX261*(1-$BC261)),0)</f>
        <v>#VALUE!</v>
      </c>
      <c r="FC261" s="1129" t="n">
        <f aca="false">IF(EZ261="No",IF((OR(MONTH(C261)=5,MONTH(C261)=6,MONTH(C261)=7,MONTH(C261)=8,MONTH(C261)=9)),0,$FA261*3*AX261*(1-$BC261)),0)</f>
        <v>0</v>
      </c>
      <c r="FD261" s="1129" t="e">
        <f aca="false">IF(EZ261="No",IF((OR(MONTH(C261)=5,MONTH(C261)=6,MONTH(C261)=7,MONTH(C261)=8,MONTH(C261)=9)),$FA261*12*AY261*(1-$BC261),$FA261*10*AY261*(1-$BC261)),0)</f>
        <v>#VALUE!</v>
      </c>
      <c r="FE261" s="1129" t="n">
        <f aca="false">IF(EZ261="No",IF((OR(MONTH(C261)=5,MONTH(C261)=6,MONTH(C261)=7,MONTH(C261)=8,MONTH(C261)=9)),0,$FA261*3*AY261*(1-$BC261)),0)</f>
        <v>0</v>
      </c>
      <c r="FF261" s="1129" t="e">
        <f aca="false">IF(EZ261="No",IF((OR(MONTH(C261)=5,MONTH(C261)=6,MONTH(C261)=7,MONTH(C261)=8,MONTH(C261)=9)),$FA261*12*(AZ261+BA261)*(1-$BC261),$FA261*10*(AZ261+BA261)*(1-$BC261)),0)</f>
        <v>#VALUE!</v>
      </c>
      <c r="FG261" s="1129" t="n">
        <f aca="false">IF(EZ261="No",IF((OR(MONTH(C261)=5,MONTH(C261)=6,MONTH(C261)=7,MONTH(C261)=8,MONTH(C261)=9)),0,$FA261*3*(AZ261+BA261)*(1-$BC261)),0)</f>
        <v>0</v>
      </c>
      <c r="FH261" s="1170" t="e">
        <f aca="false">IF(EZ261="No",IF((OR(MONTH(C261)=5,MONTH(C261)=6,MONTH(C261)=7,MONTH(C261)=8,MONTH(C261)=9)),Summary!$O$15*12*(AX261+AY261+AZ261+BA261)*(1-$BC261),Summary!$O$15*13*(AX261+AY261+AZ261+BA261)*(1-$BC261)+IF(Summary!$O$16="Yes",(CALC!FA261+Summary!$O$15)*6*(AX261+AY261+AZ261+BA261)*(1-$BC261),0)),0)</f>
        <v>#VALUE!</v>
      </c>
      <c r="FI261" s="1126" t="n">
        <f aca="false">IF(MONTH(C261)=5,FI260*(IF(Summary!$E$70="no",(1+(Summary!$E$71*0.8)),1+HLOOKUP(YEAR(C261)-1,CCFMODEL!$I$127:$AF$128,2)*0.8)),+FI260)</f>
        <v>43.7746579110331</v>
      </c>
      <c r="FJ261" s="1127" t="n">
        <f aca="false">IF(MONTH(C261)=5,FJ260*(IF(Summary!$E$70="no",(1+(Summary!$E$71*0.8)),1+HLOOKUP(YEAR(CALC!C261)-1,CCFMODEL!$I$127:$AF$128,2)*0.8)),FJ260)</f>
        <v>38.2597403789344</v>
      </c>
      <c r="FK261" s="1128" t="e">
        <f aca="false">SUM(FB261:FG261)*FI261+FH261*FJ261</f>
        <v>#VALUE!</v>
      </c>
      <c r="FL261" s="1126" t="n">
        <f aca="false">IF(MONTH(C261)=5,FL260*(IF(Summary!$E$70="no",(1+(Summary!$E$71*0.8)),1+HLOOKUP(YEAR(CALC!C261)-1,CCFMODEL!$I$127:$AF$128,2)*0.8)),+FL260)</f>
        <v>92.0630132069682</v>
      </c>
      <c r="FM261" s="1127" t="n">
        <f aca="false">IF(MONTH(C261)=5,FM260*(IF(Summary!$E$70="no",(1+(Summary!$E$71*0.8)),1+HLOOKUP(YEAR(CALC!C261)-1,CCFMODEL!$I$127:$AF$128,2)*0.8)),+FM260)</f>
        <v>43.9387923613931</v>
      </c>
      <c r="FN261" s="1128" t="e">
        <f aca="false">IF((OR(MONTH(C261)=5,MONTH(C261)=6,MONTH(C261)=7,MONTH(C261)=8,MONTH(C261)=9)),SUM(FB261:FG261)/(1-BC261)*FL261,SUM(FB261:FG261)/(1-BC261)*FM261)</f>
        <v>#VALUE!</v>
      </c>
      <c r="FO261" s="1129" t="e">
        <f aca="false">FK261+FN261</f>
        <v>#VALUE!</v>
      </c>
      <c r="FP261" s="1169" t="e">
        <f aca="false">FB261</f>
        <v>#VALUE!</v>
      </c>
      <c r="FQ261" s="1129" t="n">
        <f aca="false">FC261</f>
        <v>0</v>
      </c>
      <c r="FR261" s="1129" t="e">
        <f aca="false">FD261</f>
        <v>#VALUE!</v>
      </c>
      <c r="FS261" s="1129" t="n">
        <f aca="false">FE261</f>
        <v>0</v>
      </c>
      <c r="FT261" s="1129" t="e">
        <f aca="false">FF261</f>
        <v>#VALUE!</v>
      </c>
      <c r="FU261" s="1129" t="n">
        <f aca="false">FG261</f>
        <v>0</v>
      </c>
      <c r="FV261" s="1170" t="e">
        <f aca="false">FH261</f>
        <v>#VALUE!</v>
      </c>
      <c r="FW261" s="1115" t="n">
        <f aca="false">IF(ER261&gt;0,MIN(FB261-FP261,BL261),0)</f>
        <v>0</v>
      </c>
      <c r="FX261" s="1115" t="n">
        <f aca="false">IF(ES261&gt;0,MIN(FD261-FR261,BM261),0)</f>
        <v>0</v>
      </c>
      <c r="FY261" s="1115" t="n">
        <f aca="false">IF(ET261&gt;0,MIN(FF261-FT261,BN261),0)</f>
        <v>0</v>
      </c>
      <c r="FZ261" s="1143" t="n">
        <f aca="false">IF(EU261&gt;0,MIN(FH261-FV261,BO261),0)</f>
        <v>0</v>
      </c>
      <c r="GA261" s="1132" t="e">
        <f aca="false">(SUM(FP261:FV261)+SUM(GU261:HB261)/(1-Summary!$O$25))*CY261/1000</f>
        <v>#VALUE!</v>
      </c>
      <c r="GB261" s="1133" t="n">
        <f aca="false">IF($C261&lt;Summary!$M$81,+Summary!$O$81,VLOOKUP(C261,GasTable,19))</f>
        <v>3.67601402189126</v>
      </c>
      <c r="GC261" s="1134" t="n">
        <f aca="false">IF(H261&lt;=Summary!$N$84,MIN(GA261,Summary!$O$75*(H261-G261+1)),0)</f>
        <v>0</v>
      </c>
      <c r="GD261" s="1135" t="n">
        <f aca="false">IF(C261&lt;Summary!$N$84,IF(Summary!$O$75*(H261-G261+1)*0.8&gt;GC261,1,0),0)</f>
        <v>0</v>
      </c>
      <c r="GE261" s="1136" t="n">
        <v>0</v>
      </c>
      <c r="GF261" s="1134" t="e">
        <f aca="false">ABS(MIN(0,GC261-$GA261))</f>
        <v>#VALUE!</v>
      </c>
      <c r="GG261" s="1135" t="e">
        <f aca="false">GF261*(IF(Summary!$O$74=1,VLOOKUP($C261,GasTable,16)+Summary!$O$92+Summary!$O$93,VLOOKUP($C261,GasTable,19)+Summary!$O$92+Summary!$O$93))</f>
        <v>#VALUE!</v>
      </c>
      <c r="GH261" s="1137" t="n">
        <v>5697.82173393145</v>
      </c>
      <c r="GI261" s="1138" t="n">
        <v>0</v>
      </c>
      <c r="GJ261" s="1139" t="e">
        <f aca="false">+GB261*GC261+GE261+GG261+GH261-GI261</f>
        <v>#VALUE!</v>
      </c>
      <c r="GK261" s="1115" t="e">
        <f aca="false">SUM(FP261:FV261,GU261:GX261,GY261:HB261)</f>
        <v>#VALUE!</v>
      </c>
      <c r="GL261" s="1140" t="n">
        <v>0.52069993896</v>
      </c>
      <c r="GM261" s="1141" t="e">
        <f aca="false">IF(GK261&gt;GC261/(CY261/1000),GC261/(CY261/1000),+GK261)*GL261</f>
        <v>#VALUE!</v>
      </c>
      <c r="GN261" s="1115" t="n">
        <f aca="false">IF(SUM(GU261:HB261)=0,0,IF(Summary!$O$16="Yes",SUM(GX261:HB261),IF(Summary!$O$17="Yes",SUM(GY261:HB261),SUM(GU261:HB261))))</f>
        <v>9547.0731</v>
      </c>
      <c r="GO261" s="1142" t="n">
        <v>4.29768782442377</v>
      </c>
      <c r="GP261" s="1143" t="n">
        <f aca="false">GN261*GO261</f>
        <v>41030.3398207536</v>
      </c>
      <c r="GQ261" s="1115"/>
      <c r="GR261" s="1115"/>
      <c r="GS261" s="1115"/>
      <c r="GT261" s="1115"/>
      <c r="GU261" s="1150" t="n">
        <v>3421.89</v>
      </c>
      <c r="GV261" s="1115" t="n">
        <v>855.4725</v>
      </c>
      <c r="GW261" s="1115" t="n">
        <v>1026.567</v>
      </c>
      <c r="GX261" s="1115"/>
      <c r="GY261" s="1151" t="n">
        <v>2737.512</v>
      </c>
      <c r="GZ261" s="1115" t="n">
        <v>684.378</v>
      </c>
      <c r="HA261" s="1115" t="n">
        <v>821.2536</v>
      </c>
      <c r="HB261" s="1141"/>
      <c r="HC261" s="1115" t="n">
        <v>9547.0731</v>
      </c>
      <c r="HD261" s="1115"/>
      <c r="HE261" s="1115" t="n">
        <v>22276.5039</v>
      </c>
      <c r="HF261" s="1115" t="n">
        <v>443936.718250135</v>
      </c>
      <c r="HG261" s="1115"/>
      <c r="HH261" s="1142" t="n">
        <v>47.113318409819</v>
      </c>
      <c r="HI261" s="1115" t="n">
        <v>1049520.02129828</v>
      </c>
      <c r="HJ261" s="1150" t="e">
        <f aca="false">MAX(FB261-FP261-FW261,0)</f>
        <v>#VALUE!</v>
      </c>
      <c r="HK261" s="1115" t="e">
        <f aca="false">MAX(FD261-FR261-FX261,0)</f>
        <v>#VALUE!</v>
      </c>
      <c r="HL261" s="1115" t="e">
        <f aca="false">MAX(FF261-FT261-FY261,0)</f>
        <v>#VALUE!</v>
      </c>
      <c r="HM261" s="1141" t="e">
        <f aca="false">MAX(FH261-FV261-FZ261,0)</f>
        <v>#VALUE!</v>
      </c>
      <c r="HN261" s="1115" t="e">
        <f aca="false">SUM(HJ261:HM261)</f>
        <v>#VALUE!</v>
      </c>
      <c r="HO261" s="1142" t="n">
        <f aca="false">IF(ISERROR(+HP261/HN261),0,+HP261/HN261)</f>
        <v>0</v>
      </c>
      <c r="HP261" s="1143" t="e">
        <f aca="false">(HJ261*CE261+HK261*CF261+HL261*CG261+HM261*CH261)</f>
        <v>#VALUE!</v>
      </c>
      <c r="HQ261" s="1142" t="s">
        <v>931</v>
      </c>
      <c r="HR261" s="1150" t="e">
        <f aca="false">SUMIF($A$17:$A$292,HQ261,$GF$17:$GF$292)</f>
        <v>#VALUE!</v>
      </c>
      <c r="HS261" s="1200" t="e">
        <f aca="false">IF(HT261=0,IF(OR(SUMIF(CURVES!$AU$6:$AU$283,$HQ261,CURVES!$BQ$6:$BQ$283)=0,COUNTIF(CURVES!$AU$6:$AU$283,$HQ261)=0),0,SUMIF(CURVES!$AU$6:$AU$283,$HQ261,CURVES!$BQ$6:$BQ$283)/COUNTIF(CURVES!$AU$6:$AU$283,$HQ261)),HT261/HR261)</f>
        <v>#VALUE!</v>
      </c>
      <c r="HT261" s="1141" t="e">
        <f aca="false">SUMIF($A$17:$A$292,HQ261,$GG$17:$GG$292)</f>
        <v>#VALUE!</v>
      </c>
      <c r="HU261" s="1150" t="n">
        <f aca="false">SUMIF($A$17:$A$292,HQ261,$GC$17:$GC$292)</f>
        <v>0</v>
      </c>
      <c r="HV261" s="1200" t="e">
        <f aca="false">IF(HW261=0,0,HW261/Summary!$O$79/HU261)</f>
        <v>#DIV/0!</v>
      </c>
      <c r="HW261" s="1141" t="n">
        <f aca="false">SUMIF($A$17:$A$292,HQ261,$GH$17:$GH$292)</f>
        <v>17439.9544328494</v>
      </c>
      <c r="HX261" s="1200" t="n">
        <f aca="false">IF(OR(SUMIF(CURVES!$AU$6:$AU$283,$HQ261,CURVES!$BQ$6:$BQ$283)=0,COUNTIF(CURVES!$AU$6:$AU$283,$HQ261)=0),0,SUMIF(CURVES!$AU$6:$AU$283,$HQ261,CURVES!$BQ$6:$BQ$283)/COUNTIF(CURVES!$AU$6:$AU$283,$HQ261))</f>
        <v>4.50356777345065</v>
      </c>
      <c r="HY261" s="1200" t="n">
        <f aca="false">IF(OR(SUMIF(CURVES!$AU$6:$AU$283,$HQ261,CURVES!$BR$6:$BR$283)=0,COUNTIF(CURVES!$AU$6:$AU$283,$HQ261)=0),0,SUMIF(CURVES!$AU$6:$AU$283,$HQ261,CURVES!$BR$6:$BR$283)/COUNTIF(CURVES!$AU$6:$AU$283,$HQ261))</f>
        <v>3.67047177624571</v>
      </c>
      <c r="HZ261" s="0"/>
      <c r="IA261" s="1142"/>
      <c r="IB261" s="1142"/>
      <c r="IC261" s="1142"/>
      <c r="ID261" s="1142"/>
      <c r="IE261" s="1142"/>
      <c r="IF261" s="1142"/>
      <c r="IG261" s="1142"/>
      <c r="IH261" s="1142"/>
      <c r="II261" s="1142"/>
      <c r="IJ261" s="1142"/>
      <c r="IK261" s="1142"/>
      <c r="IL261" s="1190"/>
      <c r="IM261" s="222"/>
      <c r="IN261" s="222"/>
      <c r="IR261" s="844"/>
    </row>
    <row r="262" customFormat="false" ht="13.5" hidden="false" customHeight="false" outlineLevel="0" collapsed="false">
      <c r="A262" s="0" t="str">
        <f aca="false">+D262&amp;"Q"&amp;ROUNDUP(E262/3,0)</f>
        <v>2020Q2</v>
      </c>
      <c r="B262" s="0" t="n">
        <f aca="false">YEAR(C262)</f>
        <v>2020</v>
      </c>
      <c r="C262" s="1153" t="n">
        <f aca="false">EOMONTH(C261,0)+1</f>
        <v>43983</v>
      </c>
      <c r="D262" s="841" t="n">
        <f aca="false">+YEAR(C262)</f>
        <v>2020</v>
      </c>
      <c r="E262" s="807" t="n">
        <f aca="false">MONTH(C262)</f>
        <v>6</v>
      </c>
      <c r="F262" s="1154" t="e">
        <f aca="false">IF(G262="","",Holiday(D262,E262))</f>
        <v>#VALUE!</v>
      </c>
      <c r="G262" s="1155" t="n">
        <v>43983</v>
      </c>
      <c r="H262" s="1156" t="n">
        <v>44012</v>
      </c>
      <c r="I262" s="1157" t="n">
        <f aca="false">I261</f>
        <v>0.0715</v>
      </c>
      <c r="J262" s="1158" t="n">
        <f aca="false">(1+I262/2)^(-2*(DATE(D263,E263,20)-$H$7)/365.25)</f>
        <v>0.235284030974197</v>
      </c>
      <c r="K262" s="1159"/>
      <c r="L262" s="1158"/>
      <c r="M262" s="1082" t="n">
        <v>0</v>
      </c>
      <c r="N262" s="1110" t="n">
        <f aca="false">M262</f>
        <v>0</v>
      </c>
      <c r="O262" s="1174" t="n">
        <f aca="false">N262</f>
        <v>0</v>
      </c>
      <c r="P262" s="1175" t="n">
        <f aca="false">M262</f>
        <v>0</v>
      </c>
      <c r="Q262" s="1110" t="n">
        <f aca="false">P262</f>
        <v>0</v>
      </c>
      <c r="R262" s="1174" t="n">
        <f aca="false">Q262</f>
        <v>0</v>
      </c>
      <c r="S262" s="1110" t="n">
        <f aca="false">R262</f>
        <v>0</v>
      </c>
      <c r="T262" s="1110" t="n">
        <f aca="false">S262</f>
        <v>0</v>
      </c>
      <c r="U262" s="1110" t="n">
        <f aca="false">T262</f>
        <v>0</v>
      </c>
      <c r="V262" s="1175" t="n">
        <f aca="false">U262</f>
        <v>0</v>
      </c>
      <c r="W262" s="1110" t="n">
        <f aca="false">V262</f>
        <v>0</v>
      </c>
      <c r="X262" s="1176" t="n">
        <f aca="false">W262</f>
        <v>0</v>
      </c>
      <c r="Y262" s="1086" t="n">
        <v>0</v>
      </c>
      <c r="Z262" s="1086" t="n">
        <v>0</v>
      </c>
      <c r="AA262" s="1087" t="n">
        <v>0</v>
      </c>
      <c r="AB262" s="1086" t="n">
        <v>0</v>
      </c>
      <c r="AC262" s="1086" t="n">
        <v>0</v>
      </c>
      <c r="AD262" s="1087" t="n">
        <v>0</v>
      </c>
      <c r="AE262" s="1086" t="n">
        <v>0</v>
      </c>
      <c r="AF262" s="1086" t="n">
        <v>0</v>
      </c>
      <c r="AG262" s="1087" t="n">
        <v>0</v>
      </c>
      <c r="AH262" s="1086" t="n">
        <v>0</v>
      </c>
      <c r="AI262" s="1086" t="n">
        <v>0</v>
      </c>
      <c r="AJ262" s="1087" t="n">
        <v>0</v>
      </c>
      <c r="AK262" s="1086" t="n">
        <v>0</v>
      </c>
      <c r="AL262" s="1086" t="n">
        <v>0</v>
      </c>
      <c r="AM262" s="1087" t="n">
        <v>0</v>
      </c>
      <c r="AN262" s="1086" t="n">
        <v>0</v>
      </c>
      <c r="AO262" s="1086" t="n">
        <v>0</v>
      </c>
      <c r="AP262" s="1087" t="n">
        <v>0</v>
      </c>
      <c r="AQ262" s="1086" t="n">
        <v>0</v>
      </c>
      <c r="AR262" s="1086" t="n">
        <v>0</v>
      </c>
      <c r="AS262" s="1087" t="n">
        <v>0</v>
      </c>
      <c r="AT262" s="1086" t="n">
        <v>0</v>
      </c>
      <c r="AU262" s="1086" t="n">
        <v>0</v>
      </c>
      <c r="AV262" s="1086" t="n">
        <v>0</v>
      </c>
      <c r="AW262" s="1172" t="n">
        <v>0</v>
      </c>
      <c r="AX262" s="807" t="n">
        <f aca="false">BB262-SUM(AY262:BA262)</f>
        <v>22</v>
      </c>
      <c r="AY262" s="807" t="n">
        <f aca="false">IF(AND($E262=MONTH(Summary!$E$24),$D262=YEAR(Summary!$E$24)),Summary!$E$25,1)*IF(G262="",0,INT((H262-MOD(H262,7)-G262)/7)+1-IF(BA262,IF(WEEKDAY(F262)=7,1,0),0))</f>
        <v>4</v>
      </c>
      <c r="AZ262" s="807" t="n">
        <f aca="false">IF(AND($E262=MONTH(Summary!$E$24),$D262=YEAR(Summary!$E$24)),Summary!$E$25,1)*IF(G262="",0,INT((H262-MOD(H262-1,7)-G262)/7)+1-IF(BA262,IF(WEEKDAY(F262)=1,1,0),0))</f>
        <v>4</v>
      </c>
      <c r="BA262" s="807" t="n">
        <v>0</v>
      </c>
      <c r="BB262" s="807" t="n">
        <f aca="false">IF(AND($E262=MONTH(Summary!$E$24),$D262=YEAR(Summary!$E$24)),Summary!$E$25,1)*IF(G262="",0,H262-G262+1)</f>
        <v>30</v>
      </c>
      <c r="BC262" s="1089" t="n">
        <f aca="false">Summary!$E$19</f>
        <v>0.015</v>
      </c>
      <c r="BD262" s="1090" t="n">
        <v>15602.4</v>
      </c>
      <c r="BE262" s="1091" t="n">
        <v>2836.8</v>
      </c>
      <c r="BF262" s="1091" t="n">
        <v>2836.8</v>
      </c>
      <c r="BG262" s="842"/>
      <c r="BH262" s="1092" t="n">
        <v>1</v>
      </c>
      <c r="BI262" s="1092" t="n">
        <v>1</v>
      </c>
      <c r="BJ262" s="1092" t="n">
        <v>1</v>
      </c>
      <c r="BK262" s="1092" t="n">
        <v>1</v>
      </c>
      <c r="BL262" s="1093" t="n">
        <v>3120.48</v>
      </c>
      <c r="BM262" s="1091" t="n">
        <v>567.36</v>
      </c>
      <c r="BN262" s="1091" t="n">
        <v>567.36</v>
      </c>
      <c r="BO262" s="842"/>
      <c r="BP262" s="1092" t="n">
        <v>1</v>
      </c>
      <c r="BQ262" s="1094" t="n">
        <v>1</v>
      </c>
      <c r="BR262" s="1094" t="n">
        <v>1</v>
      </c>
      <c r="BS262" s="1095" t="n">
        <v>1</v>
      </c>
      <c r="BT262" s="1093" t="n">
        <f aca="false">SUM(BD262:BF262)</f>
        <v>21276</v>
      </c>
      <c r="BU262" s="1098" t="n">
        <f aca="false">SUM(BD262:BG262)</f>
        <v>21276</v>
      </c>
      <c r="BV262" s="1090" t="n">
        <f aca="false">SUM(BL262:BN262)</f>
        <v>4255.2</v>
      </c>
      <c r="BW262" s="1098" t="n">
        <f aca="false">SUM(BL262:BO262)</f>
        <v>4255.2</v>
      </c>
      <c r="BX262" s="852" t="n">
        <v>20.4626967830253</v>
      </c>
      <c r="BY262" s="1099" t="n">
        <v>0</v>
      </c>
      <c r="BZ262" s="852" t="n">
        <v>0</v>
      </c>
      <c r="CA262" s="852" t="n">
        <v>0</v>
      </c>
      <c r="CB262" s="852" t="n">
        <v>0</v>
      </c>
      <c r="CC262" s="852" t="n">
        <v>0</v>
      </c>
      <c r="CD262" s="852" t="n">
        <v>0</v>
      </c>
      <c r="CE262" s="1100" t="n">
        <v>0</v>
      </c>
      <c r="CF262" s="852" t="n">
        <v>0</v>
      </c>
      <c r="CG262" s="852" t="n">
        <v>0</v>
      </c>
      <c r="CH262" s="852" t="n">
        <v>0</v>
      </c>
      <c r="CI262" s="852" t="n">
        <v>0</v>
      </c>
      <c r="CJ262" s="1101" t="n">
        <v>0</v>
      </c>
      <c r="CK262" s="852" t="n">
        <v>0</v>
      </c>
      <c r="CL262" s="852" t="n">
        <v>0</v>
      </c>
      <c r="CM262" s="852" t="n">
        <v>0</v>
      </c>
      <c r="CN262" s="852" t="n">
        <v>0</v>
      </c>
      <c r="CO262" s="852" t="n">
        <v>0</v>
      </c>
      <c r="CP262" s="852" t="n">
        <v>0</v>
      </c>
      <c r="CQ262" s="1102" t="n">
        <v>0</v>
      </c>
      <c r="CR262" s="1103" t="n">
        <v>0</v>
      </c>
      <c r="CS262" s="1103" t="n">
        <v>0</v>
      </c>
      <c r="CT262" s="1103" t="n">
        <v>0</v>
      </c>
      <c r="CU262" s="1103" t="n">
        <v>0</v>
      </c>
      <c r="CV262" s="1103" t="n">
        <v>0</v>
      </c>
      <c r="CW262" s="1103" t="n">
        <v>0</v>
      </c>
      <c r="CX262" s="1104" t="n">
        <v>0</v>
      </c>
      <c r="CY262" s="1105" t="n">
        <v>7773.67184</v>
      </c>
      <c r="CZ262" s="1099" t="n">
        <v>0</v>
      </c>
      <c r="DA262" s="852" t="n">
        <v>0</v>
      </c>
      <c r="DB262" s="852" t="n">
        <v>0</v>
      </c>
      <c r="DC262" s="852" t="n">
        <v>0</v>
      </c>
      <c r="DD262" s="852" t="n">
        <v>0</v>
      </c>
      <c r="DE262" s="1113" t="n">
        <v>0</v>
      </c>
      <c r="DF262" s="1109" t="n">
        <v>0</v>
      </c>
      <c r="DG262" s="1110" t="n">
        <v>0</v>
      </c>
      <c r="DH262" s="1111" t="n">
        <v>0</v>
      </c>
      <c r="DI262" s="1112" t="n">
        <v>0</v>
      </c>
      <c r="DJ262" s="1112" t="n">
        <v>0</v>
      </c>
      <c r="DK262" s="1112" t="n">
        <v>0</v>
      </c>
      <c r="DL262" s="1113" t="n">
        <v>0</v>
      </c>
      <c r="DM262" s="1114" t="n">
        <v>0</v>
      </c>
      <c r="DN262" s="1114" t="n">
        <v>0</v>
      </c>
      <c r="DO262" s="1114" t="n">
        <v>0</v>
      </c>
      <c r="DP262" s="1114" t="n">
        <v>0</v>
      </c>
      <c r="DQ262" s="1114" t="n">
        <v>0</v>
      </c>
      <c r="DR262" s="1109" t="n">
        <v>0</v>
      </c>
      <c r="DS262" s="852" t="n">
        <v>0</v>
      </c>
      <c r="DT262" s="852" t="n">
        <v>0</v>
      </c>
      <c r="DU262" s="852" t="n">
        <v>0</v>
      </c>
      <c r="DV262" s="852" t="n">
        <v>0</v>
      </c>
      <c r="DW262" s="852" t="n">
        <v>0</v>
      </c>
      <c r="DX262" s="852" t="n">
        <v>0</v>
      </c>
      <c r="DY262" s="852" t="n">
        <v>0</v>
      </c>
      <c r="DZ262" s="852" t="n">
        <v>0</v>
      </c>
      <c r="EA262" s="852" t="n">
        <v>0</v>
      </c>
      <c r="EB262" s="1113" t="n">
        <v>0</v>
      </c>
      <c r="EC262" s="1115" t="n">
        <f aca="false">DS262*BD262</f>
        <v>0</v>
      </c>
      <c r="ED262" s="1115" t="n">
        <f aca="false">DT262*BE262</f>
        <v>0</v>
      </c>
      <c r="EE262" s="1115" t="n">
        <f aca="false">DU262*BF262</f>
        <v>0</v>
      </c>
      <c r="EF262" s="1115" t="n">
        <f aca="false">DV262*BG262</f>
        <v>0</v>
      </c>
      <c r="EG262" s="1115" t="n">
        <f aca="false">DS262*BD262+DT262*BE262+DU262*BF262+DV262*BG262</f>
        <v>0</v>
      </c>
      <c r="EH262" s="1116" t="n">
        <v>0</v>
      </c>
      <c r="EI262" s="1117" t="n">
        <v>0</v>
      </c>
      <c r="EJ262" s="1117" t="n">
        <v>0</v>
      </c>
      <c r="EK262" s="1117" t="n">
        <v>0</v>
      </c>
      <c r="EL262" s="1118" t="n">
        <f aca="false">IF(C262&gt;=Summary!$E$26,MAX(0,SUM(EH262:EK262)),0)</f>
        <v>0</v>
      </c>
      <c r="EM262" s="1115" t="n">
        <f aca="false">IF(C262&gt;=Summary!$E$26,DX262*BL262,0)</f>
        <v>0</v>
      </c>
      <c r="EN262" s="1115" t="n">
        <f aca="false">IF(C262&gt;=Summary!$E$26,DY262*BM262,0)</f>
        <v>0</v>
      </c>
      <c r="EO262" s="1115" t="n">
        <f aca="false">IF(C262&gt;=Summary!$E$26,DZ262*BN262,0)</f>
        <v>0</v>
      </c>
      <c r="EP262" s="1115" t="n">
        <f aca="false">IF(C262&gt;=Summary!$E$26,EA262*BO262,0)</f>
        <v>0</v>
      </c>
      <c r="EQ262" s="1115" t="n">
        <f aca="false">IF(C262&gt;=Summary!$E$26,DX262*BL262+DY262*BM262+DZ262*BN262+EA262*BO262,0)</f>
        <v>0</v>
      </c>
      <c r="ER262" s="1119" t="n">
        <v>0</v>
      </c>
      <c r="ES262" s="1120" t="n">
        <v>0</v>
      </c>
      <c r="ET262" s="1120" t="n">
        <v>0</v>
      </c>
      <c r="EU262" s="1120" t="n">
        <v>0</v>
      </c>
      <c r="EV262" s="1143" t="n">
        <f aca="false">IF(C262&gt;=Summary!$E$26,MAX(0,SUM(ER262:EU262)),0)</f>
        <v>0</v>
      </c>
      <c r="EW262" s="1115"/>
      <c r="EX262" s="1165" t="n">
        <f aca="false">(EQ262-EV262)+IF(EZ262="Yes",(EG262-EL262),0)</f>
        <v>0</v>
      </c>
      <c r="EY262" s="1166" t="str">
        <f aca="false">IF(EX262,EX262/EQ262,"")</f>
        <v/>
      </c>
      <c r="EZ262" s="1122" t="s">
        <v>37</v>
      </c>
      <c r="FA262" s="1096" t="n">
        <f aca="false">FA261</f>
        <v>45</v>
      </c>
      <c r="FB262" s="1167" t="n">
        <f aca="false">IF(EZ262="No",IF((OR(MONTH(C262)=5,MONTH(C262)=6,MONTH(C262)=7,MONTH(C262)=8,MONTH(C262)=9)),$FA262*12*AX262*(1-$BC262),$FA262*10*AX262*(1-$BC262)),0)</f>
        <v>11701.8</v>
      </c>
      <c r="FC262" s="1129" t="n">
        <f aca="false">IF(EZ262="No",IF((OR(MONTH(C262)=5,MONTH(C262)=6,MONTH(C262)=7,MONTH(C262)=8,MONTH(C262)=9)),0,$FA262*3*AX262*(1-$BC262)),0)</f>
        <v>0</v>
      </c>
      <c r="FD262" s="1129" t="n">
        <f aca="false">IF(EZ262="No",IF((OR(MONTH(C262)=5,MONTH(C262)=6,MONTH(C262)=7,MONTH(C262)=8,MONTH(C262)=9)),$FA262*12*AY262*(1-$BC262),$FA262*10*AY262*(1-$BC262)),0)</f>
        <v>2127.6</v>
      </c>
      <c r="FE262" s="1129" t="n">
        <f aca="false">IF(EZ262="No",IF((OR(MONTH(C262)=5,MONTH(C262)=6,MONTH(C262)=7,MONTH(C262)=8,MONTH(C262)=9)),0,$FA262*3*AY262*(1-$BC262)),0)</f>
        <v>0</v>
      </c>
      <c r="FF262" s="1129" t="n">
        <f aca="false">IF(EZ262="No",IF((OR(MONTH(C262)=5,MONTH(C262)=6,MONTH(C262)=7,MONTH(C262)=8,MONTH(C262)=9)),$FA262*12*(AZ262+BA262)*(1-$BC262),$FA262*10*(AZ262+BA262)*(1-$BC262)),0)</f>
        <v>2127.6</v>
      </c>
      <c r="FG262" s="1129" t="n">
        <f aca="false">IF(EZ262="No",IF((OR(MONTH(C262)=5,MONTH(C262)=6,MONTH(C262)=7,MONTH(C262)=8,MONTH(C262)=9)),0,$FA262*3*(AZ262+BA262)*(1-$BC262)),0)</f>
        <v>0</v>
      </c>
      <c r="FH262" s="1170" t="n">
        <f aca="false">IF(EZ262="No",IF((OR(MONTH(C262)=5,MONTH(C262)=6,MONTH(C262)=7,MONTH(C262)=8,MONTH(C262)=9)),Summary!$O$15*12*(AX262+AY262+AZ262+BA262)*(1-$BC262),Summary!$O$15*13*(AX262+AY262+AZ262+BA262)*(1-$BC262)+IF(Summary!$O$16="Yes",(CALC!FA262+Summary!$O$15)*6*(AX262+AY262+AZ262+BA262)*(1-$BC262),0)),0)</f>
        <v>0</v>
      </c>
      <c r="FI262" s="1126" t="n">
        <f aca="false">IF(MONTH(C262)=5,FI261*(IF(Summary!$E$70="no",(1+(Summary!$E$71*0.8)),1+HLOOKUP(YEAR(C262)-1,CCFMODEL!$I$127:$AF$128,2)*0.8)),+FI261)</f>
        <v>43.7746579110331</v>
      </c>
      <c r="FJ262" s="1127" t="n">
        <f aca="false">IF(MONTH(C262)=5,FJ261*(IF(Summary!$E$70="no",(1+(Summary!$E$71*0.8)),1+HLOOKUP(YEAR(CALC!C262)-1,CCFMODEL!$I$127:$AF$128,2)*0.8)),FJ261)</f>
        <v>38.2597403789344</v>
      </c>
      <c r="FK262" s="1128" t="n">
        <f aca="false">SUM(FB262:FG262)*FI262+FH262*FJ262</f>
        <v>698512.216286355</v>
      </c>
      <c r="FL262" s="1126" t="n">
        <f aca="false">IF(MONTH(C262)=5,FL261*(IF(Summary!$E$70="no",(1+(Summary!$E$71*0.8)),1+HLOOKUP(YEAR(CALC!C262)-1,CCFMODEL!$I$127:$AF$128,2)*0.8)),+FL261)</f>
        <v>92.0630132069682</v>
      </c>
      <c r="FM262" s="1127" t="n">
        <f aca="false">IF(MONTH(C262)=5,FM261*(IF(Summary!$E$70="no",(1+(Summary!$E$71*0.8)),1+HLOOKUP(YEAR(CALC!C262)-1,CCFMODEL!$I$127:$AF$128,2)*0.8)),+FM261)</f>
        <v>43.9387923613931</v>
      </c>
      <c r="FN262" s="1128" t="n">
        <f aca="false">IF((OR(MONTH(C262)=5,MONTH(C262)=6,MONTH(C262)=7,MONTH(C262)=8,MONTH(C262)=9)),SUM(FB262:FG262)/(1-BC262)*FL262,SUM(FB262:FG262)/(1-BC262)*FM262)</f>
        <v>1491420.81395289</v>
      </c>
      <c r="FO262" s="1129" t="n">
        <f aca="false">FK262+FN262</f>
        <v>2189933.03023924</v>
      </c>
      <c r="FP262" s="1169" t="n">
        <f aca="false">FB262</f>
        <v>11701.8</v>
      </c>
      <c r="FQ262" s="1129" t="n">
        <f aca="false">FC262</f>
        <v>0</v>
      </c>
      <c r="FR262" s="1129" t="n">
        <f aca="false">FD262</f>
        <v>2127.6</v>
      </c>
      <c r="FS262" s="1129" t="n">
        <f aca="false">FE262</f>
        <v>0</v>
      </c>
      <c r="FT262" s="1129" t="n">
        <f aca="false">FF262</f>
        <v>2127.6</v>
      </c>
      <c r="FU262" s="1129" t="n">
        <f aca="false">FG262</f>
        <v>0</v>
      </c>
      <c r="FV262" s="1170" t="n">
        <f aca="false">FH262</f>
        <v>0</v>
      </c>
      <c r="FW262" s="1115" t="n">
        <f aca="false">IF(ER262&gt;0,MIN(FB262-FP262,BL262),0)</f>
        <v>0</v>
      </c>
      <c r="FX262" s="1115" t="n">
        <f aca="false">IF(ES262&gt;0,MIN(FD262-FR262,BM262),0)</f>
        <v>0</v>
      </c>
      <c r="FY262" s="1115" t="n">
        <f aca="false">IF(ET262&gt;0,MIN(FF262-FT262,BN262),0)</f>
        <v>0</v>
      </c>
      <c r="FZ262" s="1143" t="n">
        <f aca="false">IF(EU262&gt;0,MIN(FH262-FV262,BO262),0)</f>
        <v>0</v>
      </c>
      <c r="GA262" s="1132" t="n">
        <f aca="false">(SUM(FP262:FV262)+SUM(GU262:HB262)/(1-Summary!$O$25))*CY262/1000</f>
        <v>198471.170481408</v>
      </c>
      <c r="GB262" s="1133" t="n">
        <f aca="false">IF($C262&lt;Summary!$M$81,+Summary!$O$81,VLOOKUP(C262,GasTable,19))</f>
        <v>3.72041814904038</v>
      </c>
      <c r="GC262" s="1134" t="n">
        <f aca="false">IF(H262&lt;=Summary!$N$84,MIN(GA262,Summary!$O$75*(H262-G262+1)),0)</f>
        <v>0</v>
      </c>
      <c r="GD262" s="1135" t="n">
        <f aca="false">IF(C262&lt;Summary!$N$84,IF(Summary!$O$75*(H262-G262+1)*0.8&gt;GC262,1,0),0)</f>
        <v>0</v>
      </c>
      <c r="GE262" s="1136" t="n">
        <v>0</v>
      </c>
      <c r="GF262" s="1134" t="n">
        <f aca="false">ABS(MIN(0,GC262-$GA262))</f>
        <v>198471.170481408</v>
      </c>
      <c r="GG262" s="1135" t="n">
        <f aca="false">GF262*(IF(Summary!$O$74=1,VLOOKUP($C262,GasTable,16)+Summary!$O$92+Summary!$O$93,VLOOKUP($C262,GasTable,19)+Summary!$O$92+Summary!$O$93))</f>
        <v>748736.092702399</v>
      </c>
      <c r="GH262" s="1137" t="n">
        <v>5580.62722356057</v>
      </c>
      <c r="GI262" s="1138" t="n">
        <v>0</v>
      </c>
      <c r="GJ262" s="1139" t="n">
        <f aca="false">+GB262*GC262+GE262+GG262+GH262-GI262</f>
        <v>754316.719925959</v>
      </c>
      <c r="GK262" s="1115" t="n">
        <f aca="false">SUM(FP262:FV262,GU262:GX262,GY262:HB262)</f>
        <v>25196.103</v>
      </c>
      <c r="GL262" s="1140" t="n">
        <v>0.52083601328</v>
      </c>
      <c r="GM262" s="1141" t="n">
        <f aca="false">IF(GK262&gt;GC262/(CY262/1000),GC262/(CY262/1000),+GK262)*GL262</f>
        <v>0</v>
      </c>
      <c r="GN262" s="1115" t="n">
        <f aca="false">IF(SUM(GU262:HB262)=0,0,IF(Summary!$O$16="Yes",SUM(GX262:HB262),IF(Summary!$O$17="Yes",SUM(GY262:HB262),SUM(GU262:HB262))))</f>
        <v>9239.103</v>
      </c>
      <c r="GO262" s="1142" t="n">
        <v>4.29768782442377</v>
      </c>
      <c r="GP262" s="1143" t="n">
        <f aca="false">GN262*GO262</f>
        <v>39706.7804716971</v>
      </c>
      <c r="GQ262" s="1115"/>
      <c r="GR262" s="1115"/>
      <c r="GS262" s="1115"/>
      <c r="GT262" s="1115"/>
      <c r="GU262" s="1150" t="n">
        <v>3764.079</v>
      </c>
      <c r="GV262" s="1115" t="n">
        <v>684.378</v>
      </c>
      <c r="GW262" s="1115" t="n">
        <v>684.378</v>
      </c>
      <c r="GX262" s="1115"/>
      <c r="GY262" s="1151" t="n">
        <v>3011.2632</v>
      </c>
      <c r="GZ262" s="1115" t="n">
        <v>547.5024</v>
      </c>
      <c r="HA262" s="1115" t="n">
        <v>547.5024</v>
      </c>
      <c r="HB262" s="1141"/>
      <c r="HC262" s="1115" t="n">
        <v>9239.103</v>
      </c>
      <c r="HD262" s="1115"/>
      <c r="HE262" s="1115" t="n">
        <v>21557.907</v>
      </c>
      <c r="HF262" s="1115" t="n">
        <v>432769.172382869</v>
      </c>
      <c r="HG262" s="1115"/>
      <c r="HH262" s="1142" t="n">
        <v>48.4576834451505</v>
      </c>
      <c r="HI262" s="1115" t="n">
        <v>1044646.23314599</v>
      </c>
      <c r="HJ262" s="1150" t="n">
        <f aca="false">MAX(FB262-FP262-FW262,0)</f>
        <v>0</v>
      </c>
      <c r="HK262" s="1115" t="n">
        <f aca="false">MAX(FD262-FR262-FX262,0)</f>
        <v>0</v>
      </c>
      <c r="HL262" s="1115" t="n">
        <f aca="false">MAX(FF262-FT262-FY262,0)</f>
        <v>0</v>
      </c>
      <c r="HM262" s="1141" t="n">
        <f aca="false">MAX(FH262-FV262-FZ262,0)</f>
        <v>0</v>
      </c>
      <c r="HN262" s="1115" t="n">
        <f aca="false">SUM(HJ262:HM262)</f>
        <v>0</v>
      </c>
      <c r="HO262" s="1142" t="n">
        <f aca="false">IF(ISERROR(+HP262/HN262),0,+HP262/HN262)</f>
        <v>0</v>
      </c>
      <c r="HP262" s="1143" t="n">
        <f aca="false">(HJ262*CE262+HK262*CF262+HL262*CG262+HM262*CH262)</f>
        <v>0</v>
      </c>
      <c r="HQ262" s="1142" t="s">
        <v>932</v>
      </c>
      <c r="HR262" s="1150" t="e">
        <f aca="false">SUMIF($A$17:$A$292,HQ262,$GF$17:$GF$292)</f>
        <v>#VALUE!</v>
      </c>
      <c r="HS262" s="1200" t="e">
        <f aca="false">IF(HT262=0,IF(OR(SUMIF(CURVES!$AU$6:$AU$283,$HQ262,CURVES!$BQ$6:$BQ$283)=0,COUNTIF(CURVES!$AU$6:$AU$283,$HQ262)=0),0,SUMIF(CURVES!$AU$6:$AU$283,$HQ262,CURVES!$BQ$6:$BQ$283)/COUNTIF(CURVES!$AU$6:$AU$283,$HQ262)),HT262/HR262)</f>
        <v>#VALUE!</v>
      </c>
      <c r="HT262" s="1141" t="e">
        <f aca="false">SUMIF($A$17:$A$292,HQ262,$GG$17:$GG$292)</f>
        <v>#VALUE!</v>
      </c>
      <c r="HU262" s="1150" t="n">
        <f aca="false">SUMIF($A$17:$A$292,HQ262,$GC$17:$GC$292)</f>
        <v>0</v>
      </c>
      <c r="HV262" s="1200" t="e">
        <f aca="false">IF(HW262=0,0,HW262/Summary!$O$79/HU262)</f>
        <v>#DIV/0!</v>
      </c>
      <c r="HW262" s="1141" t="n">
        <f aca="false">SUMIF($A$17:$A$292,HQ262,$GH$17:$GH$292)</f>
        <v>16008.6129876665</v>
      </c>
      <c r="HX262" s="1200" t="n">
        <f aca="false">IF(OR(SUMIF(CURVES!$AU$6:$AU$283,$HQ262,CURVES!$BQ$6:$BQ$283)=0,COUNTIF(CURVES!$AU$6:$AU$283,$HQ262)=0),0,SUMIF(CURVES!$AU$6:$AU$283,$HQ262,CURVES!$BQ$6:$BQ$283)/COUNTIF(CURVES!$AU$6:$AU$283,$HQ262))</f>
        <v>4.18672524256288</v>
      </c>
      <c r="HY262" s="1200" t="n">
        <f aca="false">IF(OR(SUMIF(CURVES!$AU$6:$AU$283,$HQ262,CURVES!$BR$6:$BR$283)=0,COUNTIF(CURVES!$AU$6:$AU$283,$HQ262)=0),0,SUMIF(CURVES!$AU$6:$AU$283,$HQ262,CURVES!$BR$6:$BR$283)/COUNTIF(CURVES!$AU$6:$AU$283,$HQ262))</f>
        <v>3.33153912682058</v>
      </c>
      <c r="HZ262" s="0"/>
      <c r="IA262" s="1142"/>
      <c r="IB262" s="1142"/>
      <c r="IC262" s="1142"/>
      <c r="ID262" s="1142"/>
      <c r="IE262" s="1142"/>
      <c r="IF262" s="1142"/>
      <c r="IG262" s="1142"/>
      <c r="IH262" s="1142"/>
      <c r="II262" s="1142"/>
      <c r="IJ262" s="1142"/>
      <c r="IK262" s="1142"/>
      <c r="IL262" s="1190"/>
      <c r="IM262" s="222"/>
      <c r="IN262" s="222"/>
      <c r="IR262" s="844"/>
    </row>
    <row r="263" customFormat="false" ht="13.5" hidden="false" customHeight="false" outlineLevel="0" collapsed="false">
      <c r="A263" s="0" t="str">
        <f aca="false">+D263&amp;"Q"&amp;ROUNDUP(E263/3,0)</f>
        <v>2020Q3</v>
      </c>
      <c r="B263" s="0" t="n">
        <f aca="false">YEAR(C263)</f>
        <v>2020</v>
      </c>
      <c r="C263" s="1153" t="n">
        <f aca="false">EOMONTH(C262,0)+1</f>
        <v>44013</v>
      </c>
      <c r="D263" s="841" t="n">
        <f aca="false">+YEAR(C263)</f>
        <v>2020</v>
      </c>
      <c r="E263" s="807" t="n">
        <f aca="false">MONTH(C263)</f>
        <v>7</v>
      </c>
      <c r="F263" s="1154" t="e">
        <f aca="false">IF(G263="","",Holiday(D263,E263))</f>
        <v>#VALUE!</v>
      </c>
      <c r="G263" s="1155" t="n">
        <v>44013</v>
      </c>
      <c r="H263" s="1156" t="n">
        <v>44043</v>
      </c>
      <c r="I263" s="1157" t="n">
        <f aca="false">I262</f>
        <v>0.0715</v>
      </c>
      <c r="J263" s="1158" t="n">
        <f aca="false">(1+I263/2)^(-2*(DATE(D264,E264,20)-$H$7)/365.25)</f>
        <v>0.23388532615736</v>
      </c>
      <c r="K263" s="1159"/>
      <c r="L263" s="1158"/>
      <c r="M263" s="1082" t="n">
        <v>0</v>
      </c>
      <c r="N263" s="1110" t="n">
        <f aca="false">M263</f>
        <v>0</v>
      </c>
      <c r="O263" s="1174" t="n">
        <f aca="false">N263</f>
        <v>0</v>
      </c>
      <c r="P263" s="1175" t="n">
        <f aca="false">M263</f>
        <v>0</v>
      </c>
      <c r="Q263" s="1110" t="n">
        <f aca="false">P263</f>
        <v>0</v>
      </c>
      <c r="R263" s="1174" t="n">
        <f aca="false">Q263</f>
        <v>0</v>
      </c>
      <c r="S263" s="1110" t="n">
        <f aca="false">R263</f>
        <v>0</v>
      </c>
      <c r="T263" s="1110" t="n">
        <f aca="false">S263</f>
        <v>0</v>
      </c>
      <c r="U263" s="1110" t="n">
        <f aca="false">T263</f>
        <v>0</v>
      </c>
      <c r="V263" s="1175" t="n">
        <f aca="false">U263</f>
        <v>0</v>
      </c>
      <c r="W263" s="1110" t="n">
        <f aca="false">V263</f>
        <v>0</v>
      </c>
      <c r="X263" s="1176" t="n">
        <f aca="false">W263</f>
        <v>0</v>
      </c>
      <c r="Y263" s="1086" t="n">
        <v>0</v>
      </c>
      <c r="Z263" s="1086" t="n">
        <v>0</v>
      </c>
      <c r="AA263" s="1087" t="n">
        <v>0</v>
      </c>
      <c r="AB263" s="1086" t="n">
        <v>0</v>
      </c>
      <c r="AC263" s="1086" t="n">
        <v>0</v>
      </c>
      <c r="AD263" s="1087" t="n">
        <v>0</v>
      </c>
      <c r="AE263" s="1086" t="n">
        <v>0</v>
      </c>
      <c r="AF263" s="1086" t="n">
        <v>0</v>
      </c>
      <c r="AG263" s="1087" t="n">
        <v>0</v>
      </c>
      <c r="AH263" s="1086" t="n">
        <v>0</v>
      </c>
      <c r="AI263" s="1086" t="n">
        <v>0</v>
      </c>
      <c r="AJ263" s="1087" t="n">
        <v>0</v>
      </c>
      <c r="AK263" s="1086" t="n">
        <v>0</v>
      </c>
      <c r="AL263" s="1086" t="n">
        <v>0</v>
      </c>
      <c r="AM263" s="1087" t="n">
        <v>0</v>
      </c>
      <c r="AN263" s="1086" t="n">
        <v>0</v>
      </c>
      <c r="AO263" s="1086" t="n">
        <v>0</v>
      </c>
      <c r="AP263" s="1087" t="n">
        <v>0</v>
      </c>
      <c r="AQ263" s="1086" t="n">
        <v>0</v>
      </c>
      <c r="AR263" s="1086" t="n">
        <v>0</v>
      </c>
      <c r="AS263" s="1087" t="n">
        <v>0</v>
      </c>
      <c r="AT263" s="1086" t="n">
        <v>0</v>
      </c>
      <c r="AU263" s="1086" t="n">
        <v>0</v>
      </c>
      <c r="AV263" s="1086" t="n">
        <v>0</v>
      </c>
      <c r="AW263" s="1172" t="n">
        <v>0</v>
      </c>
      <c r="AX263" s="807" t="e">
        <f aca="false">BB263-SUM(AY263:BA263)</f>
        <v>#VALUE!</v>
      </c>
      <c r="AY263" s="807" t="e">
        <f aca="false">IF(AND($E263=MONTH(Summary!$E$24),$D263=YEAR(Summary!$E$24)),Summary!$E$25,1)*IF(G263="",0,INT((H263-MOD(H263,7)-G263)/7)+1-IF(BA263,IF(WEEKDAY(F263)=7,1,0),0))</f>
        <v>#VALUE!</v>
      </c>
      <c r="AZ263" s="807" t="e">
        <f aca="false">IF(AND($E263=MONTH(Summary!$E$24),$D263=YEAR(Summary!$E$24)),Summary!$E$25,1)*IF(G263="",0,INT((H263-MOD(H263-1,7)-G263)/7)+1-IF(BA263,IF(WEEKDAY(F263)=1,1,0),0))</f>
        <v>#VALUE!</v>
      </c>
      <c r="BA263" s="807" t="n">
        <v>1</v>
      </c>
      <c r="BB263" s="807" t="n">
        <f aca="false">IF(AND($E263=MONTH(Summary!$E$24),$D263=YEAR(Summary!$E$24)),Summary!$E$25,1)*IF(G263="",0,H263-G263+1)</f>
        <v>31</v>
      </c>
      <c r="BC263" s="1089" t="n">
        <f aca="false">Summary!$E$19</f>
        <v>0.015</v>
      </c>
      <c r="BD263" s="1090" t="n">
        <v>16311.6</v>
      </c>
      <c r="BE263" s="1091" t="n">
        <v>2127.6</v>
      </c>
      <c r="BF263" s="1091" t="n">
        <v>3546</v>
      </c>
      <c r="BG263" s="842"/>
      <c r="BH263" s="1092" t="n">
        <v>1</v>
      </c>
      <c r="BI263" s="1092" t="n">
        <v>1</v>
      </c>
      <c r="BJ263" s="1092" t="n">
        <v>1</v>
      </c>
      <c r="BK263" s="1092" t="n">
        <v>1</v>
      </c>
      <c r="BL263" s="1093" t="n">
        <v>3262.32</v>
      </c>
      <c r="BM263" s="1091" t="n">
        <v>425.52</v>
      </c>
      <c r="BN263" s="1091" t="n">
        <v>709.2</v>
      </c>
      <c r="BO263" s="842"/>
      <c r="BP263" s="1092" t="n">
        <v>1</v>
      </c>
      <c r="BQ263" s="1094" t="n">
        <v>1</v>
      </c>
      <c r="BR263" s="1094" t="n">
        <v>1</v>
      </c>
      <c r="BS263" s="1095" t="n">
        <v>1</v>
      </c>
      <c r="BT263" s="1093" t="n">
        <f aca="false">SUM(BD263:BF263)</f>
        <v>21985.2</v>
      </c>
      <c r="BU263" s="1098" t="n">
        <f aca="false">SUM(BD263:BG263)</f>
        <v>21985.2</v>
      </c>
      <c r="BV263" s="1090" t="n">
        <f aca="false">SUM(BL263:BN263)</f>
        <v>4397.04</v>
      </c>
      <c r="BW263" s="1098" t="n">
        <f aca="false">SUM(BL263:BO263)</f>
        <v>4397.04</v>
      </c>
      <c r="BX263" s="852" t="n">
        <v>20.5448323066393</v>
      </c>
      <c r="BY263" s="1099" t="n">
        <v>0</v>
      </c>
      <c r="BZ263" s="852" t="n">
        <v>0</v>
      </c>
      <c r="CA263" s="852" t="n">
        <v>0</v>
      </c>
      <c r="CB263" s="852" t="n">
        <v>0</v>
      </c>
      <c r="CC263" s="852" t="n">
        <v>0</v>
      </c>
      <c r="CD263" s="852" t="n">
        <v>0</v>
      </c>
      <c r="CE263" s="1100" t="n">
        <v>0</v>
      </c>
      <c r="CF263" s="852" t="n">
        <v>0</v>
      </c>
      <c r="CG263" s="852" t="n">
        <v>0</v>
      </c>
      <c r="CH263" s="852" t="n">
        <v>0</v>
      </c>
      <c r="CI263" s="852" t="n">
        <v>0</v>
      </c>
      <c r="CJ263" s="1101" t="n">
        <v>0</v>
      </c>
      <c r="CK263" s="852" t="n">
        <v>0</v>
      </c>
      <c r="CL263" s="852" t="n">
        <v>0</v>
      </c>
      <c r="CM263" s="852" t="n">
        <v>0</v>
      </c>
      <c r="CN263" s="852" t="n">
        <v>0</v>
      </c>
      <c r="CO263" s="852" t="n">
        <v>0</v>
      </c>
      <c r="CP263" s="852" t="n">
        <v>0</v>
      </c>
      <c r="CQ263" s="1102" t="n">
        <v>0</v>
      </c>
      <c r="CR263" s="1103" t="n">
        <v>0</v>
      </c>
      <c r="CS263" s="1103" t="n">
        <v>0</v>
      </c>
      <c r="CT263" s="1103" t="n">
        <v>0</v>
      </c>
      <c r="CU263" s="1103" t="n">
        <v>0</v>
      </c>
      <c r="CV263" s="1103" t="n">
        <v>0</v>
      </c>
      <c r="CW263" s="1103" t="n">
        <v>0</v>
      </c>
      <c r="CX263" s="1104" t="n">
        <v>0</v>
      </c>
      <c r="CY263" s="1105" t="n">
        <v>7775.7028</v>
      </c>
      <c r="CZ263" s="1099" t="n">
        <v>0</v>
      </c>
      <c r="DA263" s="852" t="n">
        <v>0</v>
      </c>
      <c r="DB263" s="852" t="n">
        <v>0</v>
      </c>
      <c r="DC263" s="852" t="n">
        <v>0</v>
      </c>
      <c r="DD263" s="852" t="n">
        <v>0</v>
      </c>
      <c r="DE263" s="1113" t="n">
        <v>0</v>
      </c>
      <c r="DF263" s="1109" t="n">
        <v>0</v>
      </c>
      <c r="DG263" s="1110" t="n">
        <v>0</v>
      </c>
      <c r="DH263" s="1111" t="n">
        <v>0</v>
      </c>
      <c r="DI263" s="1112" t="n">
        <v>0</v>
      </c>
      <c r="DJ263" s="1112" t="n">
        <v>0</v>
      </c>
      <c r="DK263" s="1112" t="n">
        <v>0</v>
      </c>
      <c r="DL263" s="1113" t="n">
        <v>0</v>
      </c>
      <c r="DM263" s="1114" t="n">
        <v>0</v>
      </c>
      <c r="DN263" s="1114" t="n">
        <v>0</v>
      </c>
      <c r="DO263" s="1114" t="n">
        <v>0</v>
      </c>
      <c r="DP263" s="1114" t="n">
        <v>0</v>
      </c>
      <c r="DQ263" s="1114" t="n">
        <v>0</v>
      </c>
      <c r="DR263" s="1109" t="n">
        <v>0</v>
      </c>
      <c r="DS263" s="852" t="n">
        <v>0</v>
      </c>
      <c r="DT263" s="852" t="n">
        <v>0</v>
      </c>
      <c r="DU263" s="852" t="n">
        <v>0</v>
      </c>
      <c r="DV263" s="852" t="n">
        <v>0</v>
      </c>
      <c r="DW263" s="852" t="n">
        <v>0</v>
      </c>
      <c r="DX263" s="852" t="n">
        <v>0</v>
      </c>
      <c r="DY263" s="852" t="n">
        <v>0</v>
      </c>
      <c r="DZ263" s="852" t="n">
        <v>0</v>
      </c>
      <c r="EA263" s="852" t="n">
        <v>0</v>
      </c>
      <c r="EB263" s="1113" t="n">
        <v>0</v>
      </c>
      <c r="EC263" s="1115" t="n">
        <f aca="false">DS263*BD263</f>
        <v>0</v>
      </c>
      <c r="ED263" s="1115" t="n">
        <f aca="false">DT263*BE263</f>
        <v>0</v>
      </c>
      <c r="EE263" s="1115" t="n">
        <f aca="false">DU263*BF263</f>
        <v>0</v>
      </c>
      <c r="EF263" s="1115" t="n">
        <f aca="false">DV263*BG263</f>
        <v>0</v>
      </c>
      <c r="EG263" s="1115" t="n">
        <f aca="false">DS263*BD263+DT263*BE263+DU263*BF263+DV263*BG263</f>
        <v>0</v>
      </c>
      <c r="EH263" s="1116" t="n">
        <v>0</v>
      </c>
      <c r="EI263" s="1117" t="n">
        <v>0</v>
      </c>
      <c r="EJ263" s="1117" t="n">
        <v>0</v>
      </c>
      <c r="EK263" s="1117" t="n">
        <v>0</v>
      </c>
      <c r="EL263" s="1118" t="n">
        <f aca="false">IF(C263&gt;=Summary!$E$26,MAX(0,SUM(EH263:EK263)),0)</f>
        <v>0</v>
      </c>
      <c r="EM263" s="1115" t="n">
        <f aca="false">IF(C263&gt;=Summary!$E$26,DX263*BL263,0)</f>
        <v>0</v>
      </c>
      <c r="EN263" s="1115" t="n">
        <f aca="false">IF(C263&gt;=Summary!$E$26,DY263*BM263,0)</f>
        <v>0</v>
      </c>
      <c r="EO263" s="1115" t="n">
        <f aca="false">IF(C263&gt;=Summary!$E$26,DZ263*BN263,0)</f>
        <v>0</v>
      </c>
      <c r="EP263" s="1115" t="n">
        <f aca="false">IF(C263&gt;=Summary!$E$26,EA263*BO263,0)</f>
        <v>0</v>
      </c>
      <c r="EQ263" s="1115" t="n">
        <f aca="false">IF(C263&gt;=Summary!$E$26,DX263*BL263+DY263*BM263+DZ263*BN263+EA263*BO263,0)</f>
        <v>0</v>
      </c>
      <c r="ER263" s="1119" t="n">
        <v>0</v>
      </c>
      <c r="ES263" s="1120" t="n">
        <v>0</v>
      </c>
      <c r="ET263" s="1120" t="n">
        <v>0</v>
      </c>
      <c r="EU263" s="1120" t="n">
        <v>0</v>
      </c>
      <c r="EV263" s="1143" t="n">
        <f aca="false">IF(C263&gt;=Summary!$E$26,MAX(0,SUM(ER263:EU263)),0)</f>
        <v>0</v>
      </c>
      <c r="EW263" s="1115"/>
      <c r="EX263" s="1165" t="n">
        <f aca="false">(EQ263-EV263)+IF(EZ263="Yes",(EG263-EL263),0)</f>
        <v>0</v>
      </c>
      <c r="EY263" s="1166" t="str">
        <f aca="false">IF(EX263,EX263/EQ263,"")</f>
        <v/>
      </c>
      <c r="EZ263" s="1122" t="s">
        <v>37</v>
      </c>
      <c r="FA263" s="1096" t="n">
        <f aca="false">FA262</f>
        <v>45</v>
      </c>
      <c r="FB263" s="1167" t="e">
        <f aca="false">IF(EZ263="No",IF((OR(MONTH(C263)=5,MONTH(C263)=6,MONTH(C263)=7,MONTH(C263)=8,MONTH(C263)=9)),$FA263*12*AX263*(1-$BC263),$FA263*10*AX263*(1-$BC263)),0)</f>
        <v>#VALUE!</v>
      </c>
      <c r="FC263" s="1129" t="n">
        <f aca="false">IF(EZ263="No",IF((OR(MONTH(C263)=5,MONTH(C263)=6,MONTH(C263)=7,MONTH(C263)=8,MONTH(C263)=9)),0,$FA263*3*AX263*(1-$BC263)),0)</f>
        <v>0</v>
      </c>
      <c r="FD263" s="1129" t="e">
        <f aca="false">IF(EZ263="No",IF((OR(MONTH(C263)=5,MONTH(C263)=6,MONTH(C263)=7,MONTH(C263)=8,MONTH(C263)=9)),$FA263*12*AY263*(1-$BC263),$FA263*10*AY263*(1-$BC263)),0)</f>
        <v>#VALUE!</v>
      </c>
      <c r="FE263" s="1129" t="n">
        <f aca="false">IF(EZ263="No",IF((OR(MONTH(C263)=5,MONTH(C263)=6,MONTH(C263)=7,MONTH(C263)=8,MONTH(C263)=9)),0,$FA263*3*AY263*(1-$BC263)),0)</f>
        <v>0</v>
      </c>
      <c r="FF263" s="1129" t="e">
        <f aca="false">IF(EZ263="No",IF((OR(MONTH(C263)=5,MONTH(C263)=6,MONTH(C263)=7,MONTH(C263)=8,MONTH(C263)=9)),$FA263*12*(AZ263+BA263)*(1-$BC263),$FA263*10*(AZ263+BA263)*(1-$BC263)),0)</f>
        <v>#VALUE!</v>
      </c>
      <c r="FG263" s="1129" t="n">
        <f aca="false">IF(EZ263="No",IF((OR(MONTH(C263)=5,MONTH(C263)=6,MONTH(C263)=7,MONTH(C263)=8,MONTH(C263)=9)),0,$FA263*3*(AZ263+BA263)*(1-$BC263)),0)</f>
        <v>0</v>
      </c>
      <c r="FH263" s="1170" t="e">
        <f aca="false">IF(EZ263="No",IF((OR(MONTH(C263)=5,MONTH(C263)=6,MONTH(C263)=7,MONTH(C263)=8,MONTH(C263)=9)),Summary!$O$15*12*(AX263+AY263+AZ263+BA263)*(1-$BC263),Summary!$O$15*13*(AX263+AY263+AZ263+BA263)*(1-$BC263)+IF(Summary!$O$16="Yes",(CALC!FA263+Summary!$O$15)*6*(AX263+AY263+AZ263+BA263)*(1-$BC263),0)),0)</f>
        <v>#VALUE!</v>
      </c>
      <c r="FI263" s="1126" t="n">
        <f aca="false">IF(MONTH(C263)=5,FI262*(IF(Summary!$E$70="no",(1+(Summary!$E$71*0.8)),1+HLOOKUP(YEAR(C263)-1,CCFMODEL!$I$127:$AF$128,2)*0.8)),+FI262)</f>
        <v>43.7746579110331</v>
      </c>
      <c r="FJ263" s="1127" t="n">
        <f aca="false">IF(MONTH(C263)=5,FJ262*(IF(Summary!$E$70="no",(1+(Summary!$E$71*0.8)),1+HLOOKUP(YEAR(CALC!C263)-1,CCFMODEL!$I$127:$AF$128,2)*0.8)),FJ262)</f>
        <v>38.2597403789344</v>
      </c>
      <c r="FK263" s="1128" t="e">
        <f aca="false">SUM(FB263:FG263)*FI263+FH263*FJ263</f>
        <v>#VALUE!</v>
      </c>
      <c r="FL263" s="1126" t="n">
        <f aca="false">IF(MONTH(C263)=5,FL262*(IF(Summary!$E$70="no",(1+(Summary!$E$71*0.8)),1+HLOOKUP(YEAR(CALC!C263)-1,CCFMODEL!$I$127:$AF$128,2)*0.8)),+FL262)</f>
        <v>92.0630132069682</v>
      </c>
      <c r="FM263" s="1127" t="n">
        <f aca="false">IF(MONTH(C263)=5,FM262*(IF(Summary!$E$70="no",(1+(Summary!$E$71*0.8)),1+HLOOKUP(YEAR(CALC!C263)-1,CCFMODEL!$I$127:$AF$128,2)*0.8)),+FM262)</f>
        <v>43.9387923613931</v>
      </c>
      <c r="FN263" s="1128" t="e">
        <f aca="false">IF((OR(MONTH(C263)=5,MONTH(C263)=6,MONTH(C263)=7,MONTH(C263)=8,MONTH(C263)=9)),SUM(FB263:FG263)/(1-BC263)*FL263,SUM(FB263:FG263)/(1-BC263)*FM263)</f>
        <v>#VALUE!</v>
      </c>
      <c r="FO263" s="1129" t="e">
        <f aca="false">FK263+FN263</f>
        <v>#VALUE!</v>
      </c>
      <c r="FP263" s="1169" t="e">
        <f aca="false">FB263</f>
        <v>#VALUE!</v>
      </c>
      <c r="FQ263" s="1129" t="n">
        <f aca="false">FC263</f>
        <v>0</v>
      </c>
      <c r="FR263" s="1129" t="e">
        <f aca="false">FD263</f>
        <v>#VALUE!</v>
      </c>
      <c r="FS263" s="1129" t="n">
        <f aca="false">FE263</f>
        <v>0</v>
      </c>
      <c r="FT263" s="1129" t="e">
        <f aca="false">FF263</f>
        <v>#VALUE!</v>
      </c>
      <c r="FU263" s="1129" t="n">
        <f aca="false">FG263</f>
        <v>0</v>
      </c>
      <c r="FV263" s="1170" t="e">
        <f aca="false">FH263</f>
        <v>#VALUE!</v>
      </c>
      <c r="FW263" s="1115" t="n">
        <f aca="false">IF(ER263&gt;0,MIN(FB263-FP263,BL263),0)</f>
        <v>0</v>
      </c>
      <c r="FX263" s="1115" t="n">
        <f aca="false">IF(ES263&gt;0,MIN(FD263-FR263,BM263),0)</f>
        <v>0</v>
      </c>
      <c r="FY263" s="1115" t="n">
        <f aca="false">IF(ET263&gt;0,MIN(FF263-FT263,BN263),0)</f>
        <v>0</v>
      </c>
      <c r="FZ263" s="1143" t="n">
        <f aca="false">IF(EU263&gt;0,MIN(FH263-FV263,BO263),0)</f>
        <v>0</v>
      </c>
      <c r="GA263" s="1132" t="e">
        <f aca="false">(SUM(FP263:FV263)+SUM(GU263:HB263)/(1-Summary!$O$25))*CY263/1000</f>
        <v>#VALUE!</v>
      </c>
      <c r="GB263" s="1133" t="n">
        <f aca="false">IF($C263&lt;Summary!$M$81,+Summary!$O$81,VLOOKUP(C263,GasTable,19))</f>
        <v>3.82197101908773</v>
      </c>
      <c r="GC263" s="1134" t="n">
        <f aca="false">IF(H263&lt;=Summary!$N$84,MIN(GA263,Summary!$O$75*(H263-G263+1)),0)</f>
        <v>0</v>
      </c>
      <c r="GD263" s="1135" t="n">
        <f aca="false">IF(C263&lt;Summary!$N$84,IF(Summary!$O$75*(H263-G263+1)*0.8&gt;GC263,1,0),0)</f>
        <v>0</v>
      </c>
      <c r="GE263" s="1136" t="n">
        <v>0</v>
      </c>
      <c r="GF263" s="1134" t="e">
        <f aca="false">ABS(MIN(0,GC263-$GA263))</f>
        <v>#VALUE!</v>
      </c>
      <c r="GG263" s="1135" t="e">
        <f aca="false">GF263*(IF(Summary!$O$74=1,VLOOKUP($C263,GasTable,16)+Summary!$O$92+Summary!$O$93,VLOOKUP($C263,GasTable,19)+Summary!$O$92+Summary!$O$93))</f>
        <v>#VALUE!</v>
      </c>
      <c r="GH263" s="1137" t="n">
        <v>5924.05507958598</v>
      </c>
      <c r="GI263" s="1138" t="n">
        <v>0</v>
      </c>
      <c r="GJ263" s="1139" t="e">
        <f aca="false">+GB263*GC263+GE263+GG263+GH263-GI263</f>
        <v>#VALUE!</v>
      </c>
      <c r="GK263" s="1115" t="e">
        <f aca="false">SUM(FP263:FV263,GU263:GX263,GY263:HB263)</f>
        <v>#VALUE!</v>
      </c>
      <c r="GL263" s="1140" t="n">
        <v>0.5209720876</v>
      </c>
      <c r="GM263" s="1141" t="e">
        <f aca="false">IF(GK263&gt;GC263/(CY263/1000),GC263/(CY263/1000),+GK263)*GL263</f>
        <v>#VALUE!</v>
      </c>
      <c r="GN263" s="1115" t="n">
        <f aca="false">IF(SUM(GU263:HB263)=0,0,IF(Summary!$O$16="Yes",SUM(GX263:HB263),IF(Summary!$O$17="Yes",SUM(GY263:HB263),SUM(GU263:HB263))))</f>
        <v>9547.0731</v>
      </c>
      <c r="GO263" s="1142" t="n">
        <v>4.29768782442377</v>
      </c>
      <c r="GP263" s="1143" t="n">
        <f aca="false">GN263*GO263</f>
        <v>41030.3398207536</v>
      </c>
      <c r="GQ263" s="1115"/>
      <c r="GR263" s="1115"/>
      <c r="GS263" s="1115"/>
      <c r="GT263" s="1115"/>
      <c r="GU263" s="1150" t="n">
        <v>3935.1735</v>
      </c>
      <c r="GV263" s="1115" t="n">
        <v>513.2835</v>
      </c>
      <c r="GW263" s="1115" t="n">
        <v>855.4725</v>
      </c>
      <c r="GX263" s="1115"/>
      <c r="GY263" s="1151" t="n">
        <v>3148.1388</v>
      </c>
      <c r="GZ263" s="1115" t="n">
        <v>410.6268</v>
      </c>
      <c r="HA263" s="1115" t="n">
        <v>684.378</v>
      </c>
      <c r="HB263" s="1141"/>
      <c r="HC263" s="1115" t="n">
        <v>9547.0731</v>
      </c>
      <c r="HD263" s="1115"/>
      <c r="HE263" s="1115" t="n">
        <v>22276.5039</v>
      </c>
      <c r="HF263" s="1115" t="n">
        <v>574363.244067323</v>
      </c>
      <c r="HG263" s="1115"/>
      <c r="HH263" s="1142" t="n">
        <v>63.7091892262328</v>
      </c>
      <c r="HI263" s="1115" t="n">
        <v>1419218.00226401</v>
      </c>
      <c r="HJ263" s="1150" t="e">
        <f aca="false">MAX(FB263-FP263-FW263,0)</f>
        <v>#VALUE!</v>
      </c>
      <c r="HK263" s="1115" t="e">
        <f aca="false">MAX(FD263-FR263-FX263,0)</f>
        <v>#VALUE!</v>
      </c>
      <c r="HL263" s="1115" t="e">
        <f aca="false">MAX(FF263-FT263-FY263,0)</f>
        <v>#VALUE!</v>
      </c>
      <c r="HM263" s="1141" t="e">
        <f aca="false">MAX(FH263-FV263-FZ263,0)</f>
        <v>#VALUE!</v>
      </c>
      <c r="HN263" s="1115" t="e">
        <f aca="false">SUM(HJ263:HM263)</f>
        <v>#VALUE!</v>
      </c>
      <c r="HO263" s="1142" t="n">
        <f aca="false">IF(ISERROR(+HP263/HN263),0,+HP263/HN263)</f>
        <v>0</v>
      </c>
      <c r="HP263" s="1143" t="e">
        <f aca="false">(HJ263*CE263+HK263*CF263+HL263*CG263+HM263*CH263)</f>
        <v>#VALUE!</v>
      </c>
      <c r="HQ263" s="1142" t="s">
        <v>933</v>
      </c>
      <c r="HR263" s="1150" t="e">
        <f aca="false">SUMIF($A$17:$A$292,HQ263,$GF$17:$GF$292)</f>
        <v>#VALUE!</v>
      </c>
      <c r="HS263" s="1200" t="e">
        <f aca="false">IF(HT263=0,IF(OR(SUMIF(CURVES!$AU$6:$AU$283,$HQ263,CURVES!$BQ$6:$BQ$283)=0,COUNTIF(CURVES!$AU$6:$AU$283,$HQ263)=0),0,SUMIF(CURVES!$AU$6:$AU$283,$HQ263,CURVES!$BQ$6:$BQ$283)/COUNTIF(CURVES!$AU$6:$AU$283,$HQ263)),HT263/HR263)</f>
        <v>#VALUE!</v>
      </c>
      <c r="HT263" s="1141" t="e">
        <f aca="false">SUMIF($A$17:$A$292,HQ263,$GG$17:$GG$292)</f>
        <v>#VALUE!</v>
      </c>
      <c r="HU263" s="1150" t="n">
        <f aca="false">SUMIF($A$17:$A$292,HQ263,$GC$17:$GC$292)</f>
        <v>0</v>
      </c>
      <c r="HV263" s="1200" t="e">
        <f aca="false">IF(HW263=0,0,HW263/Summary!$O$79/HU263)</f>
        <v>#DIV/0!</v>
      </c>
      <c r="HW263" s="1141" t="n">
        <f aca="false">SUMIF($A$17:$A$292,HQ263,$GH$17:$GH$292)</f>
        <v>17381.932811654</v>
      </c>
      <c r="HX263" s="1200" t="n">
        <f aca="false">IF(OR(SUMIF(CURVES!$AU$6:$AU$283,$HQ263,CURVES!$BQ$6:$BQ$283)=0,COUNTIF(CURVES!$AU$6:$AU$283,$HQ263)=0),0,SUMIF(CURVES!$AU$6:$AU$283,$HQ263,CURVES!$BQ$6:$BQ$283)/COUNTIF(CURVES!$AU$6:$AU$283,$HQ263))</f>
        <v>4.34717785010508</v>
      </c>
      <c r="HY263" s="1200" t="n">
        <f aca="false">IF(OR(SUMIF(CURVES!$AU$6:$AU$283,$HQ263,CURVES!$BR$6:$BR$283)=0,COUNTIF(CURVES!$AU$6:$AU$283,$HQ263)=0),0,SUMIF(CURVES!$AU$6:$AU$283,$HQ263,CURVES!$BR$6:$BR$283)/COUNTIF(CURVES!$AU$6:$AU$283,$HQ263))</f>
        <v>3.46243725349511</v>
      </c>
      <c r="HZ263" s="0"/>
      <c r="IA263" s="1142"/>
      <c r="IB263" s="1142"/>
      <c r="IC263" s="1142"/>
      <c r="ID263" s="1142"/>
      <c r="IE263" s="1142"/>
      <c r="IF263" s="1142"/>
      <c r="IG263" s="1142"/>
      <c r="IH263" s="1142"/>
      <c r="II263" s="1142"/>
      <c r="IJ263" s="1142"/>
      <c r="IK263" s="1142"/>
      <c r="IL263" s="1190"/>
      <c r="IM263" s="222"/>
      <c r="IN263" s="222"/>
      <c r="IR263" s="844"/>
    </row>
    <row r="264" customFormat="false" ht="13.5" hidden="false" customHeight="false" outlineLevel="0" collapsed="false">
      <c r="A264" s="0" t="str">
        <f aca="false">+D264&amp;"Q"&amp;ROUNDUP(E264/3,0)</f>
        <v>2020Q3</v>
      </c>
      <c r="B264" s="0" t="n">
        <f aca="false">YEAR(C264)</f>
        <v>2020</v>
      </c>
      <c r="C264" s="1153" t="n">
        <f aca="false">EOMONTH(C263,0)+1</f>
        <v>44044</v>
      </c>
      <c r="D264" s="841" t="n">
        <f aca="false">+YEAR(C264)</f>
        <v>2020</v>
      </c>
      <c r="E264" s="807" t="n">
        <f aca="false">MONTH(C264)</f>
        <v>8</v>
      </c>
      <c r="F264" s="1154" t="e">
        <f aca="false">IF(G264="","",Holiday(D264,E264))</f>
        <v>#VALUE!</v>
      </c>
      <c r="G264" s="1155" t="n">
        <v>44044</v>
      </c>
      <c r="H264" s="1156" t="n">
        <v>44074</v>
      </c>
      <c r="I264" s="1157" t="n">
        <f aca="false">I263</f>
        <v>0.0715</v>
      </c>
      <c r="J264" s="1158" t="n">
        <f aca="false">(1+I264/2)^(-2*(DATE(D265,E265,20)-$H$7)/365.25)</f>
        <v>0.23249493629142</v>
      </c>
      <c r="K264" s="1159"/>
      <c r="L264" s="1158"/>
      <c r="M264" s="1082" t="n">
        <v>0</v>
      </c>
      <c r="N264" s="1110" t="n">
        <f aca="false">M264</f>
        <v>0</v>
      </c>
      <c r="O264" s="1174" t="n">
        <f aca="false">N264</f>
        <v>0</v>
      </c>
      <c r="P264" s="1175" t="n">
        <f aca="false">M264</f>
        <v>0</v>
      </c>
      <c r="Q264" s="1110" t="n">
        <f aca="false">P264</f>
        <v>0</v>
      </c>
      <c r="R264" s="1174" t="n">
        <f aca="false">Q264</f>
        <v>0</v>
      </c>
      <c r="S264" s="1110" t="n">
        <f aca="false">R264</f>
        <v>0</v>
      </c>
      <c r="T264" s="1110" t="n">
        <f aca="false">S264</f>
        <v>0</v>
      </c>
      <c r="U264" s="1110" t="n">
        <f aca="false">T264</f>
        <v>0</v>
      </c>
      <c r="V264" s="1175" t="n">
        <f aca="false">U264</f>
        <v>0</v>
      </c>
      <c r="W264" s="1110" t="n">
        <f aca="false">V264</f>
        <v>0</v>
      </c>
      <c r="X264" s="1176" t="n">
        <f aca="false">W264</f>
        <v>0</v>
      </c>
      <c r="Y264" s="1086" t="n">
        <v>0</v>
      </c>
      <c r="Z264" s="1086" t="n">
        <v>0</v>
      </c>
      <c r="AA264" s="1087" t="n">
        <v>0</v>
      </c>
      <c r="AB264" s="1086" t="n">
        <v>0</v>
      </c>
      <c r="AC264" s="1086" t="n">
        <v>0</v>
      </c>
      <c r="AD264" s="1087" t="n">
        <v>0</v>
      </c>
      <c r="AE264" s="1086" t="n">
        <v>0</v>
      </c>
      <c r="AF264" s="1086" t="n">
        <v>0</v>
      </c>
      <c r="AG264" s="1087" t="n">
        <v>0</v>
      </c>
      <c r="AH264" s="1086" t="n">
        <v>0</v>
      </c>
      <c r="AI264" s="1086" t="n">
        <v>0</v>
      </c>
      <c r="AJ264" s="1087" t="n">
        <v>0</v>
      </c>
      <c r="AK264" s="1086" t="n">
        <v>0</v>
      </c>
      <c r="AL264" s="1086" t="n">
        <v>0</v>
      </c>
      <c r="AM264" s="1087" t="n">
        <v>0</v>
      </c>
      <c r="AN264" s="1086" t="n">
        <v>0</v>
      </c>
      <c r="AO264" s="1086" t="n">
        <v>0</v>
      </c>
      <c r="AP264" s="1087" t="n">
        <v>0</v>
      </c>
      <c r="AQ264" s="1086" t="n">
        <v>0</v>
      </c>
      <c r="AR264" s="1086" t="n">
        <v>0</v>
      </c>
      <c r="AS264" s="1087" t="n">
        <v>0</v>
      </c>
      <c r="AT264" s="1086" t="n">
        <v>0</v>
      </c>
      <c r="AU264" s="1086" t="n">
        <v>0</v>
      </c>
      <c r="AV264" s="1086" t="n">
        <v>0</v>
      </c>
      <c r="AW264" s="1172" t="n">
        <v>0</v>
      </c>
      <c r="AX264" s="807" t="n">
        <f aca="false">BB264-SUM(AY264:BA264)</f>
        <v>21</v>
      </c>
      <c r="AY264" s="807" t="n">
        <f aca="false">IF(AND($E264=MONTH(Summary!$E$24),$D264=YEAR(Summary!$E$24)),Summary!$E$25,1)*IF(G264="",0,INT((H264-MOD(H264,7)-G264)/7)+1-IF(BA264,IF(WEEKDAY(F264)=7,1,0),0))</f>
        <v>5</v>
      </c>
      <c r="AZ264" s="807" t="n">
        <f aca="false">IF(AND($E264=MONTH(Summary!$E$24),$D264=YEAR(Summary!$E$24)),Summary!$E$25,1)*IF(G264="",0,INT((H264-MOD(H264-1,7)-G264)/7)+1-IF(BA264,IF(WEEKDAY(F264)=1,1,0),0))</f>
        <v>5</v>
      </c>
      <c r="BA264" s="807" t="n">
        <v>0</v>
      </c>
      <c r="BB264" s="807" t="n">
        <f aca="false">IF(AND($E264=MONTH(Summary!$E$24),$D264=YEAR(Summary!$E$24)),Summary!$E$25,1)*IF(G264="",0,H264-G264+1)</f>
        <v>31</v>
      </c>
      <c r="BC264" s="1089" t="n">
        <f aca="false">Summary!$E$19</f>
        <v>0.015</v>
      </c>
      <c r="BD264" s="1090" t="n">
        <v>14893.2</v>
      </c>
      <c r="BE264" s="1091" t="n">
        <v>3546</v>
      </c>
      <c r="BF264" s="1091" t="n">
        <v>3546</v>
      </c>
      <c r="BG264" s="842"/>
      <c r="BH264" s="1092" t="n">
        <v>1</v>
      </c>
      <c r="BI264" s="1092" t="n">
        <v>1</v>
      </c>
      <c r="BJ264" s="1092" t="n">
        <v>1</v>
      </c>
      <c r="BK264" s="1092" t="n">
        <v>1</v>
      </c>
      <c r="BL264" s="1093" t="n">
        <v>2978.64</v>
      </c>
      <c r="BM264" s="1091" t="n">
        <v>709.2</v>
      </c>
      <c r="BN264" s="1091" t="n">
        <v>709.2</v>
      </c>
      <c r="BO264" s="842"/>
      <c r="BP264" s="1092" t="n">
        <v>1</v>
      </c>
      <c r="BQ264" s="1094" t="n">
        <v>1</v>
      </c>
      <c r="BR264" s="1094" t="n">
        <v>1</v>
      </c>
      <c r="BS264" s="1095" t="n">
        <v>1</v>
      </c>
      <c r="BT264" s="1093" t="n">
        <f aca="false">SUM(BD264:BF264)</f>
        <v>21985.2</v>
      </c>
      <c r="BU264" s="1098" t="n">
        <f aca="false">SUM(BD264:BG264)</f>
        <v>21985.2</v>
      </c>
      <c r="BV264" s="1090" t="n">
        <f aca="false">SUM(BL264:BN264)</f>
        <v>4397.04</v>
      </c>
      <c r="BW264" s="1098" t="n">
        <f aca="false">SUM(BL264:BO264)</f>
        <v>4397.04</v>
      </c>
      <c r="BX264" s="852" t="n">
        <v>20.6297056810404</v>
      </c>
      <c r="BY264" s="1099" t="n">
        <v>0</v>
      </c>
      <c r="BZ264" s="852" t="n">
        <v>0</v>
      </c>
      <c r="CA264" s="852" t="n">
        <v>0</v>
      </c>
      <c r="CB264" s="852" t="n">
        <v>0</v>
      </c>
      <c r="CC264" s="852" t="n">
        <v>0</v>
      </c>
      <c r="CD264" s="852" t="n">
        <v>0</v>
      </c>
      <c r="CE264" s="1100" t="n">
        <v>0</v>
      </c>
      <c r="CF264" s="852" t="n">
        <v>0</v>
      </c>
      <c r="CG264" s="852" t="n">
        <v>0</v>
      </c>
      <c r="CH264" s="852" t="n">
        <v>0</v>
      </c>
      <c r="CI264" s="852" t="n">
        <v>0</v>
      </c>
      <c r="CJ264" s="1101" t="n">
        <v>0</v>
      </c>
      <c r="CK264" s="852" t="n">
        <v>0</v>
      </c>
      <c r="CL264" s="852" t="n">
        <v>0</v>
      </c>
      <c r="CM264" s="852" t="n">
        <v>0</v>
      </c>
      <c r="CN264" s="852" t="n">
        <v>0</v>
      </c>
      <c r="CO264" s="852" t="n">
        <v>0</v>
      </c>
      <c r="CP264" s="852" t="n">
        <v>0</v>
      </c>
      <c r="CQ264" s="1102" t="n">
        <v>0</v>
      </c>
      <c r="CR264" s="1103" t="n">
        <v>0</v>
      </c>
      <c r="CS264" s="1103" t="n">
        <v>0</v>
      </c>
      <c r="CT264" s="1103" t="n">
        <v>0</v>
      </c>
      <c r="CU264" s="1103" t="n">
        <v>0</v>
      </c>
      <c r="CV264" s="1103" t="n">
        <v>0</v>
      </c>
      <c r="CW264" s="1103" t="n">
        <v>0</v>
      </c>
      <c r="CX264" s="1104" t="n">
        <v>0</v>
      </c>
      <c r="CY264" s="1105" t="n">
        <v>7777.73376</v>
      </c>
      <c r="CZ264" s="1099" t="n">
        <v>0</v>
      </c>
      <c r="DA264" s="852" t="n">
        <v>0</v>
      </c>
      <c r="DB264" s="852" t="n">
        <v>0</v>
      </c>
      <c r="DC264" s="852" t="n">
        <v>0</v>
      </c>
      <c r="DD264" s="852" t="n">
        <v>0</v>
      </c>
      <c r="DE264" s="1113" t="n">
        <v>0</v>
      </c>
      <c r="DF264" s="1109" t="n">
        <v>0</v>
      </c>
      <c r="DG264" s="1110" t="n">
        <v>0</v>
      </c>
      <c r="DH264" s="1111" t="n">
        <v>0</v>
      </c>
      <c r="DI264" s="1112" t="n">
        <v>0</v>
      </c>
      <c r="DJ264" s="1112" t="n">
        <v>0</v>
      </c>
      <c r="DK264" s="1112" t="n">
        <v>0</v>
      </c>
      <c r="DL264" s="1113" t="n">
        <v>0</v>
      </c>
      <c r="DM264" s="1114" t="n">
        <v>0</v>
      </c>
      <c r="DN264" s="1114" t="n">
        <v>0</v>
      </c>
      <c r="DO264" s="1114" t="n">
        <v>0</v>
      </c>
      <c r="DP264" s="1114" t="n">
        <v>0</v>
      </c>
      <c r="DQ264" s="1114" t="n">
        <v>0</v>
      </c>
      <c r="DR264" s="1109" t="n">
        <v>0</v>
      </c>
      <c r="DS264" s="852" t="n">
        <v>0</v>
      </c>
      <c r="DT264" s="852" t="n">
        <v>0</v>
      </c>
      <c r="DU264" s="852" t="n">
        <v>0</v>
      </c>
      <c r="DV264" s="852" t="n">
        <v>0</v>
      </c>
      <c r="DW264" s="852" t="n">
        <v>0</v>
      </c>
      <c r="DX264" s="852" t="n">
        <v>0</v>
      </c>
      <c r="DY264" s="852" t="n">
        <v>0</v>
      </c>
      <c r="DZ264" s="852" t="n">
        <v>0</v>
      </c>
      <c r="EA264" s="852" t="n">
        <v>0</v>
      </c>
      <c r="EB264" s="1113" t="n">
        <v>0</v>
      </c>
      <c r="EC264" s="1115" t="n">
        <f aca="false">DS264*BD264</f>
        <v>0</v>
      </c>
      <c r="ED264" s="1115" t="n">
        <f aca="false">DT264*BE264</f>
        <v>0</v>
      </c>
      <c r="EE264" s="1115" t="n">
        <f aca="false">DU264*BF264</f>
        <v>0</v>
      </c>
      <c r="EF264" s="1115" t="n">
        <f aca="false">DV264*BG264</f>
        <v>0</v>
      </c>
      <c r="EG264" s="1115" t="n">
        <f aca="false">DS264*BD264+DT264*BE264+DU264*BF264+DV264*BG264</f>
        <v>0</v>
      </c>
      <c r="EH264" s="1116" t="n">
        <v>0</v>
      </c>
      <c r="EI264" s="1117" t="n">
        <v>0</v>
      </c>
      <c r="EJ264" s="1117" t="n">
        <v>0</v>
      </c>
      <c r="EK264" s="1117" t="n">
        <v>0</v>
      </c>
      <c r="EL264" s="1118" t="n">
        <f aca="false">IF(C264&gt;=Summary!$E$26,MAX(0,SUM(EH264:EK264)),0)</f>
        <v>0</v>
      </c>
      <c r="EM264" s="1115" t="n">
        <f aca="false">IF(C264&gt;=Summary!$E$26,DX264*BL264,0)</f>
        <v>0</v>
      </c>
      <c r="EN264" s="1115" t="n">
        <f aca="false">IF(C264&gt;=Summary!$E$26,DY264*BM264,0)</f>
        <v>0</v>
      </c>
      <c r="EO264" s="1115" t="n">
        <f aca="false">IF(C264&gt;=Summary!$E$26,DZ264*BN264,0)</f>
        <v>0</v>
      </c>
      <c r="EP264" s="1115" t="n">
        <f aca="false">IF(C264&gt;=Summary!$E$26,EA264*BO264,0)</f>
        <v>0</v>
      </c>
      <c r="EQ264" s="1115" t="n">
        <f aca="false">IF(C264&gt;=Summary!$E$26,DX264*BL264+DY264*BM264+DZ264*BN264+EA264*BO264,0)</f>
        <v>0</v>
      </c>
      <c r="ER264" s="1119" t="n">
        <v>0</v>
      </c>
      <c r="ES264" s="1120" t="n">
        <v>0</v>
      </c>
      <c r="ET264" s="1120" t="n">
        <v>0</v>
      </c>
      <c r="EU264" s="1120" t="n">
        <v>0</v>
      </c>
      <c r="EV264" s="1143" t="n">
        <f aca="false">IF(C264&gt;=Summary!$E$26,MAX(0,SUM(ER264:EU264)),0)</f>
        <v>0</v>
      </c>
      <c r="EW264" s="1115"/>
      <c r="EX264" s="1165" t="n">
        <f aca="false">(EQ264-EV264)+IF(EZ264="Yes",(EG264-EL264),0)</f>
        <v>0</v>
      </c>
      <c r="EY264" s="1166" t="str">
        <f aca="false">IF(EX264,EX264/EQ264,"")</f>
        <v/>
      </c>
      <c r="EZ264" s="1122" t="s">
        <v>37</v>
      </c>
      <c r="FA264" s="1096" t="n">
        <f aca="false">FA263</f>
        <v>45</v>
      </c>
      <c r="FB264" s="1167" t="n">
        <f aca="false">IF(EZ264="No",IF((OR(MONTH(C264)=5,MONTH(C264)=6,MONTH(C264)=7,MONTH(C264)=8,MONTH(C264)=9)),$FA264*12*AX264*(1-$BC264),$FA264*10*AX264*(1-$BC264)),0)</f>
        <v>11169.9</v>
      </c>
      <c r="FC264" s="1129" t="n">
        <f aca="false">IF(EZ264="No",IF((OR(MONTH(C264)=5,MONTH(C264)=6,MONTH(C264)=7,MONTH(C264)=8,MONTH(C264)=9)),0,$FA264*3*AX264*(1-$BC264)),0)</f>
        <v>0</v>
      </c>
      <c r="FD264" s="1129" t="n">
        <f aca="false">IF(EZ264="No",IF((OR(MONTH(C264)=5,MONTH(C264)=6,MONTH(C264)=7,MONTH(C264)=8,MONTH(C264)=9)),$FA264*12*AY264*(1-$BC264),$FA264*10*AY264*(1-$BC264)),0)</f>
        <v>2659.5</v>
      </c>
      <c r="FE264" s="1129" t="n">
        <f aca="false">IF(EZ264="No",IF((OR(MONTH(C264)=5,MONTH(C264)=6,MONTH(C264)=7,MONTH(C264)=8,MONTH(C264)=9)),0,$FA264*3*AY264*(1-$BC264)),0)</f>
        <v>0</v>
      </c>
      <c r="FF264" s="1129" t="n">
        <f aca="false">IF(EZ264="No",IF((OR(MONTH(C264)=5,MONTH(C264)=6,MONTH(C264)=7,MONTH(C264)=8,MONTH(C264)=9)),$FA264*12*(AZ264+BA264)*(1-$BC264),$FA264*10*(AZ264+BA264)*(1-$BC264)),0)</f>
        <v>2659.5</v>
      </c>
      <c r="FG264" s="1129" t="n">
        <f aca="false">IF(EZ264="No",IF((OR(MONTH(C264)=5,MONTH(C264)=6,MONTH(C264)=7,MONTH(C264)=8,MONTH(C264)=9)),0,$FA264*3*(AZ264+BA264)*(1-$BC264)),0)</f>
        <v>0</v>
      </c>
      <c r="FH264" s="1170" t="n">
        <f aca="false">IF(EZ264="No",IF((OR(MONTH(C264)=5,MONTH(C264)=6,MONTH(C264)=7,MONTH(C264)=8,MONTH(C264)=9)),Summary!$O$15*12*(AX264+AY264+AZ264+BA264)*(1-$BC264),Summary!$O$15*13*(AX264+AY264+AZ264+BA264)*(1-$BC264)+IF(Summary!$O$16="Yes",(CALC!FA264+Summary!$O$15)*6*(AX264+AY264+AZ264+BA264)*(1-$BC264),0)),0)</f>
        <v>0</v>
      </c>
      <c r="FI264" s="1126" t="n">
        <f aca="false">IF(MONTH(C264)=5,FI263*(IF(Summary!$E$70="no",(1+(Summary!$E$71*0.8)),1+HLOOKUP(YEAR(C264)-1,CCFMODEL!$I$127:$AF$128,2)*0.8)),+FI263)</f>
        <v>43.7746579110331</v>
      </c>
      <c r="FJ264" s="1127" t="n">
        <f aca="false">IF(MONTH(C264)=5,FJ263*(IF(Summary!$E$70="no",(1+(Summary!$E$71*0.8)),1+HLOOKUP(YEAR(CALC!C264)-1,CCFMODEL!$I$127:$AF$128,2)*0.8)),FJ263)</f>
        <v>38.2597403789344</v>
      </c>
      <c r="FK264" s="1128" t="n">
        <f aca="false">SUM(FB264:FG264)*FI264+FH264*FJ264</f>
        <v>721795.956829233</v>
      </c>
      <c r="FL264" s="1126" t="n">
        <f aca="false">IF(MONTH(C264)=5,FL263*(IF(Summary!$E$70="no",(1+(Summary!$E$71*0.8)),1+HLOOKUP(YEAR(CALC!C264)-1,CCFMODEL!$I$127:$AF$128,2)*0.8)),+FL263)</f>
        <v>92.0630132069682</v>
      </c>
      <c r="FM264" s="1127" t="n">
        <f aca="false">IF(MONTH(C264)=5,FM263*(IF(Summary!$E$70="no",(1+(Summary!$E$71*0.8)),1+HLOOKUP(YEAR(CALC!C264)-1,CCFMODEL!$I$127:$AF$128,2)*0.8)),+FM263)</f>
        <v>43.9387923613931</v>
      </c>
      <c r="FN264" s="1128" t="n">
        <f aca="false">IF((OR(MONTH(C264)=5,MONTH(C264)=6,MONTH(C264)=7,MONTH(C264)=8,MONTH(C264)=9)),SUM(FB264:FG264)/(1-BC264)*FL264,SUM(FB264:FG264)/(1-BC264)*FM264)</f>
        <v>1541134.84108465</v>
      </c>
      <c r="FO264" s="1129" t="n">
        <f aca="false">FK264+FN264</f>
        <v>2262930.79791388</v>
      </c>
      <c r="FP264" s="1169" t="n">
        <f aca="false">FB264</f>
        <v>11169.9</v>
      </c>
      <c r="FQ264" s="1129" t="n">
        <f aca="false">FC264</f>
        <v>0</v>
      </c>
      <c r="FR264" s="1129" t="n">
        <f aca="false">FD264</f>
        <v>2659.5</v>
      </c>
      <c r="FS264" s="1129" t="n">
        <f aca="false">FE264</f>
        <v>0</v>
      </c>
      <c r="FT264" s="1129" t="n">
        <f aca="false">FF264</f>
        <v>2659.5</v>
      </c>
      <c r="FU264" s="1129" t="n">
        <f aca="false">FG264</f>
        <v>0</v>
      </c>
      <c r="FV264" s="1170" t="n">
        <f aca="false">FH264</f>
        <v>0</v>
      </c>
      <c r="FW264" s="1115" t="n">
        <f aca="false">IF(ER264&gt;0,MIN(FB264-FP264,BL264),0)</f>
        <v>0</v>
      </c>
      <c r="FX264" s="1115" t="n">
        <f aca="false">IF(ES264&gt;0,MIN(FD264-FR264,BM264),0)</f>
        <v>0</v>
      </c>
      <c r="FY264" s="1115" t="n">
        <f aca="false">IF(ET264&gt;0,MIN(FF264-FT264,BN264),0)</f>
        <v>0</v>
      </c>
      <c r="FZ264" s="1143" t="n">
        <f aca="false">IF(EU264&gt;0,MIN(FH264-FV264,BO264),0)</f>
        <v>0</v>
      </c>
      <c r="GA264" s="1132" t="n">
        <f aca="false">(SUM(FP264:FV264)+SUM(GU264:HB264)/(1-Summary!$O$25))*CY264/1000</f>
        <v>205194.038712422</v>
      </c>
      <c r="GB264" s="1133" t="n">
        <f aca="false">IF($C264&lt;Summary!$M$81,+Summary!$O$81,VLOOKUP(C264,GasTable,19))</f>
        <v>3.96619718590708</v>
      </c>
      <c r="GC264" s="1134" t="n">
        <f aca="false">IF(H264&lt;=Summary!$N$84,MIN(GA264,Summary!$O$75*(H264-G264+1)),0)</f>
        <v>0</v>
      </c>
      <c r="GD264" s="1135" t="n">
        <f aca="false">IF(C264&lt;Summary!$N$84,IF(Summary!$O$75*(H264-G264+1)*0.8&gt;GC264,1,0),0)</f>
        <v>0</v>
      </c>
      <c r="GE264" s="1136" t="n">
        <v>0</v>
      </c>
      <c r="GF264" s="1134" t="n">
        <f aca="false">ABS(MIN(0,GC264-$GA264))</f>
        <v>205194.038712422</v>
      </c>
      <c r="GG264" s="1135" t="n">
        <f aca="false">GF264*(IF(Summary!$O$74=1,VLOOKUP($C264,GasTable,16)+Summary!$O$92+Summary!$O$93,VLOOKUP($C264,GasTable,19)+Summary!$O$92+Summary!$O$93))</f>
        <v>824530.628323034</v>
      </c>
      <c r="GH264" s="1137" t="n">
        <v>6147.60563815597</v>
      </c>
      <c r="GI264" s="1138" t="n">
        <v>0</v>
      </c>
      <c r="GJ264" s="1139" t="n">
        <f aca="false">+GB264*GC264+GE264+GG264+GH264-GI264</f>
        <v>830678.23396119</v>
      </c>
      <c r="GK264" s="1115" t="n">
        <f aca="false">SUM(FP264:FV264,GU264:GX264,GY264:HB264)</f>
        <v>26035.9731</v>
      </c>
      <c r="GL264" s="1140" t="n">
        <v>0.52110816192</v>
      </c>
      <c r="GM264" s="1141" t="n">
        <f aca="false">IF(GK264&gt;GC264/(CY264/1000),GC264/(CY264/1000),+GK264)*GL264</f>
        <v>0</v>
      </c>
      <c r="GN264" s="1115" t="n">
        <f aca="false">IF(SUM(GU264:HB264)=0,0,IF(Summary!$O$16="Yes",SUM(GX264:HB264),IF(Summary!$O$17="Yes",SUM(GY264:HB264),SUM(GU264:HB264))))</f>
        <v>9547.0731</v>
      </c>
      <c r="GO264" s="1142" t="n">
        <v>4.29768782442377</v>
      </c>
      <c r="GP264" s="1143" t="n">
        <f aca="false">GN264*GO264</f>
        <v>41030.3398207537</v>
      </c>
      <c r="GQ264" s="1115"/>
      <c r="GR264" s="1115"/>
      <c r="GS264" s="1115"/>
      <c r="GT264" s="1115"/>
      <c r="GU264" s="1150" t="n">
        <v>3592.9845</v>
      </c>
      <c r="GV264" s="1115" t="n">
        <v>855.4725</v>
      </c>
      <c r="GW264" s="1115" t="n">
        <v>855.4725</v>
      </c>
      <c r="GX264" s="1115"/>
      <c r="GY264" s="1151" t="n">
        <v>2874.3876</v>
      </c>
      <c r="GZ264" s="1115" t="n">
        <v>684.378</v>
      </c>
      <c r="HA264" s="1115" t="n">
        <v>684.378</v>
      </c>
      <c r="HB264" s="1141"/>
      <c r="HC264" s="1115" t="n">
        <v>9547.0731</v>
      </c>
      <c r="HD264" s="1115"/>
      <c r="HE264" s="1115" t="n">
        <v>22276.5039</v>
      </c>
      <c r="HF264" s="1115" t="n">
        <v>698636.658549494</v>
      </c>
      <c r="HG264" s="1115"/>
      <c r="HH264" s="1142" t="n">
        <v>77.0494740917285</v>
      </c>
      <c r="HI264" s="1115" t="n">
        <v>1716392.91009734</v>
      </c>
      <c r="HJ264" s="1150" t="n">
        <f aca="false">MAX(FB264-FP264-FW264,0)</f>
        <v>0</v>
      </c>
      <c r="HK264" s="1115" t="n">
        <f aca="false">MAX(FD264-FR264-FX264,0)</f>
        <v>0</v>
      </c>
      <c r="HL264" s="1115" t="n">
        <f aca="false">MAX(FF264-FT264-FY264,0)</f>
        <v>0</v>
      </c>
      <c r="HM264" s="1141" t="n">
        <f aca="false">MAX(FH264-FV264-FZ264,0)</f>
        <v>0</v>
      </c>
      <c r="HN264" s="1115" t="n">
        <f aca="false">SUM(HJ264:HM264)</f>
        <v>0</v>
      </c>
      <c r="HO264" s="1142" t="n">
        <f aca="false">IF(ISERROR(+HP264/HN264),0,+HP264/HN264)</f>
        <v>0</v>
      </c>
      <c r="HP264" s="1143" t="n">
        <f aca="false">(HJ264*CE264+HK264*CF264+HL264*CG264+HM264*CH264)</f>
        <v>0</v>
      </c>
      <c r="HQ264" s="1142" t="s">
        <v>934</v>
      </c>
      <c r="HR264" s="1150" t="e">
        <f aca="false">SUMIF($A$17:$A$292,HQ264,$GF$17:$GF$292)</f>
        <v>#VALUE!</v>
      </c>
      <c r="HS264" s="1200" t="e">
        <f aca="false">IF(HT264=0,IF(OR(SUMIF(CURVES!$AU$6:$AU$283,$HQ264,CURVES!$BQ$6:$BQ$283)=0,COUNTIF(CURVES!$AU$6:$AU$283,$HQ264)=0),0,SUMIF(CURVES!$AU$6:$AU$283,$HQ264,CURVES!$BQ$6:$BQ$283)/COUNTIF(CURVES!$AU$6:$AU$283,$HQ264)),HT264/HR264)</f>
        <v>#VALUE!</v>
      </c>
      <c r="HT264" s="1141" t="e">
        <f aca="false">SUMIF($A$17:$A$292,HQ264,$GG$17:$GG$292)</f>
        <v>#VALUE!</v>
      </c>
      <c r="HU264" s="1150" t="n">
        <f aca="false">SUMIF($A$17:$A$292,HQ264,$GC$17:$GC$292)</f>
        <v>0</v>
      </c>
      <c r="HV264" s="1200" t="e">
        <f aca="false">IF(HW264=0,0,HW264/Summary!$O$79/HU264)</f>
        <v>#DIV/0!</v>
      </c>
      <c r="HW264" s="1141" t="n">
        <f aca="false">SUMIF($A$17:$A$292,HQ264,$GH$17:$GH$292)</f>
        <v>19713.3648573689</v>
      </c>
      <c r="HX264" s="1200" t="n">
        <f aca="false">IF(OR(SUMIF(CURVES!$AU$6:$AU$283,$HQ264,CURVES!$BQ$6:$BQ$283)=0,COUNTIF(CURVES!$AU$6:$AU$283,$HQ264)=0),0,SUMIF(CURVES!$AU$6:$AU$283,$HQ264,CURVES!$BQ$6:$BQ$283)/COUNTIF(CURVES!$AU$6:$AU$283,$HQ264))</f>
        <v>4.86340012067558</v>
      </c>
      <c r="HY264" s="1200" t="n">
        <f aca="false">IF(OR(SUMIF(CURVES!$AU$6:$AU$283,$HQ264,CURVES!$BR$6:$BR$283)=0,COUNTIF(CURVES!$AU$6:$AU$283,$HQ264)=0),0,SUMIF(CURVES!$AU$6:$AU$283,$HQ264,CURVES!$BR$6:$BR$283)/COUNTIF(CURVES!$AU$6:$AU$283,$HQ264))</f>
        <v>3.74760817232177</v>
      </c>
      <c r="HZ264" s="0"/>
      <c r="IA264" s="1142"/>
      <c r="IB264" s="1142"/>
      <c r="IC264" s="1142"/>
      <c r="ID264" s="1142"/>
      <c r="IE264" s="1142"/>
      <c r="IF264" s="1142"/>
      <c r="IG264" s="1142"/>
      <c r="IH264" s="1142"/>
      <c r="II264" s="1142"/>
      <c r="IJ264" s="1142"/>
      <c r="IK264" s="1142"/>
      <c r="IL264" s="1190"/>
      <c r="IM264" s="222"/>
      <c r="IN264" s="222"/>
      <c r="IR264" s="844"/>
    </row>
    <row r="265" customFormat="false" ht="13.5" hidden="false" customHeight="false" outlineLevel="0" collapsed="false">
      <c r="A265" s="0" t="str">
        <f aca="false">+D265&amp;"Q"&amp;ROUNDUP(E265/3,0)</f>
        <v>2020Q3</v>
      </c>
      <c r="B265" s="0" t="n">
        <f aca="false">YEAR(C265)</f>
        <v>2020</v>
      </c>
      <c r="C265" s="1153" t="n">
        <f aca="false">EOMONTH(C264,0)+1</f>
        <v>44075</v>
      </c>
      <c r="D265" s="841" t="n">
        <f aca="false">+YEAR(C265)</f>
        <v>2020</v>
      </c>
      <c r="E265" s="807" t="n">
        <f aca="false">MONTH(C265)</f>
        <v>9</v>
      </c>
      <c r="F265" s="1154" t="e">
        <f aca="false">IF(G265="","",Holiday(D265,E265))</f>
        <v>#VALUE!</v>
      </c>
      <c r="G265" s="1155" t="n">
        <v>44075</v>
      </c>
      <c r="H265" s="1156" t="n">
        <v>44104</v>
      </c>
      <c r="I265" s="1157" t="n">
        <f aca="false">I264</f>
        <v>0.0715</v>
      </c>
      <c r="J265" s="1158" t="n">
        <f aca="false">(1+I265/2)^(-2*(DATE(D266,E266,20)-$H$7)/365.25)</f>
        <v>0.231157268091837</v>
      </c>
      <c r="K265" s="1159"/>
      <c r="L265" s="1158"/>
      <c r="M265" s="1082" t="n">
        <v>0</v>
      </c>
      <c r="N265" s="1110" t="n">
        <f aca="false">M265</f>
        <v>0</v>
      </c>
      <c r="O265" s="1174" t="n">
        <f aca="false">N265</f>
        <v>0</v>
      </c>
      <c r="P265" s="1175" t="n">
        <f aca="false">M265</f>
        <v>0</v>
      </c>
      <c r="Q265" s="1110" t="n">
        <f aca="false">P265</f>
        <v>0</v>
      </c>
      <c r="R265" s="1174" t="n">
        <f aca="false">Q265</f>
        <v>0</v>
      </c>
      <c r="S265" s="1110" t="n">
        <f aca="false">R265</f>
        <v>0</v>
      </c>
      <c r="T265" s="1110" t="n">
        <f aca="false">S265</f>
        <v>0</v>
      </c>
      <c r="U265" s="1110" t="n">
        <f aca="false">T265</f>
        <v>0</v>
      </c>
      <c r="V265" s="1175" t="n">
        <f aca="false">U265</f>
        <v>0</v>
      </c>
      <c r="W265" s="1110" t="n">
        <f aca="false">V265</f>
        <v>0</v>
      </c>
      <c r="X265" s="1176" t="n">
        <f aca="false">W265</f>
        <v>0</v>
      </c>
      <c r="Y265" s="1086" t="n">
        <v>0</v>
      </c>
      <c r="Z265" s="1086" t="n">
        <v>0</v>
      </c>
      <c r="AA265" s="1087" t="n">
        <v>0</v>
      </c>
      <c r="AB265" s="1086" t="n">
        <v>0</v>
      </c>
      <c r="AC265" s="1086" t="n">
        <v>0</v>
      </c>
      <c r="AD265" s="1087" t="n">
        <v>0</v>
      </c>
      <c r="AE265" s="1086" t="n">
        <v>0</v>
      </c>
      <c r="AF265" s="1086" t="n">
        <v>0</v>
      </c>
      <c r="AG265" s="1087" t="n">
        <v>0</v>
      </c>
      <c r="AH265" s="1086" t="n">
        <v>0</v>
      </c>
      <c r="AI265" s="1086" t="n">
        <v>0</v>
      </c>
      <c r="AJ265" s="1087" t="n">
        <v>0</v>
      </c>
      <c r="AK265" s="1086" t="n">
        <v>0</v>
      </c>
      <c r="AL265" s="1086" t="n">
        <v>0</v>
      </c>
      <c r="AM265" s="1087" t="n">
        <v>0</v>
      </c>
      <c r="AN265" s="1086" t="n">
        <v>0</v>
      </c>
      <c r="AO265" s="1086" t="n">
        <v>0</v>
      </c>
      <c r="AP265" s="1087" t="n">
        <v>0</v>
      </c>
      <c r="AQ265" s="1086" t="n">
        <v>0</v>
      </c>
      <c r="AR265" s="1086" t="n">
        <v>0</v>
      </c>
      <c r="AS265" s="1087" t="n">
        <v>0</v>
      </c>
      <c r="AT265" s="1086" t="n">
        <v>0</v>
      </c>
      <c r="AU265" s="1086" t="n">
        <v>0</v>
      </c>
      <c r="AV265" s="1086" t="n">
        <v>0</v>
      </c>
      <c r="AW265" s="1172" t="n">
        <v>0</v>
      </c>
      <c r="AX265" s="807" t="e">
        <f aca="false">BB265-SUM(AY265:BA265)</f>
        <v>#VALUE!</v>
      </c>
      <c r="AY265" s="807" t="e">
        <f aca="false">IF(AND($E265=MONTH(Summary!$E$24),$D265=YEAR(Summary!$E$24)),Summary!$E$25,1)*IF(G265="",0,INT((H265-MOD(H265,7)-G265)/7)+1-IF(BA265,IF(WEEKDAY(F265)=7,1,0),0))</f>
        <v>#VALUE!</v>
      </c>
      <c r="AZ265" s="807" t="e">
        <f aca="false">IF(AND($E265=MONTH(Summary!$E$24),$D265=YEAR(Summary!$E$24)),Summary!$E$25,1)*IF(G265="",0,INT((H265-MOD(H265-1,7)-G265)/7)+1-IF(BA265,IF(WEEKDAY(F265)=1,1,0),0))</f>
        <v>#VALUE!</v>
      </c>
      <c r="BA265" s="807" t="n">
        <v>1</v>
      </c>
      <c r="BB265" s="807" t="n">
        <f aca="false">IF(AND($E265=MONTH(Summary!$E$24),$D265=YEAR(Summary!$E$24)),Summary!$E$25,1)*IF(G265="",0,H265-G265+1)</f>
        <v>30</v>
      </c>
      <c r="BC265" s="1089" t="n">
        <f aca="false">Summary!$E$19</f>
        <v>0.015</v>
      </c>
      <c r="BD265" s="1090" t="n">
        <v>14893.2</v>
      </c>
      <c r="BE265" s="1091" t="n">
        <v>2836.8</v>
      </c>
      <c r="BF265" s="1091" t="n">
        <v>3546</v>
      </c>
      <c r="BG265" s="842"/>
      <c r="BH265" s="1092" t="n">
        <v>1</v>
      </c>
      <c r="BI265" s="1092" t="n">
        <v>1</v>
      </c>
      <c r="BJ265" s="1092" t="n">
        <v>1</v>
      </c>
      <c r="BK265" s="1092" t="n">
        <v>1</v>
      </c>
      <c r="BL265" s="1093" t="n">
        <v>2978.64</v>
      </c>
      <c r="BM265" s="1091" t="n">
        <v>567.36</v>
      </c>
      <c r="BN265" s="1091" t="n">
        <v>709.2</v>
      </c>
      <c r="BO265" s="842"/>
      <c r="BP265" s="1092" t="n">
        <v>1</v>
      </c>
      <c r="BQ265" s="1094" t="n">
        <v>1</v>
      </c>
      <c r="BR265" s="1094" t="n">
        <v>1</v>
      </c>
      <c r="BS265" s="1095" t="n">
        <v>1</v>
      </c>
      <c r="BT265" s="1093" t="n">
        <f aca="false">SUM(BD265:BF265)</f>
        <v>21276</v>
      </c>
      <c r="BU265" s="1098" t="n">
        <f aca="false">SUM(BD265:BG265)</f>
        <v>21276</v>
      </c>
      <c r="BV265" s="1090" t="n">
        <f aca="false">SUM(BL265:BN265)</f>
        <v>4255.2</v>
      </c>
      <c r="BW265" s="1098" t="n">
        <f aca="false">SUM(BL265:BO265)</f>
        <v>4255.2</v>
      </c>
      <c r="BX265" s="852" t="n">
        <v>20.7145790554415</v>
      </c>
      <c r="BY265" s="1099" t="n">
        <v>0</v>
      </c>
      <c r="BZ265" s="852" t="n">
        <v>0</v>
      </c>
      <c r="CA265" s="852" t="n">
        <v>0</v>
      </c>
      <c r="CB265" s="852" t="n">
        <v>0</v>
      </c>
      <c r="CC265" s="852" t="n">
        <v>0</v>
      </c>
      <c r="CD265" s="852" t="n">
        <v>0</v>
      </c>
      <c r="CE265" s="1100" t="n">
        <v>0</v>
      </c>
      <c r="CF265" s="852" t="n">
        <v>0</v>
      </c>
      <c r="CG265" s="852" t="n">
        <v>0</v>
      </c>
      <c r="CH265" s="852" t="n">
        <v>0</v>
      </c>
      <c r="CI265" s="852" t="n">
        <v>0</v>
      </c>
      <c r="CJ265" s="1101" t="n">
        <v>0</v>
      </c>
      <c r="CK265" s="852" t="n">
        <v>0</v>
      </c>
      <c r="CL265" s="852" t="n">
        <v>0</v>
      </c>
      <c r="CM265" s="852" t="n">
        <v>0</v>
      </c>
      <c r="CN265" s="852" t="n">
        <v>0</v>
      </c>
      <c r="CO265" s="852" t="n">
        <v>0</v>
      </c>
      <c r="CP265" s="852" t="n">
        <v>0</v>
      </c>
      <c r="CQ265" s="1102" t="n">
        <v>0</v>
      </c>
      <c r="CR265" s="1103" t="n">
        <v>0</v>
      </c>
      <c r="CS265" s="1103" t="n">
        <v>0</v>
      </c>
      <c r="CT265" s="1103" t="n">
        <v>0</v>
      </c>
      <c r="CU265" s="1103" t="n">
        <v>0</v>
      </c>
      <c r="CV265" s="1103" t="n">
        <v>0</v>
      </c>
      <c r="CW265" s="1103" t="n">
        <v>0</v>
      </c>
      <c r="CX265" s="1104" t="n">
        <v>0</v>
      </c>
      <c r="CY265" s="1105" t="n">
        <v>7779.76472</v>
      </c>
      <c r="CZ265" s="1099" t="n">
        <v>0</v>
      </c>
      <c r="DA265" s="852" t="n">
        <v>0</v>
      </c>
      <c r="DB265" s="852" t="n">
        <v>0</v>
      </c>
      <c r="DC265" s="852" t="n">
        <v>0</v>
      </c>
      <c r="DD265" s="852" t="n">
        <v>0</v>
      </c>
      <c r="DE265" s="1113" t="n">
        <v>0</v>
      </c>
      <c r="DF265" s="1109" t="n">
        <v>0</v>
      </c>
      <c r="DG265" s="1110" t="n">
        <v>0</v>
      </c>
      <c r="DH265" s="1111" t="n">
        <v>0</v>
      </c>
      <c r="DI265" s="1112" t="n">
        <v>0</v>
      </c>
      <c r="DJ265" s="1112" t="n">
        <v>0</v>
      </c>
      <c r="DK265" s="1112" t="n">
        <v>0</v>
      </c>
      <c r="DL265" s="1113" t="n">
        <v>0</v>
      </c>
      <c r="DM265" s="1114" t="n">
        <v>0</v>
      </c>
      <c r="DN265" s="1114" t="n">
        <v>0</v>
      </c>
      <c r="DO265" s="1114" t="n">
        <v>0</v>
      </c>
      <c r="DP265" s="1114" t="n">
        <v>0</v>
      </c>
      <c r="DQ265" s="1114" t="n">
        <v>0</v>
      </c>
      <c r="DR265" s="1109" t="n">
        <v>0</v>
      </c>
      <c r="DS265" s="852" t="n">
        <v>0</v>
      </c>
      <c r="DT265" s="852" t="n">
        <v>0</v>
      </c>
      <c r="DU265" s="852" t="n">
        <v>0</v>
      </c>
      <c r="DV265" s="852" t="n">
        <v>0</v>
      </c>
      <c r="DW265" s="852" t="n">
        <v>0</v>
      </c>
      <c r="DX265" s="852" t="n">
        <v>0</v>
      </c>
      <c r="DY265" s="852" t="n">
        <v>0</v>
      </c>
      <c r="DZ265" s="852" t="n">
        <v>0</v>
      </c>
      <c r="EA265" s="852" t="n">
        <v>0</v>
      </c>
      <c r="EB265" s="1113" t="n">
        <v>0</v>
      </c>
      <c r="EC265" s="1115" t="n">
        <f aca="false">DS265*BD265</f>
        <v>0</v>
      </c>
      <c r="ED265" s="1115" t="n">
        <f aca="false">DT265*BE265</f>
        <v>0</v>
      </c>
      <c r="EE265" s="1115" t="n">
        <f aca="false">DU265*BF265</f>
        <v>0</v>
      </c>
      <c r="EF265" s="1115" t="n">
        <f aca="false">DV265*BG265</f>
        <v>0</v>
      </c>
      <c r="EG265" s="1115" t="n">
        <f aca="false">DS265*BD265+DT265*BE265+DU265*BF265+DV265*BG265</f>
        <v>0</v>
      </c>
      <c r="EH265" s="1116" t="n">
        <v>0</v>
      </c>
      <c r="EI265" s="1117" t="n">
        <v>0</v>
      </c>
      <c r="EJ265" s="1117" t="n">
        <v>0</v>
      </c>
      <c r="EK265" s="1117" t="n">
        <v>0</v>
      </c>
      <c r="EL265" s="1118" t="n">
        <f aca="false">IF(C265&gt;=Summary!$E$26,MAX(0,SUM(EH265:EK265)),0)</f>
        <v>0</v>
      </c>
      <c r="EM265" s="1115" t="n">
        <f aca="false">IF(C265&gt;=Summary!$E$26,DX265*BL265,0)</f>
        <v>0</v>
      </c>
      <c r="EN265" s="1115" t="n">
        <f aca="false">IF(C265&gt;=Summary!$E$26,DY265*BM265,0)</f>
        <v>0</v>
      </c>
      <c r="EO265" s="1115" t="n">
        <f aca="false">IF(C265&gt;=Summary!$E$26,DZ265*BN265,0)</f>
        <v>0</v>
      </c>
      <c r="EP265" s="1115" t="n">
        <f aca="false">IF(C265&gt;=Summary!$E$26,EA265*BO265,0)</f>
        <v>0</v>
      </c>
      <c r="EQ265" s="1115" t="n">
        <f aca="false">IF(C265&gt;=Summary!$E$26,DX265*BL265+DY265*BM265+DZ265*BN265+EA265*BO265,0)</f>
        <v>0</v>
      </c>
      <c r="ER265" s="1119" t="n">
        <v>0</v>
      </c>
      <c r="ES265" s="1120" t="n">
        <v>0</v>
      </c>
      <c r="ET265" s="1120" t="n">
        <v>0</v>
      </c>
      <c r="EU265" s="1120" t="n">
        <v>0</v>
      </c>
      <c r="EV265" s="1143" t="n">
        <f aca="false">IF(C265&gt;=Summary!$E$26,MAX(0,SUM(ER265:EU265)),0)</f>
        <v>0</v>
      </c>
      <c r="EW265" s="1115"/>
      <c r="EX265" s="1165" t="n">
        <f aca="false">(EQ265-EV265)+IF(EZ265="Yes",(EG265-EL265),0)</f>
        <v>0</v>
      </c>
      <c r="EY265" s="1166" t="str">
        <f aca="false">IF(EX265,EX265/EQ265,"")</f>
        <v/>
      </c>
      <c r="EZ265" s="1122" t="s">
        <v>37</v>
      </c>
      <c r="FA265" s="1096" t="n">
        <f aca="false">FA264</f>
        <v>45</v>
      </c>
      <c r="FB265" s="1167" t="e">
        <f aca="false">IF(EZ265="No",IF((OR(MONTH(C265)=5,MONTH(C265)=6,MONTH(C265)=7,MONTH(C265)=8,MONTH(C265)=9)),$FA265*12*AX265*(1-$BC265),$FA265*10*AX265*(1-$BC265)),0)</f>
        <v>#VALUE!</v>
      </c>
      <c r="FC265" s="1129" t="n">
        <f aca="false">IF(EZ265="No",IF((OR(MONTH(C265)=5,MONTH(C265)=6,MONTH(C265)=7,MONTH(C265)=8,MONTH(C265)=9)),0,$FA265*3*AX265*(1-$BC265)),0)</f>
        <v>0</v>
      </c>
      <c r="FD265" s="1129" t="e">
        <f aca="false">IF(EZ265="No",IF((OR(MONTH(C265)=5,MONTH(C265)=6,MONTH(C265)=7,MONTH(C265)=8,MONTH(C265)=9)),$FA265*12*AY265*(1-$BC265),$FA265*10*AY265*(1-$BC265)),0)</f>
        <v>#VALUE!</v>
      </c>
      <c r="FE265" s="1129" t="n">
        <f aca="false">IF(EZ265="No",IF((OR(MONTH(C265)=5,MONTH(C265)=6,MONTH(C265)=7,MONTH(C265)=8,MONTH(C265)=9)),0,$FA265*3*AY265*(1-$BC265)),0)</f>
        <v>0</v>
      </c>
      <c r="FF265" s="1129" t="e">
        <f aca="false">IF(EZ265="No",IF((OR(MONTH(C265)=5,MONTH(C265)=6,MONTH(C265)=7,MONTH(C265)=8,MONTH(C265)=9)),$FA265*12*(AZ265+BA265)*(1-$BC265),$FA265*10*(AZ265+BA265)*(1-$BC265)),0)</f>
        <v>#VALUE!</v>
      </c>
      <c r="FG265" s="1129" t="n">
        <f aca="false">IF(EZ265="No",IF((OR(MONTH(C265)=5,MONTH(C265)=6,MONTH(C265)=7,MONTH(C265)=8,MONTH(C265)=9)),0,$FA265*3*(AZ265+BA265)*(1-$BC265)),0)</f>
        <v>0</v>
      </c>
      <c r="FH265" s="1170" t="e">
        <f aca="false">IF(EZ265="No",IF((OR(MONTH(C265)=5,MONTH(C265)=6,MONTH(C265)=7,MONTH(C265)=8,MONTH(C265)=9)),Summary!$O$15*12*(AX265+AY265+AZ265+BA265)*(1-$BC265),Summary!$O$15*13*(AX265+AY265+AZ265+BA265)*(1-$BC265)+IF(Summary!$O$16="Yes",(CALC!FA265+Summary!$O$15)*6*(AX265+AY265+AZ265+BA265)*(1-$BC265),0)),0)</f>
        <v>#VALUE!</v>
      </c>
      <c r="FI265" s="1126" t="n">
        <f aca="false">IF(MONTH(C265)=5,FI264*(IF(Summary!$E$70="no",(1+(Summary!$E$71*0.8)),1+HLOOKUP(YEAR(C265)-1,CCFMODEL!$I$127:$AF$128,2)*0.8)),+FI264)</f>
        <v>43.7746579110331</v>
      </c>
      <c r="FJ265" s="1127" t="n">
        <f aca="false">IF(MONTH(C265)=5,FJ264*(IF(Summary!$E$70="no",(1+(Summary!$E$71*0.8)),1+HLOOKUP(YEAR(CALC!C265)-1,CCFMODEL!$I$127:$AF$128,2)*0.8)),FJ264)</f>
        <v>38.2597403789344</v>
      </c>
      <c r="FK265" s="1128" t="e">
        <f aca="false">SUM(FB265:FG265)*FI265+FH265*FJ265</f>
        <v>#VALUE!</v>
      </c>
      <c r="FL265" s="1126" t="n">
        <f aca="false">IF(MONTH(C265)=5,FL264*(IF(Summary!$E$70="no",(1+(Summary!$E$71*0.8)),1+HLOOKUP(YEAR(CALC!C265)-1,CCFMODEL!$I$127:$AF$128,2)*0.8)),+FL264)</f>
        <v>92.0630132069682</v>
      </c>
      <c r="FM265" s="1127" t="n">
        <f aca="false">IF(MONTH(C265)=5,FM264*(IF(Summary!$E$70="no",(1+(Summary!$E$71*0.8)),1+HLOOKUP(YEAR(CALC!C265)-1,CCFMODEL!$I$127:$AF$128,2)*0.8)),+FM264)</f>
        <v>43.9387923613931</v>
      </c>
      <c r="FN265" s="1128" t="e">
        <f aca="false">IF((OR(MONTH(C265)=5,MONTH(C265)=6,MONTH(C265)=7,MONTH(C265)=8,MONTH(C265)=9)),SUM(FB265:FG265)/(1-BC265)*FL265,SUM(FB265:FG265)/(1-BC265)*FM265)</f>
        <v>#VALUE!</v>
      </c>
      <c r="FO265" s="1129" t="e">
        <f aca="false">FK265+FN265</f>
        <v>#VALUE!</v>
      </c>
      <c r="FP265" s="1169" t="e">
        <f aca="false">FB265</f>
        <v>#VALUE!</v>
      </c>
      <c r="FQ265" s="1129" t="n">
        <f aca="false">FC265</f>
        <v>0</v>
      </c>
      <c r="FR265" s="1129" t="e">
        <f aca="false">FD265</f>
        <v>#VALUE!</v>
      </c>
      <c r="FS265" s="1129" t="n">
        <f aca="false">FE265</f>
        <v>0</v>
      </c>
      <c r="FT265" s="1129" t="e">
        <f aca="false">FF265</f>
        <v>#VALUE!</v>
      </c>
      <c r="FU265" s="1129" t="n">
        <f aca="false">FG265</f>
        <v>0</v>
      </c>
      <c r="FV265" s="1170" t="e">
        <f aca="false">FH265</f>
        <v>#VALUE!</v>
      </c>
      <c r="FW265" s="1115" t="n">
        <f aca="false">IF(ER265&gt;0,MIN(FB265-FP265,BL265),0)</f>
        <v>0</v>
      </c>
      <c r="FX265" s="1115" t="n">
        <f aca="false">IF(ES265&gt;0,MIN(FD265-FR265,BM265),0)</f>
        <v>0</v>
      </c>
      <c r="FY265" s="1115" t="n">
        <f aca="false">IF(ET265&gt;0,MIN(FF265-FT265,BN265),0)</f>
        <v>0</v>
      </c>
      <c r="FZ265" s="1143" t="n">
        <f aca="false">IF(EU265&gt;0,MIN(FH265-FV265,BO265),0)</f>
        <v>0</v>
      </c>
      <c r="GA265" s="1132" t="e">
        <f aca="false">(SUM(FP265:FV265)+SUM(GU265:HB265)/(1-Summary!$O$25))*CY265/1000</f>
        <v>#VALUE!</v>
      </c>
      <c r="GB265" s="1133" t="n">
        <f aca="false">IF($C265&lt;Summary!$M$81,+Summary!$O$81,VLOOKUP(C265,GasTable,19))</f>
        <v>4.13791258502132</v>
      </c>
      <c r="GC265" s="1134" t="n">
        <f aca="false">IF(H265&lt;=Summary!$N$84,MIN(GA265,Summary!$O$75*(H265-G265+1)),0)</f>
        <v>0</v>
      </c>
      <c r="GD265" s="1135" t="n">
        <f aca="false">IF(C265&lt;Summary!$N$84,IF(Summary!$O$75*(H265-G265+1)*0.8&gt;GC265,1,0),0)</f>
        <v>0</v>
      </c>
      <c r="GE265" s="1136" t="n">
        <v>0</v>
      </c>
      <c r="GF265" s="1134" t="e">
        <f aca="false">ABS(MIN(0,GC265-$GA265))</f>
        <v>#VALUE!</v>
      </c>
      <c r="GG265" s="1135" t="e">
        <f aca="false">GF265*(IF(Summary!$O$74=1,VLOOKUP($C265,GasTable,16)+Summary!$O$92+Summary!$O$93,VLOOKUP($C265,GasTable,19)+Summary!$O$92+Summary!$O$93))</f>
        <v>#VALUE!</v>
      </c>
      <c r="GH265" s="1137" t="n">
        <v>6206.86887753198</v>
      </c>
      <c r="GI265" s="1138" t="n">
        <v>0</v>
      </c>
      <c r="GJ265" s="1139" t="e">
        <f aca="false">+GB265*GC265+GE265+GG265+GH265-GI265</f>
        <v>#VALUE!</v>
      </c>
      <c r="GK265" s="1115" t="e">
        <f aca="false">SUM(FP265:FV265,GU265:GX265,GY265:HB265)</f>
        <v>#VALUE!</v>
      </c>
      <c r="GL265" s="1140" t="n">
        <v>0.52124423624</v>
      </c>
      <c r="GM265" s="1141" t="e">
        <f aca="false">IF(GK265&gt;GC265/(CY265/1000),GC265/(CY265/1000),+GK265)*GL265</f>
        <v>#VALUE!</v>
      </c>
      <c r="GN265" s="1115" t="n">
        <f aca="false">IF(SUM(GU265:HB265)=0,0,IF(Summary!$O$16="Yes",SUM(GX265:HB265),IF(Summary!$O$17="Yes",SUM(GY265:HB265),SUM(GU265:HB265))))</f>
        <v>9239.103</v>
      </c>
      <c r="GO265" s="1142" t="n">
        <v>4.29768782442377</v>
      </c>
      <c r="GP265" s="1143" t="n">
        <f aca="false">GN265*GO265</f>
        <v>39706.7804716971</v>
      </c>
      <c r="GQ265" s="1115"/>
      <c r="GR265" s="1115"/>
      <c r="GS265" s="1115"/>
      <c r="GT265" s="1115"/>
      <c r="GU265" s="1150" t="n">
        <v>3592.9845</v>
      </c>
      <c r="GV265" s="1115" t="n">
        <v>684.378</v>
      </c>
      <c r="GW265" s="1115" t="n">
        <v>855.4725</v>
      </c>
      <c r="GX265" s="1115"/>
      <c r="GY265" s="1151" t="n">
        <v>2874.3876</v>
      </c>
      <c r="GZ265" s="1115" t="n">
        <v>547.5024</v>
      </c>
      <c r="HA265" s="1115" t="n">
        <v>684.378</v>
      </c>
      <c r="HB265" s="1141"/>
      <c r="HC265" s="1115" t="n">
        <v>9239.103</v>
      </c>
      <c r="HD265" s="1115"/>
      <c r="HE265" s="1115" t="n">
        <v>21557.907</v>
      </c>
      <c r="HF265" s="1115" t="n">
        <v>597410.614902785</v>
      </c>
      <c r="HG265" s="1115"/>
      <c r="HH265" s="1142" t="n">
        <v>67.1144622248339</v>
      </c>
      <c r="HI265" s="1115" t="n">
        <v>1446847.33499798</v>
      </c>
      <c r="HJ265" s="1150" t="e">
        <f aca="false">MAX(FB265-FP265-FW265,0)</f>
        <v>#VALUE!</v>
      </c>
      <c r="HK265" s="1115" t="e">
        <f aca="false">MAX(FD265-FR265-FX265,0)</f>
        <v>#VALUE!</v>
      </c>
      <c r="HL265" s="1115" t="e">
        <f aca="false">MAX(FF265-FT265-FY265,0)</f>
        <v>#VALUE!</v>
      </c>
      <c r="HM265" s="1141" t="e">
        <f aca="false">MAX(FH265-FV265-FZ265,0)</f>
        <v>#VALUE!</v>
      </c>
      <c r="HN265" s="1115" t="e">
        <f aca="false">SUM(HJ265:HM265)</f>
        <v>#VALUE!</v>
      </c>
      <c r="HO265" s="1142" t="n">
        <f aca="false">IF(ISERROR(+HP265/HN265),0,+HP265/HN265)</f>
        <v>0</v>
      </c>
      <c r="HP265" s="1143" t="e">
        <f aca="false">(HJ265*CE265+HK265*CF265+HL265*CG265+HM265*CH265)</f>
        <v>#VALUE!</v>
      </c>
      <c r="HQ265" s="1142" t="s">
        <v>935</v>
      </c>
      <c r="HR265" s="1150" t="e">
        <f aca="false">SUMIF($A$17:$A$292,HQ265,$GF$17:$GF$292)</f>
        <v>#VALUE!</v>
      </c>
      <c r="HS265" s="1200" t="e">
        <f aca="false">IF(HT265=0,IF(OR(SUMIF(CURVES!$AU$6:$AU$283,$HQ265,CURVES!$BQ$6:$BQ$283)=0,COUNTIF(CURVES!$AU$6:$AU$283,$HQ265)=0),0,SUMIF(CURVES!$AU$6:$AU$283,$HQ265,CURVES!$BQ$6:$BQ$283)/COUNTIF(CURVES!$AU$6:$AU$283,$HQ265)),HT265/HR265)</f>
        <v>#VALUE!</v>
      </c>
      <c r="HT265" s="1141" t="e">
        <f aca="false">SUMIF($A$17:$A$292,HQ265,$GG$17:$GG$292)</f>
        <v>#VALUE!</v>
      </c>
      <c r="HU265" s="1150" t="n">
        <f aca="false">SUMIF($A$17:$A$292,HQ265,$GC$17:$GC$292)</f>
        <v>0</v>
      </c>
      <c r="HV265" s="1200" t="e">
        <f aca="false">IF(HW265=0,0,HW265/Summary!$O$79/HU265)</f>
        <v>#DIV/0!</v>
      </c>
      <c r="HW265" s="1141" t="n">
        <f aca="false">SUMIF($A$17:$A$292,HQ265,$GH$17:$GH$292)</f>
        <v>17862.8088795689</v>
      </c>
      <c r="HX265" s="1200" t="n">
        <f aca="false">IF(OR(SUMIF(CURVES!$AU$6:$AU$283,$HQ265,CURVES!$BQ$6:$BQ$283)=0,COUNTIF(CURVES!$AU$6:$AU$283,$HQ265)=0),0,SUMIF(CURVES!$AU$6:$AU$283,$HQ265,CURVES!$BQ$6:$BQ$283)/COUNTIF(CURVES!$AU$6:$AU$283,$HQ265))</f>
        <v>4.66547936910511</v>
      </c>
      <c r="HY265" s="1200" t="n">
        <f aca="false">IF(OR(SUMIF(CURVES!$AU$6:$AU$283,$HQ265,CURVES!$BR$6:$BR$283)=0,COUNTIF(CURVES!$AU$6:$AU$283,$HQ265)=0),0,SUMIF(CURVES!$AU$6:$AU$283,$HQ265,CURVES!$BR$6:$BR$283)/COUNTIF(CURVES!$AU$6:$AU$283,$HQ265))</f>
        <v>3.79347968236786</v>
      </c>
      <c r="HZ265" s="0"/>
      <c r="IA265" s="1142"/>
      <c r="IB265" s="1142"/>
      <c r="IC265" s="1142"/>
      <c r="ID265" s="1142"/>
      <c r="IE265" s="1142"/>
      <c r="IF265" s="1142"/>
      <c r="IG265" s="1142"/>
      <c r="IH265" s="1142"/>
      <c r="II265" s="1142"/>
      <c r="IJ265" s="1142"/>
      <c r="IK265" s="1142"/>
      <c r="IL265" s="1190"/>
      <c r="IM265" s="222"/>
      <c r="IN265" s="222"/>
      <c r="IR265" s="844"/>
    </row>
    <row r="266" customFormat="false" ht="13.5" hidden="false" customHeight="false" outlineLevel="0" collapsed="false">
      <c r="A266" s="0" t="str">
        <f aca="false">+D266&amp;"Q"&amp;ROUNDUP(E266/3,0)</f>
        <v>2020Q4</v>
      </c>
      <c r="B266" s="0" t="n">
        <f aca="false">YEAR(C266)</f>
        <v>2020</v>
      </c>
      <c r="C266" s="1153" t="n">
        <f aca="false">EOMONTH(C265,0)+1</f>
        <v>44105</v>
      </c>
      <c r="D266" s="841" t="n">
        <f aca="false">+YEAR(C266)</f>
        <v>2020</v>
      </c>
      <c r="E266" s="807" t="n">
        <f aca="false">MONTH(C266)</f>
        <v>10</v>
      </c>
      <c r="F266" s="1154" t="e">
        <f aca="false">IF(G266="","",Holiday(D266,E266))</f>
        <v>#VALUE!</v>
      </c>
      <c r="G266" s="1155" t="n">
        <v>44105</v>
      </c>
      <c r="H266" s="1156" t="n">
        <v>44135</v>
      </c>
      <c r="I266" s="1157" t="n">
        <f aca="false">I265</f>
        <v>0.0715</v>
      </c>
      <c r="J266" s="1158" t="n">
        <f aca="false">(1+I266/2)^(-2*(DATE(D267,E267,20)-$H$7)/365.25)</f>
        <v>0.229783095849937</v>
      </c>
      <c r="K266" s="1159"/>
      <c r="L266" s="1158"/>
      <c r="M266" s="1082" t="n">
        <v>0</v>
      </c>
      <c r="N266" s="1110" t="n">
        <f aca="false">M266</f>
        <v>0</v>
      </c>
      <c r="O266" s="1174" t="n">
        <f aca="false">N266</f>
        <v>0</v>
      </c>
      <c r="P266" s="1175" t="n">
        <f aca="false">M266</f>
        <v>0</v>
      </c>
      <c r="Q266" s="1110" t="n">
        <f aca="false">P266</f>
        <v>0</v>
      </c>
      <c r="R266" s="1174" t="n">
        <f aca="false">Q266</f>
        <v>0</v>
      </c>
      <c r="S266" s="1110" t="n">
        <f aca="false">R266</f>
        <v>0</v>
      </c>
      <c r="T266" s="1110" t="n">
        <f aca="false">S266</f>
        <v>0</v>
      </c>
      <c r="U266" s="1110" t="n">
        <f aca="false">T266</f>
        <v>0</v>
      </c>
      <c r="V266" s="1175" t="n">
        <f aca="false">U266</f>
        <v>0</v>
      </c>
      <c r="W266" s="1110" t="n">
        <f aca="false">V266</f>
        <v>0</v>
      </c>
      <c r="X266" s="1176" t="n">
        <f aca="false">W266</f>
        <v>0</v>
      </c>
      <c r="Y266" s="1086" t="n">
        <v>0</v>
      </c>
      <c r="Z266" s="1086" t="n">
        <v>0</v>
      </c>
      <c r="AA266" s="1087" t="n">
        <v>0</v>
      </c>
      <c r="AB266" s="1086" t="n">
        <v>0</v>
      </c>
      <c r="AC266" s="1086" t="n">
        <v>0</v>
      </c>
      <c r="AD266" s="1087" t="n">
        <v>0</v>
      </c>
      <c r="AE266" s="1086" t="n">
        <v>0</v>
      </c>
      <c r="AF266" s="1086" t="n">
        <v>0</v>
      </c>
      <c r="AG266" s="1087" t="n">
        <v>0</v>
      </c>
      <c r="AH266" s="1086" t="n">
        <v>0</v>
      </c>
      <c r="AI266" s="1086" t="n">
        <v>0</v>
      </c>
      <c r="AJ266" s="1087" t="n">
        <v>0</v>
      </c>
      <c r="AK266" s="1086" t="n">
        <v>0</v>
      </c>
      <c r="AL266" s="1086" t="n">
        <v>0</v>
      </c>
      <c r="AM266" s="1087" t="n">
        <v>0</v>
      </c>
      <c r="AN266" s="1086" t="n">
        <v>0</v>
      </c>
      <c r="AO266" s="1086" t="n">
        <v>0</v>
      </c>
      <c r="AP266" s="1087" t="n">
        <v>0</v>
      </c>
      <c r="AQ266" s="1086" t="n">
        <v>0</v>
      </c>
      <c r="AR266" s="1086" t="n">
        <v>0</v>
      </c>
      <c r="AS266" s="1087" t="n">
        <v>0</v>
      </c>
      <c r="AT266" s="1086" t="n">
        <v>0</v>
      </c>
      <c r="AU266" s="1086" t="n">
        <v>0</v>
      </c>
      <c r="AV266" s="1086" t="n">
        <v>0</v>
      </c>
      <c r="AW266" s="1172" t="n">
        <v>0</v>
      </c>
      <c r="AX266" s="807" t="n">
        <f aca="false">BB266-SUM(AY266:BA266)</f>
        <v>22</v>
      </c>
      <c r="AY266" s="807" t="n">
        <f aca="false">IF(AND($E266=MONTH(Summary!$E$24),$D266=YEAR(Summary!$E$24)),Summary!$E$25,1)*IF(G266="",0,INT((H266-MOD(H266,7)-G266)/7)+1-IF(BA266,IF(WEEKDAY(F266)=7,1,0),0))</f>
        <v>5</v>
      </c>
      <c r="AZ266" s="807" t="n">
        <f aca="false">IF(AND($E266=MONTH(Summary!$E$24),$D266=YEAR(Summary!$E$24)),Summary!$E$25,1)*IF(G266="",0,INT((H266-MOD(H266-1,7)-G266)/7)+1-IF(BA266,IF(WEEKDAY(F266)=1,1,0),0))</f>
        <v>4</v>
      </c>
      <c r="BA266" s="807" t="n">
        <v>0</v>
      </c>
      <c r="BB266" s="807" t="n">
        <f aca="false">IF(AND($E266=MONTH(Summary!$E$24),$D266=YEAR(Summary!$E$24)),Summary!$E$25,1)*IF(G266="",0,H266-G266+1)</f>
        <v>31</v>
      </c>
      <c r="BC266" s="1089" t="n">
        <f aca="false">Summary!$E$19</f>
        <v>0.015</v>
      </c>
      <c r="BD266" s="1090" t="n">
        <v>15602.4</v>
      </c>
      <c r="BE266" s="1091" t="n">
        <v>3546</v>
      </c>
      <c r="BF266" s="1091" t="n">
        <v>2836.8</v>
      </c>
      <c r="BG266" s="842"/>
      <c r="BH266" s="1092" t="n">
        <v>1</v>
      </c>
      <c r="BI266" s="1092" t="n">
        <v>1</v>
      </c>
      <c r="BJ266" s="1092" t="n">
        <v>1</v>
      </c>
      <c r="BK266" s="1092" t="n">
        <v>1</v>
      </c>
      <c r="BL266" s="1093" t="n">
        <v>3120.48</v>
      </c>
      <c r="BM266" s="1091" t="n">
        <v>709.2</v>
      </c>
      <c r="BN266" s="1091" t="n">
        <v>567.36</v>
      </c>
      <c r="BO266" s="842"/>
      <c r="BP266" s="1092" t="n">
        <v>1</v>
      </c>
      <c r="BQ266" s="1094" t="n">
        <v>1</v>
      </c>
      <c r="BR266" s="1094" t="n">
        <v>1</v>
      </c>
      <c r="BS266" s="1095" t="n">
        <v>1</v>
      </c>
      <c r="BT266" s="1093" t="n">
        <f aca="false">SUM(BD266:BF266)</f>
        <v>21985.2</v>
      </c>
      <c r="BU266" s="1098" t="n">
        <f aca="false">SUM(BD266:BG266)</f>
        <v>21985.2</v>
      </c>
      <c r="BV266" s="1090" t="n">
        <f aca="false">SUM(BL266:BN266)</f>
        <v>4397.04</v>
      </c>
      <c r="BW266" s="1098" t="n">
        <f aca="false">SUM(BL266:BO266)</f>
        <v>4397.04</v>
      </c>
      <c r="BX266" s="852" t="n">
        <v>20.7967145790554</v>
      </c>
      <c r="BY266" s="1099" t="n">
        <v>0</v>
      </c>
      <c r="BZ266" s="852" t="n">
        <v>0</v>
      </c>
      <c r="CA266" s="852" t="n">
        <v>0</v>
      </c>
      <c r="CB266" s="852" t="n">
        <v>0</v>
      </c>
      <c r="CC266" s="852" t="n">
        <v>0</v>
      </c>
      <c r="CD266" s="852" t="n">
        <v>0</v>
      </c>
      <c r="CE266" s="1100" t="n">
        <v>0</v>
      </c>
      <c r="CF266" s="852" t="n">
        <v>0</v>
      </c>
      <c r="CG266" s="852" t="n">
        <v>0</v>
      </c>
      <c r="CH266" s="852" t="n">
        <v>0</v>
      </c>
      <c r="CI266" s="852" t="n">
        <v>0</v>
      </c>
      <c r="CJ266" s="1101" t="n">
        <v>0</v>
      </c>
      <c r="CK266" s="852" t="n">
        <v>0</v>
      </c>
      <c r="CL266" s="852" t="n">
        <v>0</v>
      </c>
      <c r="CM266" s="852" t="n">
        <v>0</v>
      </c>
      <c r="CN266" s="852" t="n">
        <v>0</v>
      </c>
      <c r="CO266" s="852" t="n">
        <v>0</v>
      </c>
      <c r="CP266" s="852" t="n">
        <v>0</v>
      </c>
      <c r="CQ266" s="1102" t="n">
        <v>0</v>
      </c>
      <c r="CR266" s="1103" t="n">
        <v>0</v>
      </c>
      <c r="CS266" s="1103" t="n">
        <v>0</v>
      </c>
      <c r="CT266" s="1103" t="n">
        <v>0</v>
      </c>
      <c r="CU266" s="1103" t="n">
        <v>0</v>
      </c>
      <c r="CV266" s="1103" t="n">
        <v>0</v>
      </c>
      <c r="CW266" s="1103" t="n">
        <v>0</v>
      </c>
      <c r="CX266" s="1104" t="n">
        <v>0</v>
      </c>
      <c r="CY266" s="1105" t="n">
        <v>7781.79568</v>
      </c>
      <c r="CZ266" s="1099" t="n">
        <v>0</v>
      </c>
      <c r="DA266" s="852" t="n">
        <v>0</v>
      </c>
      <c r="DB266" s="852" t="n">
        <v>0</v>
      </c>
      <c r="DC266" s="852" t="n">
        <v>0</v>
      </c>
      <c r="DD266" s="852" t="n">
        <v>0</v>
      </c>
      <c r="DE266" s="1113" t="n">
        <v>0</v>
      </c>
      <c r="DF266" s="1109" t="n">
        <v>0</v>
      </c>
      <c r="DG266" s="1110" t="n">
        <v>0</v>
      </c>
      <c r="DH266" s="1111" t="n">
        <v>0</v>
      </c>
      <c r="DI266" s="1112" t="n">
        <v>0</v>
      </c>
      <c r="DJ266" s="1112" t="n">
        <v>0</v>
      </c>
      <c r="DK266" s="1112" t="n">
        <v>0</v>
      </c>
      <c r="DL266" s="1113" t="n">
        <v>0</v>
      </c>
      <c r="DM266" s="1114" t="n">
        <v>0</v>
      </c>
      <c r="DN266" s="1114" t="n">
        <v>0</v>
      </c>
      <c r="DO266" s="1114" t="n">
        <v>0</v>
      </c>
      <c r="DP266" s="1114" t="n">
        <v>0</v>
      </c>
      <c r="DQ266" s="1114" t="n">
        <v>0</v>
      </c>
      <c r="DR266" s="1109" t="n">
        <v>0</v>
      </c>
      <c r="DS266" s="852" t="n">
        <v>0</v>
      </c>
      <c r="DT266" s="852" t="n">
        <v>0</v>
      </c>
      <c r="DU266" s="852" t="n">
        <v>0</v>
      </c>
      <c r="DV266" s="852" t="n">
        <v>0</v>
      </c>
      <c r="DW266" s="852" t="n">
        <v>0</v>
      </c>
      <c r="DX266" s="852" t="n">
        <v>0</v>
      </c>
      <c r="DY266" s="852" t="n">
        <v>0</v>
      </c>
      <c r="DZ266" s="852" t="n">
        <v>0</v>
      </c>
      <c r="EA266" s="852" t="n">
        <v>0</v>
      </c>
      <c r="EB266" s="1113" t="n">
        <v>0</v>
      </c>
      <c r="EC266" s="1115" t="n">
        <f aca="false">DS266*BD266</f>
        <v>0</v>
      </c>
      <c r="ED266" s="1115" t="n">
        <f aca="false">DT266*BE266</f>
        <v>0</v>
      </c>
      <c r="EE266" s="1115" t="n">
        <f aca="false">DU266*BF266</f>
        <v>0</v>
      </c>
      <c r="EF266" s="1115" t="n">
        <f aca="false">DV266*BG266</f>
        <v>0</v>
      </c>
      <c r="EG266" s="1115" t="n">
        <f aca="false">DS266*BD266+DT266*BE266+DU266*BF266+DV266*BG266</f>
        <v>0</v>
      </c>
      <c r="EH266" s="1116" t="n">
        <v>0</v>
      </c>
      <c r="EI266" s="1117" t="n">
        <v>0</v>
      </c>
      <c r="EJ266" s="1117" t="n">
        <v>0</v>
      </c>
      <c r="EK266" s="1117" t="n">
        <v>0</v>
      </c>
      <c r="EL266" s="1118" t="n">
        <f aca="false">IF(C266&gt;=Summary!$E$26,MAX(0,SUM(EH266:EK266)),0)</f>
        <v>0</v>
      </c>
      <c r="EM266" s="1115" t="n">
        <f aca="false">IF(C266&gt;=Summary!$E$26,DX266*BL266,0)</f>
        <v>0</v>
      </c>
      <c r="EN266" s="1115" t="n">
        <f aca="false">IF(C266&gt;=Summary!$E$26,DY266*BM266,0)</f>
        <v>0</v>
      </c>
      <c r="EO266" s="1115" t="n">
        <f aca="false">IF(C266&gt;=Summary!$E$26,DZ266*BN266,0)</f>
        <v>0</v>
      </c>
      <c r="EP266" s="1115" t="n">
        <f aca="false">IF(C266&gt;=Summary!$E$26,EA266*BO266,0)</f>
        <v>0</v>
      </c>
      <c r="EQ266" s="1115" t="n">
        <f aca="false">IF(C266&gt;=Summary!$E$26,DX266*BL266+DY266*BM266+DZ266*BN266+EA266*BO266,0)</f>
        <v>0</v>
      </c>
      <c r="ER266" s="1119" t="n">
        <v>0</v>
      </c>
      <c r="ES266" s="1120" t="n">
        <v>0</v>
      </c>
      <c r="ET266" s="1120" t="n">
        <v>0</v>
      </c>
      <c r="EU266" s="1120" t="n">
        <v>0</v>
      </c>
      <c r="EV266" s="1143" t="n">
        <f aca="false">IF(C266&gt;=Summary!$E$26,MAX(0,SUM(ER266:EU266)),0)</f>
        <v>0</v>
      </c>
      <c r="EW266" s="1115"/>
      <c r="EX266" s="1165" t="n">
        <f aca="false">(EQ266-EV266)+IF(EZ266="Yes",(EG266-EL266),0)</f>
        <v>0</v>
      </c>
      <c r="EY266" s="1166" t="str">
        <f aca="false">IF(EX266,EX266/EQ266,"")</f>
        <v/>
      </c>
      <c r="EZ266" s="1122" t="s">
        <v>37</v>
      </c>
      <c r="FA266" s="1096" t="n">
        <f aca="false">FA265</f>
        <v>45</v>
      </c>
      <c r="FB266" s="1167" t="n">
        <f aca="false">IF(EZ266="No",IF((OR(MONTH(C266)=5,MONTH(C266)=6,MONTH(C266)=7,MONTH(C266)=8,MONTH(C266)=9)),$FA266*12*AX266*(1-$BC266),$FA266*10*AX266*(1-$BC266)),0)</f>
        <v>9751.5</v>
      </c>
      <c r="FC266" s="1129" t="n">
        <f aca="false">IF(EZ266="No",IF((OR(MONTH(C266)=5,MONTH(C266)=6,MONTH(C266)=7,MONTH(C266)=8,MONTH(C266)=9)),0,$FA266*3*AX266*(1-$BC266)),0)</f>
        <v>2925.45</v>
      </c>
      <c r="FD266" s="1129" t="n">
        <f aca="false">IF(EZ266="No",IF((OR(MONTH(C266)=5,MONTH(C266)=6,MONTH(C266)=7,MONTH(C266)=8,MONTH(C266)=9)),$FA266*12*AY266*(1-$BC266),$FA266*10*AY266*(1-$BC266)),0)</f>
        <v>2216.25</v>
      </c>
      <c r="FE266" s="1129" t="n">
        <f aca="false">IF(EZ266="No",IF((OR(MONTH(C266)=5,MONTH(C266)=6,MONTH(C266)=7,MONTH(C266)=8,MONTH(C266)=9)),0,$FA266*3*AY266*(1-$BC266)),0)</f>
        <v>664.875</v>
      </c>
      <c r="FF266" s="1129" t="n">
        <f aca="false">IF(EZ266="No",IF((OR(MONTH(C266)=5,MONTH(C266)=6,MONTH(C266)=7,MONTH(C266)=8,MONTH(C266)=9)),$FA266*12*(AZ266+BA266)*(1-$BC266),$FA266*10*(AZ266+BA266)*(1-$BC266)),0)</f>
        <v>1773</v>
      </c>
      <c r="FG266" s="1129" t="n">
        <f aca="false">IF(EZ266="No",IF((OR(MONTH(C266)=5,MONTH(C266)=6,MONTH(C266)=7,MONTH(C266)=8,MONTH(C266)=9)),0,$FA266*3*(AZ266+BA266)*(1-$BC266)),0)</f>
        <v>531.9</v>
      </c>
      <c r="FH266" s="1170" t="n">
        <f aca="false">IF(EZ266="No",IF((OR(MONTH(C266)=5,MONTH(C266)=6,MONTH(C266)=7,MONTH(C266)=8,MONTH(C266)=9)),Summary!$O$15*12*(AX266+AY266+AZ266+BA266)*(1-$BC266),Summary!$O$15*13*(AX266+AY266+AZ266+BA266)*(1-$BC266)+IF(Summary!$O$16="Yes",(CALC!FA266+Summary!$O$15)*6*(AX266+AY266+AZ266+BA266)*(1-$BC266),0)),0)</f>
        <v>0</v>
      </c>
      <c r="FI266" s="1126" t="n">
        <f aca="false">IF(MONTH(C266)=5,FI265*(IF(Summary!$E$70="no",(1+(Summary!$E$71*0.8)),1+HLOOKUP(YEAR(C266)-1,CCFMODEL!$I$127:$AF$128,2)*0.8)),+FI265)</f>
        <v>43.7746579110331</v>
      </c>
      <c r="FJ266" s="1127" t="n">
        <f aca="false">IF(MONTH(C266)=5,FJ265*(IF(Summary!$E$70="no",(1+(Summary!$E$71*0.8)),1+HLOOKUP(YEAR(CALC!C266)-1,CCFMODEL!$I$127:$AF$128,2)*0.8)),FJ265)</f>
        <v>38.2597403789344</v>
      </c>
      <c r="FK266" s="1128" t="n">
        <f aca="false">SUM(FB266:FG266)*FI266+FH266*FJ266</f>
        <v>781945.619898336</v>
      </c>
      <c r="FL266" s="1126" t="n">
        <f aca="false">IF(MONTH(C266)=5,FL265*(IF(Summary!$E$70="no",(1+(Summary!$E$71*0.8)),1+HLOOKUP(YEAR(CALC!C266)-1,CCFMODEL!$I$127:$AF$128,2)*0.8)),+FL265)</f>
        <v>92.0630132069682</v>
      </c>
      <c r="FM266" s="1127" t="n">
        <f aca="false">IF(MONTH(C266)=5,FM265*(IF(Summary!$E$70="no",(1+(Summary!$E$71*0.8)),1+HLOOKUP(YEAR(CALC!C266)-1,CCFMODEL!$I$127:$AF$128,2)*0.8)),+FM265)</f>
        <v>43.9387923613931</v>
      </c>
      <c r="FN266" s="1128" t="n">
        <f aca="false">IF((OR(MONTH(C266)=5,MONTH(C266)=6,MONTH(C266)=7,MONTH(C266)=8,MONTH(C266)=9)),SUM(FB266:FG266)/(1-BC266)*FL266,SUM(FB266:FG266)/(1-BC266)*FM266)</f>
        <v>796829.999473865</v>
      </c>
      <c r="FO266" s="1129" t="n">
        <f aca="false">FK266+FN266</f>
        <v>1578775.6193722</v>
      </c>
      <c r="FP266" s="1169" t="n">
        <f aca="false">FB266</f>
        <v>9751.5</v>
      </c>
      <c r="FQ266" s="1129" t="n">
        <f aca="false">FC266</f>
        <v>2925.45</v>
      </c>
      <c r="FR266" s="1129" t="n">
        <f aca="false">FD266</f>
        <v>2216.25</v>
      </c>
      <c r="FS266" s="1129" t="n">
        <f aca="false">FE266</f>
        <v>664.875</v>
      </c>
      <c r="FT266" s="1129" t="n">
        <f aca="false">FF266</f>
        <v>1773</v>
      </c>
      <c r="FU266" s="1129" t="n">
        <f aca="false">FG266</f>
        <v>531.9</v>
      </c>
      <c r="FV266" s="1170" t="n">
        <f aca="false">FH266</f>
        <v>0</v>
      </c>
      <c r="FW266" s="1115" t="n">
        <f aca="false">IF(ER266&gt;0,MIN(FB266-FP266,BL266),0)</f>
        <v>0</v>
      </c>
      <c r="FX266" s="1115" t="n">
        <f aca="false">IF(ES266&gt;0,MIN(FD266-FR266,BM266),0)</f>
        <v>0</v>
      </c>
      <c r="FY266" s="1115" t="n">
        <f aca="false">IF(ET266&gt;0,MIN(FF266-FT266,BN266),0)</f>
        <v>0</v>
      </c>
      <c r="FZ266" s="1143" t="n">
        <f aca="false">IF(EU266&gt;0,MIN(FH266-FV266,BO266),0)</f>
        <v>0</v>
      </c>
      <c r="GA266" s="1132" t="n">
        <f aca="false">(SUM(FP266:FV266)+SUM(GU266:HB266)/(1-Summary!$O$25))*CY266/1000</f>
        <v>237379.513957711</v>
      </c>
      <c r="GB266" s="1133" t="n">
        <f aca="false">IF($C266&lt;Summary!$M$81,+Summary!$O$81,VLOOKUP(C266,GasTable,19))</f>
        <v>4.32179900707932</v>
      </c>
      <c r="GC266" s="1134" t="n">
        <f aca="false">IF(H266&lt;=Summary!$N$84,MIN(GA266,Summary!$O$75*(H266-G266+1)),0)</f>
        <v>0</v>
      </c>
      <c r="GD266" s="1135" t="n">
        <f aca="false">IF(C266&lt;Summary!$N$84,IF(Summary!$O$75*(H266-G266+1)*0.8&gt;GC266,1,0),0)</f>
        <v>0</v>
      </c>
      <c r="GE266" s="1136" t="n">
        <v>0</v>
      </c>
      <c r="GF266" s="1134" t="n">
        <f aca="false">ABS(MIN(0,GC266-$GA266))</f>
        <v>237379.513957711</v>
      </c>
      <c r="GG266" s="1135" t="n">
        <f aca="false">GF266*(IF(Summary!$O$74=1,VLOOKUP($C266,GasTable,16)+Summary!$O$92+Summary!$O$93,VLOOKUP($C266,GasTable,19)+Summary!$O$92+Summary!$O$93))</f>
        <v>1038274.0204006</v>
      </c>
      <c r="GH266" s="1137" t="n">
        <v>6698.78846097295</v>
      </c>
      <c r="GI266" s="1138" t="n">
        <v>0</v>
      </c>
      <c r="GJ266" s="1139" t="n">
        <f aca="false">+GB266*GC266+GE266+GG266+GH266-GI266</f>
        <v>1044972.80886158</v>
      </c>
      <c r="GK266" s="1115" t="n">
        <f aca="false">SUM(FP266:FV266,GU266:GX266,GY266:HB266)</f>
        <v>30062.01285</v>
      </c>
      <c r="GL266" s="1140" t="n">
        <v>0.52138031056</v>
      </c>
      <c r="GM266" s="1141" t="n">
        <f aca="false">IF(GK266&gt;GC266/(CY266/1000),GC266/(CY266/1000),+GK266)*GL266</f>
        <v>0</v>
      </c>
      <c r="GN266" s="1115" t="n">
        <f aca="false">IF(SUM(GU266:HB266)=0,0,IF(Summary!$O$16="Yes",SUM(GX266:HB266),IF(Summary!$O$17="Yes",SUM(GY266:HB266),SUM(GU266:HB266))))</f>
        <v>12199.03785</v>
      </c>
      <c r="GO266" s="1142" t="n">
        <v>4.29768782442377</v>
      </c>
      <c r="GP266" s="1143" t="n">
        <f aca="false">GN266*GO266</f>
        <v>52427.6564376297</v>
      </c>
      <c r="GQ266" s="1115"/>
      <c r="GR266" s="1115"/>
      <c r="GS266" s="1115"/>
      <c r="GT266" s="1115"/>
      <c r="GU266" s="1150" t="n">
        <v>5646.1185</v>
      </c>
      <c r="GV266" s="1115" t="n">
        <v>1283.20875</v>
      </c>
      <c r="GW266" s="1115" t="n">
        <v>1026.567</v>
      </c>
      <c r="GX266" s="1115"/>
      <c r="GY266" s="1151" t="n">
        <v>3011.2632</v>
      </c>
      <c r="GZ266" s="1115" t="n">
        <v>684.378</v>
      </c>
      <c r="HA266" s="1115" t="n">
        <v>547.5024</v>
      </c>
      <c r="HB266" s="1141"/>
      <c r="HC266" s="1115" t="n">
        <v>12199.03785</v>
      </c>
      <c r="HD266" s="1115"/>
      <c r="HE266" s="1115" t="n">
        <v>20950.521525</v>
      </c>
      <c r="HF266" s="1115" t="n">
        <v>714856.3663701</v>
      </c>
      <c r="HG266" s="1115"/>
      <c r="HH266" s="1142" t="n">
        <v>57.6725706545995</v>
      </c>
      <c r="HI266" s="1115" t="n">
        <v>1208270.43290127</v>
      </c>
      <c r="HJ266" s="1150" t="n">
        <f aca="false">MAX(FB266-FP266-FW266,0)</f>
        <v>0</v>
      </c>
      <c r="HK266" s="1115" t="n">
        <f aca="false">MAX(FD266-FR266-FX266,0)</f>
        <v>0</v>
      </c>
      <c r="HL266" s="1115" t="n">
        <f aca="false">MAX(FF266-FT266-FY266,0)</f>
        <v>0</v>
      </c>
      <c r="HM266" s="1141" t="n">
        <f aca="false">MAX(FH266-FV266-FZ266,0)</f>
        <v>0</v>
      </c>
      <c r="HN266" s="1115" t="n">
        <f aca="false">SUM(HJ266:HM266)</f>
        <v>0</v>
      </c>
      <c r="HO266" s="1142" t="n">
        <f aca="false">IF(ISERROR(+HP266/HN266),0,+HP266/HN266)</f>
        <v>0</v>
      </c>
      <c r="HP266" s="1143" t="n">
        <f aca="false">(HJ266*CE266+HK266*CF266+HL266*CG266+HM266*CH266)</f>
        <v>0</v>
      </c>
      <c r="HQ266" s="1142" t="s">
        <v>936</v>
      </c>
      <c r="HR266" s="1150" t="e">
        <f aca="false">SUMIF($A$17:$A$292,HQ266,$GF$17:$GF$292)</f>
        <v>#VALUE!</v>
      </c>
      <c r="HS266" s="1200" t="e">
        <f aca="false">IF(HT266=0,IF(OR(SUMIF(CURVES!$AU$6:$AU$283,$HQ266,CURVES!$BQ$6:$BQ$283)=0,COUNTIF(CURVES!$AU$6:$AU$283,$HQ266)=0),0,SUMIF(CURVES!$AU$6:$AU$283,$HQ266,CURVES!$BQ$6:$BQ$283)/COUNTIF(CURVES!$AU$6:$AU$283,$HQ266)),HT266/HR266)</f>
        <v>#VALUE!</v>
      </c>
      <c r="HT266" s="1141" t="e">
        <f aca="false">SUMIF($A$17:$A$292,HQ266,$GG$17:$GG$292)</f>
        <v>#VALUE!</v>
      </c>
      <c r="HU266" s="1150" t="n">
        <f aca="false">SUMIF($A$17:$A$292,HQ266,$GC$17:$GC$292)</f>
        <v>0</v>
      </c>
      <c r="HV266" s="1200" t="e">
        <f aca="false">IF(HW266=0,0,HW266/Summary!$O$79/HU266)</f>
        <v>#DIV/0!</v>
      </c>
      <c r="HW266" s="1141" t="n">
        <f aca="false">SUMIF($A$17:$A$292,HQ266,$GH$17:$GH$292)</f>
        <v>16396.7626937745</v>
      </c>
      <c r="HX266" s="1200" t="n">
        <f aca="false">IF(OR(SUMIF(CURVES!$AU$6:$AU$283,$HQ266,CURVES!$BQ$6:$BQ$283)=0,COUNTIF(CURVES!$AU$6:$AU$283,$HQ266)=0),0,SUMIF(CURVES!$AU$6:$AU$283,$HQ266,CURVES!$BQ$6:$BQ$283)/COUNTIF(CURVES!$AU$6:$AU$283,$HQ266))</f>
        <v>4.33724576289043</v>
      </c>
      <c r="HY266" s="1200" t="n">
        <f aca="false">IF(OR(SUMIF(CURVES!$AU$6:$AU$283,$HQ266,CURVES!$BR$6:$BR$283)=0,COUNTIF(CURVES!$AU$6:$AU$283,$HQ266)=0),0,SUMIF(CURVES!$AU$6:$AU$283,$HQ266,CURVES!$BR$6:$BR$283)/COUNTIF(CURVES!$AU$6:$AU$283,$HQ266))</f>
        <v>3.4431884398071</v>
      </c>
      <c r="HZ266" s="0"/>
      <c r="IA266" s="1142"/>
      <c r="IB266" s="1142"/>
      <c r="IC266" s="1142"/>
      <c r="ID266" s="1142"/>
      <c r="IE266" s="1142"/>
      <c r="IF266" s="1142"/>
      <c r="IG266" s="1142"/>
      <c r="IH266" s="1142"/>
      <c r="II266" s="1142"/>
      <c r="IJ266" s="1142"/>
      <c r="IK266" s="1142"/>
      <c r="IL266" s="1190"/>
      <c r="IM266" s="222"/>
      <c r="IN266" s="222"/>
      <c r="IR266" s="844"/>
    </row>
    <row r="267" customFormat="false" ht="13.5" hidden="false" customHeight="false" outlineLevel="0" collapsed="false">
      <c r="A267" s="0" t="str">
        <f aca="false">+D267&amp;"Q"&amp;ROUNDUP(E267/3,0)</f>
        <v>2020Q4</v>
      </c>
      <c r="B267" s="0" t="n">
        <f aca="false">YEAR(C267)</f>
        <v>2020</v>
      </c>
      <c r="C267" s="1153" t="n">
        <f aca="false">EOMONTH(C266,0)+1</f>
        <v>44136</v>
      </c>
      <c r="D267" s="841" t="n">
        <f aca="false">+YEAR(C267)</f>
        <v>2020</v>
      </c>
      <c r="E267" s="807" t="n">
        <f aca="false">MONTH(C267)</f>
        <v>11</v>
      </c>
      <c r="F267" s="1154" t="e">
        <f aca="false">IF(G267="","",Holiday(D267,E267))</f>
        <v>#VALUE!</v>
      </c>
      <c r="G267" s="1155" t="n">
        <v>44136</v>
      </c>
      <c r="H267" s="1156" t="n">
        <v>44165</v>
      </c>
      <c r="I267" s="1157" t="n">
        <f aca="false">I266</f>
        <v>0.0715</v>
      </c>
      <c r="J267" s="1158" t="n">
        <f aca="false">(1+I267/2)^(-2*(DATE(D268,E268,20)-$H$7)/365.25)</f>
        <v>0.228461030324453</v>
      </c>
      <c r="K267" s="1159"/>
      <c r="L267" s="1158"/>
      <c r="M267" s="1082" t="n">
        <v>0</v>
      </c>
      <c r="N267" s="1110" t="n">
        <f aca="false">M267</f>
        <v>0</v>
      </c>
      <c r="O267" s="1174" t="n">
        <f aca="false">N267</f>
        <v>0</v>
      </c>
      <c r="P267" s="1175" t="n">
        <f aca="false">M267</f>
        <v>0</v>
      </c>
      <c r="Q267" s="1110" t="n">
        <f aca="false">P267</f>
        <v>0</v>
      </c>
      <c r="R267" s="1174" t="n">
        <f aca="false">Q267</f>
        <v>0</v>
      </c>
      <c r="S267" s="1110" t="n">
        <f aca="false">R267</f>
        <v>0</v>
      </c>
      <c r="T267" s="1110" t="n">
        <f aca="false">S267</f>
        <v>0</v>
      </c>
      <c r="U267" s="1110" t="n">
        <f aca="false">T267</f>
        <v>0</v>
      </c>
      <c r="V267" s="1175" t="n">
        <f aca="false">U267</f>
        <v>0</v>
      </c>
      <c r="W267" s="1110" t="n">
        <f aca="false">V267</f>
        <v>0</v>
      </c>
      <c r="X267" s="1176" t="n">
        <f aca="false">W267</f>
        <v>0</v>
      </c>
      <c r="Y267" s="1086" t="n">
        <v>0</v>
      </c>
      <c r="Z267" s="1086" t="n">
        <v>0</v>
      </c>
      <c r="AA267" s="1087" t="n">
        <v>0</v>
      </c>
      <c r="AB267" s="1086" t="n">
        <v>0</v>
      </c>
      <c r="AC267" s="1086" t="n">
        <v>0</v>
      </c>
      <c r="AD267" s="1087" t="n">
        <v>0</v>
      </c>
      <c r="AE267" s="1086" t="n">
        <v>0</v>
      </c>
      <c r="AF267" s="1086" t="n">
        <v>0</v>
      </c>
      <c r="AG267" s="1087" t="n">
        <v>0</v>
      </c>
      <c r="AH267" s="1086" t="n">
        <v>0</v>
      </c>
      <c r="AI267" s="1086" t="n">
        <v>0</v>
      </c>
      <c r="AJ267" s="1087" t="n">
        <v>0</v>
      </c>
      <c r="AK267" s="1086" t="n">
        <v>0</v>
      </c>
      <c r="AL267" s="1086" t="n">
        <v>0</v>
      </c>
      <c r="AM267" s="1087" t="n">
        <v>0</v>
      </c>
      <c r="AN267" s="1086" t="n">
        <v>0</v>
      </c>
      <c r="AO267" s="1086" t="n">
        <v>0</v>
      </c>
      <c r="AP267" s="1087" t="n">
        <v>0</v>
      </c>
      <c r="AQ267" s="1086" t="n">
        <v>0</v>
      </c>
      <c r="AR267" s="1086" t="n">
        <v>0</v>
      </c>
      <c r="AS267" s="1087" t="n">
        <v>0</v>
      </c>
      <c r="AT267" s="1086" t="n">
        <v>0</v>
      </c>
      <c r="AU267" s="1086" t="n">
        <v>0</v>
      </c>
      <c r="AV267" s="1086" t="n">
        <v>0</v>
      </c>
      <c r="AW267" s="1172" t="n">
        <v>0</v>
      </c>
      <c r="AX267" s="807" t="e">
        <f aca="false">BB267-SUM(AY267:BA267)</f>
        <v>#VALUE!</v>
      </c>
      <c r="AY267" s="807" t="e">
        <f aca="false">IF(AND($E267=MONTH(Summary!$E$24),$D267=YEAR(Summary!$E$24)),Summary!$E$25,1)*IF(G267="",0,INT((H267-MOD(H267,7)-G267)/7)+1-IF(BA267,IF(WEEKDAY(F267)=7,1,0),0))</f>
        <v>#VALUE!</v>
      </c>
      <c r="AZ267" s="807" t="e">
        <f aca="false">IF(AND($E267=MONTH(Summary!$E$24),$D267=YEAR(Summary!$E$24)),Summary!$E$25,1)*IF(G267="",0,INT((H267-MOD(H267-1,7)-G267)/7)+1-IF(BA267,IF(WEEKDAY(F267)=1,1,0),0))</f>
        <v>#VALUE!</v>
      </c>
      <c r="BA267" s="807" t="n">
        <v>1</v>
      </c>
      <c r="BB267" s="807" t="n">
        <f aca="false">IF(AND($E267=MONTH(Summary!$E$24),$D267=YEAR(Summary!$E$24)),Summary!$E$25,1)*IF(G267="",0,H267-G267+1)</f>
        <v>30</v>
      </c>
      <c r="BC267" s="1089" t="n">
        <f aca="false">Summary!$E$19</f>
        <v>0.015</v>
      </c>
      <c r="BD267" s="1090" t="n">
        <v>14184</v>
      </c>
      <c r="BE267" s="1091" t="n">
        <v>2836.8</v>
      </c>
      <c r="BF267" s="1091" t="n">
        <v>4255.2</v>
      </c>
      <c r="BG267" s="842"/>
      <c r="BH267" s="1092" t="n">
        <v>1</v>
      </c>
      <c r="BI267" s="1092" t="n">
        <v>1</v>
      </c>
      <c r="BJ267" s="1092" t="n">
        <v>1</v>
      </c>
      <c r="BK267" s="1092" t="n">
        <v>1</v>
      </c>
      <c r="BL267" s="1093" t="n">
        <v>2836.8</v>
      </c>
      <c r="BM267" s="1091" t="n">
        <v>567.36</v>
      </c>
      <c r="BN267" s="1091" t="n">
        <v>851.04</v>
      </c>
      <c r="BO267" s="842"/>
      <c r="BP267" s="1092" t="n">
        <v>1</v>
      </c>
      <c r="BQ267" s="1094" t="n">
        <v>1</v>
      </c>
      <c r="BR267" s="1094" t="n">
        <v>1</v>
      </c>
      <c r="BS267" s="1095" t="n">
        <v>1</v>
      </c>
      <c r="BT267" s="1093" t="n">
        <f aca="false">SUM(BD267:BF267)</f>
        <v>21276</v>
      </c>
      <c r="BU267" s="1098" t="n">
        <f aca="false">SUM(BD267:BG267)</f>
        <v>21276</v>
      </c>
      <c r="BV267" s="1090" t="n">
        <f aca="false">SUM(BL267:BN267)</f>
        <v>4255.2</v>
      </c>
      <c r="BW267" s="1098" t="n">
        <f aca="false">SUM(BL267:BO267)</f>
        <v>4255.2</v>
      </c>
      <c r="BX267" s="852" t="n">
        <v>20.8815879534565</v>
      </c>
      <c r="BY267" s="1099" t="n">
        <v>0</v>
      </c>
      <c r="BZ267" s="852" t="n">
        <v>0</v>
      </c>
      <c r="CA267" s="852" t="n">
        <v>0</v>
      </c>
      <c r="CB267" s="852" t="n">
        <v>0</v>
      </c>
      <c r="CC267" s="852" t="n">
        <v>0</v>
      </c>
      <c r="CD267" s="852" t="n">
        <v>0</v>
      </c>
      <c r="CE267" s="1100" t="n">
        <v>0</v>
      </c>
      <c r="CF267" s="852" t="n">
        <v>0</v>
      </c>
      <c r="CG267" s="852" t="n">
        <v>0</v>
      </c>
      <c r="CH267" s="852" t="n">
        <v>0</v>
      </c>
      <c r="CI267" s="852" t="n">
        <v>0</v>
      </c>
      <c r="CJ267" s="1101" t="n">
        <v>0</v>
      </c>
      <c r="CK267" s="852" t="n">
        <v>0</v>
      </c>
      <c r="CL267" s="852" t="n">
        <v>0</v>
      </c>
      <c r="CM267" s="852" t="n">
        <v>0</v>
      </c>
      <c r="CN267" s="852" t="n">
        <v>0</v>
      </c>
      <c r="CO267" s="852" t="n">
        <v>0</v>
      </c>
      <c r="CP267" s="852" t="n">
        <v>0</v>
      </c>
      <c r="CQ267" s="1102" t="n">
        <v>0</v>
      </c>
      <c r="CR267" s="1103" t="n">
        <v>0</v>
      </c>
      <c r="CS267" s="1103" t="n">
        <v>0</v>
      </c>
      <c r="CT267" s="1103" t="n">
        <v>0</v>
      </c>
      <c r="CU267" s="1103" t="n">
        <v>0</v>
      </c>
      <c r="CV267" s="1103" t="n">
        <v>0</v>
      </c>
      <c r="CW267" s="1103" t="n">
        <v>0</v>
      </c>
      <c r="CX267" s="1104" t="n">
        <v>0</v>
      </c>
      <c r="CY267" s="1105" t="n">
        <v>7783.82664</v>
      </c>
      <c r="CZ267" s="1099" t="n">
        <v>0</v>
      </c>
      <c r="DA267" s="852" t="n">
        <v>0</v>
      </c>
      <c r="DB267" s="852" t="n">
        <v>0</v>
      </c>
      <c r="DC267" s="852" t="n">
        <v>0</v>
      </c>
      <c r="DD267" s="852" t="n">
        <v>0</v>
      </c>
      <c r="DE267" s="1113" t="n">
        <v>0</v>
      </c>
      <c r="DF267" s="1109" t="n">
        <v>0</v>
      </c>
      <c r="DG267" s="1110" t="n">
        <v>0</v>
      </c>
      <c r="DH267" s="1111" t="n">
        <v>0</v>
      </c>
      <c r="DI267" s="1112" t="n">
        <v>0</v>
      </c>
      <c r="DJ267" s="1112" t="n">
        <v>0</v>
      </c>
      <c r="DK267" s="1112" t="n">
        <v>0</v>
      </c>
      <c r="DL267" s="1113" t="n">
        <v>0</v>
      </c>
      <c r="DM267" s="1114" t="n">
        <v>0</v>
      </c>
      <c r="DN267" s="1114" t="n">
        <v>0</v>
      </c>
      <c r="DO267" s="1114" t="n">
        <v>0</v>
      </c>
      <c r="DP267" s="1114" t="n">
        <v>0</v>
      </c>
      <c r="DQ267" s="1114" t="n">
        <v>0</v>
      </c>
      <c r="DR267" s="1109" t="n">
        <v>0</v>
      </c>
      <c r="DS267" s="852" t="n">
        <v>0</v>
      </c>
      <c r="DT267" s="852" t="n">
        <v>0</v>
      </c>
      <c r="DU267" s="852" t="n">
        <v>0</v>
      </c>
      <c r="DV267" s="852" t="n">
        <v>0</v>
      </c>
      <c r="DW267" s="852" t="n">
        <v>0</v>
      </c>
      <c r="DX267" s="852" t="n">
        <v>0</v>
      </c>
      <c r="DY267" s="852" t="n">
        <v>0</v>
      </c>
      <c r="DZ267" s="852" t="n">
        <v>0</v>
      </c>
      <c r="EA267" s="852" t="n">
        <v>0</v>
      </c>
      <c r="EB267" s="1113" t="n">
        <v>0</v>
      </c>
      <c r="EC267" s="1115" t="n">
        <f aca="false">DS267*BD267</f>
        <v>0</v>
      </c>
      <c r="ED267" s="1115" t="n">
        <f aca="false">DT267*BE267</f>
        <v>0</v>
      </c>
      <c r="EE267" s="1115" t="n">
        <f aca="false">DU267*BF267</f>
        <v>0</v>
      </c>
      <c r="EF267" s="1115" t="n">
        <f aca="false">DV267*BG267</f>
        <v>0</v>
      </c>
      <c r="EG267" s="1115" t="n">
        <f aca="false">DS267*BD267+DT267*BE267+DU267*BF267+DV267*BG267</f>
        <v>0</v>
      </c>
      <c r="EH267" s="1116" t="n">
        <v>0</v>
      </c>
      <c r="EI267" s="1117" t="n">
        <v>0</v>
      </c>
      <c r="EJ267" s="1117" t="n">
        <v>0</v>
      </c>
      <c r="EK267" s="1117" t="n">
        <v>0</v>
      </c>
      <c r="EL267" s="1118" t="n">
        <f aca="false">IF(C267&gt;=Summary!$E$26,MAX(0,SUM(EH267:EK267)),0)</f>
        <v>0</v>
      </c>
      <c r="EM267" s="1115" t="n">
        <f aca="false">IF(C267&gt;=Summary!$E$26,DX267*BL267,0)</f>
        <v>0</v>
      </c>
      <c r="EN267" s="1115" t="n">
        <f aca="false">IF(C267&gt;=Summary!$E$26,DY267*BM267,0)</f>
        <v>0</v>
      </c>
      <c r="EO267" s="1115" t="n">
        <f aca="false">IF(C267&gt;=Summary!$E$26,DZ267*BN267,0)</f>
        <v>0</v>
      </c>
      <c r="EP267" s="1115" t="n">
        <f aca="false">IF(C267&gt;=Summary!$E$26,EA267*BO267,0)</f>
        <v>0</v>
      </c>
      <c r="EQ267" s="1115" t="n">
        <f aca="false">IF(C267&gt;=Summary!$E$26,DX267*BL267+DY267*BM267+DZ267*BN267+EA267*BO267,0)</f>
        <v>0</v>
      </c>
      <c r="ER267" s="1119" t="n">
        <v>0</v>
      </c>
      <c r="ES267" s="1120" t="n">
        <v>0</v>
      </c>
      <c r="ET267" s="1120" t="n">
        <v>0</v>
      </c>
      <c r="EU267" s="1120" t="n">
        <v>0</v>
      </c>
      <c r="EV267" s="1143" t="n">
        <f aca="false">IF(C267&gt;=Summary!$E$26,MAX(0,SUM(ER267:EU267)),0)</f>
        <v>0</v>
      </c>
      <c r="EW267" s="1115"/>
      <c r="EX267" s="1165" t="n">
        <f aca="false">(EQ267-EV267)+IF(EZ267="Yes",(EG267-EL267),0)</f>
        <v>0</v>
      </c>
      <c r="EY267" s="1166" t="str">
        <f aca="false">IF(EX267,EX267/EQ267,"")</f>
        <v/>
      </c>
      <c r="EZ267" s="1122" t="s">
        <v>37</v>
      </c>
      <c r="FA267" s="1096" t="n">
        <f aca="false">FA266</f>
        <v>45</v>
      </c>
      <c r="FB267" s="1167" t="e">
        <f aca="false">IF(EZ267="No",IF((OR(MONTH(C267)=5,MONTH(C267)=6,MONTH(C267)=7,MONTH(C267)=8,MONTH(C267)=9)),$FA267*12*AX267*(1-$BC267),$FA267*10*AX267*(1-$BC267)),0)</f>
        <v>#VALUE!</v>
      </c>
      <c r="FC267" s="1129" t="e">
        <f aca="false">IF(EZ267="No",IF((OR(MONTH(C267)=5,MONTH(C267)=6,MONTH(C267)=7,MONTH(C267)=8,MONTH(C267)=9)),0,$FA267*3*AX267*(1-$BC267)),0)</f>
        <v>#VALUE!</v>
      </c>
      <c r="FD267" s="1129" t="e">
        <f aca="false">IF(EZ267="No",IF((OR(MONTH(C267)=5,MONTH(C267)=6,MONTH(C267)=7,MONTH(C267)=8,MONTH(C267)=9)),$FA267*12*AY267*(1-$BC267),$FA267*10*AY267*(1-$BC267)),0)</f>
        <v>#VALUE!</v>
      </c>
      <c r="FE267" s="1129" t="e">
        <f aca="false">IF(EZ267="No",IF((OR(MONTH(C267)=5,MONTH(C267)=6,MONTH(C267)=7,MONTH(C267)=8,MONTH(C267)=9)),0,$FA267*3*AY267*(1-$BC267)),0)</f>
        <v>#VALUE!</v>
      </c>
      <c r="FF267" s="1129" t="e">
        <f aca="false">IF(EZ267="No",IF((OR(MONTH(C267)=5,MONTH(C267)=6,MONTH(C267)=7,MONTH(C267)=8,MONTH(C267)=9)),$FA267*12*(AZ267+BA267)*(1-$BC267),$FA267*10*(AZ267+BA267)*(1-$BC267)),0)</f>
        <v>#VALUE!</v>
      </c>
      <c r="FG267" s="1129" t="e">
        <f aca="false">IF(EZ267="No",IF((OR(MONTH(C267)=5,MONTH(C267)=6,MONTH(C267)=7,MONTH(C267)=8,MONTH(C267)=9)),0,$FA267*3*(AZ267+BA267)*(1-$BC267)),0)</f>
        <v>#VALUE!</v>
      </c>
      <c r="FH267" s="1170" t="e">
        <f aca="false">IF(EZ267="No",IF((OR(MONTH(C267)=5,MONTH(C267)=6,MONTH(C267)=7,MONTH(C267)=8,MONTH(C267)=9)),Summary!$O$15*12*(AX267+AY267+AZ267+BA267)*(1-$BC267),Summary!$O$15*13*(AX267+AY267+AZ267+BA267)*(1-$BC267)+IF(Summary!$O$16="Yes",(CALC!FA267+Summary!$O$15)*6*(AX267+AY267+AZ267+BA267)*(1-$BC267),0)),0)</f>
        <v>#VALUE!</v>
      </c>
      <c r="FI267" s="1126" t="n">
        <f aca="false">IF(MONTH(C267)=5,FI266*(IF(Summary!$E$70="no",(1+(Summary!$E$71*0.8)),1+HLOOKUP(YEAR(C267)-1,CCFMODEL!$I$127:$AF$128,2)*0.8)),+FI266)</f>
        <v>43.7746579110331</v>
      </c>
      <c r="FJ267" s="1127" t="n">
        <f aca="false">IF(MONTH(C267)=5,FJ266*(IF(Summary!$E$70="no",(1+(Summary!$E$71*0.8)),1+HLOOKUP(YEAR(CALC!C267)-1,CCFMODEL!$I$127:$AF$128,2)*0.8)),FJ266)</f>
        <v>38.2597403789344</v>
      </c>
      <c r="FK267" s="1128" t="e">
        <f aca="false">SUM(FB267:FG267)*FI267+FH267*FJ267</f>
        <v>#VALUE!</v>
      </c>
      <c r="FL267" s="1126" t="n">
        <f aca="false">IF(MONTH(C267)=5,FL266*(IF(Summary!$E$70="no",(1+(Summary!$E$71*0.8)),1+HLOOKUP(YEAR(CALC!C267)-1,CCFMODEL!$I$127:$AF$128,2)*0.8)),+FL266)</f>
        <v>92.0630132069682</v>
      </c>
      <c r="FM267" s="1127" t="n">
        <f aca="false">IF(MONTH(C267)=5,FM266*(IF(Summary!$E$70="no",(1+(Summary!$E$71*0.8)),1+HLOOKUP(YEAR(CALC!C267)-1,CCFMODEL!$I$127:$AF$128,2)*0.8)),+FM266)</f>
        <v>43.9387923613931</v>
      </c>
      <c r="FN267" s="1128" t="e">
        <f aca="false">IF((OR(MONTH(C267)=5,MONTH(C267)=6,MONTH(C267)=7,MONTH(C267)=8,MONTH(C267)=9)),SUM(FB267:FG267)/(1-BC267)*FL267,SUM(FB267:FG267)/(1-BC267)*FM267)</f>
        <v>#VALUE!</v>
      </c>
      <c r="FO267" s="1129" t="e">
        <f aca="false">FK267+FN267</f>
        <v>#VALUE!</v>
      </c>
      <c r="FP267" s="1169" t="e">
        <f aca="false">FB267</f>
        <v>#VALUE!</v>
      </c>
      <c r="FQ267" s="1129" t="e">
        <f aca="false">FC267</f>
        <v>#VALUE!</v>
      </c>
      <c r="FR267" s="1129" t="e">
        <f aca="false">FD267</f>
        <v>#VALUE!</v>
      </c>
      <c r="FS267" s="1129" t="e">
        <f aca="false">FE267</f>
        <v>#VALUE!</v>
      </c>
      <c r="FT267" s="1129" t="e">
        <f aca="false">FF267</f>
        <v>#VALUE!</v>
      </c>
      <c r="FU267" s="1129" t="e">
        <f aca="false">FG267</f>
        <v>#VALUE!</v>
      </c>
      <c r="FV267" s="1170" t="e">
        <f aca="false">FH267</f>
        <v>#VALUE!</v>
      </c>
      <c r="FW267" s="1115" t="n">
        <f aca="false">IF(ER267&gt;0,MIN(FB267-FP267,BL267),0)</f>
        <v>0</v>
      </c>
      <c r="FX267" s="1115" t="n">
        <f aca="false">IF(ES267&gt;0,MIN(FD267-FR267,BM267),0)</f>
        <v>0</v>
      </c>
      <c r="FY267" s="1115" t="n">
        <f aca="false">IF(ET267&gt;0,MIN(FF267-FT267,BN267),0)</f>
        <v>0</v>
      </c>
      <c r="FZ267" s="1143" t="n">
        <f aca="false">IF(EU267&gt;0,MIN(FH267-FV267,BO267),0)</f>
        <v>0</v>
      </c>
      <c r="GA267" s="1132" t="e">
        <f aca="false">(SUM(FP267:FV267)+SUM(GU267:HB267)/(1-Summary!$O$25))*CY267/1000</f>
        <v>#VALUE!</v>
      </c>
      <c r="GB267" s="1133" t="n">
        <f aca="false">IF($C267&lt;Summary!$M$81,+Summary!$O$81,VLOOKUP(C267,GasTable,19))</f>
        <v>4.50312941446933</v>
      </c>
      <c r="GC267" s="1134" t="n">
        <f aca="false">IF(H267&lt;=Summary!$N$84,MIN(GA267,Summary!$O$75*(H267-G267+1)),0)</f>
        <v>0</v>
      </c>
      <c r="GD267" s="1135" t="n">
        <f aca="false">IF(C267&lt;Summary!$N$84,IF(Summary!$O$75*(H267-G267+1)*0.8&gt;GC267,1,0),0)</f>
        <v>0</v>
      </c>
      <c r="GE267" s="1136" t="n">
        <v>0</v>
      </c>
      <c r="GF267" s="1134" t="e">
        <f aca="false">ABS(MIN(0,GC267-$GA267))</f>
        <v>#VALUE!</v>
      </c>
      <c r="GG267" s="1135" t="e">
        <f aca="false">GF267*(IF(Summary!$O$74=1,VLOOKUP($C267,GasTable,16)+Summary!$O$92+Summary!$O$93,VLOOKUP($C267,GasTable,19)+Summary!$O$92+Summary!$O$93))</f>
        <v>#VALUE!</v>
      </c>
      <c r="GH267" s="1137" t="n">
        <v>6754.694121704</v>
      </c>
      <c r="GI267" s="1138" t="n">
        <v>0</v>
      </c>
      <c r="GJ267" s="1139" t="e">
        <f aca="false">+GB267*GC267+GE267+GG267+GH267-GI267</f>
        <v>#VALUE!</v>
      </c>
      <c r="GK267" s="1115" t="e">
        <f aca="false">SUM(FP267:FV267,GU267:GX267,GY267:HB267)</f>
        <v>#VALUE!</v>
      </c>
      <c r="GL267" s="1140" t="n">
        <v>0.52151638488</v>
      </c>
      <c r="GM267" s="1141" t="e">
        <f aca="false">IF(GK267&gt;GC267/(CY267/1000),GC267/(CY267/1000),+GK267)*GL267</f>
        <v>#VALUE!</v>
      </c>
      <c r="GN267" s="1115" t="n">
        <f aca="false">IF(SUM(GU267:HB267)=0,0,IF(Summary!$O$16="Yes",SUM(GX267:HB267),IF(Summary!$O$17="Yes",SUM(GY267:HB267),SUM(GU267:HB267))))</f>
        <v>11805.5205</v>
      </c>
      <c r="GO267" s="1142" t="n">
        <v>4.29768782442377</v>
      </c>
      <c r="GP267" s="1143" t="n">
        <f aca="false">GN267*GO267</f>
        <v>50736.4417138352</v>
      </c>
      <c r="GQ267" s="1115"/>
      <c r="GR267" s="1115"/>
      <c r="GS267" s="1115"/>
      <c r="GT267" s="1115"/>
      <c r="GU267" s="1150" t="n">
        <v>5132.835</v>
      </c>
      <c r="GV267" s="1115" t="n">
        <v>1026.567</v>
      </c>
      <c r="GW267" s="1115" t="n">
        <v>1539.8505</v>
      </c>
      <c r="GX267" s="1115"/>
      <c r="GY267" s="1151" t="n">
        <v>2737.512</v>
      </c>
      <c r="GZ267" s="1115" t="n">
        <v>547.5024</v>
      </c>
      <c r="HA267" s="1115" t="n">
        <v>821.2536</v>
      </c>
      <c r="HB267" s="1141"/>
      <c r="HC267" s="1115" t="n">
        <v>11805.5205</v>
      </c>
      <c r="HD267" s="1115"/>
      <c r="HE267" s="1115" t="n">
        <v>20274.69825</v>
      </c>
      <c r="HF267" s="1115" t="n">
        <v>692934.343045217</v>
      </c>
      <c r="HG267" s="1115"/>
      <c r="HH267" s="1142" t="n">
        <v>58.350262148136</v>
      </c>
      <c r="HI267" s="1115" t="n">
        <v>1183033.95786185</v>
      </c>
      <c r="HJ267" s="1150" t="e">
        <f aca="false">MAX(FB267-FP267-FW267,0)</f>
        <v>#VALUE!</v>
      </c>
      <c r="HK267" s="1115" t="e">
        <f aca="false">MAX(FD267-FR267-FX267,0)</f>
        <v>#VALUE!</v>
      </c>
      <c r="HL267" s="1115" t="e">
        <f aca="false">MAX(FF267-FT267-FY267,0)</f>
        <v>#VALUE!</v>
      </c>
      <c r="HM267" s="1141" t="e">
        <f aca="false">MAX(FH267-FV267-FZ267,0)</f>
        <v>#VALUE!</v>
      </c>
      <c r="HN267" s="1115" t="e">
        <f aca="false">SUM(HJ267:HM267)</f>
        <v>#VALUE!</v>
      </c>
      <c r="HO267" s="1142" t="n">
        <f aca="false">IF(ISERROR(+HP267/HN267),0,+HP267/HN267)</f>
        <v>0</v>
      </c>
      <c r="HP267" s="1143" t="e">
        <f aca="false">(HJ267*CE267+HK267*CF267+HL267*CG267+HM267*CH267)</f>
        <v>#VALUE!</v>
      </c>
      <c r="HQ267" s="1142" t="s">
        <v>937</v>
      </c>
      <c r="HR267" s="1150" t="e">
        <f aca="false">SUMIF($A$17:$A$292,HQ267,$GF$17:$GF$292)</f>
        <v>#VALUE!</v>
      </c>
      <c r="HS267" s="1200" t="e">
        <f aca="false">IF(HT267=0,IF(OR(SUMIF(CURVES!$AU$6:$AU$283,$HQ267,CURVES!$BQ$6:$BQ$283)=0,COUNTIF(CURVES!$AU$6:$AU$283,$HQ267)=0),0,SUMIF(CURVES!$AU$6:$AU$283,$HQ267,CURVES!$BQ$6:$BQ$283)/COUNTIF(CURVES!$AU$6:$AU$283,$HQ267)),HT267/HR267)</f>
        <v>#VALUE!</v>
      </c>
      <c r="HT267" s="1141" t="e">
        <f aca="false">SUMIF($A$17:$A$292,HQ267,$GG$17:$GG$292)</f>
        <v>#VALUE!</v>
      </c>
      <c r="HU267" s="1150" t="n">
        <f aca="false">SUMIF($A$17:$A$292,HQ267,$GC$17:$GC$292)</f>
        <v>0</v>
      </c>
      <c r="HV267" s="1200" t="e">
        <f aca="false">IF(HW267=0,0,HW267/Summary!$O$79/HU267)</f>
        <v>#DIV/0!</v>
      </c>
      <c r="HW267" s="1141" t="n">
        <f aca="false">SUMIF($A$17:$A$292,HQ267,$GH$17:$GH$292)</f>
        <v>17803.380448475</v>
      </c>
      <c r="HX267" s="1200" t="n">
        <f aca="false">IF(OR(SUMIF(CURVES!$AU$6:$AU$283,$HQ267,CURVES!$BQ$6:$BQ$283)=0,COUNTIF(CURVES!$AU$6:$AU$283,$HQ267)=0),0,SUMIF(CURVES!$AU$6:$AU$283,$HQ267,CURVES!$BQ$6:$BQ$283)/COUNTIF(CURVES!$AU$6:$AU$283,$HQ267))</f>
        <v>4.50346693860367</v>
      </c>
      <c r="HY267" s="1200" t="n">
        <f aca="false">IF(OR(SUMIF(CURVES!$AU$6:$AU$283,$HQ267,CURVES!$BR$6:$BR$283)=0,COUNTIF(CURVES!$AU$6:$AU$283,$HQ267)=0),0,SUMIF(CURVES!$AU$6:$AU$283,$HQ267,CURVES!$BR$6:$BR$283)/COUNTIF(CURVES!$AU$6:$AU$283,$HQ267))</f>
        <v>3.57847333348574</v>
      </c>
      <c r="HZ267" s="0"/>
      <c r="IA267" s="1142"/>
      <c r="IB267" s="1142"/>
      <c r="IC267" s="1142"/>
      <c r="ID267" s="1142"/>
      <c r="IE267" s="1142"/>
      <c r="IF267" s="1142"/>
      <c r="IG267" s="1142"/>
      <c r="IH267" s="1142"/>
      <c r="II267" s="1142"/>
      <c r="IJ267" s="1142"/>
      <c r="IK267" s="1142"/>
      <c r="IL267" s="1190"/>
      <c r="IM267" s="222"/>
      <c r="IN267" s="222"/>
      <c r="IR267" s="844"/>
    </row>
    <row r="268" customFormat="false" ht="13.5" hidden="false" customHeight="false" outlineLevel="0" collapsed="false">
      <c r="A268" s="0" t="str">
        <f aca="false">+D268&amp;"Q"&amp;ROUNDUP(E268/3,0)</f>
        <v>2020Q4</v>
      </c>
      <c r="B268" s="0" t="n">
        <f aca="false">YEAR(C268)</f>
        <v>2020</v>
      </c>
      <c r="C268" s="1153" t="n">
        <f aca="false">EOMONTH(C267,0)+1</f>
        <v>44166</v>
      </c>
      <c r="D268" s="841" t="n">
        <f aca="false">+YEAR(C268)</f>
        <v>2020</v>
      </c>
      <c r="E268" s="807" t="n">
        <f aca="false">MONTH(C268)</f>
        <v>12</v>
      </c>
      <c r="F268" s="1154" t="e">
        <f aca="false">IF(G268="","",Holiday(D268,E268))</f>
        <v>#VALUE!</v>
      </c>
      <c r="G268" s="1155" t="n">
        <v>44166</v>
      </c>
      <c r="H268" s="1156" t="n">
        <v>44196</v>
      </c>
      <c r="I268" s="1157" t="n">
        <f aca="false">I267</f>
        <v>0.0715</v>
      </c>
      <c r="J268" s="1158" t="n">
        <f aca="false">(1+I268/2)^(-2*(DATE(D269,E269,20)-$H$7)/365.25)</f>
        <v>0.227102886542866</v>
      </c>
      <c r="K268" s="1159"/>
      <c r="L268" s="1158"/>
      <c r="M268" s="1082" t="n">
        <v>0</v>
      </c>
      <c r="N268" s="1110" t="n">
        <f aca="false">M268</f>
        <v>0</v>
      </c>
      <c r="O268" s="1174" t="n">
        <f aca="false">N268</f>
        <v>0</v>
      </c>
      <c r="P268" s="1175" t="n">
        <f aca="false">M268</f>
        <v>0</v>
      </c>
      <c r="Q268" s="1110" t="n">
        <f aca="false">P268</f>
        <v>0</v>
      </c>
      <c r="R268" s="1174" t="n">
        <f aca="false">Q268</f>
        <v>0</v>
      </c>
      <c r="S268" s="1110" t="n">
        <f aca="false">R268</f>
        <v>0</v>
      </c>
      <c r="T268" s="1110" t="n">
        <f aca="false">S268</f>
        <v>0</v>
      </c>
      <c r="U268" s="1110" t="n">
        <f aca="false">T268</f>
        <v>0</v>
      </c>
      <c r="V268" s="1175" t="n">
        <f aca="false">U268</f>
        <v>0</v>
      </c>
      <c r="W268" s="1110" t="n">
        <f aca="false">V268</f>
        <v>0</v>
      </c>
      <c r="X268" s="1176" t="n">
        <f aca="false">W268</f>
        <v>0</v>
      </c>
      <c r="Y268" s="1086" t="n">
        <v>0</v>
      </c>
      <c r="Z268" s="1086" t="n">
        <v>0</v>
      </c>
      <c r="AA268" s="1087" t="n">
        <v>0</v>
      </c>
      <c r="AB268" s="1086" t="n">
        <v>0</v>
      </c>
      <c r="AC268" s="1086" t="n">
        <v>0</v>
      </c>
      <c r="AD268" s="1087" t="n">
        <v>0</v>
      </c>
      <c r="AE268" s="1086" t="n">
        <v>0</v>
      </c>
      <c r="AF268" s="1086" t="n">
        <v>0</v>
      </c>
      <c r="AG268" s="1087" t="n">
        <v>0</v>
      </c>
      <c r="AH268" s="1086" t="n">
        <v>0</v>
      </c>
      <c r="AI268" s="1086" t="n">
        <v>0</v>
      </c>
      <c r="AJ268" s="1087" t="n">
        <v>0</v>
      </c>
      <c r="AK268" s="1086" t="n">
        <v>0</v>
      </c>
      <c r="AL268" s="1086" t="n">
        <v>0</v>
      </c>
      <c r="AM268" s="1087" t="n">
        <v>0</v>
      </c>
      <c r="AN268" s="1086" t="n">
        <v>0</v>
      </c>
      <c r="AO268" s="1086" t="n">
        <v>0</v>
      </c>
      <c r="AP268" s="1087" t="n">
        <v>0</v>
      </c>
      <c r="AQ268" s="1086" t="n">
        <v>0</v>
      </c>
      <c r="AR268" s="1086" t="n">
        <v>0</v>
      </c>
      <c r="AS268" s="1087" t="n">
        <v>0</v>
      </c>
      <c r="AT268" s="1086" t="n">
        <v>0</v>
      </c>
      <c r="AU268" s="1086" t="n">
        <v>0</v>
      </c>
      <c r="AV268" s="1086" t="n">
        <v>0</v>
      </c>
      <c r="AW268" s="1172" t="n">
        <v>0</v>
      </c>
      <c r="AX268" s="807" t="e">
        <f aca="false">BB268-SUM(AY268:BA268)</f>
        <v>#VALUE!</v>
      </c>
      <c r="AY268" s="807" t="e">
        <f aca="false">IF(AND($E268=MONTH(Summary!$E$24),$D268=YEAR(Summary!$E$24)),Summary!$E$25,1)*IF(G268="",0,INT((H268-MOD(H268,7)-G268)/7)+1-IF(BA268,IF(WEEKDAY(F268)=7,1,0),0))</f>
        <v>#VALUE!</v>
      </c>
      <c r="AZ268" s="807" t="e">
        <f aca="false">IF(AND($E268=MONTH(Summary!$E$24),$D268=YEAR(Summary!$E$24)),Summary!$E$25,1)*IF(G268="",0,INT((H268-MOD(H268-1,7)-G268)/7)+1-IF(BA268,IF(WEEKDAY(F268)=1,1,0),0))</f>
        <v>#VALUE!</v>
      </c>
      <c r="BA268" s="807" t="n">
        <v>1</v>
      </c>
      <c r="BB268" s="807" t="n">
        <f aca="false">IF(AND($E268=MONTH(Summary!$E$24),$D268=YEAR(Summary!$E$24)),Summary!$E$25,1)*IF(G268="",0,H268-G268+1)</f>
        <v>31</v>
      </c>
      <c r="BC268" s="1089" t="n">
        <f aca="false">Summary!$E$19</f>
        <v>0.015</v>
      </c>
      <c r="BD268" s="1090" t="n">
        <v>15602.4</v>
      </c>
      <c r="BE268" s="1091" t="n">
        <v>2836.8</v>
      </c>
      <c r="BF268" s="1091" t="n">
        <v>3546</v>
      </c>
      <c r="BG268" s="842"/>
      <c r="BH268" s="1092" t="n">
        <v>1</v>
      </c>
      <c r="BI268" s="1092" t="n">
        <v>1</v>
      </c>
      <c r="BJ268" s="1092" t="n">
        <v>1</v>
      </c>
      <c r="BK268" s="1092" t="n">
        <v>1</v>
      </c>
      <c r="BL268" s="1093" t="n">
        <v>3120.48</v>
      </c>
      <c r="BM268" s="1091" t="n">
        <v>567.36</v>
      </c>
      <c r="BN268" s="1091" t="n">
        <v>709.2</v>
      </c>
      <c r="BO268" s="842"/>
      <c r="BP268" s="1092" t="n">
        <v>1</v>
      </c>
      <c r="BQ268" s="1094" t="n">
        <v>1</v>
      </c>
      <c r="BR268" s="1094" t="n">
        <v>1</v>
      </c>
      <c r="BS268" s="1095" t="n">
        <v>1</v>
      </c>
      <c r="BT268" s="1093" t="n">
        <f aca="false">SUM(BD268:BF268)</f>
        <v>21985.2</v>
      </c>
      <c r="BU268" s="1098" t="n">
        <f aca="false">SUM(BD268:BG268)</f>
        <v>21985.2</v>
      </c>
      <c r="BV268" s="1090" t="n">
        <f aca="false">SUM(BL268:BN268)</f>
        <v>4397.04</v>
      </c>
      <c r="BW268" s="1098" t="n">
        <f aca="false">SUM(BL268:BO268)</f>
        <v>4397.04</v>
      </c>
      <c r="BX268" s="852" t="n">
        <v>20.9637234770705</v>
      </c>
      <c r="BY268" s="1099" t="n">
        <v>0</v>
      </c>
      <c r="BZ268" s="852" t="n">
        <v>0</v>
      </c>
      <c r="CA268" s="852" t="n">
        <v>0</v>
      </c>
      <c r="CB268" s="852" t="n">
        <v>0</v>
      </c>
      <c r="CC268" s="852" t="n">
        <v>0</v>
      </c>
      <c r="CD268" s="852" t="n">
        <v>0</v>
      </c>
      <c r="CE268" s="1100" t="n">
        <v>0</v>
      </c>
      <c r="CF268" s="852" t="n">
        <v>0</v>
      </c>
      <c r="CG268" s="852" t="n">
        <v>0</v>
      </c>
      <c r="CH268" s="852" t="n">
        <v>0</v>
      </c>
      <c r="CI268" s="852" t="n">
        <v>0</v>
      </c>
      <c r="CJ268" s="1101" t="n">
        <v>0</v>
      </c>
      <c r="CK268" s="852" t="n">
        <v>0</v>
      </c>
      <c r="CL268" s="852" t="n">
        <v>0</v>
      </c>
      <c r="CM268" s="852" t="n">
        <v>0</v>
      </c>
      <c r="CN268" s="852" t="n">
        <v>0</v>
      </c>
      <c r="CO268" s="852" t="n">
        <v>0</v>
      </c>
      <c r="CP268" s="852" t="n">
        <v>0</v>
      </c>
      <c r="CQ268" s="1102" t="n">
        <v>0</v>
      </c>
      <c r="CR268" s="1103" t="n">
        <v>0</v>
      </c>
      <c r="CS268" s="1103" t="n">
        <v>0</v>
      </c>
      <c r="CT268" s="1103" t="n">
        <v>0</v>
      </c>
      <c r="CU268" s="1103" t="n">
        <v>0</v>
      </c>
      <c r="CV268" s="1103" t="n">
        <v>0</v>
      </c>
      <c r="CW268" s="1103" t="n">
        <v>0</v>
      </c>
      <c r="CX268" s="1104" t="n">
        <v>0</v>
      </c>
      <c r="CY268" s="1105" t="n">
        <v>7785.8576</v>
      </c>
      <c r="CZ268" s="1099" t="n">
        <v>0</v>
      </c>
      <c r="DA268" s="852" t="n">
        <v>0</v>
      </c>
      <c r="DB268" s="852" t="n">
        <v>0</v>
      </c>
      <c r="DC268" s="852" t="n">
        <v>0</v>
      </c>
      <c r="DD268" s="852" t="n">
        <v>0</v>
      </c>
      <c r="DE268" s="1113" t="n">
        <v>0</v>
      </c>
      <c r="DF268" s="1109" t="n">
        <v>0</v>
      </c>
      <c r="DG268" s="1110" t="n">
        <v>0</v>
      </c>
      <c r="DH268" s="1111" t="n">
        <v>0</v>
      </c>
      <c r="DI268" s="1112" t="n">
        <v>0</v>
      </c>
      <c r="DJ268" s="1112" t="n">
        <v>0</v>
      </c>
      <c r="DK268" s="1112" t="n">
        <v>0</v>
      </c>
      <c r="DL268" s="1113" t="n">
        <v>0</v>
      </c>
      <c r="DM268" s="1114" t="n">
        <v>0</v>
      </c>
      <c r="DN268" s="1114" t="n">
        <v>0</v>
      </c>
      <c r="DO268" s="1114" t="n">
        <v>0</v>
      </c>
      <c r="DP268" s="1114" t="n">
        <v>0</v>
      </c>
      <c r="DQ268" s="1114" t="n">
        <v>0</v>
      </c>
      <c r="DR268" s="1109" t="n">
        <v>0</v>
      </c>
      <c r="DS268" s="852" t="n">
        <v>0</v>
      </c>
      <c r="DT268" s="852" t="n">
        <v>0</v>
      </c>
      <c r="DU268" s="852" t="n">
        <v>0</v>
      </c>
      <c r="DV268" s="852" t="n">
        <v>0</v>
      </c>
      <c r="DW268" s="852" t="n">
        <v>0</v>
      </c>
      <c r="DX268" s="852" t="n">
        <v>0</v>
      </c>
      <c r="DY268" s="852" t="n">
        <v>0</v>
      </c>
      <c r="DZ268" s="852" t="n">
        <v>0</v>
      </c>
      <c r="EA268" s="852" t="n">
        <v>0</v>
      </c>
      <c r="EB268" s="1113" t="n">
        <v>0</v>
      </c>
      <c r="EC268" s="1115" t="n">
        <f aca="false">DS268*BD268</f>
        <v>0</v>
      </c>
      <c r="ED268" s="1115" t="n">
        <f aca="false">DT268*BE268</f>
        <v>0</v>
      </c>
      <c r="EE268" s="1115" t="n">
        <f aca="false">DU268*BF268</f>
        <v>0</v>
      </c>
      <c r="EF268" s="1115" t="n">
        <f aca="false">DV268*BG268</f>
        <v>0</v>
      </c>
      <c r="EG268" s="1115" t="n">
        <f aca="false">DS268*BD268+DT268*BE268+DU268*BF268+DV268*BG268</f>
        <v>0</v>
      </c>
      <c r="EH268" s="1116" t="n">
        <v>0</v>
      </c>
      <c r="EI268" s="1117" t="n">
        <v>0</v>
      </c>
      <c r="EJ268" s="1117" t="n">
        <v>0</v>
      </c>
      <c r="EK268" s="1117" t="n">
        <v>0</v>
      </c>
      <c r="EL268" s="1118" t="n">
        <f aca="false">IF(C268&gt;=Summary!$E$26,MAX(0,SUM(EH268:EK268)),0)</f>
        <v>0</v>
      </c>
      <c r="EM268" s="1115" t="n">
        <f aca="false">IF(C268&gt;=Summary!$E$26,DX268*BL268,0)</f>
        <v>0</v>
      </c>
      <c r="EN268" s="1115" t="n">
        <f aca="false">IF(C268&gt;=Summary!$E$26,DY268*BM268,0)</f>
        <v>0</v>
      </c>
      <c r="EO268" s="1115" t="n">
        <f aca="false">IF(C268&gt;=Summary!$E$26,DZ268*BN268,0)</f>
        <v>0</v>
      </c>
      <c r="EP268" s="1115" t="n">
        <f aca="false">IF(C268&gt;=Summary!$E$26,EA268*BO268,0)</f>
        <v>0</v>
      </c>
      <c r="EQ268" s="1115" t="n">
        <f aca="false">IF(C268&gt;=Summary!$E$26,DX268*BL268+DY268*BM268+DZ268*BN268+EA268*BO268,0)</f>
        <v>0</v>
      </c>
      <c r="ER268" s="1119" t="n">
        <v>0</v>
      </c>
      <c r="ES268" s="1120" t="n">
        <v>0</v>
      </c>
      <c r="ET268" s="1120" t="n">
        <v>0</v>
      </c>
      <c r="EU268" s="1120" t="n">
        <v>0</v>
      </c>
      <c r="EV268" s="1143" t="n">
        <f aca="false">IF(C268&gt;=Summary!$E$26,MAX(0,SUM(ER268:EU268)),0)</f>
        <v>0</v>
      </c>
      <c r="EW268" s="1115"/>
      <c r="EX268" s="1165" t="n">
        <f aca="false">(EQ268-EV268)+IF(EZ268="Yes",(EG268-EL268),0)</f>
        <v>0</v>
      </c>
      <c r="EY268" s="1166" t="str">
        <f aca="false">IF(EX268,EX268/EQ268,"")</f>
        <v/>
      </c>
      <c r="EZ268" s="1122" t="s">
        <v>37</v>
      </c>
      <c r="FA268" s="1096" t="n">
        <f aca="false">FA267</f>
        <v>45</v>
      </c>
      <c r="FB268" s="1167" t="e">
        <f aca="false">IF(EZ268="No",IF((OR(MONTH(C268)=5,MONTH(C268)=6,MONTH(C268)=7,MONTH(C268)=8,MONTH(C268)=9)),$FA268*12*AX268*(1-$BC268),$FA268*10*AX268*(1-$BC268)),0)</f>
        <v>#VALUE!</v>
      </c>
      <c r="FC268" s="1129" t="e">
        <f aca="false">IF(EZ268="No",IF((OR(MONTH(C268)=5,MONTH(C268)=6,MONTH(C268)=7,MONTH(C268)=8,MONTH(C268)=9)),0,$FA268*3*AX268*(1-$BC268)),0)</f>
        <v>#VALUE!</v>
      </c>
      <c r="FD268" s="1129" t="e">
        <f aca="false">IF(EZ268="No",IF((OR(MONTH(C268)=5,MONTH(C268)=6,MONTH(C268)=7,MONTH(C268)=8,MONTH(C268)=9)),$FA268*12*AY268*(1-$BC268),$FA268*10*AY268*(1-$BC268)),0)</f>
        <v>#VALUE!</v>
      </c>
      <c r="FE268" s="1129" t="e">
        <f aca="false">IF(EZ268="No",IF((OR(MONTH(C268)=5,MONTH(C268)=6,MONTH(C268)=7,MONTH(C268)=8,MONTH(C268)=9)),0,$FA268*3*AY268*(1-$BC268)),0)</f>
        <v>#VALUE!</v>
      </c>
      <c r="FF268" s="1129" t="e">
        <f aca="false">IF(EZ268="No",IF((OR(MONTH(C268)=5,MONTH(C268)=6,MONTH(C268)=7,MONTH(C268)=8,MONTH(C268)=9)),$FA268*12*(AZ268+BA268)*(1-$BC268),$FA268*10*(AZ268+BA268)*(1-$BC268)),0)</f>
        <v>#VALUE!</v>
      </c>
      <c r="FG268" s="1129" t="e">
        <f aca="false">IF(EZ268="No",IF((OR(MONTH(C268)=5,MONTH(C268)=6,MONTH(C268)=7,MONTH(C268)=8,MONTH(C268)=9)),0,$FA268*3*(AZ268+BA268)*(1-$BC268)),0)</f>
        <v>#VALUE!</v>
      </c>
      <c r="FH268" s="1170" t="e">
        <f aca="false">IF(EZ268="No",IF((OR(MONTH(C268)=5,MONTH(C268)=6,MONTH(C268)=7,MONTH(C268)=8,MONTH(C268)=9)),Summary!$O$15*12*(AX268+AY268+AZ268+BA268)*(1-$BC268),Summary!$O$15*13*(AX268+AY268+AZ268+BA268)*(1-$BC268)+IF(Summary!$O$16="Yes",(CALC!FA268+Summary!$O$15)*6*(AX268+AY268+AZ268+BA268)*(1-$BC268),0)),0)</f>
        <v>#VALUE!</v>
      </c>
      <c r="FI268" s="1126" t="n">
        <f aca="false">IF(MONTH(C268)=5,FI267*(IF(Summary!$E$70="no",(1+(Summary!$E$71*0.8)),1+HLOOKUP(YEAR(C268)-1,CCFMODEL!$I$127:$AF$128,2)*0.8)),+FI267)</f>
        <v>43.7746579110331</v>
      </c>
      <c r="FJ268" s="1127" t="n">
        <f aca="false">IF(MONTH(C268)=5,FJ267*(IF(Summary!$E$70="no",(1+(Summary!$E$71*0.8)),1+HLOOKUP(YEAR(CALC!C268)-1,CCFMODEL!$I$127:$AF$128,2)*0.8)),FJ267)</f>
        <v>38.2597403789344</v>
      </c>
      <c r="FK268" s="1128" t="e">
        <f aca="false">SUM(FB268:FG268)*FI268+FH268*FJ268</f>
        <v>#VALUE!</v>
      </c>
      <c r="FL268" s="1126" t="n">
        <f aca="false">IF(MONTH(C268)=5,FL267*(IF(Summary!$E$70="no",(1+(Summary!$E$71*0.8)),1+HLOOKUP(YEAR(CALC!C268)-1,CCFMODEL!$I$127:$AF$128,2)*0.8)),+FL267)</f>
        <v>92.0630132069682</v>
      </c>
      <c r="FM268" s="1127" t="n">
        <f aca="false">IF(MONTH(C268)=5,FM267*(IF(Summary!$E$70="no",(1+(Summary!$E$71*0.8)),1+HLOOKUP(YEAR(CALC!C268)-1,CCFMODEL!$I$127:$AF$128,2)*0.8)),+FM267)</f>
        <v>43.9387923613931</v>
      </c>
      <c r="FN268" s="1128" t="e">
        <f aca="false">IF((OR(MONTH(C268)=5,MONTH(C268)=6,MONTH(C268)=7,MONTH(C268)=8,MONTH(C268)=9)),SUM(FB268:FG268)/(1-BC268)*FL268,SUM(FB268:FG268)/(1-BC268)*FM268)</f>
        <v>#VALUE!</v>
      </c>
      <c r="FO268" s="1129" t="e">
        <f aca="false">FK268+FN268</f>
        <v>#VALUE!</v>
      </c>
      <c r="FP268" s="1169" t="e">
        <f aca="false">FB268</f>
        <v>#VALUE!</v>
      </c>
      <c r="FQ268" s="1129" t="e">
        <f aca="false">FC268</f>
        <v>#VALUE!</v>
      </c>
      <c r="FR268" s="1129" t="e">
        <f aca="false">FD268</f>
        <v>#VALUE!</v>
      </c>
      <c r="FS268" s="1129" t="e">
        <f aca="false">FE268</f>
        <v>#VALUE!</v>
      </c>
      <c r="FT268" s="1129" t="e">
        <f aca="false">FF268</f>
        <v>#VALUE!</v>
      </c>
      <c r="FU268" s="1129" t="e">
        <f aca="false">FG268</f>
        <v>#VALUE!</v>
      </c>
      <c r="FV268" s="1170" t="e">
        <f aca="false">FH268</f>
        <v>#VALUE!</v>
      </c>
      <c r="FW268" s="1115" t="n">
        <f aca="false">IF(ER268&gt;0,MIN(FB268-FP268,BL268),0)</f>
        <v>0</v>
      </c>
      <c r="FX268" s="1115" t="n">
        <f aca="false">IF(ES268&gt;0,MIN(FD268-FR268,BM268),0)</f>
        <v>0</v>
      </c>
      <c r="FY268" s="1115" t="n">
        <f aca="false">IF(ET268&gt;0,MIN(FF268-FT268,BN268),0)</f>
        <v>0</v>
      </c>
      <c r="FZ268" s="1143" t="n">
        <f aca="false">IF(EU268&gt;0,MIN(FH268-FV268,BO268),0)</f>
        <v>0</v>
      </c>
      <c r="GA268" s="1132" t="e">
        <f aca="false">(SUM(FP268:FV268)+SUM(GU268:HB268)/(1-Summary!$O$25))*CY268/1000</f>
        <v>#VALUE!</v>
      </c>
      <c r="GB268" s="1133" t="n">
        <f aca="false">IF($C268&lt;Summary!$M$81,+Summary!$O$81,VLOOKUP(C268,GasTable,19))</f>
        <v>4.69467048021779</v>
      </c>
      <c r="GC268" s="1134" t="n">
        <f aca="false">IF(H268&lt;=Summary!$N$84,MIN(GA268,Summary!$O$75*(H268-G268+1)),0)</f>
        <v>0</v>
      </c>
      <c r="GD268" s="1135" t="n">
        <f aca="false">IF(C268&lt;Summary!$N$84,IF(Summary!$O$75*(H268-G268+1)*0.8&gt;GC268,1,0),0)</f>
        <v>0</v>
      </c>
      <c r="GE268" s="1136" t="n">
        <v>0</v>
      </c>
      <c r="GF268" s="1134" t="e">
        <f aca="false">ABS(MIN(0,GC268-$GA268))</f>
        <v>#VALUE!</v>
      </c>
      <c r="GG268" s="1135" t="e">
        <f aca="false">GF268*(IF(Summary!$O$74=1,VLOOKUP($C268,GasTable,16)+Summary!$O$92+Summary!$O$93,VLOOKUP($C268,GasTable,19)+Summary!$O$92+Summary!$O$93))</f>
        <v>#VALUE!</v>
      </c>
      <c r="GH268" s="1137" t="n">
        <v>7276.73924433757</v>
      </c>
      <c r="GI268" s="1138" t="n">
        <v>0</v>
      </c>
      <c r="GJ268" s="1139" t="e">
        <f aca="false">+GB268*GC268+GE268+GG268+GH268-GI268</f>
        <v>#VALUE!</v>
      </c>
      <c r="GK268" s="1115" t="e">
        <f aca="false">SUM(FP268:FV268,GU268:GX268,GY268:HB268)</f>
        <v>#VALUE!</v>
      </c>
      <c r="GL268" s="1140" t="n">
        <v>0.5216524592</v>
      </c>
      <c r="GM268" s="1141" t="e">
        <f aca="false">IF(GK268&gt;GC268/(CY268/1000),GC268/(CY268/1000),+GK268)*GL268</f>
        <v>#VALUE!</v>
      </c>
      <c r="GN268" s="1115" t="n">
        <f aca="false">IF(SUM(GU268:HB268)=0,0,IF(Summary!$O$16="Yes",SUM(GX268:HB268),IF(Summary!$O$17="Yes",SUM(GY268:HB268),SUM(GU268:HB268))))</f>
        <v>12199.03785</v>
      </c>
      <c r="GO268" s="1142" t="n">
        <v>4.29768782442377</v>
      </c>
      <c r="GP268" s="1143" t="n">
        <f aca="false">GN268*GO268</f>
        <v>52427.6564376297</v>
      </c>
      <c r="GQ268" s="1115"/>
      <c r="GR268" s="1115"/>
      <c r="GS268" s="1115"/>
      <c r="GT268" s="1115"/>
      <c r="GU268" s="1150" t="n">
        <v>5646.1185</v>
      </c>
      <c r="GV268" s="1115" t="n">
        <v>1026.567</v>
      </c>
      <c r="GW268" s="1115" t="n">
        <v>1283.20875</v>
      </c>
      <c r="GX268" s="1115"/>
      <c r="GY268" s="1151" t="n">
        <v>3011.2632</v>
      </c>
      <c r="GZ268" s="1115" t="n">
        <v>547.5024</v>
      </c>
      <c r="HA268" s="1115" t="n">
        <v>684.378</v>
      </c>
      <c r="HB268" s="1141"/>
      <c r="HC268" s="1115" t="n">
        <v>12199.03785</v>
      </c>
      <c r="HD268" s="1115"/>
      <c r="HE268" s="1115" t="n">
        <v>20950.521525</v>
      </c>
      <c r="HF268" s="1115" t="n">
        <v>744018.028663544</v>
      </c>
      <c r="HG268" s="1115"/>
      <c r="HH268" s="1142" t="n">
        <v>60.5963412332131</v>
      </c>
      <c r="HI268" s="1115" t="n">
        <v>1269524.95134268</v>
      </c>
      <c r="HJ268" s="1150" t="e">
        <f aca="false">MAX(FB268-FP268-FW268,0)</f>
        <v>#VALUE!</v>
      </c>
      <c r="HK268" s="1115" t="e">
        <f aca="false">MAX(FD268-FR268-FX268,0)</f>
        <v>#VALUE!</v>
      </c>
      <c r="HL268" s="1115" t="e">
        <f aca="false">MAX(FF268-FT268-FY268,0)</f>
        <v>#VALUE!</v>
      </c>
      <c r="HM268" s="1141" t="e">
        <f aca="false">MAX(FH268-FV268-FZ268,0)</f>
        <v>#VALUE!</v>
      </c>
      <c r="HN268" s="1115" t="e">
        <f aca="false">SUM(HJ268:HM268)</f>
        <v>#VALUE!</v>
      </c>
      <c r="HO268" s="1142" t="n">
        <f aca="false">IF(ISERROR(+HP268/HN268),0,+HP268/HN268)</f>
        <v>0</v>
      </c>
      <c r="HP268" s="1143" t="e">
        <f aca="false">(HJ268*CE268+HK268*CF268+HL268*CG268+HM268*CH268)</f>
        <v>#VALUE!</v>
      </c>
      <c r="HQ268" s="1142" t="s">
        <v>938</v>
      </c>
      <c r="HR268" s="1150" t="e">
        <f aca="false">SUMIF($A$17:$A$292,HQ268,$GF$17:$GF$292)</f>
        <v>#VALUE!</v>
      </c>
      <c r="HS268" s="1200" t="e">
        <f aca="false">IF(HT268=0,IF(OR(SUMIF(CURVES!$AU$6:$AU$283,$HQ268,CURVES!$BQ$6:$BQ$283)=0,COUNTIF(CURVES!$AU$6:$AU$283,$HQ268)=0),0,SUMIF(CURVES!$AU$6:$AU$283,$HQ268,CURVES!$BQ$6:$BQ$283)/COUNTIF(CURVES!$AU$6:$AU$283,$HQ268)),HT268/HR268)</f>
        <v>#VALUE!</v>
      </c>
      <c r="HT268" s="1141" t="e">
        <f aca="false">SUMIF($A$17:$A$292,HQ268,$GG$17:$GG$292)</f>
        <v>#VALUE!</v>
      </c>
      <c r="HU268" s="1150" t="n">
        <f aca="false">SUMIF($A$17:$A$292,HQ268,$GC$17:$GC$292)</f>
        <v>0</v>
      </c>
      <c r="HV268" s="1200" t="e">
        <f aca="false">IF(HW268=0,0,HW268/Summary!$O$79/HU268)</f>
        <v>#DIV/0!</v>
      </c>
      <c r="HW268" s="1141" t="n">
        <f aca="false">SUMIF($A$17:$A$292,HQ268,$GH$17:$GH$292)</f>
        <v>20191.341105635</v>
      </c>
      <c r="HX268" s="1200" t="n">
        <f aca="false">IF(OR(SUMIF(CURVES!$AU$6:$AU$283,$HQ268,CURVES!$BQ$6:$BQ$283)=0,COUNTIF(CURVES!$AU$6:$AU$283,$HQ268)=0),0,SUMIF(CURVES!$AU$6:$AU$283,$HQ268,CURVES!$BQ$6:$BQ$283)/COUNTIF(CURVES!$AU$6:$AU$283,$HQ268))</f>
        <v>5.03824835511024</v>
      </c>
      <c r="HY268" s="1200" t="n">
        <f aca="false">IF(OR(SUMIF(CURVES!$AU$6:$AU$283,$HQ268,CURVES!$BR$6:$BR$283)=0,COUNTIF(CURVES!$AU$6:$AU$283,$HQ268)=0),0,SUMIF(CURVES!$AU$6:$AU$283,$HQ268,CURVES!$BR$6:$BR$283)/COUNTIF(CURVES!$AU$6:$AU$283,$HQ268))</f>
        <v>3.87320113757135</v>
      </c>
      <c r="HZ268" s="0"/>
      <c r="IA268" s="1142"/>
      <c r="IB268" s="1142"/>
      <c r="IC268" s="1142"/>
      <c r="ID268" s="1142"/>
      <c r="IE268" s="1142"/>
      <c r="IF268" s="1142"/>
      <c r="IG268" s="1142"/>
      <c r="IH268" s="1142"/>
      <c r="II268" s="1142"/>
      <c r="IJ268" s="1142"/>
      <c r="IK268" s="1142"/>
      <c r="IL268" s="1190"/>
      <c r="IM268" s="222"/>
      <c r="IN268" s="222"/>
      <c r="IR268" s="844"/>
    </row>
    <row r="269" customFormat="false" ht="13.5" hidden="false" customHeight="false" outlineLevel="0" collapsed="false">
      <c r="A269" s="0" t="str">
        <f aca="false">+D269&amp;"Q"&amp;ROUNDUP(E269/3,0)</f>
        <v>2021Q1</v>
      </c>
      <c r="B269" s="0" t="n">
        <f aca="false">YEAR(C269)</f>
        <v>2021</v>
      </c>
      <c r="C269" s="1153" t="n">
        <f aca="false">EOMONTH(C268,0)+1</f>
        <v>44197</v>
      </c>
      <c r="D269" s="841" t="n">
        <f aca="false">+YEAR(C269)</f>
        <v>2021</v>
      </c>
      <c r="E269" s="807" t="n">
        <f aca="false">MONTH(C269)</f>
        <v>1</v>
      </c>
      <c r="F269" s="1154" t="e">
        <f aca="false">IF(G269="","",Holiday(D269,E269))</f>
        <v>#VALUE!</v>
      </c>
      <c r="G269" s="1155" t="n">
        <v>44197</v>
      </c>
      <c r="H269" s="1156" t="n">
        <v>44227</v>
      </c>
      <c r="I269" s="1157" t="n">
        <f aca="false">I268</f>
        <v>0.0715</v>
      </c>
      <c r="J269" s="1158" t="n">
        <f aca="false">(1+I269/2)^(-2*(DATE(D270,E270,20)-$H$7)/365.25)</f>
        <v>0.225752816586949</v>
      </c>
      <c r="K269" s="1159"/>
      <c r="L269" s="1158"/>
      <c r="M269" s="1082" t="n">
        <v>0</v>
      </c>
      <c r="N269" s="1110" t="n">
        <f aca="false">M269</f>
        <v>0</v>
      </c>
      <c r="O269" s="1174" t="n">
        <f aca="false">N269</f>
        <v>0</v>
      </c>
      <c r="P269" s="1175" t="n">
        <f aca="false">M269</f>
        <v>0</v>
      </c>
      <c r="Q269" s="1110" t="n">
        <f aca="false">P269</f>
        <v>0</v>
      </c>
      <c r="R269" s="1174" t="n">
        <f aca="false">Q269</f>
        <v>0</v>
      </c>
      <c r="S269" s="1110" t="n">
        <f aca="false">R269</f>
        <v>0</v>
      </c>
      <c r="T269" s="1110" t="n">
        <f aca="false">S269</f>
        <v>0</v>
      </c>
      <c r="U269" s="1110" t="n">
        <f aca="false">T269</f>
        <v>0</v>
      </c>
      <c r="V269" s="1175" t="n">
        <f aca="false">U269</f>
        <v>0</v>
      </c>
      <c r="W269" s="1110" t="n">
        <f aca="false">V269</f>
        <v>0</v>
      </c>
      <c r="X269" s="1176" t="n">
        <f aca="false">W269</f>
        <v>0</v>
      </c>
      <c r="Y269" s="1086" t="n">
        <v>0</v>
      </c>
      <c r="Z269" s="1086" t="n">
        <v>0</v>
      </c>
      <c r="AA269" s="1087" t="n">
        <v>0</v>
      </c>
      <c r="AB269" s="1086" t="n">
        <v>0</v>
      </c>
      <c r="AC269" s="1086" t="n">
        <v>0</v>
      </c>
      <c r="AD269" s="1087" t="n">
        <v>0</v>
      </c>
      <c r="AE269" s="1086" t="n">
        <v>0</v>
      </c>
      <c r="AF269" s="1086" t="n">
        <v>0</v>
      </c>
      <c r="AG269" s="1087" t="n">
        <v>0</v>
      </c>
      <c r="AH269" s="1086" t="n">
        <v>0</v>
      </c>
      <c r="AI269" s="1086" t="n">
        <v>0</v>
      </c>
      <c r="AJ269" s="1087" t="n">
        <v>0</v>
      </c>
      <c r="AK269" s="1086" t="n">
        <v>0</v>
      </c>
      <c r="AL269" s="1086" t="n">
        <v>0</v>
      </c>
      <c r="AM269" s="1087" t="n">
        <v>0</v>
      </c>
      <c r="AN269" s="1086" t="n">
        <v>0</v>
      </c>
      <c r="AO269" s="1086" t="n">
        <v>0</v>
      </c>
      <c r="AP269" s="1087" t="n">
        <v>0</v>
      </c>
      <c r="AQ269" s="1086" t="n">
        <v>0</v>
      </c>
      <c r="AR269" s="1086" t="n">
        <v>0</v>
      </c>
      <c r="AS269" s="1087" t="n">
        <v>0</v>
      </c>
      <c r="AT269" s="1086" t="n">
        <v>0</v>
      </c>
      <c r="AU269" s="1086" t="n">
        <v>0</v>
      </c>
      <c r="AV269" s="1086" t="n">
        <v>0</v>
      </c>
      <c r="AW269" s="1172" t="n">
        <v>0</v>
      </c>
      <c r="AX269" s="807" t="e">
        <f aca="false">BB269-SUM(AY269:BA269)</f>
        <v>#VALUE!</v>
      </c>
      <c r="AY269" s="807" t="e">
        <f aca="false">IF(AND($E269=MONTH(Summary!$E$24),$D269=YEAR(Summary!$E$24)),Summary!$E$25,1)*IF(G269="",0,INT((H269-MOD(H269,7)-G269)/7)+1-IF(BA269,IF(WEEKDAY(F269)=7,1,0),0))</f>
        <v>#VALUE!</v>
      </c>
      <c r="AZ269" s="807" t="e">
        <f aca="false">IF(AND($E269=MONTH(Summary!$E$24),$D269=YEAR(Summary!$E$24)),Summary!$E$25,1)*IF(G269="",0,INT((H269-MOD(H269-1,7)-G269)/7)+1-IF(BA269,IF(WEEKDAY(F269)=1,1,0),0))</f>
        <v>#VALUE!</v>
      </c>
      <c r="BA269" s="807" t="n">
        <v>1</v>
      </c>
      <c r="BB269" s="807" t="n">
        <f aca="false">IF(AND($E269=MONTH(Summary!$E$24),$D269=YEAR(Summary!$E$24)),Summary!$E$25,1)*IF(G269="",0,H269-G269+1)</f>
        <v>31</v>
      </c>
      <c r="BC269" s="1089" t="n">
        <f aca="false">Summary!$E$19</f>
        <v>0.015</v>
      </c>
      <c r="BD269" s="1090" t="n">
        <v>14184</v>
      </c>
      <c r="BE269" s="1091" t="n">
        <v>3546</v>
      </c>
      <c r="BF269" s="1091" t="n">
        <v>4255.2</v>
      </c>
      <c r="BG269" s="842"/>
      <c r="BH269" s="1092" t="n">
        <v>1</v>
      </c>
      <c r="BI269" s="1092" t="n">
        <v>1</v>
      </c>
      <c r="BJ269" s="1092" t="n">
        <v>1</v>
      </c>
      <c r="BK269" s="1092" t="n">
        <v>1</v>
      </c>
      <c r="BL269" s="1093" t="n">
        <v>2836.8</v>
      </c>
      <c r="BM269" s="1091" t="n">
        <v>709.2</v>
      </c>
      <c r="BN269" s="1091" t="n">
        <v>851.04</v>
      </c>
      <c r="BO269" s="842"/>
      <c r="BP269" s="1092" t="n">
        <v>1</v>
      </c>
      <c r="BQ269" s="1094" t="n">
        <v>1</v>
      </c>
      <c r="BR269" s="1094" t="n">
        <v>1</v>
      </c>
      <c r="BS269" s="1095" t="n">
        <v>1</v>
      </c>
      <c r="BT269" s="1093" t="n">
        <f aca="false">SUM(BD269:BF269)</f>
        <v>21985.2</v>
      </c>
      <c r="BU269" s="1098" t="n">
        <f aca="false">SUM(BD269:BG269)</f>
        <v>21985.2</v>
      </c>
      <c r="BV269" s="1090" t="n">
        <f aca="false">SUM(BL269:BN269)</f>
        <v>4397.04</v>
      </c>
      <c r="BW269" s="1098" t="n">
        <f aca="false">SUM(BL269:BO269)</f>
        <v>4397.04</v>
      </c>
      <c r="BX269" s="852" t="n">
        <v>21.0485968514716</v>
      </c>
      <c r="BY269" s="1099" t="n">
        <v>0</v>
      </c>
      <c r="BZ269" s="852" t="n">
        <v>0</v>
      </c>
      <c r="CA269" s="852" t="n">
        <v>0</v>
      </c>
      <c r="CB269" s="852" t="n">
        <v>0</v>
      </c>
      <c r="CC269" s="852" t="n">
        <v>0</v>
      </c>
      <c r="CD269" s="852" t="n">
        <v>0</v>
      </c>
      <c r="CE269" s="1100" t="n">
        <v>0</v>
      </c>
      <c r="CF269" s="852" t="n">
        <v>0</v>
      </c>
      <c r="CG269" s="852" t="n">
        <v>0</v>
      </c>
      <c r="CH269" s="852" t="n">
        <v>0</v>
      </c>
      <c r="CI269" s="852" t="n">
        <v>0</v>
      </c>
      <c r="CJ269" s="1101" t="n">
        <v>0</v>
      </c>
      <c r="CK269" s="852" t="n">
        <v>0</v>
      </c>
      <c r="CL269" s="852" t="n">
        <v>0</v>
      </c>
      <c r="CM269" s="852" t="n">
        <v>0</v>
      </c>
      <c r="CN269" s="852" t="n">
        <v>0</v>
      </c>
      <c r="CO269" s="852" t="n">
        <v>0</v>
      </c>
      <c r="CP269" s="852" t="n">
        <v>0</v>
      </c>
      <c r="CQ269" s="1102" t="n">
        <v>0</v>
      </c>
      <c r="CR269" s="1103" t="n">
        <v>0</v>
      </c>
      <c r="CS269" s="1103" t="n">
        <v>0</v>
      </c>
      <c r="CT269" s="1103" t="n">
        <v>0</v>
      </c>
      <c r="CU269" s="1103" t="n">
        <v>0</v>
      </c>
      <c r="CV269" s="1103" t="n">
        <v>0</v>
      </c>
      <c r="CW269" s="1103" t="n">
        <v>0</v>
      </c>
      <c r="CX269" s="1104" t="n">
        <v>0</v>
      </c>
      <c r="CY269" s="1105" t="n">
        <v>7787.88856</v>
      </c>
      <c r="CZ269" s="1099" t="n">
        <v>0</v>
      </c>
      <c r="DA269" s="852" t="n">
        <v>0</v>
      </c>
      <c r="DB269" s="852" t="n">
        <v>0</v>
      </c>
      <c r="DC269" s="852" t="n">
        <v>0</v>
      </c>
      <c r="DD269" s="852" t="n">
        <v>0</v>
      </c>
      <c r="DE269" s="1113" t="n">
        <v>0</v>
      </c>
      <c r="DF269" s="1109" t="n">
        <v>0</v>
      </c>
      <c r="DG269" s="1110" t="n">
        <v>0</v>
      </c>
      <c r="DH269" s="1111" t="n">
        <v>0</v>
      </c>
      <c r="DI269" s="1112" t="n">
        <v>0</v>
      </c>
      <c r="DJ269" s="1112" t="n">
        <v>0</v>
      </c>
      <c r="DK269" s="1112" t="n">
        <v>0</v>
      </c>
      <c r="DL269" s="1113" t="n">
        <v>0</v>
      </c>
      <c r="DM269" s="1114" t="n">
        <v>0</v>
      </c>
      <c r="DN269" s="1114" t="n">
        <v>0</v>
      </c>
      <c r="DO269" s="1114" t="n">
        <v>0</v>
      </c>
      <c r="DP269" s="1114" t="n">
        <v>0</v>
      </c>
      <c r="DQ269" s="1114" t="n">
        <v>0</v>
      </c>
      <c r="DR269" s="1109" t="n">
        <v>0</v>
      </c>
      <c r="DS269" s="852" t="n">
        <v>0</v>
      </c>
      <c r="DT269" s="852" t="n">
        <v>0</v>
      </c>
      <c r="DU269" s="852" t="n">
        <v>0</v>
      </c>
      <c r="DV269" s="852" t="n">
        <v>0</v>
      </c>
      <c r="DW269" s="852" t="n">
        <v>0</v>
      </c>
      <c r="DX269" s="852" t="n">
        <v>0</v>
      </c>
      <c r="DY269" s="852" t="n">
        <v>0</v>
      </c>
      <c r="DZ269" s="852" t="n">
        <v>0</v>
      </c>
      <c r="EA269" s="852" t="n">
        <v>0</v>
      </c>
      <c r="EB269" s="1113" t="n">
        <v>0</v>
      </c>
      <c r="EC269" s="1115" t="n">
        <f aca="false">DS269*BD269</f>
        <v>0</v>
      </c>
      <c r="ED269" s="1115" t="n">
        <f aca="false">DT269*BE269</f>
        <v>0</v>
      </c>
      <c r="EE269" s="1115" t="n">
        <f aca="false">DU269*BF269</f>
        <v>0</v>
      </c>
      <c r="EF269" s="1115" t="n">
        <f aca="false">DV269*BG269</f>
        <v>0</v>
      </c>
      <c r="EG269" s="1115" t="n">
        <f aca="false">DS269*BD269+DT269*BE269+DU269*BF269+DV269*BG269</f>
        <v>0</v>
      </c>
      <c r="EH269" s="1116" t="n">
        <v>0</v>
      </c>
      <c r="EI269" s="1117" t="n">
        <v>0</v>
      </c>
      <c r="EJ269" s="1117" t="n">
        <v>0</v>
      </c>
      <c r="EK269" s="1117" t="n">
        <v>0</v>
      </c>
      <c r="EL269" s="1118" t="n">
        <f aca="false">IF(C269&gt;=Summary!$E$26,MAX(0,SUM(EH269:EK269)),0)</f>
        <v>0</v>
      </c>
      <c r="EM269" s="1115" t="n">
        <f aca="false">IF(C269&gt;=Summary!$E$26,DX269*BL269,0)</f>
        <v>0</v>
      </c>
      <c r="EN269" s="1115" t="n">
        <f aca="false">IF(C269&gt;=Summary!$E$26,DY269*BM269,0)</f>
        <v>0</v>
      </c>
      <c r="EO269" s="1115" t="n">
        <f aca="false">IF(C269&gt;=Summary!$E$26,DZ269*BN269,0)</f>
        <v>0</v>
      </c>
      <c r="EP269" s="1115" t="n">
        <f aca="false">IF(C269&gt;=Summary!$E$26,EA269*BO269,0)</f>
        <v>0</v>
      </c>
      <c r="EQ269" s="1115" t="n">
        <f aca="false">IF(C269&gt;=Summary!$E$26,DX269*BL269+DY269*BM269+DZ269*BN269+EA269*BO269,0)</f>
        <v>0</v>
      </c>
      <c r="ER269" s="1119" t="n">
        <v>0</v>
      </c>
      <c r="ES269" s="1120" t="n">
        <v>0</v>
      </c>
      <c r="ET269" s="1120" t="n">
        <v>0</v>
      </c>
      <c r="EU269" s="1120" t="n">
        <v>0</v>
      </c>
      <c r="EV269" s="1143" t="n">
        <f aca="false">IF(C269&gt;=Summary!$E$26,MAX(0,SUM(ER269:EU269)),0)</f>
        <v>0</v>
      </c>
      <c r="EW269" s="1115"/>
      <c r="EX269" s="1165" t="n">
        <f aca="false">(EQ269-EV269)+IF(EZ269="Yes",(EG269-EL269),0)</f>
        <v>0</v>
      </c>
      <c r="EY269" s="1166" t="str">
        <f aca="false">IF(EX269,EX269/EQ269,"")</f>
        <v/>
      </c>
      <c r="EZ269" s="1122" t="s">
        <v>37</v>
      </c>
      <c r="FA269" s="1096" t="n">
        <f aca="false">FA268</f>
        <v>45</v>
      </c>
      <c r="FB269" s="1167" t="e">
        <f aca="false">IF(EZ269="No",IF((OR(MONTH(C269)=5,MONTH(C269)=6,MONTH(C269)=7,MONTH(C269)=8,MONTH(C269)=9)),$FA269*12*AX269*(1-$BC269),$FA269*10*AX269*(1-$BC269)),0)</f>
        <v>#VALUE!</v>
      </c>
      <c r="FC269" s="1129" t="e">
        <f aca="false">IF(EZ269="No",IF((OR(MONTH(C269)=5,MONTH(C269)=6,MONTH(C269)=7,MONTH(C269)=8,MONTH(C269)=9)),0,$FA269*3*AX269*(1-$BC269)),0)</f>
        <v>#VALUE!</v>
      </c>
      <c r="FD269" s="1129" t="e">
        <f aca="false">IF(EZ269="No",IF((OR(MONTH(C269)=5,MONTH(C269)=6,MONTH(C269)=7,MONTH(C269)=8,MONTH(C269)=9)),$FA269*12*AY269*(1-$BC269),$FA269*10*AY269*(1-$BC269)),0)</f>
        <v>#VALUE!</v>
      </c>
      <c r="FE269" s="1129" t="e">
        <f aca="false">IF(EZ269="No",IF((OR(MONTH(C269)=5,MONTH(C269)=6,MONTH(C269)=7,MONTH(C269)=8,MONTH(C269)=9)),0,$FA269*3*AY269*(1-$BC269)),0)</f>
        <v>#VALUE!</v>
      </c>
      <c r="FF269" s="1129" t="e">
        <f aca="false">IF(EZ269="No",IF((OR(MONTH(C269)=5,MONTH(C269)=6,MONTH(C269)=7,MONTH(C269)=8,MONTH(C269)=9)),$FA269*12*(AZ269+BA269)*(1-$BC269),$FA269*10*(AZ269+BA269)*(1-$BC269)),0)</f>
        <v>#VALUE!</v>
      </c>
      <c r="FG269" s="1129" t="e">
        <f aca="false">IF(EZ269="No",IF((OR(MONTH(C269)=5,MONTH(C269)=6,MONTH(C269)=7,MONTH(C269)=8,MONTH(C269)=9)),0,$FA269*3*(AZ269+BA269)*(1-$BC269)),0)</f>
        <v>#VALUE!</v>
      </c>
      <c r="FH269" s="1170" t="e">
        <f aca="false">IF(EZ269="No",IF((OR(MONTH(C269)=5,MONTH(C269)=6,MONTH(C269)=7,MONTH(C269)=8,MONTH(C269)=9)),Summary!$O$15*12*(AX269+AY269+AZ269+BA269)*(1-$BC269),Summary!$O$15*13*(AX269+AY269+AZ269+BA269)*(1-$BC269)+IF(Summary!$O$16="Yes",(CALC!FA269+Summary!$O$15)*6*(AX269+AY269+AZ269+BA269)*(1-$BC269),0)),0)</f>
        <v>#VALUE!</v>
      </c>
      <c r="FI269" s="1126" t="n">
        <f aca="false">IF(MONTH(C269)=5,FI268*(IF(Summary!$E$70="no",(1+(Summary!$E$71*0.8)),1+HLOOKUP(YEAR(C269)-1,CCFMODEL!$I$127:$AF$128,2)*0.8)),+FI268)</f>
        <v>43.7746579110331</v>
      </c>
      <c r="FJ269" s="1127" t="n">
        <f aca="false">IF(MONTH(C269)=5,FJ268*(IF(Summary!$E$70="no",(1+(Summary!$E$71*0.8)),1+HLOOKUP(YEAR(CALC!C269)-1,CCFMODEL!$I$127:$AF$128,2)*0.8)),FJ268)</f>
        <v>38.2597403789344</v>
      </c>
      <c r="FK269" s="1128" t="e">
        <f aca="false">SUM(FB269:FG269)*FI269+FH269*FJ269</f>
        <v>#VALUE!</v>
      </c>
      <c r="FL269" s="1126" t="n">
        <f aca="false">IF(MONTH(C269)=5,FL268*(IF(Summary!$E$70="no",(1+(Summary!$E$71*0.8)),1+HLOOKUP(YEAR(CALC!C269)-1,CCFMODEL!$I$127:$AF$128,2)*0.8)),+FL268)</f>
        <v>92.0630132069682</v>
      </c>
      <c r="FM269" s="1127" t="n">
        <f aca="false">IF(MONTH(C269)=5,FM268*(IF(Summary!$E$70="no",(1+(Summary!$E$71*0.8)),1+HLOOKUP(YEAR(CALC!C269)-1,CCFMODEL!$I$127:$AF$128,2)*0.8)),+FM268)</f>
        <v>43.9387923613931</v>
      </c>
      <c r="FN269" s="1128" t="e">
        <f aca="false">IF((OR(MONTH(C269)=5,MONTH(C269)=6,MONTH(C269)=7,MONTH(C269)=8,MONTH(C269)=9)),SUM(FB269:FG269)/(1-BC269)*FL269,SUM(FB269:FG269)/(1-BC269)*FM269)</f>
        <v>#VALUE!</v>
      </c>
      <c r="FO269" s="1129" t="e">
        <f aca="false">FK269+FN269</f>
        <v>#VALUE!</v>
      </c>
      <c r="FP269" s="1169" t="e">
        <f aca="false">FB269</f>
        <v>#VALUE!</v>
      </c>
      <c r="FQ269" s="1129" t="e">
        <f aca="false">FC269</f>
        <v>#VALUE!</v>
      </c>
      <c r="FR269" s="1129" t="e">
        <f aca="false">FD269</f>
        <v>#VALUE!</v>
      </c>
      <c r="FS269" s="1129" t="e">
        <f aca="false">FE269</f>
        <v>#VALUE!</v>
      </c>
      <c r="FT269" s="1129" t="e">
        <f aca="false">FF269</f>
        <v>#VALUE!</v>
      </c>
      <c r="FU269" s="1129" t="e">
        <f aca="false">FG269</f>
        <v>#VALUE!</v>
      </c>
      <c r="FV269" s="1170" t="e">
        <f aca="false">FH269</f>
        <v>#VALUE!</v>
      </c>
      <c r="FW269" s="1115" t="n">
        <f aca="false">IF(ER269&gt;0,MIN(FB269-FP269,BL269),0)</f>
        <v>0</v>
      </c>
      <c r="FX269" s="1115" t="n">
        <f aca="false">IF(ES269&gt;0,MIN(FD269-FR269,BM269),0)</f>
        <v>0</v>
      </c>
      <c r="FY269" s="1115" t="n">
        <f aca="false">IF(ET269&gt;0,MIN(FF269-FT269,BN269),0)</f>
        <v>0</v>
      </c>
      <c r="FZ269" s="1143" t="n">
        <f aca="false">IF(EU269&gt;0,MIN(FH269-FV269,BO269),0)</f>
        <v>0</v>
      </c>
      <c r="GA269" s="1132" t="e">
        <f aca="false">(SUM(FP269:FV269)+SUM(GU269:HB269)/(1-Summary!$O$25))*CY269/1000</f>
        <v>#VALUE!</v>
      </c>
      <c r="GB269" s="1133" t="n">
        <f aca="false">IF($C269&lt;Summary!$M$81,+Summary!$O$81,VLOOKUP(C269,GasTable,19))</f>
        <v>4.47671108673858</v>
      </c>
      <c r="GC269" s="1134" t="n">
        <f aca="false">IF(H269&lt;=Summary!$N$84,MIN(GA269,Summary!$O$75*(H269-G269+1)),0)</f>
        <v>0</v>
      </c>
      <c r="GD269" s="1135" t="n">
        <f aca="false">IF(C269&lt;Summary!$N$84,IF(Summary!$O$75*(H269-G269+1)*0.8&gt;GC269,1,0),0)</f>
        <v>0</v>
      </c>
      <c r="GE269" s="1136" t="n">
        <v>0</v>
      </c>
      <c r="GF269" s="1134" t="e">
        <f aca="false">ABS(MIN(0,GC269-$GA269))</f>
        <v>#VALUE!</v>
      </c>
      <c r="GG269" s="1135" t="e">
        <f aca="false">GF269*(IF(Summary!$O$74=1,VLOOKUP($C269,GasTable,16)+Summary!$O$92+Summary!$O$93,VLOOKUP($C269,GasTable,19)+Summary!$O$92+Summary!$O$93))</f>
        <v>#VALUE!</v>
      </c>
      <c r="GH269" s="1137" t="n">
        <v>6938.90218444479</v>
      </c>
      <c r="GI269" s="1138" t="n">
        <v>0</v>
      </c>
      <c r="GJ269" s="1139" t="e">
        <f aca="false">+GB269*GC269+GE269+GG269+GH269-GI269</f>
        <v>#VALUE!</v>
      </c>
      <c r="GK269" s="1115" t="e">
        <f aca="false">SUM(FP269:FV269,GU269:GX269,GY269:HB269)</f>
        <v>#VALUE!</v>
      </c>
      <c r="GL269" s="1140" t="n">
        <v>0.52178853352</v>
      </c>
      <c r="GM269" s="1141" t="e">
        <f aca="false">IF(GK269&gt;GC269/(CY269/1000),GC269/(CY269/1000),+GK269)*GL269</f>
        <v>#VALUE!</v>
      </c>
      <c r="GN269" s="1115" t="n">
        <f aca="false">IF(SUM(GU269:HB269)=0,0,IF(Summary!$O$16="Yes",SUM(GX269:HB269),IF(Summary!$O$17="Yes",SUM(GY269:HB269),SUM(GU269:HB269))))</f>
        <v>12199.03785</v>
      </c>
      <c r="GO269" s="1142" t="n">
        <v>4.42661845915648</v>
      </c>
      <c r="GP269" s="1143" t="n">
        <f aca="false">GN269*GO269</f>
        <v>54000.4861307586</v>
      </c>
      <c r="GQ269" s="1115"/>
      <c r="GR269" s="1115"/>
      <c r="GS269" s="1115"/>
      <c r="GT269" s="1115"/>
      <c r="GU269" s="1150" t="n">
        <v>5132.835</v>
      </c>
      <c r="GV269" s="1115" t="n">
        <v>1283.20875</v>
      </c>
      <c r="GW269" s="1115" t="n">
        <v>1539.8505</v>
      </c>
      <c r="GX269" s="1115"/>
      <c r="GY269" s="1151" t="n">
        <v>2737.512</v>
      </c>
      <c r="GZ269" s="1115" t="n">
        <v>684.378</v>
      </c>
      <c r="HA269" s="1115" t="n">
        <v>821.2536</v>
      </c>
      <c r="HB269" s="1141"/>
      <c r="HC269" s="1115" t="n">
        <v>12199.03785</v>
      </c>
      <c r="HD269" s="1115"/>
      <c r="HE269" s="1115" t="n">
        <v>20950.521525</v>
      </c>
      <c r="HF269" s="1115" t="n">
        <v>730994.121710503</v>
      </c>
      <c r="HG269" s="1115"/>
      <c r="HH269" s="1142" t="n">
        <v>59.4634141960639</v>
      </c>
      <c r="HI269" s="1115" t="n">
        <v>1245789.53906463</v>
      </c>
      <c r="HJ269" s="1150" t="e">
        <f aca="false">MAX(FB269-FP269-FW269,0)</f>
        <v>#VALUE!</v>
      </c>
      <c r="HK269" s="1115" t="e">
        <f aca="false">MAX(FD269-FR269-FX269,0)</f>
        <v>#VALUE!</v>
      </c>
      <c r="HL269" s="1115" t="e">
        <f aca="false">MAX(FF269-FT269-FY269,0)</f>
        <v>#VALUE!</v>
      </c>
      <c r="HM269" s="1141" t="e">
        <f aca="false">MAX(FH269-FV269-FZ269,0)</f>
        <v>#VALUE!</v>
      </c>
      <c r="HN269" s="1115" t="e">
        <f aca="false">SUM(HJ269:HM269)</f>
        <v>#VALUE!</v>
      </c>
      <c r="HO269" s="1142" t="n">
        <f aca="false">IF(ISERROR(+HP269/HN269),0,+HP269/HN269)</f>
        <v>0</v>
      </c>
      <c r="HP269" s="1143" t="e">
        <f aca="false">(HJ269*CE269+HK269*CF269+HL269*CG269+HM269*CH269)</f>
        <v>#VALUE!</v>
      </c>
      <c r="HQ269" s="1142" t="s">
        <v>939</v>
      </c>
      <c r="HR269" s="1150" t="e">
        <f aca="false">SUMIF($A$17:$A$292,HQ269,$GF$17:$GF$292)</f>
        <v>#VALUE!</v>
      </c>
      <c r="HS269" s="1200" t="e">
        <f aca="false">IF(HT269=0,IF(OR(SUMIF(CURVES!$AU$6:$AU$283,$HQ269,CURVES!$BQ$6:$BQ$283)=0,COUNTIF(CURVES!$AU$6:$AU$283,$HQ269)=0),0,SUMIF(CURVES!$AU$6:$AU$283,$HQ269,CURVES!$BQ$6:$BQ$283)/COUNTIF(CURVES!$AU$6:$AU$283,$HQ269)),HT269/HR269)</f>
        <v>#VALUE!</v>
      </c>
      <c r="HT269" s="1141" t="e">
        <f aca="false">SUMIF($A$17:$A$292,HQ269,$GG$17:$GG$292)</f>
        <v>#VALUE!</v>
      </c>
      <c r="HU269" s="1150" t="n">
        <f aca="false">SUMIF($A$17:$A$292,HQ269,$GC$17:$GC$292)</f>
        <v>0</v>
      </c>
      <c r="HV269" s="1200" t="e">
        <f aca="false">IF(HW269=0,0,HW269/Summary!$O$79/HU269)</f>
        <v>#DIV/0!</v>
      </c>
      <c r="HW269" s="1141" t="n">
        <f aca="false">SUMIF($A$17:$A$292,HQ269,$GH$17:$GH$292)</f>
        <v>18540.6160260127</v>
      </c>
      <c r="HX269" s="1200" t="n">
        <f aca="false">IF(OR(SUMIF(CURVES!$AU$6:$AU$283,$HQ269,CURVES!$BQ$6:$BQ$283)=0,COUNTIF(CURVES!$AU$6:$AU$283,$HQ269)=0),0,SUMIF(CURVES!$AU$6:$AU$283,$HQ269,CURVES!$BQ$6:$BQ$283)/COUNTIF(CURVES!$AU$6:$AU$283,$HQ269))</f>
        <v>4.85642629877692</v>
      </c>
      <c r="HY269" s="1200" t="n">
        <f aca="false">IF(OR(SUMIF(CURVES!$AU$6:$AU$283,$HQ269,CURVES!$BR$6:$BR$283)=0,COUNTIF(CURVES!$AU$6:$AU$283,$HQ269)=0),0,SUMIF(CURVES!$AU$6:$AU$283,$HQ269,CURVES!$BR$6:$BR$283)/COUNTIF(CURVES!$AU$6:$AU$283,$HQ269))</f>
        <v>3.930039625917</v>
      </c>
      <c r="HZ269" s="0"/>
      <c r="IA269" s="1142"/>
      <c r="IB269" s="1142"/>
      <c r="IC269" s="1142"/>
      <c r="ID269" s="1142"/>
      <c r="IE269" s="1142"/>
      <c r="IF269" s="1142"/>
      <c r="IG269" s="1142"/>
      <c r="IH269" s="1142"/>
      <c r="II269" s="1142"/>
      <c r="IJ269" s="1142"/>
      <c r="IK269" s="1142"/>
      <c r="IL269" s="1190"/>
      <c r="IM269" s="222"/>
      <c r="IN269" s="222"/>
      <c r="IQ269" s="816"/>
      <c r="IR269" s="844"/>
    </row>
    <row r="270" customFormat="false" ht="13.5" hidden="false" customHeight="false" outlineLevel="0" collapsed="false">
      <c r="A270" s="0" t="str">
        <f aca="false">+D270&amp;"Q"&amp;ROUNDUP(E270/3,0)</f>
        <v>2021Q1</v>
      </c>
      <c r="B270" s="0" t="n">
        <f aca="false">YEAR(C270)</f>
        <v>2021</v>
      </c>
      <c r="C270" s="1153" t="n">
        <f aca="false">EOMONTH(C269,0)+1</f>
        <v>44228</v>
      </c>
      <c r="D270" s="841" t="n">
        <f aca="false">+YEAR(C270)</f>
        <v>2021</v>
      </c>
      <c r="E270" s="807" t="n">
        <f aca="false">MONTH(C270)</f>
        <v>2</v>
      </c>
      <c r="F270" s="1154" t="e">
        <f aca="false">IF(G270="","",Holiday(D270,E270))</f>
        <v>#VALUE!</v>
      </c>
      <c r="G270" s="1155" t="n">
        <v>44228</v>
      </c>
      <c r="H270" s="1156" t="n">
        <v>44255</v>
      </c>
      <c r="I270" s="1157" t="n">
        <f aca="false">I269</f>
        <v>0.0715</v>
      </c>
      <c r="J270" s="1158" t="n">
        <f aca="false">(1+I270/2)^(-2*(DATE(D271,E271,20)-$H$7)/365.25)</f>
        <v>0.224540298258341</v>
      </c>
      <c r="K270" s="1159"/>
      <c r="L270" s="1158"/>
      <c r="M270" s="1082" t="n">
        <v>0</v>
      </c>
      <c r="N270" s="1110" t="n">
        <f aca="false">M270</f>
        <v>0</v>
      </c>
      <c r="O270" s="1174" t="n">
        <f aca="false">N270</f>
        <v>0</v>
      </c>
      <c r="P270" s="1175" t="n">
        <f aca="false">M270</f>
        <v>0</v>
      </c>
      <c r="Q270" s="1110" t="n">
        <f aca="false">P270</f>
        <v>0</v>
      </c>
      <c r="R270" s="1174" t="n">
        <f aca="false">Q270</f>
        <v>0</v>
      </c>
      <c r="S270" s="1110" t="n">
        <f aca="false">R270</f>
        <v>0</v>
      </c>
      <c r="T270" s="1110" t="n">
        <f aca="false">S270</f>
        <v>0</v>
      </c>
      <c r="U270" s="1110" t="n">
        <f aca="false">T270</f>
        <v>0</v>
      </c>
      <c r="V270" s="1175" t="n">
        <f aca="false">U270</f>
        <v>0</v>
      </c>
      <c r="W270" s="1110" t="n">
        <f aca="false">V270</f>
        <v>0</v>
      </c>
      <c r="X270" s="1176" t="n">
        <f aca="false">W270</f>
        <v>0</v>
      </c>
      <c r="Y270" s="1086" t="n">
        <v>0</v>
      </c>
      <c r="Z270" s="1086" t="n">
        <v>0</v>
      </c>
      <c r="AA270" s="1087" t="n">
        <v>0</v>
      </c>
      <c r="AB270" s="1086" t="n">
        <v>0</v>
      </c>
      <c r="AC270" s="1086" t="n">
        <v>0</v>
      </c>
      <c r="AD270" s="1087" t="n">
        <v>0</v>
      </c>
      <c r="AE270" s="1086" t="n">
        <v>0</v>
      </c>
      <c r="AF270" s="1086" t="n">
        <v>0</v>
      </c>
      <c r="AG270" s="1087" t="n">
        <v>0</v>
      </c>
      <c r="AH270" s="1086" t="n">
        <v>0</v>
      </c>
      <c r="AI270" s="1086" t="n">
        <v>0</v>
      </c>
      <c r="AJ270" s="1087" t="n">
        <v>0</v>
      </c>
      <c r="AK270" s="1086" t="n">
        <v>0</v>
      </c>
      <c r="AL270" s="1086" t="n">
        <v>0</v>
      </c>
      <c r="AM270" s="1087" t="n">
        <v>0</v>
      </c>
      <c r="AN270" s="1086" t="n">
        <v>0</v>
      </c>
      <c r="AO270" s="1086" t="n">
        <v>0</v>
      </c>
      <c r="AP270" s="1087" t="n">
        <v>0</v>
      </c>
      <c r="AQ270" s="1086" t="n">
        <v>0</v>
      </c>
      <c r="AR270" s="1086" t="n">
        <v>0</v>
      </c>
      <c r="AS270" s="1087" t="n">
        <v>0</v>
      </c>
      <c r="AT270" s="1086" t="n">
        <v>0</v>
      </c>
      <c r="AU270" s="1086" t="n">
        <v>0</v>
      </c>
      <c r="AV270" s="1086" t="n">
        <v>0</v>
      </c>
      <c r="AW270" s="1172" t="n">
        <v>0</v>
      </c>
      <c r="AX270" s="807" t="n">
        <f aca="false">BB270-SUM(AY270:BA270)</f>
        <v>20</v>
      </c>
      <c r="AY270" s="807" t="n">
        <f aca="false">IF(AND($E270=MONTH(Summary!$E$24),$D270=YEAR(Summary!$E$24)),Summary!$E$25,1)*IF(G270="",0,INT((H270-MOD(H270,7)-G270)/7)+1-IF(BA270,IF(WEEKDAY(F270)=7,1,0),0))</f>
        <v>4</v>
      </c>
      <c r="AZ270" s="807" t="n">
        <f aca="false">IF(AND($E270=MONTH(Summary!$E$24),$D270=YEAR(Summary!$E$24)),Summary!$E$25,1)*IF(G270="",0,INT((H270-MOD(H270-1,7)-G270)/7)+1-IF(BA270,IF(WEEKDAY(F270)=1,1,0),0))</f>
        <v>4</v>
      </c>
      <c r="BA270" s="807" t="n">
        <v>0</v>
      </c>
      <c r="BB270" s="807" t="n">
        <f aca="false">IF(AND($E270=MONTH(Summary!$E$24),$D270=YEAR(Summary!$E$24)),Summary!$E$25,1)*IF(G270="",0,H270-G270+1)</f>
        <v>28</v>
      </c>
      <c r="BC270" s="1089" t="n">
        <f aca="false">Summary!$E$19</f>
        <v>0.015</v>
      </c>
      <c r="BD270" s="1090" t="n">
        <v>14184</v>
      </c>
      <c r="BE270" s="1091" t="n">
        <v>2836.8</v>
      </c>
      <c r="BF270" s="1091" t="n">
        <v>2836.8</v>
      </c>
      <c r="BG270" s="842"/>
      <c r="BH270" s="1092" t="n">
        <v>1</v>
      </c>
      <c r="BI270" s="1092" t="n">
        <v>1</v>
      </c>
      <c r="BJ270" s="1092" t="n">
        <v>1</v>
      </c>
      <c r="BK270" s="1092" t="n">
        <v>1</v>
      </c>
      <c r="BL270" s="1093" t="n">
        <v>2836.8</v>
      </c>
      <c r="BM270" s="1091" t="n">
        <v>567.36</v>
      </c>
      <c r="BN270" s="1091" t="n">
        <v>567.36</v>
      </c>
      <c r="BO270" s="842"/>
      <c r="BP270" s="1092" t="n">
        <v>1</v>
      </c>
      <c r="BQ270" s="1094" t="n">
        <v>1</v>
      </c>
      <c r="BR270" s="1094" t="n">
        <v>1</v>
      </c>
      <c r="BS270" s="1095" t="n">
        <v>1</v>
      </c>
      <c r="BT270" s="1093" t="n">
        <f aca="false">SUM(BD270:BF270)</f>
        <v>19857.6</v>
      </c>
      <c r="BU270" s="1098" t="n">
        <f aca="false">SUM(BD270:BG270)</f>
        <v>19857.6</v>
      </c>
      <c r="BV270" s="1090" t="n">
        <f aca="false">SUM(BL270:BN270)</f>
        <v>3971.52</v>
      </c>
      <c r="BW270" s="1098" t="n">
        <f aca="false">SUM(BL270:BO270)</f>
        <v>3971.52</v>
      </c>
      <c r="BX270" s="852" t="n">
        <v>21.1334702258727</v>
      </c>
      <c r="BY270" s="1099" t="n">
        <v>0</v>
      </c>
      <c r="BZ270" s="852" t="n">
        <v>0</v>
      </c>
      <c r="CA270" s="852" t="n">
        <v>0</v>
      </c>
      <c r="CB270" s="852" t="n">
        <v>0</v>
      </c>
      <c r="CC270" s="852" t="n">
        <v>0</v>
      </c>
      <c r="CD270" s="852" t="n">
        <v>0</v>
      </c>
      <c r="CE270" s="1100" t="n">
        <v>0</v>
      </c>
      <c r="CF270" s="852" t="n">
        <v>0</v>
      </c>
      <c r="CG270" s="852" t="n">
        <v>0</v>
      </c>
      <c r="CH270" s="852" t="n">
        <v>0</v>
      </c>
      <c r="CI270" s="852" t="n">
        <v>0</v>
      </c>
      <c r="CJ270" s="1101" t="n">
        <v>0</v>
      </c>
      <c r="CK270" s="852" t="n">
        <v>0</v>
      </c>
      <c r="CL270" s="852" t="n">
        <v>0</v>
      </c>
      <c r="CM270" s="852" t="n">
        <v>0</v>
      </c>
      <c r="CN270" s="852" t="n">
        <v>0</v>
      </c>
      <c r="CO270" s="852" t="n">
        <v>0</v>
      </c>
      <c r="CP270" s="852" t="n">
        <v>0</v>
      </c>
      <c r="CQ270" s="1102" t="n">
        <v>0</v>
      </c>
      <c r="CR270" s="1103" t="n">
        <v>0</v>
      </c>
      <c r="CS270" s="1103" t="n">
        <v>0</v>
      </c>
      <c r="CT270" s="1103" t="n">
        <v>0</v>
      </c>
      <c r="CU270" s="1103" t="n">
        <v>0</v>
      </c>
      <c r="CV270" s="1103" t="n">
        <v>0</v>
      </c>
      <c r="CW270" s="1103" t="n">
        <v>0</v>
      </c>
      <c r="CX270" s="1104" t="n">
        <v>0</v>
      </c>
      <c r="CY270" s="1105" t="n">
        <v>7789.91952</v>
      </c>
      <c r="CZ270" s="1099" t="n">
        <v>0</v>
      </c>
      <c r="DA270" s="852" t="n">
        <v>0</v>
      </c>
      <c r="DB270" s="852" t="n">
        <v>0</v>
      </c>
      <c r="DC270" s="852" t="n">
        <v>0</v>
      </c>
      <c r="DD270" s="852" t="n">
        <v>0</v>
      </c>
      <c r="DE270" s="1113" t="n">
        <v>0</v>
      </c>
      <c r="DF270" s="1109" t="n">
        <v>0</v>
      </c>
      <c r="DG270" s="1110" t="n">
        <v>0</v>
      </c>
      <c r="DH270" s="1111" t="n">
        <v>0</v>
      </c>
      <c r="DI270" s="1112" t="n">
        <v>0</v>
      </c>
      <c r="DJ270" s="1112" t="n">
        <v>0</v>
      </c>
      <c r="DK270" s="1112" t="n">
        <v>0</v>
      </c>
      <c r="DL270" s="1113" t="n">
        <v>0</v>
      </c>
      <c r="DM270" s="1114" t="n">
        <v>0</v>
      </c>
      <c r="DN270" s="1114" t="n">
        <v>0</v>
      </c>
      <c r="DO270" s="1114" t="n">
        <v>0</v>
      </c>
      <c r="DP270" s="1114" t="n">
        <v>0</v>
      </c>
      <c r="DQ270" s="1114" t="n">
        <v>0</v>
      </c>
      <c r="DR270" s="1109" t="n">
        <v>0</v>
      </c>
      <c r="DS270" s="852" t="n">
        <v>0</v>
      </c>
      <c r="DT270" s="852" t="n">
        <v>0</v>
      </c>
      <c r="DU270" s="852" t="n">
        <v>0</v>
      </c>
      <c r="DV270" s="852" t="n">
        <v>0</v>
      </c>
      <c r="DW270" s="852" t="n">
        <v>0</v>
      </c>
      <c r="DX270" s="852" t="n">
        <v>0</v>
      </c>
      <c r="DY270" s="852" t="n">
        <v>0</v>
      </c>
      <c r="DZ270" s="852" t="n">
        <v>0</v>
      </c>
      <c r="EA270" s="852" t="n">
        <v>0</v>
      </c>
      <c r="EB270" s="1113" t="n">
        <v>0</v>
      </c>
      <c r="EC270" s="1115" t="n">
        <f aca="false">DS270*BD270</f>
        <v>0</v>
      </c>
      <c r="ED270" s="1115" t="n">
        <f aca="false">DT270*BE270</f>
        <v>0</v>
      </c>
      <c r="EE270" s="1115" t="n">
        <f aca="false">DU270*BF270</f>
        <v>0</v>
      </c>
      <c r="EF270" s="1115" t="n">
        <f aca="false">DV270*BG270</f>
        <v>0</v>
      </c>
      <c r="EG270" s="1115" t="n">
        <f aca="false">DS270*BD270+DT270*BE270+DU270*BF270+DV270*BG270</f>
        <v>0</v>
      </c>
      <c r="EH270" s="1116" t="n">
        <v>0</v>
      </c>
      <c r="EI270" s="1117" t="n">
        <v>0</v>
      </c>
      <c r="EJ270" s="1117" t="n">
        <v>0</v>
      </c>
      <c r="EK270" s="1117" t="n">
        <v>0</v>
      </c>
      <c r="EL270" s="1118" t="n">
        <f aca="false">IF(C270&gt;=Summary!$E$26,MAX(0,SUM(EH270:EK270)),0)</f>
        <v>0</v>
      </c>
      <c r="EM270" s="1115" t="n">
        <f aca="false">IF(C270&gt;=Summary!$E$26,DX270*BL270,0)</f>
        <v>0</v>
      </c>
      <c r="EN270" s="1115" t="n">
        <f aca="false">IF(C270&gt;=Summary!$E$26,DY270*BM270,0)</f>
        <v>0</v>
      </c>
      <c r="EO270" s="1115" t="n">
        <f aca="false">IF(C270&gt;=Summary!$E$26,DZ270*BN270,0)</f>
        <v>0</v>
      </c>
      <c r="EP270" s="1115" t="n">
        <f aca="false">IF(C270&gt;=Summary!$E$26,EA270*BO270,0)</f>
        <v>0</v>
      </c>
      <c r="EQ270" s="1115" t="n">
        <f aca="false">IF(C270&gt;=Summary!$E$26,DX270*BL270+DY270*BM270+DZ270*BN270+EA270*BO270,0)</f>
        <v>0</v>
      </c>
      <c r="ER270" s="1119" t="n">
        <v>0</v>
      </c>
      <c r="ES270" s="1120" t="n">
        <v>0</v>
      </c>
      <c r="ET270" s="1120" t="n">
        <v>0</v>
      </c>
      <c r="EU270" s="1120" t="n">
        <v>0</v>
      </c>
      <c r="EV270" s="1143" t="n">
        <f aca="false">IF(C270&gt;=Summary!$E$26,MAX(0,SUM(ER270:EU270)),0)</f>
        <v>0</v>
      </c>
      <c r="EW270" s="1115"/>
      <c r="EX270" s="1165" t="n">
        <f aca="false">(EQ270-EV270)+IF(EZ270="Yes",(EG270-EL270),0)</f>
        <v>0</v>
      </c>
      <c r="EY270" s="1166" t="str">
        <f aca="false">IF(EX270,EX270/EQ270,"")</f>
        <v/>
      </c>
      <c r="EZ270" s="1122" t="s">
        <v>37</v>
      </c>
      <c r="FA270" s="1096" t="n">
        <f aca="false">FA269</f>
        <v>45</v>
      </c>
      <c r="FB270" s="1167" t="n">
        <f aca="false">IF(EZ270="No",IF((OR(MONTH(C270)=5,MONTH(C270)=6,MONTH(C270)=7,MONTH(C270)=8,MONTH(C270)=9)),$FA270*12*AX270*(1-$BC270),$FA270*10*AX270*(1-$BC270)),0)</f>
        <v>8865</v>
      </c>
      <c r="FC270" s="1129" t="n">
        <f aca="false">IF(EZ270="No",IF((OR(MONTH(C270)=5,MONTH(C270)=6,MONTH(C270)=7,MONTH(C270)=8,MONTH(C270)=9)),0,$FA270*3*AX270*(1-$BC270)),0)</f>
        <v>2659.5</v>
      </c>
      <c r="FD270" s="1129" t="n">
        <f aca="false">IF(EZ270="No",IF((OR(MONTH(C270)=5,MONTH(C270)=6,MONTH(C270)=7,MONTH(C270)=8,MONTH(C270)=9)),$FA270*12*AY270*(1-$BC270),$FA270*10*AY270*(1-$BC270)),0)</f>
        <v>1773</v>
      </c>
      <c r="FE270" s="1129" t="n">
        <f aca="false">IF(EZ270="No",IF((OR(MONTH(C270)=5,MONTH(C270)=6,MONTH(C270)=7,MONTH(C270)=8,MONTH(C270)=9)),0,$FA270*3*AY270*(1-$BC270)),0)</f>
        <v>531.9</v>
      </c>
      <c r="FF270" s="1129" t="n">
        <f aca="false">IF(EZ270="No",IF((OR(MONTH(C270)=5,MONTH(C270)=6,MONTH(C270)=7,MONTH(C270)=8,MONTH(C270)=9)),$FA270*12*(AZ270+BA270)*(1-$BC270),$FA270*10*(AZ270+BA270)*(1-$BC270)),0)</f>
        <v>1773</v>
      </c>
      <c r="FG270" s="1129" t="n">
        <f aca="false">IF(EZ270="No",IF((OR(MONTH(C270)=5,MONTH(C270)=6,MONTH(C270)=7,MONTH(C270)=8,MONTH(C270)=9)),0,$FA270*3*(AZ270+BA270)*(1-$BC270)),0)</f>
        <v>531.9</v>
      </c>
      <c r="FH270" s="1170" t="n">
        <f aca="false">IF(EZ270="No",IF((OR(MONTH(C270)=5,MONTH(C270)=6,MONTH(C270)=7,MONTH(C270)=8,MONTH(C270)=9)),Summary!$O$15*12*(AX270+AY270+AZ270+BA270)*(1-$BC270),Summary!$O$15*13*(AX270+AY270+AZ270+BA270)*(1-$BC270)+IF(Summary!$O$16="Yes",(CALC!FA270+Summary!$O$15)*6*(AX270+AY270+AZ270+BA270)*(1-$BC270),0)),0)</f>
        <v>0</v>
      </c>
      <c r="FI270" s="1126" t="n">
        <f aca="false">IF(MONTH(C270)=5,FI269*(IF(Summary!$E$70="no",(1+(Summary!$E$71*0.8)),1+HLOOKUP(YEAR(C270)-1,CCFMODEL!$I$127:$AF$128,2)*0.8)),+FI269)</f>
        <v>43.7746579110331</v>
      </c>
      <c r="FJ270" s="1127" t="n">
        <f aca="false">IF(MONTH(C270)=5,FJ269*(IF(Summary!$E$70="no",(1+(Summary!$E$71*0.8)),1+HLOOKUP(YEAR(CALC!C270)-1,CCFMODEL!$I$127:$AF$128,2)*0.8)),FJ269)</f>
        <v>38.2597403789344</v>
      </c>
      <c r="FK270" s="1128" t="n">
        <f aca="false">SUM(FB270:FG270)*FI270+FH270*FJ270</f>
        <v>706273.463133981</v>
      </c>
      <c r="FL270" s="1126" t="n">
        <f aca="false">IF(MONTH(C270)=5,FL269*(IF(Summary!$E$70="no",(1+(Summary!$E$71*0.8)),1+HLOOKUP(YEAR(CALC!C270)-1,CCFMODEL!$I$127:$AF$128,2)*0.8)),+FL269)</f>
        <v>92.0630132069682</v>
      </c>
      <c r="FM270" s="1127" t="n">
        <f aca="false">IF(MONTH(C270)=5,FM269*(IF(Summary!$E$70="no",(1+(Summary!$E$71*0.8)),1+HLOOKUP(YEAR(CALC!C270)-1,CCFMODEL!$I$127:$AF$128,2)*0.8)),+FM269)</f>
        <v>43.9387923613931</v>
      </c>
      <c r="FN270" s="1128" t="n">
        <f aca="false">IF((OR(MONTH(C270)=5,MONTH(C270)=6,MONTH(C270)=7,MONTH(C270)=8,MONTH(C270)=9)),SUM(FB270:FG270)/(1-BC270)*FL270,SUM(FB270:FG270)/(1-BC270)*FM270)</f>
        <v>719717.41887962</v>
      </c>
      <c r="FO270" s="1129" t="n">
        <f aca="false">FK270+FN270</f>
        <v>1425990.8820136</v>
      </c>
      <c r="FP270" s="1169" t="n">
        <f aca="false">FB270</f>
        <v>8865</v>
      </c>
      <c r="FQ270" s="1129" t="n">
        <f aca="false">FC270</f>
        <v>2659.5</v>
      </c>
      <c r="FR270" s="1129" t="n">
        <f aca="false">FD270</f>
        <v>1773</v>
      </c>
      <c r="FS270" s="1129" t="n">
        <f aca="false">FE270</f>
        <v>531.9</v>
      </c>
      <c r="FT270" s="1129" t="n">
        <f aca="false">FF270</f>
        <v>1773</v>
      </c>
      <c r="FU270" s="1129" t="n">
        <f aca="false">FG270</f>
        <v>531.9</v>
      </c>
      <c r="FV270" s="1170" t="n">
        <f aca="false">FH270</f>
        <v>0</v>
      </c>
      <c r="FW270" s="1115" t="n">
        <f aca="false">IF(ER270&gt;0,MIN(FB270-FP270,BL270),0)</f>
        <v>0</v>
      </c>
      <c r="FX270" s="1115" t="n">
        <f aca="false">IF(ES270&gt;0,MIN(FD270-FR270,BM270),0)</f>
        <v>0</v>
      </c>
      <c r="FY270" s="1115" t="n">
        <f aca="false">IF(ET270&gt;0,MIN(FF270-FT270,BN270),0)</f>
        <v>0</v>
      </c>
      <c r="FZ270" s="1143" t="n">
        <f aca="false">IF(EU270&gt;0,MIN(FH270-FV270,BO270),0)</f>
        <v>0</v>
      </c>
      <c r="GA270" s="1132" t="n">
        <f aca="false">(SUM(FP270:FV270)+SUM(GU270:HB270)/(1-Summary!$O$25))*CY270/1000</f>
        <v>214631.134381238</v>
      </c>
      <c r="GB270" s="1133" t="n">
        <f aca="false">IF($C270&lt;Summary!$M$81,+Summary!$O$81,VLOOKUP(C270,GasTable,19))</f>
        <v>4.13476750900721</v>
      </c>
      <c r="GC270" s="1134" t="n">
        <f aca="false">IF(H270&lt;=Summary!$N$84,MIN(GA270,Summary!$O$75*(H270-G270+1)),0)</f>
        <v>0</v>
      </c>
      <c r="GD270" s="1135" t="n">
        <f aca="false">IF(C270&lt;Summary!$N$84,IF(Summary!$O$75*(H270-G270+1)*0.8&gt;GC270,1,0),0)</f>
        <v>0</v>
      </c>
      <c r="GE270" s="1136" t="n">
        <v>0</v>
      </c>
      <c r="GF270" s="1134" t="n">
        <f aca="false">ABS(MIN(0,GC270-$GA270))</f>
        <v>214631.134381238</v>
      </c>
      <c r="GG270" s="1135" t="n">
        <f aca="false">GF270*(IF(Summary!$O$74=1,VLOOKUP($C270,GasTable,16)+Summary!$O$92+Summary!$O$93,VLOOKUP($C270,GasTable,19)+Summary!$O$92+Summary!$O$93))</f>
        <v>898632.122962167</v>
      </c>
      <c r="GH270" s="1137" t="n">
        <v>5788.67451261009</v>
      </c>
      <c r="GI270" s="1138" t="n">
        <v>0</v>
      </c>
      <c r="GJ270" s="1139" t="n">
        <f aca="false">+GB270*GC270+GE270+GG270+GH270-GI270</f>
        <v>904420.797474777</v>
      </c>
      <c r="GK270" s="1115" t="n">
        <f aca="false">SUM(FP270:FV270,GU270:GX270,GY270:HB270)</f>
        <v>27152.7858</v>
      </c>
      <c r="GL270" s="1140" t="n">
        <v>0.52192460784</v>
      </c>
      <c r="GM270" s="1141" t="n">
        <f aca="false">IF(GK270&gt;GC270/(CY270/1000),GC270/(CY270/1000),+GK270)*GL270</f>
        <v>0</v>
      </c>
      <c r="GN270" s="1115" t="n">
        <f aca="false">IF(SUM(GU270:HB270)=0,0,IF(Summary!$O$16="Yes",SUM(GX270:HB270),IF(Summary!$O$17="Yes",SUM(GY270:HB270),SUM(GU270:HB270))))</f>
        <v>11018.4858</v>
      </c>
      <c r="GO270" s="1142" t="n">
        <v>4.42661845915648</v>
      </c>
      <c r="GP270" s="1143" t="n">
        <f aca="false">GN270*GO270</f>
        <v>48774.6326342335</v>
      </c>
      <c r="GQ270" s="1115"/>
      <c r="GR270" s="1115"/>
      <c r="GS270" s="1115"/>
      <c r="GT270" s="1115"/>
      <c r="GU270" s="1150" t="n">
        <v>5132.835</v>
      </c>
      <c r="GV270" s="1115" t="n">
        <v>1026.567</v>
      </c>
      <c r="GW270" s="1115" t="n">
        <v>1026.567</v>
      </c>
      <c r="GX270" s="1115"/>
      <c r="GY270" s="1151" t="n">
        <v>2737.512</v>
      </c>
      <c r="GZ270" s="1115" t="n">
        <v>547.5024</v>
      </c>
      <c r="HA270" s="1115" t="n">
        <v>547.5024</v>
      </c>
      <c r="HB270" s="1141"/>
      <c r="HC270" s="1115" t="n">
        <v>11018.4858</v>
      </c>
      <c r="HD270" s="1115"/>
      <c r="HE270" s="1115" t="n">
        <v>18923.0517</v>
      </c>
      <c r="HF270" s="1115" t="n">
        <v>504438.858279093</v>
      </c>
      <c r="HG270" s="1115"/>
      <c r="HH270" s="1142" t="n">
        <v>45.4393437032834</v>
      </c>
      <c r="HI270" s="1115" t="n">
        <v>859851.050111302</v>
      </c>
      <c r="HJ270" s="1150" t="n">
        <f aca="false">MAX(FB270-FP270-FW270,0)</f>
        <v>0</v>
      </c>
      <c r="HK270" s="1115" t="n">
        <f aca="false">MAX(FD270-FR270-FX270,0)</f>
        <v>0</v>
      </c>
      <c r="HL270" s="1115" t="n">
        <f aca="false">MAX(FF270-FT270-FY270,0)</f>
        <v>0</v>
      </c>
      <c r="HM270" s="1141" t="n">
        <f aca="false">MAX(FH270-FV270-FZ270,0)</f>
        <v>0</v>
      </c>
      <c r="HN270" s="1115" t="n">
        <f aca="false">SUM(HJ270:HM270)</f>
        <v>0</v>
      </c>
      <c r="HO270" s="1142" t="n">
        <f aca="false">IF(ISERROR(+HP270/HN270),0,+HP270/HN270)</f>
        <v>0</v>
      </c>
      <c r="HP270" s="1143" t="n">
        <f aca="false">(HJ270*CE270+HK270*CF270+HL270*CG270+HM270*CH270)</f>
        <v>0</v>
      </c>
      <c r="HQ270" s="1142" t="s">
        <v>940</v>
      </c>
      <c r="HR270" s="1150" t="e">
        <f aca="false">SUMIF($A$17:$A$292,HQ270,$GF$17:$GF$292)</f>
        <v>#VALUE!</v>
      </c>
      <c r="HS270" s="1200" t="e">
        <f aca="false">IF(HT270=0,IF(OR(SUMIF(CURVES!$AU$6:$AU$283,$HQ270,CURVES!$BQ$6:$BQ$283)=0,COUNTIF(CURVES!$AU$6:$AU$283,$HQ270)=0),0,SUMIF(CURVES!$AU$6:$AU$283,$HQ270,CURVES!$BQ$6:$BQ$283)/COUNTIF(CURVES!$AU$6:$AU$283,$HQ270)),HT270/HR270)</f>
        <v>#VALUE!</v>
      </c>
      <c r="HT270" s="1141" t="e">
        <f aca="false">SUMIF($A$17:$A$292,HQ270,$GG$17:$GG$292)</f>
        <v>#VALUE!</v>
      </c>
      <c r="HU270" s="1150" t="n">
        <f aca="false">SUMIF($A$17:$A$292,HQ270,$GC$17:$GC$292)</f>
        <v>0</v>
      </c>
      <c r="HV270" s="1200" t="e">
        <f aca="false">IF(HW270=0,0,HW270/Summary!$O$79/HU270)</f>
        <v>#DIV/0!</v>
      </c>
      <c r="HW270" s="1141" t="n">
        <f aca="false">SUMIF($A$17:$A$292,HQ270,$GH$17:$GH$292)</f>
        <v>16834.3710360081</v>
      </c>
      <c r="HX270" s="1200" t="n">
        <f aca="false">IF(OR(SUMIF(CURVES!$AU$6:$AU$283,$HQ270,CURVES!$BQ$6:$BQ$283)=0,COUNTIF(CURVES!$AU$6:$AU$283,$HQ270)=0),0,SUMIF(CURVES!$AU$6:$AU$283,$HQ270,CURVES!$BQ$6:$BQ$283)/COUNTIF(CURVES!$AU$6:$AU$283,$HQ270))</f>
        <v>4.5147588748635</v>
      </c>
      <c r="HY270" s="1200" t="n">
        <f aca="false">IF(OR(SUMIF(CURVES!$AU$6:$AU$283,$HQ270,CURVES!$BR$6:$BR$283)=0,COUNTIF(CURVES!$AU$6:$AU$283,$HQ270)=0),0,SUMIF(CURVES!$AU$6:$AU$283,$HQ270,CURVES!$BR$6:$BR$283)/COUNTIF(CURVES!$AU$6:$AU$283,$HQ270))</f>
        <v>3.5671383903379</v>
      </c>
      <c r="HZ270" s="0"/>
      <c r="IA270" s="1142"/>
      <c r="IB270" s="1142"/>
      <c r="IC270" s="1142"/>
      <c r="ID270" s="1142"/>
      <c r="IE270" s="1142"/>
      <c r="IF270" s="1142"/>
      <c r="IG270" s="1142"/>
      <c r="IH270" s="1142"/>
      <c r="II270" s="1142"/>
      <c r="IJ270" s="1142"/>
      <c r="IK270" s="1142"/>
      <c r="IL270" s="1190"/>
      <c r="IM270" s="222"/>
      <c r="IN270" s="222"/>
      <c r="IR270" s="844"/>
    </row>
    <row r="271" customFormat="false" ht="13.5" hidden="false" customHeight="false" outlineLevel="0" collapsed="false">
      <c r="A271" s="0" t="str">
        <f aca="false">+D271&amp;"Q"&amp;ROUNDUP(E271/3,0)</f>
        <v>2021Q1</v>
      </c>
      <c r="B271" s="0" t="n">
        <f aca="false">YEAR(C271)</f>
        <v>2021</v>
      </c>
      <c r="C271" s="1153" t="n">
        <f aca="false">EOMONTH(C270,0)+1</f>
        <v>44256</v>
      </c>
      <c r="D271" s="841" t="n">
        <f aca="false">+YEAR(C271)</f>
        <v>2021</v>
      </c>
      <c r="E271" s="807" t="n">
        <f aca="false">MONTH(C271)</f>
        <v>3</v>
      </c>
      <c r="F271" s="1154" t="e">
        <f aca="false">IF(G271="","",Holiday(D271,E271))</f>
        <v>#VALUE!</v>
      </c>
      <c r="G271" s="1155" t="n">
        <v>44256</v>
      </c>
      <c r="H271" s="1156" t="n">
        <v>44286</v>
      </c>
      <c r="I271" s="1157" t="n">
        <f aca="false">I270</f>
        <v>0.0715</v>
      </c>
      <c r="J271" s="1158" t="n">
        <f aca="false">(1+I271/2)^(-2*(DATE(D272,E272,20)-$H$7)/365.25)</f>
        <v>0.223205462249931</v>
      </c>
      <c r="K271" s="1159"/>
      <c r="L271" s="1158"/>
      <c r="M271" s="1082" t="n">
        <v>0</v>
      </c>
      <c r="N271" s="1110" t="n">
        <f aca="false">M271</f>
        <v>0</v>
      </c>
      <c r="O271" s="1174" t="n">
        <f aca="false">N271</f>
        <v>0</v>
      </c>
      <c r="P271" s="1175" t="n">
        <f aca="false">M271</f>
        <v>0</v>
      </c>
      <c r="Q271" s="1110" t="n">
        <f aca="false">P271</f>
        <v>0</v>
      </c>
      <c r="R271" s="1174" t="n">
        <f aca="false">Q271</f>
        <v>0</v>
      </c>
      <c r="S271" s="1110" t="n">
        <f aca="false">R271</f>
        <v>0</v>
      </c>
      <c r="T271" s="1110" t="n">
        <f aca="false">S271</f>
        <v>0</v>
      </c>
      <c r="U271" s="1110" t="n">
        <f aca="false">T271</f>
        <v>0</v>
      </c>
      <c r="V271" s="1175" t="n">
        <f aca="false">U271</f>
        <v>0</v>
      </c>
      <c r="W271" s="1110" t="n">
        <f aca="false">V271</f>
        <v>0</v>
      </c>
      <c r="X271" s="1176" t="n">
        <f aca="false">W271</f>
        <v>0</v>
      </c>
      <c r="Y271" s="1086" t="n">
        <v>0</v>
      </c>
      <c r="Z271" s="1086" t="n">
        <v>0</v>
      </c>
      <c r="AA271" s="1087" t="n">
        <v>0</v>
      </c>
      <c r="AB271" s="1086" t="n">
        <v>0</v>
      </c>
      <c r="AC271" s="1086" t="n">
        <v>0</v>
      </c>
      <c r="AD271" s="1087" t="n">
        <v>0</v>
      </c>
      <c r="AE271" s="1086" t="n">
        <v>0</v>
      </c>
      <c r="AF271" s="1086" t="n">
        <v>0</v>
      </c>
      <c r="AG271" s="1087" t="n">
        <v>0</v>
      </c>
      <c r="AH271" s="1086" t="n">
        <v>0</v>
      </c>
      <c r="AI271" s="1086" t="n">
        <v>0</v>
      </c>
      <c r="AJ271" s="1087" t="n">
        <v>0</v>
      </c>
      <c r="AK271" s="1086" t="n">
        <v>0</v>
      </c>
      <c r="AL271" s="1086" t="n">
        <v>0</v>
      </c>
      <c r="AM271" s="1087" t="n">
        <v>0</v>
      </c>
      <c r="AN271" s="1086" t="n">
        <v>0</v>
      </c>
      <c r="AO271" s="1086" t="n">
        <v>0</v>
      </c>
      <c r="AP271" s="1087" t="n">
        <v>0</v>
      </c>
      <c r="AQ271" s="1086" t="n">
        <v>0</v>
      </c>
      <c r="AR271" s="1086" t="n">
        <v>0</v>
      </c>
      <c r="AS271" s="1087" t="n">
        <v>0</v>
      </c>
      <c r="AT271" s="1086" t="n">
        <v>0</v>
      </c>
      <c r="AU271" s="1086" t="n">
        <v>0</v>
      </c>
      <c r="AV271" s="1086" t="n">
        <v>0</v>
      </c>
      <c r="AW271" s="1172" t="n">
        <v>0</v>
      </c>
      <c r="AX271" s="807" t="n">
        <f aca="false">BB271-SUM(AY271:BA271)</f>
        <v>23</v>
      </c>
      <c r="AY271" s="807" t="n">
        <f aca="false">IF(AND($E271=MONTH(Summary!$E$24),$D271=YEAR(Summary!$E$24)),Summary!$E$25,1)*IF(G271="",0,INT((H271-MOD(H271,7)-G271)/7)+1-IF(BA271,IF(WEEKDAY(F271)=7,1,0),0))</f>
        <v>4</v>
      </c>
      <c r="AZ271" s="807" t="n">
        <f aca="false">IF(AND($E271=MONTH(Summary!$E$24),$D271=YEAR(Summary!$E$24)),Summary!$E$25,1)*IF(G271="",0,INT((H271-MOD(H271-1,7)-G271)/7)+1-IF(BA271,IF(WEEKDAY(F271)=1,1,0),0))</f>
        <v>4</v>
      </c>
      <c r="BA271" s="807" t="n">
        <v>0</v>
      </c>
      <c r="BB271" s="807" t="n">
        <f aca="false">IF(AND($E271=MONTH(Summary!$E$24),$D271=YEAR(Summary!$E$24)),Summary!$E$25,1)*IF(G271="",0,H271-G271+1)</f>
        <v>31</v>
      </c>
      <c r="BC271" s="1089" t="n">
        <f aca="false">Summary!$E$19</f>
        <v>0.015</v>
      </c>
      <c r="BD271" s="1090" t="n">
        <v>16311.6</v>
      </c>
      <c r="BE271" s="1091" t="n">
        <v>2836.8</v>
      </c>
      <c r="BF271" s="1091" t="n">
        <v>2836.8</v>
      </c>
      <c r="BG271" s="842"/>
      <c r="BH271" s="1092" t="n">
        <v>1</v>
      </c>
      <c r="BI271" s="1092" t="n">
        <v>1</v>
      </c>
      <c r="BJ271" s="1092" t="n">
        <v>1</v>
      </c>
      <c r="BK271" s="1092" t="n">
        <v>1</v>
      </c>
      <c r="BL271" s="1093" t="n">
        <v>3262.32</v>
      </c>
      <c r="BM271" s="1091" t="n">
        <v>567.36</v>
      </c>
      <c r="BN271" s="1091" t="n">
        <v>567.36</v>
      </c>
      <c r="BO271" s="842"/>
      <c r="BP271" s="1092" t="n">
        <v>1</v>
      </c>
      <c r="BQ271" s="1094" t="n">
        <v>1</v>
      </c>
      <c r="BR271" s="1094" t="n">
        <v>1</v>
      </c>
      <c r="BS271" s="1095" t="n">
        <v>1</v>
      </c>
      <c r="BT271" s="1093" t="n">
        <f aca="false">SUM(BD271:BF271)</f>
        <v>21985.2</v>
      </c>
      <c r="BU271" s="1098" t="n">
        <f aca="false">SUM(BD271:BG271)</f>
        <v>21985.2</v>
      </c>
      <c r="BV271" s="1090" t="n">
        <f aca="false">SUM(BL271:BN271)</f>
        <v>4397.04</v>
      </c>
      <c r="BW271" s="1098" t="n">
        <f aca="false">SUM(BL271:BO271)</f>
        <v>4397.04</v>
      </c>
      <c r="BX271" s="852" t="n">
        <v>21.2101300479124</v>
      </c>
      <c r="BY271" s="1099" t="n">
        <v>0</v>
      </c>
      <c r="BZ271" s="852" t="n">
        <v>0</v>
      </c>
      <c r="CA271" s="852" t="n">
        <v>0</v>
      </c>
      <c r="CB271" s="852" t="n">
        <v>0</v>
      </c>
      <c r="CC271" s="852" t="n">
        <v>0</v>
      </c>
      <c r="CD271" s="852" t="n">
        <v>0</v>
      </c>
      <c r="CE271" s="1100" t="n">
        <v>0</v>
      </c>
      <c r="CF271" s="852" t="n">
        <v>0</v>
      </c>
      <c r="CG271" s="852" t="n">
        <v>0</v>
      </c>
      <c r="CH271" s="852" t="n">
        <v>0</v>
      </c>
      <c r="CI271" s="852" t="n">
        <v>0</v>
      </c>
      <c r="CJ271" s="1101" t="n">
        <v>0</v>
      </c>
      <c r="CK271" s="852" t="n">
        <v>0</v>
      </c>
      <c r="CL271" s="852" t="n">
        <v>0</v>
      </c>
      <c r="CM271" s="852" t="n">
        <v>0</v>
      </c>
      <c r="CN271" s="852" t="n">
        <v>0</v>
      </c>
      <c r="CO271" s="852" t="n">
        <v>0</v>
      </c>
      <c r="CP271" s="852" t="n">
        <v>0</v>
      </c>
      <c r="CQ271" s="1102" t="n">
        <v>0</v>
      </c>
      <c r="CR271" s="1103" t="n">
        <v>0</v>
      </c>
      <c r="CS271" s="1103" t="n">
        <v>0</v>
      </c>
      <c r="CT271" s="1103" t="n">
        <v>0</v>
      </c>
      <c r="CU271" s="1103" t="n">
        <v>0</v>
      </c>
      <c r="CV271" s="1103" t="n">
        <v>0</v>
      </c>
      <c r="CW271" s="1103" t="n">
        <v>0</v>
      </c>
      <c r="CX271" s="1104" t="n">
        <v>0</v>
      </c>
      <c r="CY271" s="1105" t="n">
        <v>7791.95048</v>
      </c>
      <c r="CZ271" s="1099" t="n">
        <v>0</v>
      </c>
      <c r="DA271" s="852" t="n">
        <v>0</v>
      </c>
      <c r="DB271" s="852" t="n">
        <v>0</v>
      </c>
      <c r="DC271" s="852" t="n">
        <v>0</v>
      </c>
      <c r="DD271" s="852" t="n">
        <v>0</v>
      </c>
      <c r="DE271" s="1113" t="n">
        <v>0</v>
      </c>
      <c r="DF271" s="1109" t="n">
        <v>0</v>
      </c>
      <c r="DG271" s="1110" t="n">
        <v>0</v>
      </c>
      <c r="DH271" s="1111" t="n">
        <v>0</v>
      </c>
      <c r="DI271" s="1112" t="n">
        <v>0</v>
      </c>
      <c r="DJ271" s="1112" t="n">
        <v>0</v>
      </c>
      <c r="DK271" s="1112" t="n">
        <v>0</v>
      </c>
      <c r="DL271" s="1113" t="n">
        <v>0</v>
      </c>
      <c r="DM271" s="1114" t="n">
        <v>0</v>
      </c>
      <c r="DN271" s="1114" t="n">
        <v>0</v>
      </c>
      <c r="DO271" s="1114" t="n">
        <v>0</v>
      </c>
      <c r="DP271" s="1114" t="n">
        <v>0</v>
      </c>
      <c r="DQ271" s="1114" t="n">
        <v>0</v>
      </c>
      <c r="DR271" s="1109" t="n">
        <v>0</v>
      </c>
      <c r="DS271" s="852" t="n">
        <v>0</v>
      </c>
      <c r="DT271" s="852" t="n">
        <v>0</v>
      </c>
      <c r="DU271" s="852" t="n">
        <v>0</v>
      </c>
      <c r="DV271" s="852" t="n">
        <v>0</v>
      </c>
      <c r="DW271" s="852" t="n">
        <v>0</v>
      </c>
      <c r="DX271" s="852" t="n">
        <v>0</v>
      </c>
      <c r="DY271" s="852" t="n">
        <v>0</v>
      </c>
      <c r="DZ271" s="852" t="n">
        <v>0</v>
      </c>
      <c r="EA271" s="852" t="n">
        <v>0</v>
      </c>
      <c r="EB271" s="1113" t="n">
        <v>0</v>
      </c>
      <c r="EC271" s="1115" t="n">
        <f aca="false">DS271*BD271</f>
        <v>0</v>
      </c>
      <c r="ED271" s="1115" t="n">
        <f aca="false">DT271*BE271</f>
        <v>0</v>
      </c>
      <c r="EE271" s="1115" t="n">
        <f aca="false">DU271*BF271</f>
        <v>0</v>
      </c>
      <c r="EF271" s="1115" t="n">
        <f aca="false">DV271*BG271</f>
        <v>0</v>
      </c>
      <c r="EG271" s="1115" t="n">
        <f aca="false">DS271*BD271+DT271*BE271+DU271*BF271+DV271*BG271</f>
        <v>0</v>
      </c>
      <c r="EH271" s="1116" t="n">
        <v>0</v>
      </c>
      <c r="EI271" s="1117" t="n">
        <v>0</v>
      </c>
      <c r="EJ271" s="1117" t="n">
        <v>0</v>
      </c>
      <c r="EK271" s="1117" t="n">
        <v>0</v>
      </c>
      <c r="EL271" s="1118" t="n">
        <f aca="false">IF(C271&gt;=Summary!$E$26,MAX(0,SUM(EH271:EK271)),0)</f>
        <v>0</v>
      </c>
      <c r="EM271" s="1115" t="n">
        <f aca="false">IF(C271&gt;=Summary!$E$26,DX271*BL271,0)</f>
        <v>0</v>
      </c>
      <c r="EN271" s="1115" t="n">
        <f aca="false">IF(C271&gt;=Summary!$E$26,DY271*BM271,0)</f>
        <v>0</v>
      </c>
      <c r="EO271" s="1115" t="n">
        <f aca="false">IF(C271&gt;=Summary!$E$26,DZ271*BN271,0)</f>
        <v>0</v>
      </c>
      <c r="EP271" s="1115" t="n">
        <f aca="false">IF(C271&gt;=Summary!$E$26,EA271*BO271,0)</f>
        <v>0</v>
      </c>
      <c r="EQ271" s="1115" t="n">
        <f aca="false">IF(C271&gt;=Summary!$E$26,DX271*BL271+DY271*BM271+DZ271*BN271+EA271*BO271,0)</f>
        <v>0</v>
      </c>
      <c r="ER271" s="1119" t="n">
        <v>0</v>
      </c>
      <c r="ES271" s="1120" t="n">
        <v>0</v>
      </c>
      <c r="ET271" s="1120" t="n">
        <v>0</v>
      </c>
      <c r="EU271" s="1120" t="n">
        <v>0</v>
      </c>
      <c r="EV271" s="1143" t="n">
        <f aca="false">IF(C271&gt;=Summary!$E$26,MAX(0,SUM(ER271:EU271)),0)</f>
        <v>0</v>
      </c>
      <c r="EW271" s="1115"/>
      <c r="EX271" s="1165" t="n">
        <f aca="false">(EQ271-EV271)+IF(EZ271="Yes",(EG271-EL271),0)</f>
        <v>0</v>
      </c>
      <c r="EY271" s="1166" t="str">
        <f aca="false">IF(EX271,EX271/EQ271,"")</f>
        <v/>
      </c>
      <c r="EZ271" s="1122" t="s">
        <v>37</v>
      </c>
      <c r="FA271" s="1096" t="n">
        <f aca="false">FA270</f>
        <v>45</v>
      </c>
      <c r="FB271" s="1167" t="n">
        <f aca="false">IF(EZ271="No",IF((OR(MONTH(C271)=5,MONTH(C271)=6,MONTH(C271)=7,MONTH(C271)=8,MONTH(C271)=9)),$FA271*12*AX271*(1-$BC271),$FA271*10*AX271*(1-$BC271)),0)</f>
        <v>10194.75</v>
      </c>
      <c r="FC271" s="1129" t="n">
        <f aca="false">IF(EZ271="No",IF((OR(MONTH(C271)=5,MONTH(C271)=6,MONTH(C271)=7,MONTH(C271)=8,MONTH(C271)=9)),0,$FA271*3*AX271*(1-$BC271)),0)</f>
        <v>3058.425</v>
      </c>
      <c r="FD271" s="1129" t="n">
        <f aca="false">IF(EZ271="No",IF((OR(MONTH(C271)=5,MONTH(C271)=6,MONTH(C271)=7,MONTH(C271)=8,MONTH(C271)=9)),$FA271*12*AY271*(1-$BC271),$FA271*10*AY271*(1-$BC271)),0)</f>
        <v>1773</v>
      </c>
      <c r="FE271" s="1129" t="n">
        <f aca="false">IF(EZ271="No",IF((OR(MONTH(C271)=5,MONTH(C271)=6,MONTH(C271)=7,MONTH(C271)=8,MONTH(C271)=9)),0,$FA271*3*AY271*(1-$BC271)),0)</f>
        <v>531.9</v>
      </c>
      <c r="FF271" s="1129" t="n">
        <f aca="false">IF(EZ271="No",IF((OR(MONTH(C271)=5,MONTH(C271)=6,MONTH(C271)=7,MONTH(C271)=8,MONTH(C271)=9)),$FA271*12*(AZ271+BA271)*(1-$BC271),$FA271*10*(AZ271+BA271)*(1-$BC271)),0)</f>
        <v>1773</v>
      </c>
      <c r="FG271" s="1129" t="n">
        <f aca="false">IF(EZ271="No",IF((OR(MONTH(C271)=5,MONTH(C271)=6,MONTH(C271)=7,MONTH(C271)=8,MONTH(C271)=9)),0,$FA271*3*(AZ271+BA271)*(1-$BC271)),0)</f>
        <v>531.9</v>
      </c>
      <c r="FH271" s="1170" t="n">
        <f aca="false">IF(EZ271="No",IF((OR(MONTH(C271)=5,MONTH(C271)=6,MONTH(C271)=7,MONTH(C271)=8,MONTH(C271)=9)),Summary!$O$15*12*(AX271+AY271+AZ271+BA271)*(1-$BC271),Summary!$O$15*13*(AX271+AY271+AZ271+BA271)*(1-$BC271)+IF(Summary!$O$16="Yes",(CALC!FA271+Summary!$O$15)*6*(AX271+AY271+AZ271+BA271)*(1-$BC271),0)),0)</f>
        <v>0</v>
      </c>
      <c r="FI271" s="1126" t="n">
        <f aca="false">IF(MONTH(C271)=5,FI270*(IF(Summary!$E$70="no",(1+(Summary!$E$71*0.8)),1+HLOOKUP(YEAR(C271)-1,CCFMODEL!$I$127:$AF$128,2)*0.8)),+FI270)</f>
        <v>43.7746579110331</v>
      </c>
      <c r="FJ271" s="1127" t="n">
        <f aca="false">IF(MONTH(C271)=5,FJ270*(IF(Summary!$E$70="no",(1+(Summary!$E$71*0.8)),1+HLOOKUP(YEAR(CALC!C271)-1,CCFMODEL!$I$127:$AF$128,2)*0.8)),FJ270)</f>
        <v>38.2597403789344</v>
      </c>
      <c r="FK271" s="1128" t="n">
        <f aca="false">SUM(FB271:FG271)*FI271+FH271*FJ271</f>
        <v>781945.619898336</v>
      </c>
      <c r="FL271" s="1126" t="n">
        <f aca="false">IF(MONTH(C271)=5,FL270*(IF(Summary!$E$70="no",(1+(Summary!$E$71*0.8)),1+HLOOKUP(YEAR(CALC!C271)-1,CCFMODEL!$I$127:$AF$128,2)*0.8)),+FL270)</f>
        <v>92.0630132069682</v>
      </c>
      <c r="FM271" s="1127" t="n">
        <f aca="false">IF(MONTH(C271)=5,FM270*(IF(Summary!$E$70="no",(1+(Summary!$E$71*0.8)),1+HLOOKUP(YEAR(CALC!C271)-1,CCFMODEL!$I$127:$AF$128,2)*0.8)),+FM270)</f>
        <v>43.9387923613931</v>
      </c>
      <c r="FN271" s="1128" t="n">
        <f aca="false">IF((OR(MONTH(C271)=5,MONTH(C271)=6,MONTH(C271)=7,MONTH(C271)=8,MONTH(C271)=9)),SUM(FB271:FG271)/(1-BC271)*FL271,SUM(FB271:FG271)/(1-BC271)*FM271)</f>
        <v>796829.999473865</v>
      </c>
      <c r="FO271" s="1129" t="n">
        <f aca="false">FK271+FN271</f>
        <v>1578775.6193722</v>
      </c>
      <c r="FP271" s="1169" t="n">
        <f aca="false">FB271</f>
        <v>10194.75</v>
      </c>
      <c r="FQ271" s="1129" t="n">
        <f aca="false">FC271</f>
        <v>3058.425</v>
      </c>
      <c r="FR271" s="1129" t="n">
        <f aca="false">FD271</f>
        <v>1773</v>
      </c>
      <c r="FS271" s="1129" t="n">
        <f aca="false">FE271</f>
        <v>531.9</v>
      </c>
      <c r="FT271" s="1129" t="n">
        <f aca="false">FF271</f>
        <v>1773</v>
      </c>
      <c r="FU271" s="1129" t="n">
        <f aca="false">FG271</f>
        <v>531.9</v>
      </c>
      <c r="FV271" s="1170" t="n">
        <f aca="false">FH271</f>
        <v>0</v>
      </c>
      <c r="FW271" s="1115" t="n">
        <f aca="false">IF(ER271&gt;0,MIN(FB271-FP271,BL271),0)</f>
        <v>0</v>
      </c>
      <c r="FX271" s="1115" t="n">
        <f aca="false">IF(ES271&gt;0,MIN(FD271-FR271,BM271),0)</f>
        <v>0</v>
      </c>
      <c r="FY271" s="1115" t="n">
        <f aca="false">IF(ET271&gt;0,MIN(FF271-FT271,BN271),0)</f>
        <v>0</v>
      </c>
      <c r="FZ271" s="1143" t="n">
        <f aca="false">IF(EU271&gt;0,MIN(FH271-FV271,BO271),0)</f>
        <v>0</v>
      </c>
      <c r="GA271" s="1132" t="n">
        <f aca="false">(SUM(FP271:FV271)+SUM(GU271:HB271)/(1-Summary!$O$25))*CY271/1000</f>
        <v>237689.280698893</v>
      </c>
      <c r="GB271" s="1133" t="n">
        <f aca="false">IF($C271&lt;Summary!$M$81,+Summary!$O$81,VLOOKUP(C271,GasTable,19))</f>
        <v>3.9127989511282</v>
      </c>
      <c r="GC271" s="1134" t="n">
        <f aca="false">IF(H271&lt;=Summary!$N$84,MIN(GA271,Summary!$O$75*(H271-G271+1)),0)</f>
        <v>0</v>
      </c>
      <c r="GD271" s="1135" t="n">
        <f aca="false">IF(C271&lt;Summary!$N$84,IF(Summary!$O$75*(H271-G271+1)*0.8&gt;GC271,1,0),0)</f>
        <v>0</v>
      </c>
      <c r="GE271" s="1136" t="n">
        <v>0</v>
      </c>
      <c r="GF271" s="1134" t="n">
        <f aca="false">ABS(MIN(0,GC271-$GA271))</f>
        <v>237689.280698893</v>
      </c>
      <c r="GG271" s="1135" t="n">
        <f aca="false">GF271*(IF(Summary!$O$74=1,VLOOKUP($C271,GasTable,16)+Summary!$O$92+Summary!$O$93,VLOOKUP($C271,GasTable,19)+Summary!$O$92+Summary!$O$93))</f>
        <v>942413.979737459</v>
      </c>
      <c r="GH271" s="1137" t="n">
        <v>6064.83837424871</v>
      </c>
      <c r="GI271" s="1138" t="n">
        <v>0</v>
      </c>
      <c r="GJ271" s="1139" t="n">
        <f aca="false">+GB271*GC271+GE271+GG271+GH271-GI271</f>
        <v>948478.818111707</v>
      </c>
      <c r="GK271" s="1115" t="n">
        <f aca="false">SUM(FP271:FV271,GU271:GX271,GY271:HB271)</f>
        <v>30062.01285</v>
      </c>
      <c r="GL271" s="1140" t="n">
        <v>0.52206068216</v>
      </c>
      <c r="GM271" s="1141" t="n">
        <f aca="false">IF(GK271&gt;GC271/(CY271/1000),GC271/(CY271/1000),+GK271)*GL271</f>
        <v>0</v>
      </c>
      <c r="GN271" s="1115" t="n">
        <f aca="false">IF(SUM(GU271:HB271)=0,0,IF(Summary!$O$16="Yes",SUM(GX271:HB271),IF(Summary!$O$17="Yes",SUM(GY271:HB271),SUM(GU271:HB271))))</f>
        <v>12199.03785</v>
      </c>
      <c r="GO271" s="1142" t="n">
        <v>4.42661845915648</v>
      </c>
      <c r="GP271" s="1143" t="n">
        <f aca="false">GN271*GO271</f>
        <v>54000.4861307586</v>
      </c>
      <c r="GQ271" s="1115"/>
      <c r="GR271" s="1115"/>
      <c r="GS271" s="1115"/>
      <c r="GT271" s="1115"/>
      <c r="GU271" s="1150" t="n">
        <v>5902.76025</v>
      </c>
      <c r="GV271" s="1115" t="n">
        <v>1026.567</v>
      </c>
      <c r="GW271" s="1115" t="n">
        <v>1026.567</v>
      </c>
      <c r="GX271" s="1115"/>
      <c r="GY271" s="1151" t="n">
        <v>3148.1388</v>
      </c>
      <c r="GZ271" s="1115" t="n">
        <v>547.5024</v>
      </c>
      <c r="HA271" s="1115" t="n">
        <v>547.5024</v>
      </c>
      <c r="HB271" s="1141"/>
      <c r="HC271" s="1115" t="n">
        <v>12199.03785</v>
      </c>
      <c r="HD271" s="1115"/>
      <c r="HE271" s="1115" t="n">
        <v>20950.521525</v>
      </c>
      <c r="HF271" s="1115" t="n">
        <v>545846.122403553</v>
      </c>
      <c r="HG271" s="1115"/>
      <c r="HH271" s="1142" t="n">
        <v>44.0107302263029</v>
      </c>
      <c r="HI271" s="1115" t="n">
        <v>922047.750937126</v>
      </c>
      <c r="HJ271" s="1150" t="n">
        <f aca="false">MAX(FB271-FP271-FW271,0)</f>
        <v>0</v>
      </c>
      <c r="HK271" s="1115" t="n">
        <f aca="false">MAX(FD271-FR271-FX271,0)</f>
        <v>0</v>
      </c>
      <c r="HL271" s="1115" t="n">
        <f aca="false">MAX(FF271-FT271-FY271,0)</f>
        <v>0</v>
      </c>
      <c r="HM271" s="1141" t="n">
        <f aca="false">MAX(FH271-FV271-FZ271,0)</f>
        <v>0</v>
      </c>
      <c r="HN271" s="1115" t="n">
        <f aca="false">SUM(HJ271:HM271)</f>
        <v>0</v>
      </c>
      <c r="HO271" s="1142" t="n">
        <f aca="false">IF(ISERROR(+HP271/HN271),0,+HP271/HN271)</f>
        <v>0</v>
      </c>
      <c r="HP271" s="1143" t="n">
        <f aca="false">(HJ271*CE271+HK271*CF271+HL271*CG271+HM271*CH271)</f>
        <v>0</v>
      </c>
      <c r="HQ271" s="1142" t="s">
        <v>941</v>
      </c>
      <c r="HR271" s="1150" t="e">
        <f aca="false">SUMIF($A$17:$A$292,HQ271,$GF$17:$GF$292)</f>
        <v>#VALUE!</v>
      </c>
      <c r="HS271" s="1200" t="e">
        <f aca="false">IF(HT271=0,IF(OR(SUMIF(CURVES!$AU$6:$AU$283,$HQ271,CURVES!$BQ$6:$BQ$283)=0,COUNTIF(CURVES!$AU$6:$AU$283,$HQ271)=0),0,SUMIF(CURVES!$AU$6:$AU$283,$HQ271,CURVES!$BQ$6:$BQ$283)/COUNTIF(CURVES!$AU$6:$AU$283,$HQ271)),HT271/HR271)</f>
        <v>#VALUE!</v>
      </c>
      <c r="HT271" s="1141" t="e">
        <f aca="false">SUMIF($A$17:$A$292,HQ271,$GG$17:$GG$292)</f>
        <v>#VALUE!</v>
      </c>
      <c r="HU271" s="1150" t="n">
        <f aca="false">SUMIF($A$17:$A$292,HQ271,$GC$17:$GC$292)</f>
        <v>0</v>
      </c>
      <c r="HV271" s="1200" t="e">
        <f aca="false">IF(HW271=0,0,HW271/Summary!$O$79/HU271)</f>
        <v>#DIV/0!</v>
      </c>
      <c r="HW271" s="1141" t="n">
        <f aca="false">SUMIF($A$17:$A$292,HQ271,$GH$17:$GH$292)</f>
        <v>18278.5295952739</v>
      </c>
      <c r="HX271" s="1200" t="n">
        <f aca="false">IF(OR(SUMIF(CURVES!$AU$6:$AU$283,$HQ271,CURVES!$BQ$6:$BQ$283)=0,COUNTIF(CURVES!$AU$6:$AU$283,$HQ271)=0),0,SUMIF(CURVES!$AU$6:$AU$283,$HQ271,CURVES!$BQ$6:$BQ$283)/COUNTIF(CURVES!$AU$6:$AU$283,$HQ271))</f>
        <v>4.68778308637174</v>
      </c>
      <c r="HY271" s="1200" t="n">
        <f aca="false">IF(OR(SUMIF(CURVES!$AU$6:$AU$283,$HQ271,CURVES!$BR$6:$BR$283)=0,COUNTIF(CURVES!$AU$6:$AU$283,$HQ271)=0),0,SUMIF(CURVES!$AU$6:$AU$283,$HQ271,CURVES!$BR$6:$BR$283)/COUNTIF(CURVES!$AU$6:$AU$283,$HQ271))</f>
        <v>3.70729335028569</v>
      </c>
      <c r="HZ271" s="0"/>
      <c r="IA271" s="1142"/>
      <c r="IB271" s="1142"/>
      <c r="IC271" s="1142"/>
      <c r="ID271" s="1142"/>
      <c r="IE271" s="1142"/>
      <c r="IF271" s="1142"/>
      <c r="IG271" s="1142"/>
      <c r="IH271" s="1142"/>
      <c r="II271" s="1142"/>
      <c r="IJ271" s="1142"/>
      <c r="IK271" s="1142"/>
      <c r="IL271" s="1190"/>
      <c r="IM271" s="222"/>
      <c r="IN271" s="222"/>
      <c r="IR271" s="844"/>
    </row>
    <row r="272" customFormat="false" ht="13.5" hidden="false" customHeight="false" outlineLevel="0" collapsed="false">
      <c r="A272" s="0" t="str">
        <f aca="false">+D272&amp;"Q"&amp;ROUNDUP(E272/3,0)</f>
        <v>2021Q2</v>
      </c>
      <c r="B272" s="0" t="n">
        <f aca="false">YEAR(C272)</f>
        <v>2021</v>
      </c>
      <c r="C272" s="1153" t="n">
        <f aca="false">EOMONTH(C271,0)+1</f>
        <v>44287</v>
      </c>
      <c r="D272" s="841" t="n">
        <f aca="false">+YEAR(C272)</f>
        <v>2021</v>
      </c>
      <c r="E272" s="807" t="n">
        <f aca="false">MONTH(C272)</f>
        <v>4</v>
      </c>
      <c r="F272" s="1154" t="e">
        <f aca="false">IF(G272="","",Holiday(D272,E272))</f>
        <v>#VALUE!</v>
      </c>
      <c r="G272" s="1155" t="n">
        <v>44287</v>
      </c>
      <c r="H272" s="1156" t="n">
        <v>44316</v>
      </c>
      <c r="I272" s="1157" t="n">
        <f aca="false">I271</f>
        <v>0.0715</v>
      </c>
      <c r="J272" s="1158" t="n">
        <f aca="false">(1+I272/2)^(-2*(DATE(D273,E273,20)-$H$7)/365.25)</f>
        <v>0.22192124138221</v>
      </c>
      <c r="K272" s="1159"/>
      <c r="L272" s="1158"/>
      <c r="M272" s="1082" t="n">
        <v>0</v>
      </c>
      <c r="N272" s="1110" t="n">
        <f aca="false">M272</f>
        <v>0</v>
      </c>
      <c r="O272" s="1174" t="n">
        <f aca="false">N272</f>
        <v>0</v>
      </c>
      <c r="P272" s="1175" t="n">
        <f aca="false">M272</f>
        <v>0</v>
      </c>
      <c r="Q272" s="1110" t="n">
        <f aca="false">P272</f>
        <v>0</v>
      </c>
      <c r="R272" s="1174" t="n">
        <f aca="false">Q272</f>
        <v>0</v>
      </c>
      <c r="S272" s="1110" t="n">
        <f aca="false">R272</f>
        <v>0</v>
      </c>
      <c r="T272" s="1110" t="n">
        <f aca="false">S272</f>
        <v>0</v>
      </c>
      <c r="U272" s="1110" t="n">
        <f aca="false">T272</f>
        <v>0</v>
      </c>
      <c r="V272" s="1175" t="n">
        <f aca="false">U272</f>
        <v>0</v>
      </c>
      <c r="W272" s="1110" t="n">
        <f aca="false">V272</f>
        <v>0</v>
      </c>
      <c r="X272" s="1176" t="n">
        <f aca="false">W272</f>
        <v>0</v>
      </c>
      <c r="Y272" s="1086" t="n">
        <v>0</v>
      </c>
      <c r="Z272" s="1086" t="n">
        <v>0</v>
      </c>
      <c r="AA272" s="1087" t="n">
        <v>0</v>
      </c>
      <c r="AB272" s="1086" t="n">
        <v>0</v>
      </c>
      <c r="AC272" s="1086" t="n">
        <v>0</v>
      </c>
      <c r="AD272" s="1087" t="n">
        <v>0</v>
      </c>
      <c r="AE272" s="1086" t="n">
        <v>0</v>
      </c>
      <c r="AF272" s="1086" t="n">
        <v>0</v>
      </c>
      <c r="AG272" s="1087" t="n">
        <v>0</v>
      </c>
      <c r="AH272" s="1086" t="n">
        <v>0</v>
      </c>
      <c r="AI272" s="1086" t="n">
        <v>0</v>
      </c>
      <c r="AJ272" s="1087" t="n">
        <v>0</v>
      </c>
      <c r="AK272" s="1086" t="n">
        <v>0</v>
      </c>
      <c r="AL272" s="1086" t="n">
        <v>0</v>
      </c>
      <c r="AM272" s="1087" t="n">
        <v>0</v>
      </c>
      <c r="AN272" s="1086" t="n">
        <v>0</v>
      </c>
      <c r="AO272" s="1086" t="n">
        <v>0</v>
      </c>
      <c r="AP272" s="1087" t="n">
        <v>0</v>
      </c>
      <c r="AQ272" s="1086" t="n">
        <v>0</v>
      </c>
      <c r="AR272" s="1086" t="n">
        <v>0</v>
      </c>
      <c r="AS272" s="1087" t="n">
        <v>0</v>
      </c>
      <c r="AT272" s="1086" t="n">
        <v>0</v>
      </c>
      <c r="AU272" s="1086" t="n">
        <v>0</v>
      </c>
      <c r="AV272" s="1086" t="n">
        <v>0</v>
      </c>
      <c r="AW272" s="1172" t="n">
        <v>0</v>
      </c>
      <c r="AX272" s="807" t="n">
        <f aca="false">BB272-SUM(AY272:BA272)</f>
        <v>22</v>
      </c>
      <c r="AY272" s="807" t="n">
        <f aca="false">IF(AND($E272=MONTH(Summary!$E$24),$D272=YEAR(Summary!$E$24)),Summary!$E$25,1)*IF(G272="",0,INT((H272-MOD(H272,7)-G272)/7)+1-IF(BA272,IF(WEEKDAY(F272)=7,1,0),0))</f>
        <v>4</v>
      </c>
      <c r="AZ272" s="807" t="n">
        <f aca="false">IF(AND($E272=MONTH(Summary!$E$24),$D272=YEAR(Summary!$E$24)),Summary!$E$25,1)*IF(G272="",0,INT((H272-MOD(H272-1,7)-G272)/7)+1-IF(BA272,IF(WEEKDAY(F272)=1,1,0),0))</f>
        <v>4</v>
      </c>
      <c r="BA272" s="807" t="n">
        <v>0</v>
      </c>
      <c r="BB272" s="807" t="n">
        <f aca="false">IF(AND($E272=MONTH(Summary!$E$24),$D272=YEAR(Summary!$E$24)),Summary!$E$25,1)*IF(G272="",0,H272-G272+1)</f>
        <v>30</v>
      </c>
      <c r="BC272" s="1089" t="n">
        <f aca="false">Summary!$E$19</f>
        <v>0.015</v>
      </c>
      <c r="BD272" s="1090" t="n">
        <v>15602.4</v>
      </c>
      <c r="BE272" s="1091" t="n">
        <v>2836.8</v>
      </c>
      <c r="BF272" s="1091" t="n">
        <v>2836.8</v>
      </c>
      <c r="BG272" s="842"/>
      <c r="BH272" s="1092" t="n">
        <v>1</v>
      </c>
      <c r="BI272" s="1092" t="n">
        <v>1</v>
      </c>
      <c r="BJ272" s="1092" t="n">
        <v>1</v>
      </c>
      <c r="BK272" s="1092" t="n">
        <v>1</v>
      </c>
      <c r="BL272" s="1093" t="n">
        <v>3120.48</v>
      </c>
      <c r="BM272" s="1091" t="n">
        <v>567.36</v>
      </c>
      <c r="BN272" s="1091" t="n">
        <v>567.36</v>
      </c>
      <c r="BO272" s="842"/>
      <c r="BP272" s="1092" t="n">
        <v>1</v>
      </c>
      <c r="BQ272" s="1094" t="n">
        <v>1</v>
      </c>
      <c r="BR272" s="1094" t="n">
        <v>1</v>
      </c>
      <c r="BS272" s="1095" t="n">
        <v>1</v>
      </c>
      <c r="BT272" s="1093" t="n">
        <f aca="false">SUM(BD272:BF272)</f>
        <v>21276</v>
      </c>
      <c r="BU272" s="1098" t="n">
        <f aca="false">SUM(BD272:BG272)</f>
        <v>21276</v>
      </c>
      <c r="BV272" s="1090" t="n">
        <f aca="false">SUM(BL272:BN272)</f>
        <v>4255.2</v>
      </c>
      <c r="BW272" s="1098" t="n">
        <f aca="false">SUM(BL272:BO272)</f>
        <v>4255.2</v>
      </c>
      <c r="BX272" s="852" t="n">
        <v>21.2950034223135</v>
      </c>
      <c r="BY272" s="1099" t="n">
        <v>0</v>
      </c>
      <c r="BZ272" s="852" t="n">
        <v>0</v>
      </c>
      <c r="CA272" s="852" t="n">
        <v>0</v>
      </c>
      <c r="CB272" s="852" t="n">
        <v>0</v>
      </c>
      <c r="CC272" s="852" t="n">
        <v>0</v>
      </c>
      <c r="CD272" s="852" t="n">
        <v>0</v>
      </c>
      <c r="CE272" s="1100" t="n">
        <v>0</v>
      </c>
      <c r="CF272" s="852" t="n">
        <v>0</v>
      </c>
      <c r="CG272" s="852" t="n">
        <v>0</v>
      </c>
      <c r="CH272" s="852" t="n">
        <v>0</v>
      </c>
      <c r="CI272" s="852" t="n">
        <v>0</v>
      </c>
      <c r="CJ272" s="1101" t="n">
        <v>0</v>
      </c>
      <c r="CK272" s="852" t="n">
        <v>0</v>
      </c>
      <c r="CL272" s="852" t="n">
        <v>0</v>
      </c>
      <c r="CM272" s="852" t="n">
        <v>0</v>
      </c>
      <c r="CN272" s="852" t="n">
        <v>0</v>
      </c>
      <c r="CO272" s="852" t="n">
        <v>0</v>
      </c>
      <c r="CP272" s="852" t="n">
        <v>0</v>
      </c>
      <c r="CQ272" s="1102" t="n">
        <v>0</v>
      </c>
      <c r="CR272" s="1103" t="n">
        <v>0</v>
      </c>
      <c r="CS272" s="1103" t="n">
        <v>0</v>
      </c>
      <c r="CT272" s="1103" t="n">
        <v>0</v>
      </c>
      <c r="CU272" s="1103" t="n">
        <v>0</v>
      </c>
      <c r="CV272" s="1103" t="n">
        <v>0</v>
      </c>
      <c r="CW272" s="1103" t="n">
        <v>0</v>
      </c>
      <c r="CX272" s="1104" t="n">
        <v>0</v>
      </c>
      <c r="CY272" s="1105" t="n">
        <v>7793.98144</v>
      </c>
      <c r="CZ272" s="1099" t="n">
        <v>0</v>
      </c>
      <c r="DA272" s="852" t="n">
        <v>0</v>
      </c>
      <c r="DB272" s="852" t="n">
        <v>0</v>
      </c>
      <c r="DC272" s="852" t="n">
        <v>0</v>
      </c>
      <c r="DD272" s="852" t="n">
        <v>0</v>
      </c>
      <c r="DE272" s="1113" t="n">
        <v>0</v>
      </c>
      <c r="DF272" s="1109" t="n">
        <v>0</v>
      </c>
      <c r="DG272" s="1110" t="n">
        <v>0</v>
      </c>
      <c r="DH272" s="1111" t="n">
        <v>0</v>
      </c>
      <c r="DI272" s="1112" t="n">
        <v>0</v>
      </c>
      <c r="DJ272" s="1112" t="n">
        <v>0</v>
      </c>
      <c r="DK272" s="1112" t="n">
        <v>0</v>
      </c>
      <c r="DL272" s="1113" t="n">
        <v>0</v>
      </c>
      <c r="DM272" s="1114" t="n">
        <v>0</v>
      </c>
      <c r="DN272" s="1114" t="n">
        <v>0</v>
      </c>
      <c r="DO272" s="1114" t="n">
        <v>0</v>
      </c>
      <c r="DP272" s="1114" t="n">
        <v>0</v>
      </c>
      <c r="DQ272" s="1114" t="n">
        <v>0</v>
      </c>
      <c r="DR272" s="1109" t="n">
        <v>0</v>
      </c>
      <c r="DS272" s="852" t="n">
        <v>0</v>
      </c>
      <c r="DT272" s="852" t="n">
        <v>0</v>
      </c>
      <c r="DU272" s="852" t="n">
        <v>0</v>
      </c>
      <c r="DV272" s="852" t="n">
        <v>0</v>
      </c>
      <c r="DW272" s="852" t="n">
        <v>0</v>
      </c>
      <c r="DX272" s="852" t="n">
        <v>0</v>
      </c>
      <c r="DY272" s="852" t="n">
        <v>0</v>
      </c>
      <c r="DZ272" s="852" t="n">
        <v>0</v>
      </c>
      <c r="EA272" s="852" t="n">
        <v>0</v>
      </c>
      <c r="EB272" s="1113" t="n">
        <v>0</v>
      </c>
      <c r="EC272" s="1115" t="n">
        <f aca="false">DS272*BD272</f>
        <v>0</v>
      </c>
      <c r="ED272" s="1115" t="n">
        <f aca="false">DT272*BE272</f>
        <v>0</v>
      </c>
      <c r="EE272" s="1115" t="n">
        <f aca="false">DU272*BF272</f>
        <v>0</v>
      </c>
      <c r="EF272" s="1115" t="n">
        <f aca="false">DV272*BG272</f>
        <v>0</v>
      </c>
      <c r="EG272" s="1115" t="n">
        <f aca="false">DS272*BD272+DT272*BE272+DU272*BF272+DV272*BG272</f>
        <v>0</v>
      </c>
      <c r="EH272" s="1116" t="n">
        <v>0</v>
      </c>
      <c r="EI272" s="1117" t="n">
        <v>0</v>
      </c>
      <c r="EJ272" s="1117" t="n">
        <v>0</v>
      </c>
      <c r="EK272" s="1117" t="n">
        <v>0</v>
      </c>
      <c r="EL272" s="1118" t="n">
        <f aca="false">IF(C272&gt;=Summary!$E$26,MAX(0,SUM(EH272:EK272)),0)</f>
        <v>0</v>
      </c>
      <c r="EM272" s="1115" t="n">
        <f aca="false">IF(C272&gt;=Summary!$E$26,DX272*BL272,0)</f>
        <v>0</v>
      </c>
      <c r="EN272" s="1115" t="n">
        <f aca="false">IF(C272&gt;=Summary!$E$26,DY272*BM272,0)</f>
        <v>0</v>
      </c>
      <c r="EO272" s="1115" t="n">
        <f aca="false">IF(C272&gt;=Summary!$E$26,DZ272*BN272,0)</f>
        <v>0</v>
      </c>
      <c r="EP272" s="1115" t="n">
        <f aca="false">IF(C272&gt;=Summary!$E$26,EA272*BO272,0)</f>
        <v>0</v>
      </c>
      <c r="EQ272" s="1115" t="n">
        <f aca="false">IF(C272&gt;=Summary!$E$26,DX272*BL272+DY272*BM272+DZ272*BN272+EA272*BO272,0)</f>
        <v>0</v>
      </c>
      <c r="ER272" s="1119" t="n">
        <v>0</v>
      </c>
      <c r="ES272" s="1120" t="n">
        <v>0</v>
      </c>
      <c r="ET272" s="1120" t="n">
        <v>0</v>
      </c>
      <c r="EU272" s="1120" t="n">
        <v>0</v>
      </c>
      <c r="EV272" s="1143" t="n">
        <f aca="false">IF(C272&gt;=Summary!$E$26,MAX(0,SUM(ER272:EU272)),0)</f>
        <v>0</v>
      </c>
      <c r="EW272" s="1115"/>
      <c r="EX272" s="1165" t="n">
        <f aca="false">(EQ272-EV272)+IF(EZ272="Yes",(EG272-EL272),0)</f>
        <v>0</v>
      </c>
      <c r="EY272" s="1166" t="str">
        <f aca="false">IF(EX272,EX272/EQ272,"")</f>
        <v/>
      </c>
      <c r="EZ272" s="1122" t="s">
        <v>37</v>
      </c>
      <c r="FA272" s="1096" t="n">
        <f aca="false">FA271</f>
        <v>45</v>
      </c>
      <c r="FB272" s="1167" t="n">
        <f aca="false">IF(EZ272="No",IF((OR(MONTH(C272)=5,MONTH(C272)=6,MONTH(C272)=7,MONTH(C272)=8,MONTH(C272)=9)),$FA272*12*AX272*(1-$BC272),$FA272*10*AX272*(1-$BC272)),0)</f>
        <v>9751.5</v>
      </c>
      <c r="FC272" s="1129" t="n">
        <f aca="false">IF(EZ272="No",IF((OR(MONTH(C272)=5,MONTH(C272)=6,MONTH(C272)=7,MONTH(C272)=8,MONTH(C272)=9)),0,$FA272*3*AX272*(1-$BC272)),0)</f>
        <v>2925.45</v>
      </c>
      <c r="FD272" s="1129" t="n">
        <f aca="false">IF(EZ272="No",IF((OR(MONTH(C272)=5,MONTH(C272)=6,MONTH(C272)=7,MONTH(C272)=8,MONTH(C272)=9)),$FA272*12*AY272*(1-$BC272),$FA272*10*AY272*(1-$BC272)),0)</f>
        <v>1773</v>
      </c>
      <c r="FE272" s="1129" t="n">
        <f aca="false">IF(EZ272="No",IF((OR(MONTH(C272)=5,MONTH(C272)=6,MONTH(C272)=7,MONTH(C272)=8,MONTH(C272)=9)),0,$FA272*3*AY272*(1-$BC272)),0)</f>
        <v>531.9</v>
      </c>
      <c r="FF272" s="1129" t="n">
        <f aca="false">IF(EZ272="No",IF((OR(MONTH(C272)=5,MONTH(C272)=6,MONTH(C272)=7,MONTH(C272)=8,MONTH(C272)=9)),$FA272*12*(AZ272+BA272)*(1-$BC272),$FA272*10*(AZ272+BA272)*(1-$BC272)),0)</f>
        <v>1773</v>
      </c>
      <c r="FG272" s="1129" t="n">
        <f aca="false">IF(EZ272="No",IF((OR(MONTH(C272)=5,MONTH(C272)=6,MONTH(C272)=7,MONTH(C272)=8,MONTH(C272)=9)),0,$FA272*3*(AZ272+BA272)*(1-$BC272)),0)</f>
        <v>531.9</v>
      </c>
      <c r="FH272" s="1170" t="n">
        <f aca="false">IF(EZ272="No",IF((OR(MONTH(C272)=5,MONTH(C272)=6,MONTH(C272)=7,MONTH(C272)=8,MONTH(C272)=9)),Summary!$O$15*12*(AX272+AY272+AZ272+BA272)*(1-$BC272),Summary!$O$15*13*(AX272+AY272+AZ272+BA272)*(1-$BC272)+IF(Summary!$O$16="Yes",(CALC!FA272+Summary!$O$15)*6*(AX272+AY272+AZ272+BA272)*(1-$BC272),0)),0)</f>
        <v>0</v>
      </c>
      <c r="FI272" s="1126" t="n">
        <f aca="false">IF(MONTH(C272)=5,FI271*(IF(Summary!$E$70="no",(1+(Summary!$E$71*0.8)),1+HLOOKUP(YEAR(C272)-1,CCFMODEL!$I$127:$AF$128,2)*0.8)),+FI271)</f>
        <v>43.7746579110331</v>
      </c>
      <c r="FJ272" s="1127" t="n">
        <f aca="false">IF(MONTH(C272)=5,FJ271*(IF(Summary!$E$70="no",(1+(Summary!$E$71*0.8)),1+HLOOKUP(YEAR(CALC!C272)-1,CCFMODEL!$I$127:$AF$128,2)*0.8)),FJ271)</f>
        <v>38.2597403789344</v>
      </c>
      <c r="FK272" s="1128" t="n">
        <f aca="false">SUM(FB272:FG272)*FI272+FH272*FJ272</f>
        <v>756721.567643551</v>
      </c>
      <c r="FL272" s="1126" t="n">
        <f aca="false">IF(MONTH(C272)=5,FL271*(IF(Summary!$E$70="no",(1+(Summary!$E$71*0.8)),1+HLOOKUP(YEAR(CALC!C272)-1,CCFMODEL!$I$127:$AF$128,2)*0.8)),+FL271)</f>
        <v>92.0630132069682</v>
      </c>
      <c r="FM272" s="1127" t="n">
        <f aca="false">IF(MONTH(C272)=5,FM271*(IF(Summary!$E$70="no",(1+(Summary!$E$71*0.8)),1+HLOOKUP(YEAR(CALC!C272)-1,CCFMODEL!$I$127:$AF$128,2)*0.8)),+FM271)</f>
        <v>43.9387923613931</v>
      </c>
      <c r="FN272" s="1128" t="n">
        <f aca="false">IF((OR(MONTH(C272)=5,MONTH(C272)=6,MONTH(C272)=7,MONTH(C272)=8,MONTH(C272)=9)),SUM(FB272:FG272)/(1-BC272)*FL272,SUM(FB272:FG272)/(1-BC272)*FM272)</f>
        <v>771125.805942449</v>
      </c>
      <c r="FO272" s="1129" t="n">
        <f aca="false">FK272+FN272</f>
        <v>1527847.373586</v>
      </c>
      <c r="FP272" s="1169" t="n">
        <f aca="false">FB272</f>
        <v>9751.5</v>
      </c>
      <c r="FQ272" s="1129" t="n">
        <f aca="false">FC272</f>
        <v>2925.45</v>
      </c>
      <c r="FR272" s="1129" t="n">
        <f aca="false">FD272</f>
        <v>1773</v>
      </c>
      <c r="FS272" s="1129" t="n">
        <f aca="false">FE272</f>
        <v>531.9</v>
      </c>
      <c r="FT272" s="1129" t="n">
        <f aca="false">FF272</f>
        <v>1773</v>
      </c>
      <c r="FU272" s="1129" t="n">
        <f aca="false">FG272</f>
        <v>531.9</v>
      </c>
      <c r="FV272" s="1170" t="n">
        <f aca="false">FH272</f>
        <v>0</v>
      </c>
      <c r="FW272" s="1115" t="n">
        <f aca="false">IF(ER272&gt;0,MIN(FB272-FP272,BL272),0)</f>
        <v>0</v>
      </c>
      <c r="FX272" s="1115" t="n">
        <f aca="false">IF(ES272&gt;0,MIN(FD272-FR272,BM272),0)</f>
        <v>0</v>
      </c>
      <c r="FY272" s="1115" t="n">
        <f aca="false">IF(ET272&gt;0,MIN(FF272-FT272,BN272),0)</f>
        <v>0</v>
      </c>
      <c r="FZ272" s="1143" t="n">
        <f aca="false">IF(EU272&gt;0,MIN(FH272-FV272,BO272),0)</f>
        <v>0</v>
      </c>
      <c r="GA272" s="1132" t="n">
        <f aca="false">(SUM(FP272:FV272)+SUM(GU272:HB272)/(1-Summary!$O$25))*CY272/1000</f>
        <v>230081.839400448</v>
      </c>
      <c r="GB272" s="1133" t="n">
        <f aca="false">IF($C272&lt;Summary!$M$81,+Summary!$O$81,VLOOKUP(C272,GasTable,19))</f>
        <v>3.79541218935532</v>
      </c>
      <c r="GC272" s="1134" t="n">
        <f aca="false">IF(H272&lt;=Summary!$N$84,MIN(GA272,Summary!$O$75*(H272-G272+1)),0)</f>
        <v>0</v>
      </c>
      <c r="GD272" s="1135" t="n">
        <f aca="false">IF(C272&lt;Summary!$N$84,IF(Summary!$O$75*(H272-G272+1)*0.8&gt;GC272,1,0),0)</f>
        <v>0</v>
      </c>
      <c r="GE272" s="1136" t="n">
        <v>0</v>
      </c>
      <c r="GF272" s="1134" t="n">
        <f aca="false">ABS(MIN(0,GC272-$GA272))</f>
        <v>230081.839400448</v>
      </c>
      <c r="GG272" s="1135" t="n">
        <f aca="false">GF272*(IF(Summary!$O$74=1,VLOOKUP($C272,GasTable,16)+Summary!$O$92+Summary!$O$93,VLOOKUP($C272,GasTable,19)+Summary!$O$92+Summary!$O$93))</f>
        <v>885242.681642516</v>
      </c>
      <c r="GH272" s="1137" t="n">
        <v>5693.11828403298</v>
      </c>
      <c r="GI272" s="1138" t="n">
        <v>0</v>
      </c>
      <c r="GJ272" s="1139" t="n">
        <f aca="false">+GB272*GC272+GE272+GG272+GH272-GI272</f>
        <v>890935.799926549</v>
      </c>
      <c r="GK272" s="1115" t="n">
        <f aca="false">SUM(FP272:FV272,GU272:GX272,GY272:HB272)</f>
        <v>29092.2705</v>
      </c>
      <c r="GL272" s="1140" t="n">
        <v>0.52219675648</v>
      </c>
      <c r="GM272" s="1141" t="n">
        <f aca="false">IF(GK272&gt;GC272/(CY272/1000),GC272/(CY272/1000),+GK272)*GL272</f>
        <v>0</v>
      </c>
      <c r="GN272" s="1115" t="n">
        <f aca="false">IF(SUM(GU272:HB272)=0,0,IF(Summary!$O$16="Yes",SUM(GX272:HB272),IF(Summary!$O$17="Yes",SUM(GY272:HB272),SUM(GU272:HB272))))</f>
        <v>11805.5205</v>
      </c>
      <c r="GO272" s="1142" t="n">
        <v>4.42661845915648</v>
      </c>
      <c r="GP272" s="1143" t="n">
        <f aca="false">GN272*GO272</f>
        <v>52258.5349652502</v>
      </c>
      <c r="GQ272" s="1115"/>
      <c r="GR272" s="1115"/>
      <c r="GS272" s="1115"/>
      <c r="GT272" s="1115"/>
      <c r="GU272" s="1150" t="n">
        <v>5646.1185</v>
      </c>
      <c r="GV272" s="1115" t="n">
        <v>1026.567</v>
      </c>
      <c r="GW272" s="1115" t="n">
        <v>1026.567</v>
      </c>
      <c r="GX272" s="1115"/>
      <c r="GY272" s="1151" t="n">
        <v>3011.2632</v>
      </c>
      <c r="GZ272" s="1115" t="n">
        <v>547.5024</v>
      </c>
      <c r="HA272" s="1115" t="n">
        <v>547.5024</v>
      </c>
      <c r="HB272" s="1141"/>
      <c r="HC272" s="1115" t="n">
        <v>11805.5205</v>
      </c>
      <c r="HD272" s="1115"/>
      <c r="HE272" s="1115" t="n">
        <v>20274.69825</v>
      </c>
      <c r="HF272" s="1115" t="n">
        <v>522099.012381981</v>
      </c>
      <c r="HG272" s="1115"/>
      <c r="HH272" s="1142" t="n">
        <v>43.4258600875486</v>
      </c>
      <c r="HI272" s="1115" t="n">
        <v>880446.209521766</v>
      </c>
      <c r="HJ272" s="1150" t="n">
        <f aca="false">MAX(FB272-FP272-FW272,0)</f>
        <v>0</v>
      </c>
      <c r="HK272" s="1115" t="n">
        <f aca="false">MAX(FD272-FR272-FX272,0)</f>
        <v>0</v>
      </c>
      <c r="HL272" s="1115" t="n">
        <f aca="false">MAX(FF272-FT272-FY272,0)</f>
        <v>0</v>
      </c>
      <c r="HM272" s="1141" t="n">
        <f aca="false">MAX(FH272-FV272-FZ272,0)</f>
        <v>0</v>
      </c>
      <c r="HN272" s="1115" t="n">
        <f aca="false">SUM(HJ272:HM272)</f>
        <v>0</v>
      </c>
      <c r="HO272" s="1142" t="n">
        <f aca="false">IF(ISERROR(+HP272/HN272),0,+HP272/HN272)</f>
        <v>0</v>
      </c>
      <c r="HP272" s="1143" t="n">
        <f aca="false">(HJ272*CE272+HK272*CF272+HL272*CG272+HM272*CH272)</f>
        <v>0</v>
      </c>
      <c r="HQ272" s="1142" t="s">
        <v>942</v>
      </c>
      <c r="HR272" s="1150" t="e">
        <f aca="false">SUMIF($A$17:$A$292,HQ272,$GF$17:$GF$292)</f>
        <v>#VALUE!</v>
      </c>
      <c r="HS272" s="1200" t="e">
        <f aca="false">IF(HT272=0,IF(OR(SUMIF(CURVES!$AU$6:$AU$283,$HQ272,CURVES!$BQ$6:$BQ$283)=0,COUNTIF(CURVES!$AU$6:$AU$283,$HQ272)=0),0,SUMIF(CURVES!$AU$6:$AU$283,$HQ272,CURVES!$BQ$6:$BQ$283)/COUNTIF(CURVES!$AU$6:$AU$283,$HQ272)),HT272/HR272)</f>
        <v>#VALUE!</v>
      </c>
      <c r="HT272" s="1141" t="e">
        <f aca="false">SUMIF($A$17:$A$292,HQ272,$GG$17:$GG$292)</f>
        <v>#VALUE!</v>
      </c>
      <c r="HU272" s="1150" t="n">
        <f aca="false">SUMIF($A$17:$A$292,HQ272,$GC$17:$GC$292)</f>
        <v>0</v>
      </c>
      <c r="HV272" s="1200" t="e">
        <f aca="false">IF(HW272=0,0,HW272/Summary!$O$79/HU272)</f>
        <v>#DIV/0!</v>
      </c>
      <c r="HW272" s="1141" t="n">
        <f aca="false">SUMIF($A$17:$A$292,HQ272,$GH$17:$GH$292)</f>
        <v>20730.2218270145</v>
      </c>
      <c r="HX272" s="1200" t="n">
        <f aca="false">IF(OR(SUMIF(CURVES!$AU$6:$AU$283,$HQ272,CURVES!$BQ$6:$BQ$283)=0,COUNTIF(CURVES!$AU$6:$AU$283,$HQ272)=0),0,SUMIF(CURVES!$AU$6:$AU$283,$HQ272,CURVES!$BQ$6:$BQ$283)/COUNTIF(CURVES!$AU$6:$AU$283,$HQ272))</f>
        <v>5.2444518292276</v>
      </c>
      <c r="HY272" s="1200" t="n">
        <f aca="false">IF(OR(SUMIF(CURVES!$AU$6:$AU$283,$HQ272,CURVES!$BR$6:$BR$283)=0,COUNTIF(CURVES!$AU$6:$AU$283,$HQ272)=0),0,SUMIF(CURVES!$AU$6:$AU$283,$HQ272,CURVES!$BR$6:$BR$283)/COUNTIF(CURVES!$AU$6:$AU$283,$HQ272))</f>
        <v>4.01263094160052</v>
      </c>
      <c r="HZ272" s="0"/>
      <c r="IA272" s="1142"/>
      <c r="IB272" s="1142"/>
      <c r="IC272" s="1142"/>
      <c r="ID272" s="1142"/>
      <c r="IE272" s="1142"/>
      <c r="IF272" s="1142"/>
      <c r="IG272" s="1142"/>
      <c r="IH272" s="1142"/>
      <c r="II272" s="1142"/>
      <c r="IJ272" s="1142"/>
      <c r="IK272" s="1142"/>
      <c r="IL272" s="1190"/>
      <c r="IM272" s="222"/>
      <c r="IN272" s="222"/>
      <c r="IR272" s="844"/>
    </row>
    <row r="273" customFormat="false" ht="13.5" hidden="false" customHeight="false" outlineLevel="0" collapsed="false">
      <c r="A273" s="0" t="str">
        <f aca="false">+D273&amp;"Q"&amp;ROUNDUP(E273/3,0)</f>
        <v>2021Q2</v>
      </c>
      <c r="B273" s="0" t="n">
        <f aca="false">YEAR(C273)</f>
        <v>2021</v>
      </c>
      <c r="C273" s="1153" t="n">
        <f aca="false">EOMONTH(C272,0)+1</f>
        <v>44317</v>
      </c>
      <c r="D273" s="841" t="n">
        <f aca="false">+YEAR(C273)</f>
        <v>2021</v>
      </c>
      <c r="E273" s="807" t="n">
        <f aca="false">MONTH(C273)</f>
        <v>5</v>
      </c>
      <c r="F273" s="1154" t="e">
        <f aca="false">IF(G273="","",Holiday(D273,E273))</f>
        <v>#VALUE!</v>
      </c>
      <c r="G273" s="1155" t="n">
        <v>44317</v>
      </c>
      <c r="H273" s="1156" t="n">
        <v>44347</v>
      </c>
      <c r="I273" s="1157" t="n">
        <f aca="false">I272</f>
        <v>0.0715</v>
      </c>
      <c r="J273" s="1158" t="n">
        <f aca="false">(1+I273/2)^(-2*(DATE(D274,E274,20)-$H$7)/365.25)</f>
        <v>0.220601975012985</v>
      </c>
      <c r="K273" s="1159"/>
      <c r="L273" s="1158"/>
      <c r="M273" s="1082" t="n">
        <v>0</v>
      </c>
      <c r="N273" s="1110" t="n">
        <f aca="false">M273</f>
        <v>0</v>
      </c>
      <c r="O273" s="1174" t="n">
        <f aca="false">N273</f>
        <v>0</v>
      </c>
      <c r="P273" s="1175" t="n">
        <f aca="false">M273</f>
        <v>0</v>
      </c>
      <c r="Q273" s="1110" t="n">
        <f aca="false">P273</f>
        <v>0</v>
      </c>
      <c r="R273" s="1174" t="n">
        <f aca="false">Q273</f>
        <v>0</v>
      </c>
      <c r="S273" s="1110" t="n">
        <f aca="false">R273</f>
        <v>0</v>
      </c>
      <c r="T273" s="1110" t="n">
        <f aca="false">S273</f>
        <v>0</v>
      </c>
      <c r="U273" s="1110" t="n">
        <f aca="false">T273</f>
        <v>0</v>
      </c>
      <c r="V273" s="1175" t="n">
        <f aca="false">U273</f>
        <v>0</v>
      </c>
      <c r="W273" s="1110" t="n">
        <f aca="false">V273</f>
        <v>0</v>
      </c>
      <c r="X273" s="1176" t="n">
        <f aca="false">W273</f>
        <v>0</v>
      </c>
      <c r="Y273" s="1086" t="n">
        <v>0</v>
      </c>
      <c r="Z273" s="1086" t="n">
        <v>0</v>
      </c>
      <c r="AA273" s="1087" t="n">
        <v>0</v>
      </c>
      <c r="AB273" s="1086" t="n">
        <v>0</v>
      </c>
      <c r="AC273" s="1086" t="n">
        <v>0</v>
      </c>
      <c r="AD273" s="1087" t="n">
        <v>0</v>
      </c>
      <c r="AE273" s="1086" t="n">
        <v>0</v>
      </c>
      <c r="AF273" s="1086" t="n">
        <v>0</v>
      </c>
      <c r="AG273" s="1087" t="n">
        <v>0</v>
      </c>
      <c r="AH273" s="1086" t="n">
        <v>0</v>
      </c>
      <c r="AI273" s="1086" t="n">
        <v>0</v>
      </c>
      <c r="AJ273" s="1087" t="n">
        <v>0</v>
      </c>
      <c r="AK273" s="1086" t="n">
        <v>0</v>
      </c>
      <c r="AL273" s="1086" t="n">
        <v>0</v>
      </c>
      <c r="AM273" s="1087" t="n">
        <v>0</v>
      </c>
      <c r="AN273" s="1086" t="n">
        <v>0</v>
      </c>
      <c r="AO273" s="1086" t="n">
        <v>0</v>
      </c>
      <c r="AP273" s="1087" t="n">
        <v>0</v>
      </c>
      <c r="AQ273" s="1086" t="n">
        <v>0</v>
      </c>
      <c r="AR273" s="1086" t="n">
        <v>0</v>
      </c>
      <c r="AS273" s="1087" t="n">
        <v>0</v>
      </c>
      <c r="AT273" s="1086" t="n">
        <v>0</v>
      </c>
      <c r="AU273" s="1086" t="n">
        <v>0</v>
      </c>
      <c r="AV273" s="1086" t="n">
        <v>0</v>
      </c>
      <c r="AW273" s="1172" t="n">
        <v>0</v>
      </c>
      <c r="AX273" s="807" t="e">
        <f aca="false">BB273-SUM(AY273:BA273)</f>
        <v>#VALUE!</v>
      </c>
      <c r="AY273" s="807" t="e">
        <f aca="false">IF(AND($E273=MONTH(Summary!$E$24),$D273=YEAR(Summary!$E$24)),Summary!$E$25,1)*IF(G273="",0,INT((H273-MOD(H273,7)-G273)/7)+1-IF(BA273,IF(WEEKDAY(F273)=7,1,0),0))</f>
        <v>#VALUE!</v>
      </c>
      <c r="AZ273" s="807" t="e">
        <f aca="false">IF(AND($E273=MONTH(Summary!$E$24),$D273=YEAR(Summary!$E$24)),Summary!$E$25,1)*IF(G273="",0,INT((H273-MOD(H273-1,7)-G273)/7)+1-IF(BA273,IF(WEEKDAY(F273)=1,1,0),0))</f>
        <v>#VALUE!</v>
      </c>
      <c r="BA273" s="807" t="n">
        <v>1</v>
      </c>
      <c r="BB273" s="807" t="n">
        <f aca="false">IF(AND($E273=MONTH(Summary!$E$24),$D273=YEAR(Summary!$E$24)),Summary!$E$25,1)*IF(G273="",0,H273-G273+1)</f>
        <v>31</v>
      </c>
      <c r="BC273" s="1089" t="n">
        <f aca="false">Summary!$E$19</f>
        <v>0.015</v>
      </c>
      <c r="BD273" s="1090" t="n">
        <v>14184</v>
      </c>
      <c r="BE273" s="1091" t="n">
        <v>3546</v>
      </c>
      <c r="BF273" s="1091" t="n">
        <v>4255.2</v>
      </c>
      <c r="BG273" s="842"/>
      <c r="BH273" s="1092" t="n">
        <v>1</v>
      </c>
      <c r="BI273" s="1092" t="n">
        <v>1</v>
      </c>
      <c r="BJ273" s="1092" t="n">
        <v>1</v>
      </c>
      <c r="BK273" s="1092" t="n">
        <v>1</v>
      </c>
      <c r="BL273" s="1093" t="n">
        <v>2836.8</v>
      </c>
      <c r="BM273" s="1091" t="n">
        <v>709.2</v>
      </c>
      <c r="BN273" s="1091" t="n">
        <v>851.04</v>
      </c>
      <c r="BO273" s="842"/>
      <c r="BP273" s="1092" t="n">
        <v>1</v>
      </c>
      <c r="BQ273" s="1094" t="n">
        <v>1</v>
      </c>
      <c r="BR273" s="1094" t="n">
        <v>1</v>
      </c>
      <c r="BS273" s="1095" t="n">
        <v>1</v>
      </c>
      <c r="BT273" s="1093" t="n">
        <f aca="false">SUM(BD273:BF273)</f>
        <v>21985.2</v>
      </c>
      <c r="BU273" s="1098" t="n">
        <f aca="false">SUM(BD273:BG273)</f>
        <v>21985.2</v>
      </c>
      <c r="BV273" s="1090" t="n">
        <f aca="false">SUM(BL273:BN273)</f>
        <v>4397.04</v>
      </c>
      <c r="BW273" s="1098" t="n">
        <f aca="false">SUM(BL273:BO273)</f>
        <v>4397.04</v>
      </c>
      <c r="BX273" s="852" t="n">
        <v>21.3771389459274</v>
      </c>
      <c r="BY273" s="1099" t="n">
        <v>0</v>
      </c>
      <c r="BZ273" s="852" t="n">
        <v>0</v>
      </c>
      <c r="CA273" s="852" t="n">
        <v>0</v>
      </c>
      <c r="CB273" s="852" t="n">
        <v>0</v>
      </c>
      <c r="CC273" s="852" t="n">
        <v>0</v>
      </c>
      <c r="CD273" s="852" t="n">
        <v>0</v>
      </c>
      <c r="CE273" s="1100" t="n">
        <v>0</v>
      </c>
      <c r="CF273" s="852" t="n">
        <v>0</v>
      </c>
      <c r="CG273" s="852" t="n">
        <v>0</v>
      </c>
      <c r="CH273" s="852" t="n">
        <v>0</v>
      </c>
      <c r="CI273" s="852" t="n">
        <v>0</v>
      </c>
      <c r="CJ273" s="1101" t="n">
        <v>0</v>
      </c>
      <c r="CK273" s="852" t="n">
        <v>0</v>
      </c>
      <c r="CL273" s="852" t="n">
        <v>0</v>
      </c>
      <c r="CM273" s="852" t="n">
        <v>0</v>
      </c>
      <c r="CN273" s="852" t="n">
        <v>0</v>
      </c>
      <c r="CO273" s="852" t="n">
        <v>0</v>
      </c>
      <c r="CP273" s="852" t="n">
        <v>0</v>
      </c>
      <c r="CQ273" s="1102" t="n">
        <v>0</v>
      </c>
      <c r="CR273" s="1103" t="n">
        <v>0</v>
      </c>
      <c r="CS273" s="1103" t="n">
        <v>0</v>
      </c>
      <c r="CT273" s="1103" t="n">
        <v>0</v>
      </c>
      <c r="CU273" s="1103" t="n">
        <v>0</v>
      </c>
      <c r="CV273" s="1103" t="n">
        <v>0</v>
      </c>
      <c r="CW273" s="1103" t="n">
        <v>0</v>
      </c>
      <c r="CX273" s="1104" t="n">
        <v>0</v>
      </c>
      <c r="CY273" s="1105" t="n">
        <v>7796.0124</v>
      </c>
      <c r="CZ273" s="1099" t="n">
        <v>0</v>
      </c>
      <c r="DA273" s="852" t="n">
        <v>0</v>
      </c>
      <c r="DB273" s="852" t="n">
        <v>0</v>
      </c>
      <c r="DC273" s="852" t="n">
        <v>0</v>
      </c>
      <c r="DD273" s="852" t="n">
        <v>0</v>
      </c>
      <c r="DE273" s="1113" t="n">
        <v>0</v>
      </c>
      <c r="DF273" s="1109" t="n">
        <v>0</v>
      </c>
      <c r="DG273" s="1110" t="n">
        <v>0</v>
      </c>
      <c r="DH273" s="1111" t="n">
        <v>0</v>
      </c>
      <c r="DI273" s="1112" t="n">
        <v>0</v>
      </c>
      <c r="DJ273" s="1112" t="n">
        <v>0</v>
      </c>
      <c r="DK273" s="1112" t="n">
        <v>0</v>
      </c>
      <c r="DL273" s="1113" t="n">
        <v>0</v>
      </c>
      <c r="DM273" s="1114" t="n">
        <v>0</v>
      </c>
      <c r="DN273" s="1114" t="n">
        <v>0</v>
      </c>
      <c r="DO273" s="1114" t="n">
        <v>0</v>
      </c>
      <c r="DP273" s="1114" t="n">
        <v>0</v>
      </c>
      <c r="DQ273" s="1114" t="n">
        <v>0</v>
      </c>
      <c r="DR273" s="1109" t="n">
        <v>0</v>
      </c>
      <c r="DS273" s="852" t="n">
        <v>0</v>
      </c>
      <c r="DT273" s="852" t="n">
        <v>0</v>
      </c>
      <c r="DU273" s="852" t="n">
        <v>0</v>
      </c>
      <c r="DV273" s="852" t="n">
        <v>0</v>
      </c>
      <c r="DW273" s="852" t="n">
        <v>0</v>
      </c>
      <c r="DX273" s="852" t="n">
        <v>0</v>
      </c>
      <c r="DY273" s="852" t="n">
        <v>0</v>
      </c>
      <c r="DZ273" s="852" t="n">
        <v>0</v>
      </c>
      <c r="EA273" s="852" t="n">
        <v>0</v>
      </c>
      <c r="EB273" s="1113" t="n">
        <v>0</v>
      </c>
      <c r="EC273" s="1115" t="n">
        <f aca="false">DS273*BD273</f>
        <v>0</v>
      </c>
      <c r="ED273" s="1115" t="n">
        <f aca="false">DT273*BE273</f>
        <v>0</v>
      </c>
      <c r="EE273" s="1115" t="n">
        <f aca="false">DU273*BF273</f>
        <v>0</v>
      </c>
      <c r="EF273" s="1115" t="n">
        <f aca="false">DV273*BG273</f>
        <v>0</v>
      </c>
      <c r="EG273" s="1115" t="n">
        <f aca="false">DS273*BD273+DT273*BE273+DU273*BF273+DV273*BG273</f>
        <v>0</v>
      </c>
      <c r="EH273" s="1116" t="n">
        <v>0</v>
      </c>
      <c r="EI273" s="1117" t="n">
        <v>0</v>
      </c>
      <c r="EJ273" s="1117" t="n">
        <v>0</v>
      </c>
      <c r="EK273" s="1117" t="n">
        <v>0</v>
      </c>
      <c r="EL273" s="1118" t="n">
        <f aca="false">IF(C273&gt;=Summary!$E$26,MAX(0,SUM(EH273:EK273)),0)</f>
        <v>0</v>
      </c>
      <c r="EM273" s="1115" t="n">
        <f aca="false">IF(C273&gt;=Summary!$E$26,DX273*BL273,0)</f>
        <v>0</v>
      </c>
      <c r="EN273" s="1115" t="n">
        <f aca="false">IF(C273&gt;=Summary!$E$26,DY273*BM273,0)</f>
        <v>0</v>
      </c>
      <c r="EO273" s="1115" t="n">
        <f aca="false">IF(C273&gt;=Summary!$E$26,DZ273*BN273,0)</f>
        <v>0</v>
      </c>
      <c r="EP273" s="1115" t="n">
        <f aca="false">IF(C273&gt;=Summary!$E$26,EA273*BO273,0)</f>
        <v>0</v>
      </c>
      <c r="EQ273" s="1115" t="n">
        <f aca="false">IF(C273&gt;=Summary!$E$26,DX273*BL273+DY273*BM273+DZ273*BN273+EA273*BO273,0)</f>
        <v>0</v>
      </c>
      <c r="ER273" s="1119" t="n">
        <v>0</v>
      </c>
      <c r="ES273" s="1120" t="n">
        <v>0</v>
      </c>
      <c r="ET273" s="1120" t="n">
        <v>0</v>
      </c>
      <c r="EU273" s="1120" t="n">
        <v>0</v>
      </c>
      <c r="EV273" s="1143" t="n">
        <f aca="false">IF(C273&gt;=Summary!$E$26,MAX(0,SUM(ER273:EU273)),0)</f>
        <v>0</v>
      </c>
      <c r="EW273" s="1115"/>
      <c r="EX273" s="1165" t="n">
        <f aca="false">(EQ273-EV273)+IF(EZ273="Yes",(EG273-EL273),0)</f>
        <v>0</v>
      </c>
      <c r="EY273" s="1166" t="str">
        <f aca="false">IF(EX273,EX273/EQ273,"")</f>
        <v/>
      </c>
      <c r="EZ273" s="1122" t="s">
        <v>37</v>
      </c>
      <c r="FA273" s="1096" t="n">
        <f aca="false">FA272</f>
        <v>45</v>
      </c>
      <c r="FB273" s="1167" t="e">
        <f aca="false">IF(EZ273="No",IF((OR(MONTH(C273)=5,MONTH(C273)=6,MONTH(C273)=7,MONTH(C273)=8,MONTH(C273)=9)),$FA273*12*AX273*(1-$BC273),$FA273*10*AX273*(1-$BC273)),0)</f>
        <v>#VALUE!</v>
      </c>
      <c r="FC273" s="1129" t="n">
        <f aca="false">IF(EZ273="No",IF((OR(MONTH(C273)=5,MONTH(C273)=6,MONTH(C273)=7,MONTH(C273)=8,MONTH(C273)=9)),0,$FA273*3*AX273*(1-$BC273)),0)</f>
        <v>0</v>
      </c>
      <c r="FD273" s="1129" t="e">
        <f aca="false">IF(EZ273="No",IF((OR(MONTH(C273)=5,MONTH(C273)=6,MONTH(C273)=7,MONTH(C273)=8,MONTH(C273)=9)),$FA273*12*AY273*(1-$BC273),$FA273*10*AY273*(1-$BC273)),0)</f>
        <v>#VALUE!</v>
      </c>
      <c r="FE273" s="1129" t="n">
        <f aca="false">IF(EZ273="No",IF((OR(MONTH(C273)=5,MONTH(C273)=6,MONTH(C273)=7,MONTH(C273)=8,MONTH(C273)=9)),0,$FA273*3*AY273*(1-$BC273)),0)</f>
        <v>0</v>
      </c>
      <c r="FF273" s="1129" t="e">
        <f aca="false">IF(EZ273="No",IF((OR(MONTH(C273)=5,MONTH(C273)=6,MONTH(C273)=7,MONTH(C273)=8,MONTH(C273)=9)),$FA273*12*(AZ273+BA273)*(1-$BC273),$FA273*10*(AZ273+BA273)*(1-$BC273)),0)</f>
        <v>#VALUE!</v>
      </c>
      <c r="FG273" s="1129" t="n">
        <f aca="false">IF(EZ273="No",IF((OR(MONTH(C273)=5,MONTH(C273)=6,MONTH(C273)=7,MONTH(C273)=8,MONTH(C273)=9)),0,$FA273*3*(AZ273+BA273)*(1-$BC273)),0)</f>
        <v>0</v>
      </c>
      <c r="FH273" s="1170" t="e">
        <f aca="false">IF(EZ273="No",IF((OR(MONTH(C273)=5,MONTH(C273)=6,MONTH(C273)=7,MONTH(C273)=8,MONTH(C273)=9)),Summary!$O$15*12*(AX273+AY273+AZ273+BA273)*(1-$BC273),Summary!$O$15*13*(AX273+AY273+AZ273+BA273)*(1-$BC273)+IF(Summary!$O$16="Yes",(CALC!FA273+Summary!$O$15)*6*(AX273+AY273+AZ273+BA273)*(1-$BC273),0)),0)</f>
        <v>#VALUE!</v>
      </c>
      <c r="FI273" s="1126" t="n">
        <f aca="false">IF(MONTH(C273)=5,FI272*(IF(Summary!$E$70="no",(1+(Summary!$E$71*0.8)),1+HLOOKUP(YEAR(C273)-1,CCFMODEL!$I$127:$AF$128,2)*0.8)),+FI272)</f>
        <v>44.8252497008979</v>
      </c>
      <c r="FJ273" s="1127" t="n">
        <f aca="false">IF(MONTH(C273)=5,FJ272*(IF(Summary!$E$70="no",(1+(Summary!$E$71*0.8)),1+HLOOKUP(YEAR(CALC!C273)-1,CCFMODEL!$I$127:$AF$128,2)*0.8)),FJ272)</f>
        <v>39.1779741480288</v>
      </c>
      <c r="FK273" s="1128" t="e">
        <f aca="false">SUM(FB273:FG273)*FI273+FH273*FJ273</f>
        <v>#VALUE!</v>
      </c>
      <c r="FL273" s="1126" t="n">
        <f aca="false">IF(MONTH(C273)=5,FL272*(IF(Summary!$E$70="no",(1+(Summary!$E$71*0.8)),1+HLOOKUP(YEAR(CALC!C273)-1,CCFMODEL!$I$127:$AF$128,2)*0.8)),+FL272)</f>
        <v>94.2725255239355</v>
      </c>
      <c r="FM273" s="1127" t="n">
        <f aca="false">IF(MONTH(C273)=5,FM272*(IF(Summary!$E$70="no",(1+(Summary!$E$71*0.8)),1+HLOOKUP(YEAR(CALC!C273)-1,CCFMODEL!$I$127:$AF$128,2)*0.8)),+FM272)</f>
        <v>44.9933233780666</v>
      </c>
      <c r="FN273" s="1128" t="e">
        <f aca="false">IF((OR(MONTH(C273)=5,MONTH(C273)=6,MONTH(C273)=7,MONTH(C273)=8,MONTH(C273)=9)),SUM(FB273:FG273)/(1-BC273)*FL273,SUM(FB273:FG273)/(1-BC273)*FM273)</f>
        <v>#VALUE!</v>
      </c>
      <c r="FO273" s="1129" t="e">
        <f aca="false">FK273+FN273</f>
        <v>#VALUE!</v>
      </c>
      <c r="FP273" s="1169" t="e">
        <f aca="false">FB273</f>
        <v>#VALUE!</v>
      </c>
      <c r="FQ273" s="1129" t="n">
        <f aca="false">FC273</f>
        <v>0</v>
      </c>
      <c r="FR273" s="1129" t="e">
        <f aca="false">FD273</f>
        <v>#VALUE!</v>
      </c>
      <c r="FS273" s="1129" t="n">
        <f aca="false">FE273</f>
        <v>0</v>
      </c>
      <c r="FT273" s="1129" t="e">
        <f aca="false">FF273</f>
        <v>#VALUE!</v>
      </c>
      <c r="FU273" s="1129" t="n">
        <f aca="false">FG273</f>
        <v>0</v>
      </c>
      <c r="FV273" s="1170" t="e">
        <f aca="false">FH273</f>
        <v>#VALUE!</v>
      </c>
      <c r="FW273" s="1115" t="n">
        <f aca="false">IF(ER273&gt;0,MIN(FB273-FP273,BL273),0)</f>
        <v>0</v>
      </c>
      <c r="FX273" s="1115" t="n">
        <f aca="false">IF(ES273&gt;0,MIN(FD273-FR273,BM273),0)</f>
        <v>0</v>
      </c>
      <c r="FY273" s="1115" t="n">
        <f aca="false">IF(ET273&gt;0,MIN(FF273-FT273,BN273),0)</f>
        <v>0</v>
      </c>
      <c r="FZ273" s="1143" t="n">
        <f aca="false">IF(EU273&gt;0,MIN(FH273-FV273,BO273),0)</f>
        <v>0</v>
      </c>
      <c r="GA273" s="1132" t="e">
        <f aca="false">(SUM(FP273:FV273)+SUM(GU273:HB273)/(1-Summary!$O$25))*CY273/1000</f>
        <v>#VALUE!</v>
      </c>
      <c r="GB273" s="1133" t="n">
        <f aca="false">IF($C273&lt;Summary!$M$81,+Summary!$O$81,VLOOKUP(C273,GasTable,19))</f>
        <v>3.76678836467416</v>
      </c>
      <c r="GC273" s="1134" t="n">
        <f aca="false">IF(H273&lt;=Summary!$N$84,MIN(GA273,Summary!$O$75*(H273-G273+1)),0)</f>
        <v>0</v>
      </c>
      <c r="GD273" s="1135" t="n">
        <f aca="false">IF(C273&lt;Summary!$N$84,IF(Summary!$O$75*(H273-G273+1)*0.8&gt;GC273,1,0),0)</f>
        <v>0</v>
      </c>
      <c r="GE273" s="1136" t="n">
        <v>0</v>
      </c>
      <c r="GF273" s="1134" t="e">
        <f aca="false">ABS(MIN(0,GC273-$GA273))</f>
        <v>#VALUE!</v>
      </c>
      <c r="GG273" s="1135" t="e">
        <f aca="false">GF273*(IF(Summary!$O$74=1,VLOOKUP($C273,GasTable,16)+Summary!$O$92+Summary!$O$93,VLOOKUP($C273,GasTable,19)+Summary!$O$92+Summary!$O$93))</f>
        <v>#VALUE!</v>
      </c>
      <c r="GH273" s="1137" t="n">
        <v>5838.52196524495</v>
      </c>
      <c r="GI273" s="1138" t="n">
        <v>0</v>
      </c>
      <c r="GJ273" s="1139" t="e">
        <f aca="false">+GB273*GC273+GE273+GG273+GH273-GI273</f>
        <v>#VALUE!</v>
      </c>
      <c r="GK273" s="1115" t="e">
        <f aca="false">SUM(FP273:FV273,GU273:GX273,GY273:HB273)</f>
        <v>#VALUE!</v>
      </c>
      <c r="GL273" s="1140" t="n">
        <v>0.5223328308</v>
      </c>
      <c r="GM273" s="1141" t="e">
        <f aca="false">IF(GK273&gt;GC273/(CY273/1000),GC273/(CY273/1000),+GK273)*GL273</f>
        <v>#VALUE!</v>
      </c>
      <c r="GN273" s="1115" t="n">
        <f aca="false">IF(SUM(GU273:HB273)=0,0,IF(Summary!$O$16="Yes",SUM(GX273:HB273),IF(Summary!$O$17="Yes",SUM(GY273:HB273),SUM(GU273:HB273))))</f>
        <v>9547.0731</v>
      </c>
      <c r="GO273" s="1142" t="n">
        <v>4.42661845915648</v>
      </c>
      <c r="GP273" s="1143" t="n">
        <f aca="false">GN273*GO273</f>
        <v>42261.2500153763</v>
      </c>
      <c r="GQ273" s="1115"/>
      <c r="GR273" s="1115"/>
      <c r="GS273" s="1115"/>
      <c r="GT273" s="1115"/>
      <c r="GU273" s="1150" t="n">
        <v>3421.89</v>
      </c>
      <c r="GV273" s="1115" t="n">
        <v>855.4725</v>
      </c>
      <c r="GW273" s="1115" t="n">
        <v>1026.567</v>
      </c>
      <c r="GX273" s="1115"/>
      <c r="GY273" s="1151" t="n">
        <v>2737.512</v>
      </c>
      <c r="GZ273" s="1115" t="n">
        <v>684.378</v>
      </c>
      <c r="HA273" s="1115" t="n">
        <v>821.2536</v>
      </c>
      <c r="HB273" s="1141"/>
      <c r="HC273" s="1115" t="n">
        <v>9547.0731</v>
      </c>
      <c r="HD273" s="1115"/>
      <c r="HE273" s="1115" t="n">
        <v>22276.5039</v>
      </c>
      <c r="HF273" s="1115" t="n">
        <v>463067.205548828</v>
      </c>
      <c r="HG273" s="1115"/>
      <c r="HH273" s="1142" t="n">
        <v>49.1435643939561</v>
      </c>
      <c r="HI273" s="1115" t="n">
        <v>1094746.80388187</v>
      </c>
      <c r="HJ273" s="1150" t="e">
        <f aca="false">MAX(FB273-FP273-FW273,0)</f>
        <v>#VALUE!</v>
      </c>
      <c r="HK273" s="1115" t="e">
        <f aca="false">MAX(FD273-FR273-FX273,0)</f>
        <v>#VALUE!</v>
      </c>
      <c r="HL273" s="1115" t="e">
        <f aca="false">MAX(FF273-FT273-FY273,0)</f>
        <v>#VALUE!</v>
      </c>
      <c r="HM273" s="1141" t="e">
        <f aca="false">MAX(FH273-FV273-FZ273,0)</f>
        <v>#VALUE!</v>
      </c>
      <c r="HN273" s="1115" t="e">
        <f aca="false">SUM(HJ273:HM273)</f>
        <v>#VALUE!</v>
      </c>
      <c r="HO273" s="1142" t="n">
        <f aca="false">IF(ISERROR(+HP273/HN273),0,+HP273/HN273)</f>
        <v>0</v>
      </c>
      <c r="HP273" s="1143" t="e">
        <f aca="false">(HJ273*CE273+HK273*CF273+HL273*CG273+HM273*CH273)</f>
        <v>#VALUE!</v>
      </c>
      <c r="HQ273" s="1142" t="s">
        <v>943</v>
      </c>
      <c r="HR273" s="1150" t="e">
        <f aca="false">SUMIF($A$17:$A$292,HQ273,$GF$17:$GF$292)</f>
        <v>#VALUE!</v>
      </c>
      <c r="HS273" s="1200" t="e">
        <f aca="false">IF(HT273=0,IF(OR(SUMIF(CURVES!$AU$6:$AU$283,$HQ273,CURVES!$BQ$6:$BQ$283)=0,COUNTIF(CURVES!$AU$6:$AU$283,$HQ273)=0),0,SUMIF(CURVES!$AU$6:$AU$283,$HQ273,CURVES!$BQ$6:$BQ$283)/COUNTIF(CURVES!$AU$6:$AU$283,$HQ273)),HT273/HR273)</f>
        <v>#VALUE!</v>
      </c>
      <c r="HT273" s="1141" t="e">
        <f aca="false">SUMIF($A$17:$A$292,HQ273,$GG$17:$GG$292)</f>
        <v>#VALUE!</v>
      </c>
      <c r="HU273" s="1150" t="n">
        <f aca="false">SUMIF($A$17:$A$292,HQ273,$GC$17:$GC$292)</f>
        <v>0</v>
      </c>
      <c r="HV273" s="1200" t="e">
        <f aca="false">IF(HW273=0,0,HW273/Summary!$O$79/HU273)</f>
        <v>#DIV/0!</v>
      </c>
      <c r="HW273" s="1141" t="n">
        <f aca="false">SUMIF($A$17:$A$292,HQ273,$GH$17:$GH$292)</f>
        <v>18792.4150713036</v>
      </c>
      <c r="HX273" s="1200" t="n">
        <f aca="false">IF(OR(SUMIF(CURVES!$AU$6:$AU$283,$HQ273,CURVES!$BQ$6:$BQ$283)=0,COUNTIF(CURVES!$AU$6:$AU$283,$HQ273)=0),0,SUMIF(CURVES!$AU$6:$AU$283,$HQ273,CURVES!$BQ$6:$BQ$283)/COUNTIF(CURVES!$AU$6:$AU$283,$HQ273))</f>
        <v>5.05531388529804</v>
      </c>
      <c r="HY273" s="1200" t="n">
        <f aca="false">IF(OR(SUMIF(CURVES!$AU$6:$AU$283,$HQ273,CURVES!$BR$6:$BR$283)=0,COUNTIF(CURVES!$AU$6:$AU$283,$HQ273)=0),0,SUMIF(CURVES!$AU$6:$AU$283,$HQ273,CURVES!$BR$6:$BR$283)/COUNTIF(CURVES!$AU$6:$AU$283,$HQ273))</f>
        <v>4.07164687120728</v>
      </c>
      <c r="HZ273" s="0"/>
      <c r="IA273" s="1142"/>
      <c r="IB273" s="1142"/>
      <c r="IC273" s="1142"/>
      <c r="ID273" s="1142"/>
      <c r="IE273" s="1142"/>
      <c r="IF273" s="1142"/>
      <c r="IG273" s="1142"/>
      <c r="IH273" s="1142"/>
      <c r="II273" s="1142"/>
      <c r="IJ273" s="1142"/>
      <c r="IK273" s="1142"/>
      <c r="IL273" s="1190"/>
      <c r="IM273" s="222"/>
      <c r="IN273" s="222"/>
      <c r="IR273" s="844"/>
    </row>
    <row r="274" customFormat="false" ht="13.5" hidden="false" customHeight="false" outlineLevel="0" collapsed="false">
      <c r="A274" s="0" t="str">
        <f aca="false">+D274&amp;"Q"&amp;ROUNDUP(E274/3,0)</f>
        <v>2021Q2</v>
      </c>
      <c r="B274" s="0" t="n">
        <f aca="false">YEAR(C274)</f>
        <v>2021</v>
      </c>
      <c r="C274" s="1153" t="n">
        <f aca="false">EOMONTH(C273,0)+1</f>
        <v>44348</v>
      </c>
      <c r="D274" s="841" t="n">
        <f aca="false">+YEAR(C274)</f>
        <v>2021</v>
      </c>
      <c r="E274" s="807" t="n">
        <f aca="false">MONTH(C274)</f>
        <v>6</v>
      </c>
      <c r="F274" s="1154" t="e">
        <f aca="false">IF(G274="","",Holiday(D274,E274))</f>
        <v>#VALUE!</v>
      </c>
      <c r="G274" s="1155" t="n">
        <v>44348</v>
      </c>
      <c r="H274" s="1156" t="n">
        <v>44377</v>
      </c>
      <c r="I274" s="1157" t="n">
        <f aca="false">I273</f>
        <v>0.0715</v>
      </c>
      <c r="J274" s="1158" t="n">
        <f aca="false">(1+I274/2)^(-2*(DATE(D275,E275,20)-$H$7)/365.25)</f>
        <v>0.219332733405201</v>
      </c>
      <c r="K274" s="1159"/>
      <c r="L274" s="1158"/>
      <c r="M274" s="1082" t="n">
        <v>0</v>
      </c>
      <c r="N274" s="1110" t="n">
        <f aca="false">M274</f>
        <v>0</v>
      </c>
      <c r="O274" s="1174" t="n">
        <f aca="false">N274</f>
        <v>0</v>
      </c>
      <c r="P274" s="1175" t="n">
        <f aca="false">M274</f>
        <v>0</v>
      </c>
      <c r="Q274" s="1110" t="n">
        <f aca="false">P274</f>
        <v>0</v>
      </c>
      <c r="R274" s="1174" t="n">
        <f aca="false">Q274</f>
        <v>0</v>
      </c>
      <c r="S274" s="1110" t="n">
        <f aca="false">R274</f>
        <v>0</v>
      </c>
      <c r="T274" s="1110" t="n">
        <f aca="false">S274</f>
        <v>0</v>
      </c>
      <c r="U274" s="1110" t="n">
        <f aca="false">T274</f>
        <v>0</v>
      </c>
      <c r="V274" s="1175" t="n">
        <f aca="false">U274</f>
        <v>0</v>
      </c>
      <c r="W274" s="1110" t="n">
        <f aca="false">V274</f>
        <v>0</v>
      </c>
      <c r="X274" s="1176" t="n">
        <f aca="false">W274</f>
        <v>0</v>
      </c>
      <c r="Y274" s="1086" t="n">
        <v>0</v>
      </c>
      <c r="Z274" s="1086" t="n">
        <v>0</v>
      </c>
      <c r="AA274" s="1087" t="n">
        <v>0</v>
      </c>
      <c r="AB274" s="1086" t="n">
        <v>0</v>
      </c>
      <c r="AC274" s="1086" t="n">
        <v>0</v>
      </c>
      <c r="AD274" s="1087" t="n">
        <v>0</v>
      </c>
      <c r="AE274" s="1086" t="n">
        <v>0</v>
      </c>
      <c r="AF274" s="1086" t="n">
        <v>0</v>
      </c>
      <c r="AG274" s="1087" t="n">
        <v>0</v>
      </c>
      <c r="AH274" s="1086" t="n">
        <v>0</v>
      </c>
      <c r="AI274" s="1086" t="n">
        <v>0</v>
      </c>
      <c r="AJ274" s="1087" t="n">
        <v>0</v>
      </c>
      <c r="AK274" s="1086" t="n">
        <v>0</v>
      </c>
      <c r="AL274" s="1086" t="n">
        <v>0</v>
      </c>
      <c r="AM274" s="1087" t="n">
        <v>0</v>
      </c>
      <c r="AN274" s="1086" t="n">
        <v>0</v>
      </c>
      <c r="AO274" s="1086" t="n">
        <v>0</v>
      </c>
      <c r="AP274" s="1087" t="n">
        <v>0</v>
      </c>
      <c r="AQ274" s="1086" t="n">
        <v>0</v>
      </c>
      <c r="AR274" s="1086" t="n">
        <v>0</v>
      </c>
      <c r="AS274" s="1087" t="n">
        <v>0</v>
      </c>
      <c r="AT274" s="1086" t="n">
        <v>0</v>
      </c>
      <c r="AU274" s="1086" t="n">
        <v>0</v>
      </c>
      <c r="AV274" s="1086" t="n">
        <v>0</v>
      </c>
      <c r="AW274" s="1172" t="n">
        <v>0</v>
      </c>
      <c r="AX274" s="807" t="n">
        <f aca="false">BB274-SUM(AY274:BA274)</f>
        <v>22</v>
      </c>
      <c r="AY274" s="807" t="n">
        <f aca="false">IF(AND($E274=MONTH(Summary!$E$24),$D274=YEAR(Summary!$E$24)),Summary!$E$25,1)*IF(G274="",0,INT((H274-MOD(H274,7)-G274)/7)+1-IF(BA274,IF(WEEKDAY(F274)=7,1,0),0))</f>
        <v>4</v>
      </c>
      <c r="AZ274" s="807" t="n">
        <f aca="false">IF(AND($E274=MONTH(Summary!$E$24),$D274=YEAR(Summary!$E$24)),Summary!$E$25,1)*IF(G274="",0,INT((H274-MOD(H274-1,7)-G274)/7)+1-IF(BA274,IF(WEEKDAY(F274)=1,1,0),0))</f>
        <v>4</v>
      </c>
      <c r="BA274" s="807" t="n">
        <v>0</v>
      </c>
      <c r="BB274" s="807" t="n">
        <f aca="false">IF(AND($E274=MONTH(Summary!$E$24),$D274=YEAR(Summary!$E$24)),Summary!$E$25,1)*IF(G274="",0,H274-G274+1)</f>
        <v>30</v>
      </c>
      <c r="BC274" s="1089" t="n">
        <f aca="false">Summary!$E$19</f>
        <v>0.015</v>
      </c>
      <c r="BD274" s="1090" t="n">
        <v>15602.4</v>
      </c>
      <c r="BE274" s="1091" t="n">
        <v>2836.8</v>
      </c>
      <c r="BF274" s="1091" t="n">
        <v>2836.8</v>
      </c>
      <c r="BG274" s="842"/>
      <c r="BH274" s="1092" t="n">
        <v>1</v>
      </c>
      <c r="BI274" s="1092" t="n">
        <v>1</v>
      </c>
      <c r="BJ274" s="1092" t="n">
        <v>1</v>
      </c>
      <c r="BK274" s="1092" t="n">
        <v>1</v>
      </c>
      <c r="BL274" s="1093" t="n">
        <v>3120.48</v>
      </c>
      <c r="BM274" s="1091" t="n">
        <v>567.36</v>
      </c>
      <c r="BN274" s="1091" t="n">
        <v>567.36</v>
      </c>
      <c r="BO274" s="842"/>
      <c r="BP274" s="1092" t="n">
        <v>1</v>
      </c>
      <c r="BQ274" s="1094" t="n">
        <v>1</v>
      </c>
      <c r="BR274" s="1094" t="n">
        <v>1</v>
      </c>
      <c r="BS274" s="1095" t="n">
        <v>1</v>
      </c>
      <c r="BT274" s="1093" t="n">
        <f aca="false">SUM(BD274:BF274)</f>
        <v>21276</v>
      </c>
      <c r="BU274" s="1098" t="n">
        <f aca="false">SUM(BD274:BG274)</f>
        <v>21276</v>
      </c>
      <c r="BV274" s="1090" t="n">
        <f aca="false">SUM(BL274:BN274)</f>
        <v>4255.2</v>
      </c>
      <c r="BW274" s="1098" t="n">
        <f aca="false">SUM(BL274:BO274)</f>
        <v>4255.2</v>
      </c>
      <c r="BX274" s="852" t="n">
        <v>21.4620123203285</v>
      </c>
      <c r="BY274" s="1099" t="n">
        <v>0</v>
      </c>
      <c r="BZ274" s="852" t="n">
        <v>0</v>
      </c>
      <c r="CA274" s="852" t="n">
        <v>0</v>
      </c>
      <c r="CB274" s="852" t="n">
        <v>0</v>
      </c>
      <c r="CC274" s="852" t="n">
        <v>0</v>
      </c>
      <c r="CD274" s="852" t="n">
        <v>0</v>
      </c>
      <c r="CE274" s="1100" t="n">
        <v>0</v>
      </c>
      <c r="CF274" s="852" t="n">
        <v>0</v>
      </c>
      <c r="CG274" s="852" t="n">
        <v>0</v>
      </c>
      <c r="CH274" s="852" t="n">
        <v>0</v>
      </c>
      <c r="CI274" s="852" t="n">
        <v>0</v>
      </c>
      <c r="CJ274" s="1101" t="n">
        <v>0</v>
      </c>
      <c r="CK274" s="852" t="n">
        <v>0</v>
      </c>
      <c r="CL274" s="852" t="n">
        <v>0</v>
      </c>
      <c r="CM274" s="852" t="n">
        <v>0</v>
      </c>
      <c r="CN274" s="852" t="n">
        <v>0</v>
      </c>
      <c r="CO274" s="852" t="n">
        <v>0</v>
      </c>
      <c r="CP274" s="852" t="n">
        <v>0</v>
      </c>
      <c r="CQ274" s="1102" t="n">
        <v>0</v>
      </c>
      <c r="CR274" s="1103" t="n">
        <v>0</v>
      </c>
      <c r="CS274" s="1103" t="n">
        <v>0</v>
      </c>
      <c r="CT274" s="1103" t="n">
        <v>0</v>
      </c>
      <c r="CU274" s="1103" t="n">
        <v>0</v>
      </c>
      <c r="CV274" s="1103" t="n">
        <v>0</v>
      </c>
      <c r="CW274" s="1103" t="n">
        <v>0</v>
      </c>
      <c r="CX274" s="1104" t="n">
        <v>0</v>
      </c>
      <c r="CY274" s="1105" t="n">
        <v>7798.04336</v>
      </c>
      <c r="CZ274" s="1099" t="n">
        <v>0</v>
      </c>
      <c r="DA274" s="852" t="n">
        <v>0</v>
      </c>
      <c r="DB274" s="852" t="n">
        <v>0</v>
      </c>
      <c r="DC274" s="852" t="n">
        <v>0</v>
      </c>
      <c r="DD274" s="852" t="n">
        <v>0</v>
      </c>
      <c r="DE274" s="1113" t="n">
        <v>0</v>
      </c>
      <c r="DF274" s="1109" t="n">
        <v>0</v>
      </c>
      <c r="DG274" s="1110" t="n">
        <v>0</v>
      </c>
      <c r="DH274" s="1111" t="n">
        <v>0</v>
      </c>
      <c r="DI274" s="1112" t="n">
        <v>0</v>
      </c>
      <c r="DJ274" s="1112" t="n">
        <v>0</v>
      </c>
      <c r="DK274" s="1112" t="n">
        <v>0</v>
      </c>
      <c r="DL274" s="1113" t="n">
        <v>0</v>
      </c>
      <c r="DM274" s="1114" t="n">
        <v>0</v>
      </c>
      <c r="DN274" s="1114" t="n">
        <v>0</v>
      </c>
      <c r="DO274" s="1114" t="n">
        <v>0</v>
      </c>
      <c r="DP274" s="1114" t="n">
        <v>0</v>
      </c>
      <c r="DQ274" s="1114" t="n">
        <v>0</v>
      </c>
      <c r="DR274" s="1109" t="n">
        <v>0</v>
      </c>
      <c r="DS274" s="852" t="n">
        <v>0</v>
      </c>
      <c r="DT274" s="852" t="n">
        <v>0</v>
      </c>
      <c r="DU274" s="852" t="n">
        <v>0</v>
      </c>
      <c r="DV274" s="852" t="n">
        <v>0</v>
      </c>
      <c r="DW274" s="852" t="n">
        <v>0</v>
      </c>
      <c r="DX274" s="852" t="n">
        <v>0</v>
      </c>
      <c r="DY274" s="852" t="n">
        <v>0</v>
      </c>
      <c r="DZ274" s="852" t="n">
        <v>0</v>
      </c>
      <c r="EA274" s="852" t="n">
        <v>0</v>
      </c>
      <c r="EB274" s="1113" t="n">
        <v>0</v>
      </c>
      <c r="EC274" s="1115" t="n">
        <f aca="false">DS274*BD274</f>
        <v>0</v>
      </c>
      <c r="ED274" s="1115" t="n">
        <f aca="false">DT274*BE274</f>
        <v>0</v>
      </c>
      <c r="EE274" s="1115" t="n">
        <f aca="false">DU274*BF274</f>
        <v>0</v>
      </c>
      <c r="EF274" s="1115" t="n">
        <f aca="false">DV274*BG274</f>
        <v>0</v>
      </c>
      <c r="EG274" s="1115" t="n">
        <f aca="false">DS274*BD274+DT274*BE274+DU274*BF274+DV274*BG274</f>
        <v>0</v>
      </c>
      <c r="EH274" s="1116" t="n">
        <v>0</v>
      </c>
      <c r="EI274" s="1117" t="n">
        <v>0</v>
      </c>
      <c r="EJ274" s="1117" t="n">
        <v>0</v>
      </c>
      <c r="EK274" s="1117" t="n">
        <v>0</v>
      </c>
      <c r="EL274" s="1118" t="n">
        <f aca="false">IF(C274&gt;=Summary!$E$26,MAX(0,SUM(EH274:EK274)),0)</f>
        <v>0</v>
      </c>
      <c r="EM274" s="1115" t="n">
        <f aca="false">IF(C274&gt;=Summary!$E$26,DX274*BL274,0)</f>
        <v>0</v>
      </c>
      <c r="EN274" s="1115" t="n">
        <f aca="false">IF(C274&gt;=Summary!$E$26,DY274*BM274,0)</f>
        <v>0</v>
      </c>
      <c r="EO274" s="1115" t="n">
        <f aca="false">IF(C274&gt;=Summary!$E$26,DZ274*BN274,0)</f>
        <v>0</v>
      </c>
      <c r="EP274" s="1115" t="n">
        <f aca="false">IF(C274&gt;=Summary!$E$26,EA274*BO274,0)</f>
        <v>0</v>
      </c>
      <c r="EQ274" s="1115" t="n">
        <f aca="false">IF(C274&gt;=Summary!$E$26,DX274*BL274+DY274*BM274+DZ274*BN274+EA274*BO274,0)</f>
        <v>0</v>
      </c>
      <c r="ER274" s="1119" t="n">
        <v>0</v>
      </c>
      <c r="ES274" s="1120" t="n">
        <v>0</v>
      </c>
      <c r="ET274" s="1120" t="n">
        <v>0</v>
      </c>
      <c r="EU274" s="1120" t="n">
        <v>0</v>
      </c>
      <c r="EV274" s="1143" t="n">
        <f aca="false">IF(C274&gt;=Summary!$E$26,MAX(0,SUM(ER274:EU274)),0)</f>
        <v>0</v>
      </c>
      <c r="EW274" s="1115"/>
      <c r="EX274" s="1165" t="n">
        <f aca="false">(EQ274-EV274)+IF(EZ274="Yes",(EG274-EL274),0)</f>
        <v>0</v>
      </c>
      <c r="EY274" s="1166" t="str">
        <f aca="false">IF(EX274,EX274/EQ274,"")</f>
        <v/>
      </c>
      <c r="EZ274" s="1122" t="s">
        <v>37</v>
      </c>
      <c r="FA274" s="1096" t="n">
        <f aca="false">FA273</f>
        <v>45</v>
      </c>
      <c r="FB274" s="1167" t="n">
        <f aca="false">IF(EZ274="No",IF((OR(MONTH(C274)=5,MONTH(C274)=6,MONTH(C274)=7,MONTH(C274)=8,MONTH(C274)=9)),$FA274*12*AX274*(1-$BC274),$FA274*10*AX274*(1-$BC274)),0)</f>
        <v>11701.8</v>
      </c>
      <c r="FC274" s="1129" t="n">
        <f aca="false">IF(EZ274="No",IF((OR(MONTH(C274)=5,MONTH(C274)=6,MONTH(C274)=7,MONTH(C274)=8,MONTH(C274)=9)),0,$FA274*3*AX274*(1-$BC274)),0)</f>
        <v>0</v>
      </c>
      <c r="FD274" s="1129" t="n">
        <f aca="false">IF(EZ274="No",IF((OR(MONTH(C274)=5,MONTH(C274)=6,MONTH(C274)=7,MONTH(C274)=8,MONTH(C274)=9)),$FA274*12*AY274*(1-$BC274),$FA274*10*AY274*(1-$BC274)),0)</f>
        <v>2127.6</v>
      </c>
      <c r="FE274" s="1129" t="n">
        <f aca="false">IF(EZ274="No",IF((OR(MONTH(C274)=5,MONTH(C274)=6,MONTH(C274)=7,MONTH(C274)=8,MONTH(C274)=9)),0,$FA274*3*AY274*(1-$BC274)),0)</f>
        <v>0</v>
      </c>
      <c r="FF274" s="1129" t="n">
        <f aca="false">IF(EZ274="No",IF((OR(MONTH(C274)=5,MONTH(C274)=6,MONTH(C274)=7,MONTH(C274)=8,MONTH(C274)=9)),$FA274*12*(AZ274+BA274)*(1-$BC274),$FA274*10*(AZ274+BA274)*(1-$BC274)),0)</f>
        <v>2127.6</v>
      </c>
      <c r="FG274" s="1129" t="n">
        <f aca="false">IF(EZ274="No",IF((OR(MONTH(C274)=5,MONTH(C274)=6,MONTH(C274)=7,MONTH(C274)=8,MONTH(C274)=9)),0,$FA274*3*(AZ274+BA274)*(1-$BC274)),0)</f>
        <v>0</v>
      </c>
      <c r="FH274" s="1170" t="n">
        <f aca="false">IF(EZ274="No",IF((OR(MONTH(C274)=5,MONTH(C274)=6,MONTH(C274)=7,MONTH(C274)=8,MONTH(C274)=9)),Summary!$O$15*12*(AX274+AY274+AZ274+BA274)*(1-$BC274),Summary!$O$15*13*(AX274+AY274+AZ274+BA274)*(1-$BC274)+IF(Summary!$O$16="Yes",(CALC!FA274+Summary!$O$15)*6*(AX274+AY274+AZ274+BA274)*(1-$BC274),0)),0)</f>
        <v>0</v>
      </c>
      <c r="FI274" s="1126" t="n">
        <f aca="false">IF(MONTH(C274)=5,FI273*(IF(Summary!$E$70="no",(1+(Summary!$E$71*0.8)),1+HLOOKUP(YEAR(C274)-1,CCFMODEL!$I$127:$AF$128,2)*0.8)),+FI273)</f>
        <v>44.8252497008979</v>
      </c>
      <c r="FJ274" s="1127" t="n">
        <f aca="false">IF(MONTH(C274)=5,FJ273*(IF(Summary!$E$70="no",(1+(Summary!$E$71*0.8)),1+HLOOKUP(YEAR(CALC!C274)-1,CCFMODEL!$I$127:$AF$128,2)*0.8)),FJ273)</f>
        <v>39.1779741480288</v>
      </c>
      <c r="FK274" s="1128" t="n">
        <f aca="false">SUM(FB274:FG274)*FI274+FH274*FJ274</f>
        <v>715276.509477227</v>
      </c>
      <c r="FL274" s="1126" t="n">
        <f aca="false">IF(MONTH(C274)=5,FL273*(IF(Summary!$E$70="no",(1+(Summary!$E$71*0.8)),1+HLOOKUP(YEAR(CALC!C274)-1,CCFMODEL!$I$127:$AF$128,2)*0.8)),+FL273)</f>
        <v>94.2725255239355</v>
      </c>
      <c r="FM274" s="1127" t="n">
        <f aca="false">IF(MONTH(C274)=5,FM273*(IF(Summary!$E$70="no",(1+(Summary!$E$71*0.8)),1+HLOOKUP(YEAR(CALC!C274)-1,CCFMODEL!$I$127:$AF$128,2)*0.8)),+FM273)</f>
        <v>44.9933233780666</v>
      </c>
      <c r="FN274" s="1128" t="n">
        <f aca="false">IF((OR(MONTH(C274)=5,MONTH(C274)=6,MONTH(C274)=7,MONTH(C274)=8,MONTH(C274)=9)),SUM(FB274:FG274)/(1-BC274)*FL274,SUM(FB274:FG274)/(1-BC274)*FM274)</f>
        <v>1527214.91348775</v>
      </c>
      <c r="FO274" s="1129" t="n">
        <f aca="false">FK274+FN274</f>
        <v>2242491.42296498</v>
      </c>
      <c r="FP274" s="1169" t="n">
        <f aca="false">FB274</f>
        <v>11701.8</v>
      </c>
      <c r="FQ274" s="1129" t="n">
        <f aca="false">FC274</f>
        <v>0</v>
      </c>
      <c r="FR274" s="1129" t="n">
        <f aca="false">FD274</f>
        <v>2127.6</v>
      </c>
      <c r="FS274" s="1129" t="n">
        <f aca="false">FE274</f>
        <v>0</v>
      </c>
      <c r="FT274" s="1129" t="n">
        <f aca="false">FF274</f>
        <v>2127.6</v>
      </c>
      <c r="FU274" s="1129" t="n">
        <f aca="false">FG274</f>
        <v>0</v>
      </c>
      <c r="FV274" s="1170" t="n">
        <f aca="false">FH274</f>
        <v>0</v>
      </c>
      <c r="FW274" s="1115" t="n">
        <f aca="false">IF(ER274&gt;0,MIN(FB274-FP274,BL274),0)</f>
        <v>0</v>
      </c>
      <c r="FX274" s="1115" t="n">
        <f aca="false">IF(ES274&gt;0,MIN(FD274-FR274,BM274),0)</f>
        <v>0</v>
      </c>
      <c r="FY274" s="1115" t="n">
        <f aca="false">IF(ET274&gt;0,MIN(FF274-FT274,BN274),0)</f>
        <v>0</v>
      </c>
      <c r="FZ274" s="1143" t="n">
        <f aca="false">IF(EU274&gt;0,MIN(FH274-FV274,BO274),0)</f>
        <v>0</v>
      </c>
      <c r="GA274" s="1132" t="n">
        <f aca="false">(SUM(FP274:FV274)+SUM(GU274:HB274)/(1-Summary!$O$25))*CY274/1000</f>
        <v>199093.404632832</v>
      </c>
      <c r="GB274" s="1133" t="n">
        <f aca="false">IF($C274&lt;Summary!$M$81,+Summary!$O$81,VLOOKUP(C274,GasTable,19))</f>
        <v>3.81228899347828</v>
      </c>
      <c r="GC274" s="1134" t="n">
        <f aca="false">IF(H274&lt;=Summary!$N$84,MIN(GA274,Summary!$O$75*(H274-G274+1)),0)</f>
        <v>0</v>
      </c>
      <c r="GD274" s="1135" t="n">
        <f aca="false">IF(C274&lt;Summary!$N$84,IF(Summary!$O$75*(H274-G274+1)*0.8&gt;GC274,1,0),0)</f>
        <v>0</v>
      </c>
      <c r="GE274" s="1136" t="n">
        <v>0</v>
      </c>
      <c r="GF274" s="1134" t="n">
        <f aca="false">ABS(MIN(0,GC274-$GA274))</f>
        <v>199093.404632832</v>
      </c>
      <c r="GG274" s="1135" t="n">
        <f aca="false">GF274*(IF(Summary!$O$74=1,VLOOKUP($C274,GasTable,16)+Summary!$O$92+Summary!$O$93,VLOOKUP($C274,GasTable,19)+Summary!$O$92+Summary!$O$93))</f>
        <v>769374.361537234</v>
      </c>
      <c r="GH274" s="1137" t="n">
        <v>5718.43349021742</v>
      </c>
      <c r="GI274" s="1138" t="n">
        <v>0</v>
      </c>
      <c r="GJ274" s="1139" t="n">
        <f aca="false">+GB274*GC274+GE274+GG274+GH274-GI274</f>
        <v>775092.795027451</v>
      </c>
      <c r="GK274" s="1115" t="n">
        <f aca="false">SUM(FP274:FV274,GU274:GX274,GY274:HB274)</f>
        <v>25196.103</v>
      </c>
      <c r="GL274" s="1140" t="n">
        <v>0.52246890512</v>
      </c>
      <c r="GM274" s="1141" t="n">
        <f aca="false">IF(GK274&gt;GC274/(CY274/1000),GC274/(CY274/1000),+GK274)*GL274</f>
        <v>0</v>
      </c>
      <c r="GN274" s="1115" t="n">
        <f aca="false">IF(SUM(GU274:HB274)=0,0,IF(Summary!$O$16="Yes",SUM(GX274:HB274),IF(Summary!$O$17="Yes",SUM(GY274:HB274),SUM(GU274:HB274))))</f>
        <v>9239.103</v>
      </c>
      <c r="GO274" s="1142" t="n">
        <v>4.42661845915648</v>
      </c>
      <c r="GP274" s="1143" t="n">
        <f aca="false">GN274*GO274</f>
        <v>40897.983885848</v>
      </c>
      <c r="GQ274" s="1115"/>
      <c r="GR274" s="1115"/>
      <c r="GS274" s="1115"/>
      <c r="GT274" s="1115"/>
      <c r="GU274" s="1150" t="n">
        <v>3764.079</v>
      </c>
      <c r="GV274" s="1115" t="n">
        <v>684.378</v>
      </c>
      <c r="GW274" s="1115" t="n">
        <v>684.378</v>
      </c>
      <c r="GX274" s="1115"/>
      <c r="GY274" s="1151" t="n">
        <v>3011.2632</v>
      </c>
      <c r="GZ274" s="1115" t="n">
        <v>547.5024</v>
      </c>
      <c r="HA274" s="1115" t="n">
        <v>547.5024</v>
      </c>
      <c r="HB274" s="1141"/>
      <c r="HC274" s="1115" t="n">
        <v>9239.103</v>
      </c>
      <c r="HD274" s="1115"/>
      <c r="HE274" s="1115" t="n">
        <v>21557.907</v>
      </c>
      <c r="HF274" s="1115" t="n">
        <v>448804.328679521</v>
      </c>
      <c r="HG274" s="1115"/>
      <c r="HH274" s="1142" t="n">
        <v>50.2531591338145</v>
      </c>
      <c r="HI274" s="1115" t="n">
        <v>1083352.93106297</v>
      </c>
      <c r="HJ274" s="1150" t="n">
        <f aca="false">MAX(FB274-FP274-FW274,0)</f>
        <v>0</v>
      </c>
      <c r="HK274" s="1115" t="n">
        <f aca="false">MAX(FD274-FR274-FX274,0)</f>
        <v>0</v>
      </c>
      <c r="HL274" s="1115" t="n">
        <f aca="false">MAX(FF274-FT274-FY274,0)</f>
        <v>0</v>
      </c>
      <c r="HM274" s="1141" t="n">
        <f aca="false">MAX(FH274-FV274-FZ274,0)</f>
        <v>0</v>
      </c>
      <c r="HN274" s="1115" t="n">
        <f aca="false">SUM(HJ274:HM274)</f>
        <v>0</v>
      </c>
      <c r="HO274" s="1142" t="n">
        <f aca="false">IF(ISERROR(+HP274/HN274),0,+HP274/HN274)</f>
        <v>0</v>
      </c>
      <c r="HP274" s="1143" t="n">
        <f aca="false">(HJ274*CE274+HK274*CF274+HL274*CG274+HM274*CH274)</f>
        <v>0</v>
      </c>
      <c r="HQ274" s="1142" t="s">
        <v>944</v>
      </c>
      <c r="HR274" s="1150" t="e">
        <f aca="false">SUMIF($A$17:$A$292,HQ274,$GF$17:$GF$292)</f>
        <v>#VALUE!</v>
      </c>
      <c r="HS274" s="1200" t="e">
        <f aca="false">IF(HT274=0,IF(OR(SUMIF(CURVES!$AU$6:$AU$283,$HQ274,CURVES!$BQ$6:$BQ$283)=0,COUNTIF(CURVES!$AU$6:$AU$283,$HQ274)=0),0,SUMIF(CURVES!$AU$6:$AU$283,$HQ274,CURVES!$BQ$6:$BQ$283)/COUNTIF(CURVES!$AU$6:$AU$283,$HQ274)),HT274/HR274)</f>
        <v>#VALUE!</v>
      </c>
      <c r="HT274" s="1141" t="e">
        <f aca="false">SUMIF($A$17:$A$292,HQ274,$GG$17:$GG$292)</f>
        <v>#VALUE!</v>
      </c>
      <c r="HU274" s="1150" t="n">
        <f aca="false">SUMIF($A$17:$A$292,HQ274,$GC$17:$GC$292)</f>
        <v>0</v>
      </c>
      <c r="HV274" s="1200" t="e">
        <f aca="false">IF(HW274=0,0,HW274/Summary!$O$79/HU274)</f>
        <v>#DIV/0!</v>
      </c>
      <c r="HW274" s="1141" t="n">
        <f aca="false">SUMIF($A$17:$A$292,HQ274,$GH$17:$GH$292)</f>
        <v>17250.0737394953</v>
      </c>
      <c r="HX274" s="1200" t="n">
        <f aca="false">IF(OR(SUMIF(CURVES!$AU$6:$AU$283,$HQ274,CURVES!$BQ$6:$BQ$283)=0,COUNTIF(CURVES!$AU$6:$AU$283,$HQ274)=0),0,SUMIF(CURVES!$AU$6:$AU$283,$HQ274,CURVES!$BQ$6:$BQ$283)/COUNTIF(CURVES!$AU$6:$AU$283,$HQ274))</f>
        <v>4.69965398931679</v>
      </c>
      <c r="HY274" s="1200" t="n">
        <f aca="false">IF(OR(SUMIF(CURVES!$AU$6:$AU$283,$HQ274,CURVES!$BR$6:$BR$283)=0,COUNTIF(CURVES!$AU$6:$AU$283,$HQ274)=0),0,SUMIF(CURVES!$AU$6:$AU$283,$HQ274,CURVES!$BR$6:$BR$283)/COUNTIF(CURVES!$AU$6:$AU$283,$HQ274))</f>
        <v>3.69566957299922</v>
      </c>
      <c r="HZ274" s="0"/>
      <c r="IA274" s="1142"/>
      <c r="IB274" s="1142"/>
      <c r="IC274" s="1142"/>
      <c r="ID274" s="1142"/>
      <c r="IE274" s="1142"/>
      <c r="IF274" s="1142"/>
      <c r="IG274" s="1142"/>
      <c r="IH274" s="1142"/>
      <c r="II274" s="1142"/>
      <c r="IJ274" s="1142"/>
      <c r="IK274" s="1142"/>
      <c r="IL274" s="1190"/>
      <c r="IM274" s="222"/>
      <c r="IN274" s="222"/>
      <c r="IR274" s="844"/>
    </row>
    <row r="275" customFormat="false" ht="13.5" hidden="false" customHeight="false" outlineLevel="0" collapsed="false">
      <c r="A275" s="0" t="str">
        <f aca="false">+D275&amp;"Q"&amp;ROUNDUP(E275/3,0)</f>
        <v>2021Q3</v>
      </c>
      <c r="B275" s="0" t="n">
        <f aca="false">YEAR(C275)</f>
        <v>2021</v>
      </c>
      <c r="C275" s="1153" t="n">
        <f aca="false">EOMONTH(C274,0)+1</f>
        <v>44378</v>
      </c>
      <c r="D275" s="841" t="n">
        <f aca="false">+YEAR(C275)</f>
        <v>2021</v>
      </c>
      <c r="E275" s="807" t="n">
        <f aca="false">MONTH(C275)</f>
        <v>7</v>
      </c>
      <c r="F275" s="1154" t="e">
        <f aca="false">IF(G275="","",Holiday(D275,E275))</f>
        <v>#VALUE!</v>
      </c>
      <c r="G275" s="1155" t="n">
        <v>44378</v>
      </c>
      <c r="H275" s="1156" t="n">
        <v>44408</v>
      </c>
      <c r="I275" s="1157" t="n">
        <f aca="false">I274</f>
        <v>0.0715</v>
      </c>
      <c r="J275" s="1158" t="n">
        <f aca="false">(1+I275/2)^(-2*(DATE(D276,E276,20)-$H$7)/365.25)</f>
        <v>0.218028855069584</v>
      </c>
      <c r="K275" s="1159"/>
      <c r="L275" s="1158"/>
      <c r="M275" s="1082" t="n">
        <v>0</v>
      </c>
      <c r="N275" s="1110" t="n">
        <f aca="false">M275</f>
        <v>0</v>
      </c>
      <c r="O275" s="1174" t="n">
        <f aca="false">N275</f>
        <v>0</v>
      </c>
      <c r="P275" s="1175" t="n">
        <f aca="false">M275</f>
        <v>0</v>
      </c>
      <c r="Q275" s="1110" t="n">
        <f aca="false">P275</f>
        <v>0</v>
      </c>
      <c r="R275" s="1174" t="n">
        <f aca="false">Q275</f>
        <v>0</v>
      </c>
      <c r="S275" s="1110" t="n">
        <f aca="false">R275</f>
        <v>0</v>
      </c>
      <c r="T275" s="1110" t="n">
        <f aca="false">S275</f>
        <v>0</v>
      </c>
      <c r="U275" s="1110" t="n">
        <f aca="false">T275</f>
        <v>0</v>
      </c>
      <c r="V275" s="1175" t="n">
        <f aca="false">U275</f>
        <v>0</v>
      </c>
      <c r="W275" s="1110" t="n">
        <f aca="false">V275</f>
        <v>0</v>
      </c>
      <c r="X275" s="1176" t="n">
        <f aca="false">W275</f>
        <v>0</v>
      </c>
      <c r="Y275" s="1086" t="n">
        <v>0</v>
      </c>
      <c r="Z275" s="1086" t="n">
        <v>0</v>
      </c>
      <c r="AA275" s="1087" t="n">
        <v>0</v>
      </c>
      <c r="AB275" s="1086" t="n">
        <v>0</v>
      </c>
      <c r="AC275" s="1086" t="n">
        <v>0</v>
      </c>
      <c r="AD275" s="1087" t="n">
        <v>0</v>
      </c>
      <c r="AE275" s="1086" t="n">
        <v>0</v>
      </c>
      <c r="AF275" s="1086" t="n">
        <v>0</v>
      </c>
      <c r="AG275" s="1087" t="n">
        <v>0</v>
      </c>
      <c r="AH275" s="1086" t="n">
        <v>0</v>
      </c>
      <c r="AI275" s="1086" t="n">
        <v>0</v>
      </c>
      <c r="AJ275" s="1087" t="n">
        <v>0</v>
      </c>
      <c r="AK275" s="1086" t="n">
        <v>0</v>
      </c>
      <c r="AL275" s="1086" t="n">
        <v>0</v>
      </c>
      <c r="AM275" s="1087" t="n">
        <v>0</v>
      </c>
      <c r="AN275" s="1086" t="n">
        <v>0</v>
      </c>
      <c r="AO275" s="1086" t="n">
        <v>0</v>
      </c>
      <c r="AP275" s="1087" t="n">
        <v>0</v>
      </c>
      <c r="AQ275" s="1086" t="n">
        <v>0</v>
      </c>
      <c r="AR275" s="1086" t="n">
        <v>0</v>
      </c>
      <c r="AS275" s="1087" t="n">
        <v>0</v>
      </c>
      <c r="AT275" s="1086" t="n">
        <v>0</v>
      </c>
      <c r="AU275" s="1086" t="n">
        <v>0</v>
      </c>
      <c r="AV275" s="1086" t="n">
        <v>0</v>
      </c>
      <c r="AW275" s="1172" t="n">
        <v>0</v>
      </c>
      <c r="AX275" s="807" t="e">
        <f aca="false">BB275-SUM(AY275:BA275)</f>
        <v>#VALUE!</v>
      </c>
      <c r="AY275" s="807" t="e">
        <f aca="false">IF(AND($E275=MONTH(Summary!$E$24),$D275=YEAR(Summary!$E$24)),Summary!$E$25,1)*IF(G275="",0,INT((H275-MOD(H275,7)-G275)/7)+1-IF(BA275,IF(WEEKDAY(F275)=7,1,0),0))</f>
        <v>#VALUE!</v>
      </c>
      <c r="AZ275" s="807" t="e">
        <f aca="false">IF(AND($E275=MONTH(Summary!$E$24),$D275=YEAR(Summary!$E$24)),Summary!$E$25,1)*IF(G275="",0,INT((H275-MOD(H275-1,7)-G275)/7)+1-IF(BA275,IF(WEEKDAY(F275)=1,1,0),0))</f>
        <v>#VALUE!</v>
      </c>
      <c r="BA275" s="807" t="n">
        <v>1</v>
      </c>
      <c r="BB275" s="807" t="n">
        <f aca="false">IF(AND($E275=MONTH(Summary!$E$24),$D275=YEAR(Summary!$E$24)),Summary!$E$25,1)*IF(G275="",0,H275-G275+1)</f>
        <v>31</v>
      </c>
      <c r="BC275" s="1089" t="n">
        <f aca="false">Summary!$E$19</f>
        <v>0.015</v>
      </c>
      <c r="BD275" s="1090" t="n">
        <v>14893.2</v>
      </c>
      <c r="BE275" s="1091" t="n">
        <v>3546</v>
      </c>
      <c r="BF275" s="1091" t="n">
        <v>3546</v>
      </c>
      <c r="BG275" s="842"/>
      <c r="BH275" s="1092" t="n">
        <v>1</v>
      </c>
      <c r="BI275" s="1092" t="n">
        <v>1</v>
      </c>
      <c r="BJ275" s="1092" t="n">
        <v>1</v>
      </c>
      <c r="BK275" s="1092" t="n">
        <v>1</v>
      </c>
      <c r="BL275" s="1093" t="n">
        <v>2978.64</v>
      </c>
      <c r="BM275" s="1091" t="n">
        <v>709.2</v>
      </c>
      <c r="BN275" s="1091" t="n">
        <v>709.2</v>
      </c>
      <c r="BO275" s="842"/>
      <c r="BP275" s="1092" t="n">
        <v>1</v>
      </c>
      <c r="BQ275" s="1094" t="n">
        <v>1</v>
      </c>
      <c r="BR275" s="1094" t="n">
        <v>1</v>
      </c>
      <c r="BS275" s="1095" t="n">
        <v>1</v>
      </c>
      <c r="BT275" s="1093" t="n">
        <f aca="false">SUM(BD275:BF275)</f>
        <v>21985.2</v>
      </c>
      <c r="BU275" s="1098" t="n">
        <f aca="false">SUM(BD275:BG275)</f>
        <v>21985.2</v>
      </c>
      <c r="BV275" s="1090" t="n">
        <f aca="false">SUM(BL275:BN275)</f>
        <v>4397.04</v>
      </c>
      <c r="BW275" s="1098" t="n">
        <f aca="false">SUM(BL275:BO275)</f>
        <v>4397.04</v>
      </c>
      <c r="BX275" s="852" t="n">
        <v>21.5441478439425</v>
      </c>
      <c r="BY275" s="1099" t="n">
        <v>0</v>
      </c>
      <c r="BZ275" s="852" t="n">
        <v>0</v>
      </c>
      <c r="CA275" s="852" t="n">
        <v>0</v>
      </c>
      <c r="CB275" s="852" t="n">
        <v>0</v>
      </c>
      <c r="CC275" s="852" t="n">
        <v>0</v>
      </c>
      <c r="CD275" s="852" t="n">
        <v>0</v>
      </c>
      <c r="CE275" s="1100" t="n">
        <v>0</v>
      </c>
      <c r="CF275" s="852" t="n">
        <v>0</v>
      </c>
      <c r="CG275" s="852" t="n">
        <v>0</v>
      </c>
      <c r="CH275" s="852" t="n">
        <v>0</v>
      </c>
      <c r="CI275" s="852" t="n">
        <v>0</v>
      </c>
      <c r="CJ275" s="1101" t="n">
        <v>0</v>
      </c>
      <c r="CK275" s="852" t="n">
        <v>0</v>
      </c>
      <c r="CL275" s="852" t="n">
        <v>0</v>
      </c>
      <c r="CM275" s="852" t="n">
        <v>0</v>
      </c>
      <c r="CN275" s="852" t="n">
        <v>0</v>
      </c>
      <c r="CO275" s="852" t="n">
        <v>0</v>
      </c>
      <c r="CP275" s="852" t="n">
        <v>0</v>
      </c>
      <c r="CQ275" s="1102" t="n">
        <v>0</v>
      </c>
      <c r="CR275" s="1103" t="n">
        <v>0</v>
      </c>
      <c r="CS275" s="1103" t="n">
        <v>0</v>
      </c>
      <c r="CT275" s="1103" t="n">
        <v>0</v>
      </c>
      <c r="CU275" s="1103" t="n">
        <v>0</v>
      </c>
      <c r="CV275" s="1103" t="n">
        <v>0</v>
      </c>
      <c r="CW275" s="1103" t="n">
        <v>0</v>
      </c>
      <c r="CX275" s="1104" t="n">
        <v>0</v>
      </c>
      <c r="CY275" s="1105" t="n">
        <v>7800.07432</v>
      </c>
      <c r="CZ275" s="1099" t="n">
        <v>0</v>
      </c>
      <c r="DA275" s="852" t="n">
        <v>0</v>
      </c>
      <c r="DB275" s="852" t="n">
        <v>0</v>
      </c>
      <c r="DC275" s="852" t="n">
        <v>0</v>
      </c>
      <c r="DD275" s="852" t="n">
        <v>0</v>
      </c>
      <c r="DE275" s="1113" t="n">
        <v>0</v>
      </c>
      <c r="DF275" s="1109" t="n">
        <v>0</v>
      </c>
      <c r="DG275" s="1110" t="n">
        <v>0</v>
      </c>
      <c r="DH275" s="1111" t="n">
        <v>0</v>
      </c>
      <c r="DI275" s="1112" t="n">
        <v>0</v>
      </c>
      <c r="DJ275" s="1112" t="n">
        <v>0</v>
      </c>
      <c r="DK275" s="1112" t="n">
        <v>0</v>
      </c>
      <c r="DL275" s="1113" t="n">
        <v>0</v>
      </c>
      <c r="DM275" s="1114" t="n">
        <v>0</v>
      </c>
      <c r="DN275" s="1114" t="n">
        <v>0</v>
      </c>
      <c r="DO275" s="1114" t="n">
        <v>0</v>
      </c>
      <c r="DP275" s="1114" t="n">
        <v>0</v>
      </c>
      <c r="DQ275" s="1114" t="n">
        <v>0</v>
      </c>
      <c r="DR275" s="1109" t="n">
        <v>0</v>
      </c>
      <c r="DS275" s="852" t="n">
        <v>0</v>
      </c>
      <c r="DT275" s="852" t="n">
        <v>0</v>
      </c>
      <c r="DU275" s="852" t="n">
        <v>0</v>
      </c>
      <c r="DV275" s="852" t="n">
        <v>0</v>
      </c>
      <c r="DW275" s="852" t="n">
        <v>0</v>
      </c>
      <c r="DX275" s="852" t="n">
        <v>0</v>
      </c>
      <c r="DY275" s="852" t="n">
        <v>0</v>
      </c>
      <c r="DZ275" s="852" t="n">
        <v>0</v>
      </c>
      <c r="EA275" s="852" t="n">
        <v>0</v>
      </c>
      <c r="EB275" s="1113" t="n">
        <v>0</v>
      </c>
      <c r="EC275" s="1115" t="n">
        <f aca="false">DS275*BD275</f>
        <v>0</v>
      </c>
      <c r="ED275" s="1115" t="n">
        <f aca="false">DT275*BE275</f>
        <v>0</v>
      </c>
      <c r="EE275" s="1115" t="n">
        <f aca="false">DU275*BF275</f>
        <v>0</v>
      </c>
      <c r="EF275" s="1115" t="n">
        <f aca="false">DV275*BG275</f>
        <v>0</v>
      </c>
      <c r="EG275" s="1115" t="n">
        <f aca="false">DS275*BD275+DT275*BE275+DU275*BF275+DV275*BG275</f>
        <v>0</v>
      </c>
      <c r="EH275" s="1116" t="n">
        <v>0</v>
      </c>
      <c r="EI275" s="1117" t="n">
        <v>0</v>
      </c>
      <c r="EJ275" s="1117" t="n">
        <v>0</v>
      </c>
      <c r="EK275" s="1117" t="n">
        <v>0</v>
      </c>
      <c r="EL275" s="1118" t="n">
        <f aca="false">IF(C275&gt;=Summary!$E$26,MAX(0,SUM(EH275:EK275)),0)</f>
        <v>0</v>
      </c>
      <c r="EM275" s="1115" t="n">
        <f aca="false">IF(C275&gt;=Summary!$E$26,DX275*BL275,0)</f>
        <v>0</v>
      </c>
      <c r="EN275" s="1115" t="n">
        <f aca="false">IF(C275&gt;=Summary!$E$26,DY275*BM275,0)</f>
        <v>0</v>
      </c>
      <c r="EO275" s="1115" t="n">
        <f aca="false">IF(C275&gt;=Summary!$E$26,DZ275*BN275,0)</f>
        <v>0</v>
      </c>
      <c r="EP275" s="1115" t="n">
        <f aca="false">IF(C275&gt;=Summary!$E$26,EA275*BO275,0)</f>
        <v>0</v>
      </c>
      <c r="EQ275" s="1115" t="n">
        <f aca="false">IF(C275&gt;=Summary!$E$26,DX275*BL275+DY275*BM275+DZ275*BN275+EA275*BO275,0)</f>
        <v>0</v>
      </c>
      <c r="ER275" s="1119" t="n">
        <v>0</v>
      </c>
      <c r="ES275" s="1120" t="n">
        <v>0</v>
      </c>
      <c r="ET275" s="1120" t="n">
        <v>0</v>
      </c>
      <c r="EU275" s="1120" t="n">
        <v>0</v>
      </c>
      <c r="EV275" s="1143" t="n">
        <f aca="false">IF(C275&gt;=Summary!$E$26,MAX(0,SUM(ER275:EU275)),0)</f>
        <v>0</v>
      </c>
      <c r="EW275" s="1115"/>
      <c r="EX275" s="1165" t="n">
        <f aca="false">(EQ275-EV275)+IF(EZ275="Yes",(EG275-EL275),0)</f>
        <v>0</v>
      </c>
      <c r="EY275" s="1166" t="str">
        <f aca="false">IF(EX275,EX275/EQ275,"")</f>
        <v/>
      </c>
      <c r="EZ275" s="1122" t="s">
        <v>37</v>
      </c>
      <c r="FA275" s="1096" t="n">
        <f aca="false">FA274</f>
        <v>45</v>
      </c>
      <c r="FB275" s="1167" t="e">
        <f aca="false">IF(EZ275="No",IF((OR(MONTH(C275)=5,MONTH(C275)=6,MONTH(C275)=7,MONTH(C275)=8,MONTH(C275)=9)),$FA275*12*AX275*(1-$BC275),$FA275*10*AX275*(1-$BC275)),0)</f>
        <v>#VALUE!</v>
      </c>
      <c r="FC275" s="1129" t="n">
        <f aca="false">IF(EZ275="No",IF((OR(MONTH(C275)=5,MONTH(C275)=6,MONTH(C275)=7,MONTH(C275)=8,MONTH(C275)=9)),0,$FA275*3*AX275*(1-$BC275)),0)</f>
        <v>0</v>
      </c>
      <c r="FD275" s="1129" t="e">
        <f aca="false">IF(EZ275="No",IF((OR(MONTH(C275)=5,MONTH(C275)=6,MONTH(C275)=7,MONTH(C275)=8,MONTH(C275)=9)),$FA275*12*AY275*(1-$BC275),$FA275*10*AY275*(1-$BC275)),0)</f>
        <v>#VALUE!</v>
      </c>
      <c r="FE275" s="1129" t="n">
        <f aca="false">IF(EZ275="No",IF((OR(MONTH(C275)=5,MONTH(C275)=6,MONTH(C275)=7,MONTH(C275)=8,MONTH(C275)=9)),0,$FA275*3*AY275*(1-$BC275)),0)</f>
        <v>0</v>
      </c>
      <c r="FF275" s="1129" t="e">
        <f aca="false">IF(EZ275="No",IF((OR(MONTH(C275)=5,MONTH(C275)=6,MONTH(C275)=7,MONTH(C275)=8,MONTH(C275)=9)),$FA275*12*(AZ275+BA275)*(1-$BC275),$FA275*10*(AZ275+BA275)*(1-$BC275)),0)</f>
        <v>#VALUE!</v>
      </c>
      <c r="FG275" s="1129" t="n">
        <f aca="false">IF(EZ275="No",IF((OR(MONTH(C275)=5,MONTH(C275)=6,MONTH(C275)=7,MONTH(C275)=8,MONTH(C275)=9)),0,$FA275*3*(AZ275+BA275)*(1-$BC275)),0)</f>
        <v>0</v>
      </c>
      <c r="FH275" s="1170" t="e">
        <f aca="false">IF(EZ275="No",IF((OR(MONTH(C275)=5,MONTH(C275)=6,MONTH(C275)=7,MONTH(C275)=8,MONTH(C275)=9)),Summary!$O$15*12*(AX275+AY275+AZ275+BA275)*(1-$BC275),Summary!$O$15*13*(AX275+AY275+AZ275+BA275)*(1-$BC275)+IF(Summary!$O$16="Yes",(CALC!FA275+Summary!$O$15)*6*(AX275+AY275+AZ275+BA275)*(1-$BC275),0)),0)</f>
        <v>#VALUE!</v>
      </c>
      <c r="FI275" s="1126" t="n">
        <f aca="false">IF(MONTH(C275)=5,FI274*(IF(Summary!$E$70="no",(1+(Summary!$E$71*0.8)),1+HLOOKUP(YEAR(C275)-1,CCFMODEL!$I$127:$AF$128,2)*0.8)),+FI274)</f>
        <v>44.8252497008979</v>
      </c>
      <c r="FJ275" s="1127" t="n">
        <f aca="false">IF(MONTH(C275)=5,FJ274*(IF(Summary!$E$70="no",(1+(Summary!$E$71*0.8)),1+HLOOKUP(YEAR(CALC!C275)-1,CCFMODEL!$I$127:$AF$128,2)*0.8)),FJ274)</f>
        <v>39.1779741480288</v>
      </c>
      <c r="FK275" s="1128" t="e">
        <f aca="false">SUM(FB275:FG275)*FI275+FH275*FJ275</f>
        <v>#VALUE!</v>
      </c>
      <c r="FL275" s="1126" t="n">
        <f aca="false">IF(MONTH(C275)=5,FL274*(IF(Summary!$E$70="no",(1+(Summary!$E$71*0.8)),1+HLOOKUP(YEAR(CALC!C275)-1,CCFMODEL!$I$127:$AF$128,2)*0.8)),+FL274)</f>
        <v>94.2725255239355</v>
      </c>
      <c r="FM275" s="1127" t="n">
        <f aca="false">IF(MONTH(C275)=5,FM274*(IF(Summary!$E$70="no",(1+(Summary!$E$71*0.8)),1+HLOOKUP(YEAR(CALC!C275)-1,CCFMODEL!$I$127:$AF$128,2)*0.8)),+FM274)</f>
        <v>44.9933233780666</v>
      </c>
      <c r="FN275" s="1128" t="e">
        <f aca="false">IF((OR(MONTH(C275)=5,MONTH(C275)=6,MONTH(C275)=7,MONTH(C275)=8,MONTH(C275)=9)),SUM(FB275:FG275)/(1-BC275)*FL275,SUM(FB275:FG275)/(1-BC275)*FM275)</f>
        <v>#VALUE!</v>
      </c>
      <c r="FO275" s="1129" t="e">
        <f aca="false">FK275+FN275</f>
        <v>#VALUE!</v>
      </c>
      <c r="FP275" s="1169" t="e">
        <f aca="false">FB275</f>
        <v>#VALUE!</v>
      </c>
      <c r="FQ275" s="1129" t="n">
        <f aca="false">FC275</f>
        <v>0</v>
      </c>
      <c r="FR275" s="1129" t="e">
        <f aca="false">FD275</f>
        <v>#VALUE!</v>
      </c>
      <c r="FS275" s="1129" t="n">
        <f aca="false">FE275</f>
        <v>0</v>
      </c>
      <c r="FT275" s="1129" t="e">
        <f aca="false">FF275</f>
        <v>#VALUE!</v>
      </c>
      <c r="FU275" s="1129" t="n">
        <f aca="false">FG275</f>
        <v>0</v>
      </c>
      <c r="FV275" s="1170" t="e">
        <f aca="false">FH275</f>
        <v>#VALUE!</v>
      </c>
      <c r="FW275" s="1115" t="n">
        <f aca="false">IF(ER275&gt;0,MIN(FB275-FP275,BL275),0)</f>
        <v>0</v>
      </c>
      <c r="FX275" s="1115" t="n">
        <f aca="false">IF(ES275&gt;0,MIN(FD275-FR275,BM275),0)</f>
        <v>0</v>
      </c>
      <c r="FY275" s="1115" t="n">
        <f aca="false">IF(ET275&gt;0,MIN(FF275-FT275,BN275),0)</f>
        <v>0</v>
      </c>
      <c r="FZ275" s="1143" t="n">
        <f aca="false">IF(EU275&gt;0,MIN(FH275-FV275,BO275),0)</f>
        <v>0</v>
      </c>
      <c r="GA275" s="1132" t="e">
        <f aca="false">(SUM(FP275:FV275)+SUM(GU275:HB275)/(1-Summary!$O$25))*CY275/1000</f>
        <v>#VALUE!</v>
      </c>
      <c r="GB275" s="1133" t="n">
        <f aca="false">IF($C275&lt;Summary!$M$81,+Summary!$O$81,VLOOKUP(C275,GasTable,19))</f>
        <v>3.91634957839869</v>
      </c>
      <c r="GC275" s="1134" t="n">
        <f aca="false">IF(H275&lt;=Summary!$N$84,MIN(GA275,Summary!$O$75*(H275-G275+1)),0)</f>
        <v>0</v>
      </c>
      <c r="GD275" s="1135" t="n">
        <f aca="false">IF(C275&lt;Summary!$N$84,IF(Summary!$O$75*(H275-G275+1)*0.8&gt;GC275,1,0),0)</f>
        <v>0</v>
      </c>
      <c r="GE275" s="1136" t="n">
        <v>0</v>
      </c>
      <c r="GF275" s="1134" t="e">
        <f aca="false">ABS(MIN(0,GC275-$GA275))</f>
        <v>#VALUE!</v>
      </c>
      <c r="GG275" s="1135" t="e">
        <f aca="false">GF275*(IF(Summary!$O$74=1,VLOOKUP($C275,GasTable,16)+Summary!$O$92+Summary!$O$93,VLOOKUP($C275,GasTable,19)+Summary!$O$92+Summary!$O$93))</f>
        <v>#VALUE!</v>
      </c>
      <c r="GH275" s="1137" t="n">
        <v>6070.34184651797</v>
      </c>
      <c r="GI275" s="1138" t="n">
        <v>0</v>
      </c>
      <c r="GJ275" s="1139" t="e">
        <f aca="false">+GB275*GC275+GE275+GG275+GH275-GI275</f>
        <v>#VALUE!</v>
      </c>
      <c r="GK275" s="1115" t="e">
        <f aca="false">SUM(FP275:FV275,GU275:GX275,GY275:HB275)</f>
        <v>#VALUE!</v>
      </c>
      <c r="GL275" s="1140" t="n">
        <v>0.52260497944</v>
      </c>
      <c r="GM275" s="1141" t="e">
        <f aca="false">IF(GK275&gt;GC275/(CY275/1000),GC275/(CY275/1000),+GK275)*GL275</f>
        <v>#VALUE!</v>
      </c>
      <c r="GN275" s="1115" t="n">
        <f aca="false">IF(SUM(GU275:HB275)=0,0,IF(Summary!$O$16="Yes",SUM(GX275:HB275),IF(Summary!$O$17="Yes",SUM(GY275:HB275),SUM(GU275:HB275))))</f>
        <v>9547.0731</v>
      </c>
      <c r="GO275" s="1142" t="n">
        <v>4.42661845915648</v>
      </c>
      <c r="GP275" s="1143" t="n">
        <f aca="false">GN275*GO275</f>
        <v>42261.2500153763</v>
      </c>
      <c r="GQ275" s="1115"/>
      <c r="GR275" s="1115"/>
      <c r="GS275" s="1115"/>
      <c r="GT275" s="1115"/>
      <c r="GU275" s="1150" t="n">
        <v>3592.9845</v>
      </c>
      <c r="GV275" s="1115" t="n">
        <v>855.4725</v>
      </c>
      <c r="GW275" s="1115" t="n">
        <v>855.4725</v>
      </c>
      <c r="GX275" s="1115"/>
      <c r="GY275" s="1151" t="n">
        <v>2874.3876</v>
      </c>
      <c r="GZ275" s="1115" t="n">
        <v>684.378</v>
      </c>
      <c r="HA275" s="1115" t="n">
        <v>684.378</v>
      </c>
      <c r="HB275" s="1141"/>
      <c r="HC275" s="1115" t="n">
        <v>9547.0731</v>
      </c>
      <c r="HD275" s="1115"/>
      <c r="HE275" s="1115" t="n">
        <v>22276.5039</v>
      </c>
      <c r="HF275" s="1115" t="n">
        <v>585769.210093422</v>
      </c>
      <c r="HG275" s="1115"/>
      <c r="HH275" s="1142" t="n">
        <v>64.9743552259213</v>
      </c>
      <c r="HI275" s="1115" t="n">
        <v>1447401.47759022</v>
      </c>
      <c r="HJ275" s="1150" t="e">
        <f aca="false">MAX(FB275-FP275-FW275,0)</f>
        <v>#VALUE!</v>
      </c>
      <c r="HK275" s="1115" t="e">
        <f aca="false">MAX(FD275-FR275-FX275,0)</f>
        <v>#VALUE!</v>
      </c>
      <c r="HL275" s="1115" t="e">
        <f aca="false">MAX(FF275-FT275-FY275,0)</f>
        <v>#VALUE!</v>
      </c>
      <c r="HM275" s="1141" t="e">
        <f aca="false">MAX(FH275-FV275-FZ275,0)</f>
        <v>#VALUE!</v>
      </c>
      <c r="HN275" s="1115" t="e">
        <f aca="false">SUM(HJ275:HM275)</f>
        <v>#VALUE!</v>
      </c>
      <c r="HO275" s="1142" t="n">
        <f aca="false">IF(ISERROR(+HP275/HN275),0,+HP275/HN275)</f>
        <v>0</v>
      </c>
      <c r="HP275" s="1143" t="e">
        <f aca="false">(HJ275*CE275+HK275*CF275+HL275*CG275+HM275*CH275)</f>
        <v>#VALUE!</v>
      </c>
      <c r="HQ275" s="1142" t="s">
        <v>945</v>
      </c>
      <c r="HR275" s="1150" t="e">
        <f aca="false">SUMIF($A$17:$A$292,HQ275,$GF$17:$GF$292)</f>
        <v>#VALUE!</v>
      </c>
      <c r="HS275" s="1200" t="e">
        <f aca="false">IF(HT275=0,IF(OR(SUMIF(CURVES!$AU$6:$AU$283,$HQ275,CURVES!$BQ$6:$BQ$283)=0,COUNTIF(CURVES!$AU$6:$AU$283,$HQ275)=0),0,SUMIF(CURVES!$AU$6:$AU$283,$HQ275,CURVES!$BQ$6:$BQ$283)/COUNTIF(CURVES!$AU$6:$AU$283,$HQ275)),HT275/HR275)</f>
        <v>#VALUE!</v>
      </c>
      <c r="HT275" s="1141" t="e">
        <f aca="false">SUMIF($A$17:$A$292,HQ275,$GG$17:$GG$292)</f>
        <v>#VALUE!</v>
      </c>
      <c r="HU275" s="1150" t="n">
        <f aca="false">SUMIF($A$17:$A$292,HQ275,$GC$17:$GC$292)</f>
        <v>0</v>
      </c>
      <c r="HV275" s="1200" t="e">
        <f aca="false">IF(HW275=0,0,HW275/Summary!$O$79/HU275)</f>
        <v>#DIV/0!</v>
      </c>
      <c r="HW275" s="1141" t="n">
        <f aca="false">SUMIF($A$17:$A$292,HQ275,$GH$17:$GH$292)</f>
        <v>18729.8938994272</v>
      </c>
      <c r="HX275" s="1200" t="n">
        <f aca="false">IF(OR(SUMIF(CURVES!$AU$6:$AU$283,$HQ275,CURVES!$BQ$6:$BQ$283)=0,COUNTIF(CURVES!$AU$6:$AU$283,$HQ275)=0),0,SUMIF(CURVES!$AU$6:$AU$283,$HQ275,CURVES!$BQ$6:$BQ$283)/COUNTIF(CURVES!$AU$6:$AU$283,$HQ275))</f>
        <v>4.8797641454517</v>
      </c>
      <c r="HY275" s="1200" t="n">
        <f aca="false">IF(OR(SUMIF(CURVES!$AU$6:$AU$283,$HQ275,CURVES!$BR$6:$BR$283)=0,COUNTIF(CURVES!$AU$6:$AU$283,$HQ275)=0),0,SUMIF(CURVES!$AU$6:$AU$283,$HQ275,CURVES!$BR$6:$BR$283)/COUNTIF(CURVES!$AU$6:$AU$283,$HQ275))</f>
        <v>3.84087459851406</v>
      </c>
      <c r="HZ275" s="0"/>
      <c r="IA275" s="1142"/>
      <c r="IB275" s="1142"/>
      <c r="IC275" s="1142"/>
      <c r="ID275" s="1142"/>
      <c r="IE275" s="1142"/>
      <c r="IF275" s="1142"/>
      <c r="IG275" s="1142"/>
      <c r="IH275" s="1142"/>
      <c r="II275" s="1142"/>
      <c r="IJ275" s="1142"/>
      <c r="IK275" s="1142"/>
      <c r="IL275" s="1190"/>
      <c r="IM275" s="222"/>
      <c r="IN275" s="222"/>
      <c r="IR275" s="844"/>
    </row>
    <row r="276" customFormat="false" ht="13.5" hidden="false" customHeight="false" outlineLevel="0" collapsed="false">
      <c r="A276" s="0" t="str">
        <f aca="false">+D276&amp;"Q"&amp;ROUNDUP(E276/3,0)</f>
        <v>2021Q3</v>
      </c>
      <c r="B276" s="0" t="n">
        <f aca="false">YEAR(C276)</f>
        <v>2021</v>
      </c>
      <c r="C276" s="1153" t="n">
        <f aca="false">EOMONTH(C275,0)+1</f>
        <v>44409</v>
      </c>
      <c r="D276" s="841" t="n">
        <f aca="false">+YEAR(C276)</f>
        <v>2021</v>
      </c>
      <c r="E276" s="807" t="n">
        <f aca="false">MONTH(C276)</f>
        <v>8</v>
      </c>
      <c r="F276" s="1154" t="e">
        <f aca="false">IF(G276="","",Holiday(D276,E276))</f>
        <v>#VALUE!</v>
      </c>
      <c r="G276" s="1155" t="n">
        <v>44409</v>
      </c>
      <c r="H276" s="1156" t="n">
        <v>44439</v>
      </c>
      <c r="I276" s="1157" t="n">
        <f aca="false">I275</f>
        <v>0.0715</v>
      </c>
      <c r="J276" s="1158" t="n">
        <f aca="false">(1+I276/2)^(-2*(DATE(D277,E277,20)-$H$7)/365.25)</f>
        <v>0.21673272796511</v>
      </c>
      <c r="K276" s="1159"/>
      <c r="L276" s="1158"/>
      <c r="M276" s="1082" t="n">
        <v>0</v>
      </c>
      <c r="N276" s="1110" t="n">
        <f aca="false">M276</f>
        <v>0</v>
      </c>
      <c r="O276" s="1174" t="n">
        <f aca="false">N276</f>
        <v>0</v>
      </c>
      <c r="P276" s="1175" t="n">
        <f aca="false">M276</f>
        <v>0</v>
      </c>
      <c r="Q276" s="1110" t="n">
        <f aca="false">P276</f>
        <v>0</v>
      </c>
      <c r="R276" s="1174" t="n">
        <f aca="false">Q276</f>
        <v>0</v>
      </c>
      <c r="S276" s="1110" t="n">
        <f aca="false">R276</f>
        <v>0</v>
      </c>
      <c r="T276" s="1110" t="n">
        <f aca="false">S276</f>
        <v>0</v>
      </c>
      <c r="U276" s="1110" t="n">
        <f aca="false">T276</f>
        <v>0</v>
      </c>
      <c r="V276" s="1175" t="n">
        <f aca="false">U276</f>
        <v>0</v>
      </c>
      <c r="W276" s="1110" t="n">
        <f aca="false">V276</f>
        <v>0</v>
      </c>
      <c r="X276" s="1176" t="n">
        <f aca="false">W276</f>
        <v>0</v>
      </c>
      <c r="Y276" s="1086" t="n">
        <v>0</v>
      </c>
      <c r="Z276" s="1086" t="n">
        <v>0</v>
      </c>
      <c r="AA276" s="1087" t="n">
        <v>0</v>
      </c>
      <c r="AB276" s="1086" t="n">
        <v>0</v>
      </c>
      <c r="AC276" s="1086" t="n">
        <v>0</v>
      </c>
      <c r="AD276" s="1087" t="n">
        <v>0</v>
      </c>
      <c r="AE276" s="1086" t="n">
        <v>0</v>
      </c>
      <c r="AF276" s="1086" t="n">
        <v>0</v>
      </c>
      <c r="AG276" s="1087" t="n">
        <v>0</v>
      </c>
      <c r="AH276" s="1086" t="n">
        <v>0</v>
      </c>
      <c r="AI276" s="1086" t="n">
        <v>0</v>
      </c>
      <c r="AJ276" s="1087" t="n">
        <v>0</v>
      </c>
      <c r="AK276" s="1086" t="n">
        <v>0</v>
      </c>
      <c r="AL276" s="1086" t="n">
        <v>0</v>
      </c>
      <c r="AM276" s="1087" t="n">
        <v>0</v>
      </c>
      <c r="AN276" s="1086" t="n">
        <v>0</v>
      </c>
      <c r="AO276" s="1086" t="n">
        <v>0</v>
      </c>
      <c r="AP276" s="1087" t="n">
        <v>0</v>
      </c>
      <c r="AQ276" s="1086" t="n">
        <v>0</v>
      </c>
      <c r="AR276" s="1086" t="n">
        <v>0</v>
      </c>
      <c r="AS276" s="1087" t="n">
        <v>0</v>
      </c>
      <c r="AT276" s="1086" t="n">
        <v>0</v>
      </c>
      <c r="AU276" s="1086" t="n">
        <v>0</v>
      </c>
      <c r="AV276" s="1086" t="n">
        <v>0</v>
      </c>
      <c r="AW276" s="1172" t="n">
        <v>0</v>
      </c>
      <c r="AX276" s="807" t="n">
        <f aca="false">BB276-SUM(AY276:BA276)</f>
        <v>22</v>
      </c>
      <c r="AY276" s="807" t="n">
        <f aca="false">IF(AND($E276=MONTH(Summary!$E$24),$D276=YEAR(Summary!$E$24)),Summary!$E$25,1)*IF(G276="",0,INT((H276-MOD(H276,7)-G276)/7)+1-IF(BA276,IF(WEEKDAY(F276)=7,1,0),0))</f>
        <v>4</v>
      </c>
      <c r="AZ276" s="807" t="n">
        <f aca="false">IF(AND($E276=MONTH(Summary!$E$24),$D276=YEAR(Summary!$E$24)),Summary!$E$25,1)*IF(G276="",0,INT((H276-MOD(H276-1,7)-G276)/7)+1-IF(BA276,IF(WEEKDAY(F276)=1,1,0),0))</f>
        <v>5</v>
      </c>
      <c r="BA276" s="807" t="n">
        <v>0</v>
      </c>
      <c r="BB276" s="807" t="n">
        <f aca="false">IF(AND($E276=MONTH(Summary!$E$24),$D276=YEAR(Summary!$E$24)),Summary!$E$25,1)*IF(G276="",0,H276-G276+1)</f>
        <v>31</v>
      </c>
      <c r="BC276" s="1089" t="n">
        <f aca="false">Summary!$E$19</f>
        <v>0.015</v>
      </c>
      <c r="BD276" s="1090" t="n">
        <v>15602.4</v>
      </c>
      <c r="BE276" s="1091" t="n">
        <v>2836.8</v>
      </c>
      <c r="BF276" s="1091" t="n">
        <v>3546</v>
      </c>
      <c r="BG276" s="842"/>
      <c r="BH276" s="1092" t="n">
        <v>1</v>
      </c>
      <c r="BI276" s="1092" t="n">
        <v>1</v>
      </c>
      <c r="BJ276" s="1092" t="n">
        <v>1</v>
      </c>
      <c r="BK276" s="1092" t="n">
        <v>1</v>
      </c>
      <c r="BL276" s="1093" t="n">
        <v>3120.48</v>
      </c>
      <c r="BM276" s="1091" t="n">
        <v>567.36</v>
      </c>
      <c r="BN276" s="1091" t="n">
        <v>709.2</v>
      </c>
      <c r="BO276" s="842"/>
      <c r="BP276" s="1092" t="n">
        <v>1</v>
      </c>
      <c r="BQ276" s="1094" t="n">
        <v>1</v>
      </c>
      <c r="BR276" s="1094" t="n">
        <v>1</v>
      </c>
      <c r="BS276" s="1095" t="n">
        <v>1</v>
      </c>
      <c r="BT276" s="1093" t="n">
        <f aca="false">SUM(BD276:BF276)</f>
        <v>21985.2</v>
      </c>
      <c r="BU276" s="1098" t="n">
        <f aca="false">SUM(BD276:BG276)</f>
        <v>21985.2</v>
      </c>
      <c r="BV276" s="1090" t="n">
        <f aca="false">SUM(BL276:BN276)</f>
        <v>4397.04</v>
      </c>
      <c r="BW276" s="1098" t="n">
        <f aca="false">SUM(BL276:BO276)</f>
        <v>4397.04</v>
      </c>
      <c r="BX276" s="852" t="n">
        <v>21.6290212183436</v>
      </c>
      <c r="BY276" s="1099" t="n">
        <v>0</v>
      </c>
      <c r="BZ276" s="852" t="n">
        <v>0</v>
      </c>
      <c r="CA276" s="852" t="n">
        <v>0</v>
      </c>
      <c r="CB276" s="852" t="n">
        <v>0</v>
      </c>
      <c r="CC276" s="852" t="n">
        <v>0</v>
      </c>
      <c r="CD276" s="852" t="n">
        <v>0</v>
      </c>
      <c r="CE276" s="1100" t="n">
        <v>0</v>
      </c>
      <c r="CF276" s="852" t="n">
        <v>0</v>
      </c>
      <c r="CG276" s="852" t="n">
        <v>0</v>
      </c>
      <c r="CH276" s="852" t="n">
        <v>0</v>
      </c>
      <c r="CI276" s="852" t="n">
        <v>0</v>
      </c>
      <c r="CJ276" s="1101" t="n">
        <v>0</v>
      </c>
      <c r="CK276" s="852" t="n">
        <v>0</v>
      </c>
      <c r="CL276" s="852" t="n">
        <v>0</v>
      </c>
      <c r="CM276" s="852" t="n">
        <v>0</v>
      </c>
      <c r="CN276" s="852" t="n">
        <v>0</v>
      </c>
      <c r="CO276" s="852" t="n">
        <v>0</v>
      </c>
      <c r="CP276" s="852" t="n">
        <v>0</v>
      </c>
      <c r="CQ276" s="1102" t="n">
        <v>0</v>
      </c>
      <c r="CR276" s="1103" t="n">
        <v>0</v>
      </c>
      <c r="CS276" s="1103" t="n">
        <v>0</v>
      </c>
      <c r="CT276" s="1103" t="n">
        <v>0</v>
      </c>
      <c r="CU276" s="1103" t="n">
        <v>0</v>
      </c>
      <c r="CV276" s="1103" t="n">
        <v>0</v>
      </c>
      <c r="CW276" s="1103" t="n">
        <v>0</v>
      </c>
      <c r="CX276" s="1104" t="n">
        <v>0</v>
      </c>
      <c r="CY276" s="1105" t="n">
        <v>7802.10528</v>
      </c>
      <c r="CZ276" s="1099" t="n">
        <v>0</v>
      </c>
      <c r="DA276" s="852" t="n">
        <v>0</v>
      </c>
      <c r="DB276" s="852" t="n">
        <v>0</v>
      </c>
      <c r="DC276" s="852" t="n">
        <v>0</v>
      </c>
      <c r="DD276" s="852" t="n">
        <v>0</v>
      </c>
      <c r="DE276" s="1113" t="n">
        <v>0</v>
      </c>
      <c r="DF276" s="1109" t="n">
        <v>0</v>
      </c>
      <c r="DG276" s="1110" t="n">
        <v>0</v>
      </c>
      <c r="DH276" s="1111" t="n">
        <v>0</v>
      </c>
      <c r="DI276" s="1112" t="n">
        <v>0</v>
      </c>
      <c r="DJ276" s="1112" t="n">
        <v>0</v>
      </c>
      <c r="DK276" s="1112" t="n">
        <v>0</v>
      </c>
      <c r="DL276" s="1113" t="n">
        <v>0</v>
      </c>
      <c r="DM276" s="1114" t="n">
        <v>0</v>
      </c>
      <c r="DN276" s="1114" t="n">
        <v>0</v>
      </c>
      <c r="DO276" s="1114" t="n">
        <v>0</v>
      </c>
      <c r="DP276" s="1114" t="n">
        <v>0</v>
      </c>
      <c r="DQ276" s="1114" t="n">
        <v>0</v>
      </c>
      <c r="DR276" s="1109" t="n">
        <v>0</v>
      </c>
      <c r="DS276" s="852" t="n">
        <v>0</v>
      </c>
      <c r="DT276" s="852" t="n">
        <v>0</v>
      </c>
      <c r="DU276" s="852" t="n">
        <v>0</v>
      </c>
      <c r="DV276" s="852" t="n">
        <v>0</v>
      </c>
      <c r="DW276" s="852" t="n">
        <v>0</v>
      </c>
      <c r="DX276" s="852" t="n">
        <v>0</v>
      </c>
      <c r="DY276" s="852" t="n">
        <v>0</v>
      </c>
      <c r="DZ276" s="852" t="n">
        <v>0</v>
      </c>
      <c r="EA276" s="852" t="n">
        <v>0</v>
      </c>
      <c r="EB276" s="1113" t="n">
        <v>0</v>
      </c>
      <c r="EC276" s="1115" t="n">
        <f aca="false">DS276*BD276</f>
        <v>0</v>
      </c>
      <c r="ED276" s="1115" t="n">
        <f aca="false">DT276*BE276</f>
        <v>0</v>
      </c>
      <c r="EE276" s="1115" t="n">
        <f aca="false">DU276*BF276</f>
        <v>0</v>
      </c>
      <c r="EF276" s="1115" t="n">
        <f aca="false">DV276*BG276</f>
        <v>0</v>
      </c>
      <c r="EG276" s="1115" t="n">
        <f aca="false">DS276*BD276+DT276*BE276+DU276*BF276+DV276*BG276</f>
        <v>0</v>
      </c>
      <c r="EH276" s="1116" t="n">
        <v>0</v>
      </c>
      <c r="EI276" s="1117" t="n">
        <v>0</v>
      </c>
      <c r="EJ276" s="1117" t="n">
        <v>0</v>
      </c>
      <c r="EK276" s="1117" t="n">
        <v>0</v>
      </c>
      <c r="EL276" s="1118" t="n">
        <f aca="false">IF(C276&gt;=Summary!$E$26,MAX(0,SUM(EH276:EK276)),0)</f>
        <v>0</v>
      </c>
      <c r="EM276" s="1115" t="n">
        <f aca="false">IF(C276&gt;=Summary!$E$26,DX276*BL276,0)</f>
        <v>0</v>
      </c>
      <c r="EN276" s="1115" t="n">
        <f aca="false">IF(C276&gt;=Summary!$E$26,DY276*BM276,0)</f>
        <v>0</v>
      </c>
      <c r="EO276" s="1115" t="n">
        <f aca="false">IF(C276&gt;=Summary!$E$26,DZ276*BN276,0)</f>
        <v>0</v>
      </c>
      <c r="EP276" s="1115" t="n">
        <f aca="false">IF(C276&gt;=Summary!$E$26,EA276*BO276,0)</f>
        <v>0</v>
      </c>
      <c r="EQ276" s="1115" t="n">
        <f aca="false">IF(C276&gt;=Summary!$E$26,DX276*BL276+DY276*BM276+DZ276*BN276+EA276*BO276,0)</f>
        <v>0</v>
      </c>
      <c r="ER276" s="1119" t="n">
        <v>0</v>
      </c>
      <c r="ES276" s="1120" t="n">
        <v>0</v>
      </c>
      <c r="ET276" s="1120" t="n">
        <v>0</v>
      </c>
      <c r="EU276" s="1120" t="n">
        <v>0</v>
      </c>
      <c r="EV276" s="1143" t="n">
        <f aca="false">IF(C276&gt;=Summary!$E$26,MAX(0,SUM(ER276:EU276)),0)</f>
        <v>0</v>
      </c>
      <c r="EW276" s="1115"/>
      <c r="EX276" s="1165" t="n">
        <f aca="false">(EQ276-EV276)+IF(EZ276="Yes",(EG276-EL276),0)</f>
        <v>0</v>
      </c>
      <c r="EY276" s="1166" t="str">
        <f aca="false">IF(EX276,EX276/EQ276,"")</f>
        <v/>
      </c>
      <c r="EZ276" s="1122" t="s">
        <v>37</v>
      </c>
      <c r="FA276" s="1096" t="n">
        <f aca="false">FA275</f>
        <v>45</v>
      </c>
      <c r="FB276" s="1167" t="n">
        <f aca="false">IF(EZ276="No",IF((OR(MONTH(C276)=5,MONTH(C276)=6,MONTH(C276)=7,MONTH(C276)=8,MONTH(C276)=9)),$FA276*12*AX276*(1-$BC276),$FA276*10*AX276*(1-$BC276)),0)</f>
        <v>11701.8</v>
      </c>
      <c r="FC276" s="1129" t="n">
        <f aca="false">IF(EZ276="No",IF((OR(MONTH(C276)=5,MONTH(C276)=6,MONTH(C276)=7,MONTH(C276)=8,MONTH(C276)=9)),0,$FA276*3*AX276*(1-$BC276)),0)</f>
        <v>0</v>
      </c>
      <c r="FD276" s="1129" t="n">
        <f aca="false">IF(EZ276="No",IF((OR(MONTH(C276)=5,MONTH(C276)=6,MONTH(C276)=7,MONTH(C276)=8,MONTH(C276)=9)),$FA276*12*AY276*(1-$BC276),$FA276*10*AY276*(1-$BC276)),0)</f>
        <v>2127.6</v>
      </c>
      <c r="FE276" s="1129" t="n">
        <f aca="false">IF(EZ276="No",IF((OR(MONTH(C276)=5,MONTH(C276)=6,MONTH(C276)=7,MONTH(C276)=8,MONTH(C276)=9)),0,$FA276*3*AY276*(1-$BC276)),0)</f>
        <v>0</v>
      </c>
      <c r="FF276" s="1129" t="n">
        <f aca="false">IF(EZ276="No",IF((OR(MONTH(C276)=5,MONTH(C276)=6,MONTH(C276)=7,MONTH(C276)=8,MONTH(C276)=9)),$FA276*12*(AZ276+BA276)*(1-$BC276),$FA276*10*(AZ276+BA276)*(1-$BC276)),0)</f>
        <v>2659.5</v>
      </c>
      <c r="FG276" s="1129" t="n">
        <f aca="false">IF(EZ276="No",IF((OR(MONTH(C276)=5,MONTH(C276)=6,MONTH(C276)=7,MONTH(C276)=8,MONTH(C276)=9)),0,$FA276*3*(AZ276+BA276)*(1-$BC276)),0)</f>
        <v>0</v>
      </c>
      <c r="FH276" s="1170" t="n">
        <f aca="false">IF(EZ276="No",IF((OR(MONTH(C276)=5,MONTH(C276)=6,MONTH(C276)=7,MONTH(C276)=8,MONTH(C276)=9)),Summary!$O$15*12*(AX276+AY276+AZ276+BA276)*(1-$BC276),Summary!$O$15*13*(AX276+AY276+AZ276+BA276)*(1-$BC276)+IF(Summary!$O$16="Yes",(CALC!FA276+Summary!$O$15)*6*(AX276+AY276+AZ276+BA276)*(1-$BC276),0)),0)</f>
        <v>0</v>
      </c>
      <c r="FI276" s="1126" t="n">
        <f aca="false">IF(MONTH(C276)=5,FI275*(IF(Summary!$E$70="no",(1+(Summary!$E$71*0.8)),1+HLOOKUP(YEAR(C276)-1,CCFMODEL!$I$127:$AF$128,2)*0.8)),+FI275)</f>
        <v>44.8252497008979</v>
      </c>
      <c r="FJ276" s="1127" t="n">
        <f aca="false">IF(MONTH(C276)=5,FJ275*(IF(Summary!$E$70="no",(1+(Summary!$E$71*0.8)),1+HLOOKUP(YEAR(CALC!C276)-1,CCFMODEL!$I$127:$AF$128,2)*0.8)),FJ275)</f>
        <v>39.1779741480288</v>
      </c>
      <c r="FK276" s="1128" t="n">
        <f aca="false">SUM(FB276:FG276)*FI276+FH276*FJ276</f>
        <v>739119.059793135</v>
      </c>
      <c r="FL276" s="1126" t="n">
        <f aca="false">IF(MONTH(C276)=5,FL275*(IF(Summary!$E$70="no",(1+(Summary!$E$71*0.8)),1+HLOOKUP(YEAR(CALC!C276)-1,CCFMODEL!$I$127:$AF$128,2)*0.8)),+FL275)</f>
        <v>94.2725255239355</v>
      </c>
      <c r="FM276" s="1127" t="n">
        <f aca="false">IF(MONTH(C276)=5,FM275*(IF(Summary!$E$70="no",(1+(Summary!$E$71*0.8)),1+HLOOKUP(YEAR(CALC!C276)-1,CCFMODEL!$I$127:$AF$128,2)*0.8)),+FM275)</f>
        <v>44.9933233780666</v>
      </c>
      <c r="FN276" s="1128" t="n">
        <f aca="false">IF((OR(MONTH(C276)=5,MONTH(C276)=6,MONTH(C276)=7,MONTH(C276)=8,MONTH(C276)=9)),SUM(FB276:FG276)/(1-BC276)*FL276,SUM(FB276:FG276)/(1-BC276)*FM276)</f>
        <v>1578122.07727068</v>
      </c>
      <c r="FO276" s="1129" t="n">
        <f aca="false">FK276+FN276</f>
        <v>2317241.13706381</v>
      </c>
      <c r="FP276" s="1169" t="n">
        <f aca="false">FB276</f>
        <v>11701.8</v>
      </c>
      <c r="FQ276" s="1129" t="n">
        <f aca="false">FC276</f>
        <v>0</v>
      </c>
      <c r="FR276" s="1129" t="n">
        <f aca="false">FD276</f>
        <v>2127.6</v>
      </c>
      <c r="FS276" s="1129" t="n">
        <f aca="false">FE276</f>
        <v>0</v>
      </c>
      <c r="FT276" s="1129" t="n">
        <f aca="false">FF276</f>
        <v>2659.5</v>
      </c>
      <c r="FU276" s="1129" t="n">
        <f aca="false">FG276</f>
        <v>0</v>
      </c>
      <c r="FV276" s="1170" t="n">
        <f aca="false">FH276</f>
        <v>0</v>
      </c>
      <c r="FW276" s="1115" t="n">
        <f aca="false">IF(ER276&gt;0,MIN(FB276-FP276,BL276),0)</f>
        <v>0</v>
      </c>
      <c r="FX276" s="1115" t="n">
        <f aca="false">IF(ES276&gt;0,MIN(FD276-FR276,BM276),0)</f>
        <v>0</v>
      </c>
      <c r="FY276" s="1115" t="n">
        <f aca="false">IF(ET276&gt;0,MIN(FF276-FT276,BN276),0)</f>
        <v>0</v>
      </c>
      <c r="FZ276" s="1143" t="n">
        <f aca="false">IF(EU276&gt;0,MIN(FH276-FV276,BO276),0)</f>
        <v>0</v>
      </c>
      <c r="GA276" s="1132" t="n">
        <f aca="false">(SUM(FP276:FV276)+SUM(GU276:HB276)/(1-Summary!$O$25))*CY276/1000</f>
        <v>205837.014002227</v>
      </c>
      <c r="GB276" s="1133" t="n">
        <f aca="false">IF($C276&lt;Summary!$M$81,+Summary!$O$81,VLOOKUP(C276,GasTable,19))</f>
        <v>4.06413722116104</v>
      </c>
      <c r="GC276" s="1134" t="n">
        <f aca="false">IF(H276&lt;=Summary!$N$84,MIN(GA276,Summary!$O$75*(H276-G276+1)),0)</f>
        <v>0</v>
      </c>
      <c r="GD276" s="1135" t="n">
        <f aca="false">IF(C276&lt;Summary!$N$84,IF(Summary!$O$75*(H276-G276+1)*0.8&gt;GC276,1,0),0)</f>
        <v>0</v>
      </c>
      <c r="GE276" s="1136" t="n">
        <v>0</v>
      </c>
      <c r="GF276" s="1134" t="n">
        <f aca="false">ABS(MIN(0,GC276-$GA276))</f>
        <v>205837.014002227</v>
      </c>
      <c r="GG276" s="1135" t="n">
        <f aca="false">GF276*(IF(Summary!$O$74=1,VLOOKUP($C276,GasTable,16)+Summary!$O$92+Summary!$O$93,VLOOKUP($C276,GasTable,19)+Summary!$O$92+Summary!$O$93))</f>
        <v>847273.978528614</v>
      </c>
      <c r="GH276" s="1137" t="n">
        <v>6299.41269279961</v>
      </c>
      <c r="GI276" s="1138" t="n">
        <v>0</v>
      </c>
      <c r="GJ276" s="1139" t="n">
        <f aca="false">+GB276*GC276+GE276+GG276+GH276-GI276</f>
        <v>853573.391221414</v>
      </c>
      <c r="GK276" s="1115" t="n">
        <f aca="false">SUM(FP276:FV276,GU276:GX276,GY276:HB276)</f>
        <v>26035.9731</v>
      </c>
      <c r="GL276" s="1140" t="n">
        <v>0.52274105376</v>
      </c>
      <c r="GM276" s="1141" t="n">
        <f aca="false">IF(GK276&gt;GC276/(CY276/1000),GC276/(CY276/1000),+GK276)*GL276</f>
        <v>0</v>
      </c>
      <c r="GN276" s="1115" t="n">
        <f aca="false">IF(SUM(GU276:HB276)=0,0,IF(Summary!$O$16="Yes",SUM(GX276:HB276),IF(Summary!$O$17="Yes",SUM(GY276:HB276),SUM(GU276:HB276))))</f>
        <v>9547.0731</v>
      </c>
      <c r="GO276" s="1142" t="n">
        <v>4.42661845915648</v>
      </c>
      <c r="GP276" s="1143" t="n">
        <f aca="false">GN276*GO276</f>
        <v>42261.2500153763</v>
      </c>
      <c r="GQ276" s="1115"/>
      <c r="GR276" s="1115"/>
      <c r="GS276" s="1115"/>
      <c r="GT276" s="1115"/>
      <c r="GU276" s="1150" t="n">
        <v>3764.079</v>
      </c>
      <c r="GV276" s="1115" t="n">
        <v>684.378</v>
      </c>
      <c r="GW276" s="1115" t="n">
        <v>855.4725</v>
      </c>
      <c r="GX276" s="1115"/>
      <c r="GY276" s="1151" t="n">
        <v>3011.2632</v>
      </c>
      <c r="GZ276" s="1115" t="n">
        <v>547.5024</v>
      </c>
      <c r="HA276" s="1115" t="n">
        <v>684.378</v>
      </c>
      <c r="HB276" s="1141"/>
      <c r="HC276" s="1115" t="n">
        <v>9547.0731</v>
      </c>
      <c r="HD276" s="1115"/>
      <c r="HE276" s="1115" t="n">
        <v>22276.5039</v>
      </c>
      <c r="HF276" s="1115" t="n">
        <v>712352.864588088</v>
      </c>
      <c r="HG276" s="1115"/>
      <c r="HH276" s="1142" t="n">
        <v>78.5621723575218</v>
      </c>
      <c r="HI276" s="1115" t="n">
        <v>1750090.53891481</v>
      </c>
      <c r="HJ276" s="1150" t="n">
        <f aca="false">MAX(FB276-FP276-FW276,0)</f>
        <v>0</v>
      </c>
      <c r="HK276" s="1115" t="n">
        <f aca="false">MAX(FD276-FR276-FX276,0)</f>
        <v>0</v>
      </c>
      <c r="HL276" s="1115" t="n">
        <f aca="false">MAX(FF276-FT276-FY276,0)</f>
        <v>0</v>
      </c>
      <c r="HM276" s="1141" t="n">
        <f aca="false">MAX(FH276-FV276-FZ276,0)</f>
        <v>0</v>
      </c>
      <c r="HN276" s="1115" t="n">
        <f aca="false">SUM(HJ276:HM276)</f>
        <v>0</v>
      </c>
      <c r="HO276" s="1142" t="n">
        <f aca="false">IF(ISERROR(+HP276/HN276),0,+HP276/HN276)</f>
        <v>0</v>
      </c>
      <c r="HP276" s="1143" t="n">
        <f aca="false">(HJ276*CE276+HK276*CF276+HL276*CG276+HM276*CH276)</f>
        <v>0</v>
      </c>
      <c r="HQ276" s="1142" t="s">
        <v>946</v>
      </c>
      <c r="HR276" s="1150" t="e">
        <f aca="false">SUMIF($A$17:$A$292,HQ276,$GF$17:$GF$292)</f>
        <v>#VALUE!</v>
      </c>
      <c r="HS276" s="1200" t="e">
        <f aca="false">IF(HT276=0,IF(OR(SUMIF(CURVES!$AU$6:$AU$283,$HQ276,CURVES!$BQ$6:$BQ$283)=0,COUNTIF(CURVES!$AU$6:$AU$283,$HQ276)=0),0,SUMIF(CURVES!$AU$6:$AU$283,$HQ276,CURVES!$BQ$6:$BQ$283)/COUNTIF(CURVES!$AU$6:$AU$283,$HQ276)),HT276/HR276)</f>
        <v>#VALUE!</v>
      </c>
      <c r="HT276" s="1141" t="e">
        <f aca="false">SUMIF($A$17:$A$292,HQ276,$GG$17:$GG$292)</f>
        <v>#VALUE!</v>
      </c>
      <c r="HU276" s="1150" t="n">
        <f aca="false">SUMIF($A$17:$A$292,HQ276,$GC$17:$GC$292)</f>
        <v>0</v>
      </c>
      <c r="HV276" s="1200" t="e">
        <f aca="false">IF(HW276=0,0,HW276/Summary!$O$79/HU276)</f>
        <v>#DIV/0!</v>
      </c>
      <c r="HW276" s="1141" t="n">
        <f aca="false">SUMIF($A$17:$A$292,HQ276,$GH$17:$GH$292)</f>
        <v>21242.1274538388</v>
      </c>
      <c r="HX276" s="1200" t="n">
        <f aca="false">IF(OR(SUMIF(CURVES!$AU$6:$AU$283,$HQ276,CURVES!$BQ$6:$BQ$283)=0,COUNTIF(CURVES!$AU$6:$AU$283,$HQ276)=0),0,SUMIF(CURVES!$AU$6:$AU$283,$HQ276,CURVES!$BQ$6:$BQ$283)/COUNTIF(CURVES!$AU$6:$AU$283,$HQ276))</f>
        <v>5.45923041388438</v>
      </c>
      <c r="HY276" s="1200" t="n">
        <f aca="false">IF(OR(SUMIF(CURVES!$AU$6:$AU$283,$HQ276,CURVES!$BR$6:$BR$283)=0,COUNTIF(CURVES!$AU$6:$AU$283,$HQ276)=0),0,SUMIF(CURVES!$AU$6:$AU$283,$HQ276,CURVES!$BR$6:$BR$283)/COUNTIF(CURVES!$AU$6:$AU$283,$HQ276))</f>
        <v>4.15721411838567</v>
      </c>
      <c r="HZ276" s="0"/>
      <c r="IA276" s="1142"/>
      <c r="IB276" s="1142"/>
      <c r="IC276" s="1142"/>
      <c r="ID276" s="1142"/>
      <c r="IE276" s="1142"/>
      <c r="IF276" s="1142"/>
      <c r="IG276" s="1142"/>
      <c r="IH276" s="1142"/>
      <c r="II276" s="1142"/>
      <c r="IJ276" s="1142"/>
      <c r="IK276" s="1142"/>
      <c r="IL276" s="1190"/>
      <c r="IM276" s="222"/>
      <c r="IN276" s="222"/>
      <c r="IR276" s="844"/>
    </row>
    <row r="277" customFormat="false" ht="13.5" hidden="false" customHeight="false" outlineLevel="0" collapsed="false">
      <c r="A277" s="0" t="str">
        <f aca="false">+D277&amp;"Q"&amp;ROUNDUP(E277/3,0)</f>
        <v>2021Q3</v>
      </c>
      <c r="B277" s="0" t="n">
        <f aca="false">YEAR(C277)</f>
        <v>2021</v>
      </c>
      <c r="C277" s="1153" t="n">
        <f aca="false">EOMONTH(C276,0)+1</f>
        <v>44440</v>
      </c>
      <c r="D277" s="841" t="n">
        <f aca="false">+YEAR(C277)</f>
        <v>2021</v>
      </c>
      <c r="E277" s="807" t="n">
        <f aca="false">MONTH(C277)</f>
        <v>9</v>
      </c>
      <c r="F277" s="1154" t="e">
        <f aca="false">IF(G277="","",Holiday(D277,E277))</f>
        <v>#VALUE!</v>
      </c>
      <c r="G277" s="1155" t="n">
        <v>44440</v>
      </c>
      <c r="H277" s="1156" t="n">
        <v>44469</v>
      </c>
      <c r="I277" s="1157" t="n">
        <f aca="false">I276</f>
        <v>0.0715</v>
      </c>
      <c r="J277" s="1158" t="n">
        <f aca="false">(1+I277/2)^(-2*(DATE(D278,E278,20)-$H$7)/365.25)</f>
        <v>0.215485748213067</v>
      </c>
      <c r="K277" s="1159"/>
      <c r="L277" s="1158"/>
      <c r="M277" s="1082" t="n">
        <v>0</v>
      </c>
      <c r="N277" s="1110" t="n">
        <f aca="false">M277</f>
        <v>0</v>
      </c>
      <c r="O277" s="1174" t="n">
        <f aca="false">N277</f>
        <v>0</v>
      </c>
      <c r="P277" s="1175" t="n">
        <f aca="false">M277</f>
        <v>0</v>
      </c>
      <c r="Q277" s="1110" t="n">
        <f aca="false">P277</f>
        <v>0</v>
      </c>
      <c r="R277" s="1174" t="n">
        <f aca="false">Q277</f>
        <v>0</v>
      </c>
      <c r="S277" s="1110" t="n">
        <f aca="false">R277</f>
        <v>0</v>
      </c>
      <c r="T277" s="1110" t="n">
        <f aca="false">S277</f>
        <v>0</v>
      </c>
      <c r="U277" s="1110" t="n">
        <f aca="false">T277</f>
        <v>0</v>
      </c>
      <c r="V277" s="1175" t="n">
        <f aca="false">U277</f>
        <v>0</v>
      </c>
      <c r="W277" s="1110" t="n">
        <f aca="false">V277</f>
        <v>0</v>
      </c>
      <c r="X277" s="1176" t="n">
        <f aca="false">W277</f>
        <v>0</v>
      </c>
      <c r="Y277" s="1086" t="n">
        <v>0</v>
      </c>
      <c r="Z277" s="1086" t="n">
        <v>0</v>
      </c>
      <c r="AA277" s="1087" t="n">
        <v>0</v>
      </c>
      <c r="AB277" s="1086" t="n">
        <v>0</v>
      </c>
      <c r="AC277" s="1086" t="n">
        <v>0</v>
      </c>
      <c r="AD277" s="1087" t="n">
        <v>0</v>
      </c>
      <c r="AE277" s="1086" t="n">
        <v>0</v>
      </c>
      <c r="AF277" s="1086" t="n">
        <v>0</v>
      </c>
      <c r="AG277" s="1087" t="n">
        <v>0</v>
      </c>
      <c r="AH277" s="1086" t="n">
        <v>0</v>
      </c>
      <c r="AI277" s="1086" t="n">
        <v>0</v>
      </c>
      <c r="AJ277" s="1087" t="n">
        <v>0</v>
      </c>
      <c r="AK277" s="1086" t="n">
        <v>0</v>
      </c>
      <c r="AL277" s="1086" t="n">
        <v>0</v>
      </c>
      <c r="AM277" s="1087" t="n">
        <v>0</v>
      </c>
      <c r="AN277" s="1086" t="n">
        <v>0</v>
      </c>
      <c r="AO277" s="1086" t="n">
        <v>0</v>
      </c>
      <c r="AP277" s="1087" t="n">
        <v>0</v>
      </c>
      <c r="AQ277" s="1086" t="n">
        <v>0</v>
      </c>
      <c r="AR277" s="1086" t="n">
        <v>0</v>
      </c>
      <c r="AS277" s="1087" t="n">
        <v>0</v>
      </c>
      <c r="AT277" s="1086" t="n">
        <v>0</v>
      </c>
      <c r="AU277" s="1086" t="n">
        <v>0</v>
      </c>
      <c r="AV277" s="1086" t="n">
        <v>0</v>
      </c>
      <c r="AW277" s="1172" t="n">
        <v>0</v>
      </c>
      <c r="AX277" s="807" t="e">
        <f aca="false">BB277-SUM(AY277:BA277)</f>
        <v>#VALUE!</v>
      </c>
      <c r="AY277" s="807" t="e">
        <f aca="false">IF(AND($E277=MONTH(Summary!$E$24),$D277=YEAR(Summary!$E$24)),Summary!$E$25,1)*IF(G277="",0,INT((H277-MOD(H277,7)-G277)/7)+1-IF(BA277,IF(WEEKDAY(F277)=7,1,0),0))</f>
        <v>#VALUE!</v>
      </c>
      <c r="AZ277" s="807" t="e">
        <f aca="false">IF(AND($E277=MONTH(Summary!$E$24),$D277=YEAR(Summary!$E$24)),Summary!$E$25,1)*IF(G277="",0,INT((H277-MOD(H277-1,7)-G277)/7)+1-IF(BA277,IF(WEEKDAY(F277)=1,1,0),0))</f>
        <v>#VALUE!</v>
      </c>
      <c r="BA277" s="807" t="n">
        <v>1</v>
      </c>
      <c r="BB277" s="807" t="n">
        <f aca="false">IF(AND($E277=MONTH(Summary!$E$24),$D277=YEAR(Summary!$E$24)),Summary!$E$25,1)*IF(G277="",0,H277-G277+1)</f>
        <v>30</v>
      </c>
      <c r="BC277" s="1089" t="n">
        <f aca="false">Summary!$E$19</f>
        <v>0.015</v>
      </c>
      <c r="BD277" s="1090" t="n">
        <v>14893.2</v>
      </c>
      <c r="BE277" s="1091" t="n">
        <v>2836.8</v>
      </c>
      <c r="BF277" s="1091" t="n">
        <v>3546</v>
      </c>
      <c r="BG277" s="842"/>
      <c r="BH277" s="1092" t="n">
        <v>1</v>
      </c>
      <c r="BI277" s="1092" t="n">
        <v>1</v>
      </c>
      <c r="BJ277" s="1092" t="n">
        <v>1</v>
      </c>
      <c r="BK277" s="1092" t="n">
        <v>1</v>
      </c>
      <c r="BL277" s="1093" t="n">
        <v>2978.64</v>
      </c>
      <c r="BM277" s="1091" t="n">
        <v>567.36</v>
      </c>
      <c r="BN277" s="1091" t="n">
        <v>709.2</v>
      </c>
      <c r="BO277" s="842"/>
      <c r="BP277" s="1092" t="n">
        <v>1</v>
      </c>
      <c r="BQ277" s="1094" t="n">
        <v>1</v>
      </c>
      <c r="BR277" s="1094" t="n">
        <v>1</v>
      </c>
      <c r="BS277" s="1095" t="n">
        <v>1</v>
      </c>
      <c r="BT277" s="1093" t="n">
        <f aca="false">SUM(BD277:BF277)</f>
        <v>21276</v>
      </c>
      <c r="BU277" s="1098" t="n">
        <f aca="false">SUM(BD277:BG277)</f>
        <v>21276</v>
      </c>
      <c r="BV277" s="1090" t="n">
        <f aca="false">SUM(BL277:BN277)</f>
        <v>4255.2</v>
      </c>
      <c r="BW277" s="1098" t="n">
        <f aca="false">SUM(BL277:BO277)</f>
        <v>4255.2</v>
      </c>
      <c r="BX277" s="852" t="n">
        <v>21.7138945927447</v>
      </c>
      <c r="BY277" s="1099" t="n">
        <v>0</v>
      </c>
      <c r="BZ277" s="852" t="n">
        <v>0</v>
      </c>
      <c r="CA277" s="852" t="n">
        <v>0</v>
      </c>
      <c r="CB277" s="852" t="n">
        <v>0</v>
      </c>
      <c r="CC277" s="852" t="n">
        <v>0</v>
      </c>
      <c r="CD277" s="852" t="n">
        <v>0</v>
      </c>
      <c r="CE277" s="1100" t="n">
        <v>0</v>
      </c>
      <c r="CF277" s="852" t="n">
        <v>0</v>
      </c>
      <c r="CG277" s="852" t="n">
        <v>0</v>
      </c>
      <c r="CH277" s="852" t="n">
        <v>0</v>
      </c>
      <c r="CI277" s="852" t="n">
        <v>0</v>
      </c>
      <c r="CJ277" s="1101" t="n">
        <v>0</v>
      </c>
      <c r="CK277" s="852" t="n">
        <v>0</v>
      </c>
      <c r="CL277" s="852" t="n">
        <v>0</v>
      </c>
      <c r="CM277" s="852" t="n">
        <v>0</v>
      </c>
      <c r="CN277" s="852" t="n">
        <v>0</v>
      </c>
      <c r="CO277" s="852" t="n">
        <v>0</v>
      </c>
      <c r="CP277" s="852" t="n">
        <v>0</v>
      </c>
      <c r="CQ277" s="1102" t="n">
        <v>0</v>
      </c>
      <c r="CR277" s="1103" t="n">
        <v>0</v>
      </c>
      <c r="CS277" s="1103" t="n">
        <v>0</v>
      </c>
      <c r="CT277" s="1103" t="n">
        <v>0</v>
      </c>
      <c r="CU277" s="1103" t="n">
        <v>0</v>
      </c>
      <c r="CV277" s="1103" t="n">
        <v>0</v>
      </c>
      <c r="CW277" s="1103" t="n">
        <v>0</v>
      </c>
      <c r="CX277" s="1104" t="n">
        <v>0</v>
      </c>
      <c r="CY277" s="1105" t="n">
        <v>7804.13624</v>
      </c>
      <c r="CZ277" s="1099" t="n">
        <v>0</v>
      </c>
      <c r="DA277" s="852" t="n">
        <v>0</v>
      </c>
      <c r="DB277" s="852" t="n">
        <v>0</v>
      </c>
      <c r="DC277" s="852" t="n">
        <v>0</v>
      </c>
      <c r="DD277" s="852" t="n">
        <v>0</v>
      </c>
      <c r="DE277" s="1113" t="n">
        <v>0</v>
      </c>
      <c r="DF277" s="1109" t="n">
        <v>0</v>
      </c>
      <c r="DG277" s="1110" t="n">
        <v>0</v>
      </c>
      <c r="DH277" s="1111" t="n">
        <v>0</v>
      </c>
      <c r="DI277" s="1112" t="n">
        <v>0</v>
      </c>
      <c r="DJ277" s="1112" t="n">
        <v>0</v>
      </c>
      <c r="DK277" s="1112" t="n">
        <v>0</v>
      </c>
      <c r="DL277" s="1113" t="n">
        <v>0</v>
      </c>
      <c r="DM277" s="1114" t="n">
        <v>0</v>
      </c>
      <c r="DN277" s="1114" t="n">
        <v>0</v>
      </c>
      <c r="DO277" s="1114" t="n">
        <v>0</v>
      </c>
      <c r="DP277" s="1114" t="n">
        <v>0</v>
      </c>
      <c r="DQ277" s="1114" t="n">
        <v>0</v>
      </c>
      <c r="DR277" s="1109" t="n">
        <v>0</v>
      </c>
      <c r="DS277" s="852" t="n">
        <v>0</v>
      </c>
      <c r="DT277" s="852" t="n">
        <v>0</v>
      </c>
      <c r="DU277" s="852" t="n">
        <v>0</v>
      </c>
      <c r="DV277" s="852" t="n">
        <v>0</v>
      </c>
      <c r="DW277" s="852" t="n">
        <v>0</v>
      </c>
      <c r="DX277" s="852" t="n">
        <v>0</v>
      </c>
      <c r="DY277" s="852" t="n">
        <v>0</v>
      </c>
      <c r="DZ277" s="852" t="n">
        <v>0</v>
      </c>
      <c r="EA277" s="852" t="n">
        <v>0</v>
      </c>
      <c r="EB277" s="1113" t="n">
        <v>0</v>
      </c>
      <c r="EC277" s="1115" t="n">
        <f aca="false">DS277*BD277</f>
        <v>0</v>
      </c>
      <c r="ED277" s="1115" t="n">
        <f aca="false">DT277*BE277</f>
        <v>0</v>
      </c>
      <c r="EE277" s="1115" t="n">
        <f aca="false">DU277*BF277</f>
        <v>0</v>
      </c>
      <c r="EF277" s="1115" t="n">
        <f aca="false">DV277*BG277</f>
        <v>0</v>
      </c>
      <c r="EG277" s="1115" t="n">
        <f aca="false">DS277*BD277+DT277*BE277+DU277*BF277+DV277*BG277</f>
        <v>0</v>
      </c>
      <c r="EH277" s="1116" t="n">
        <v>0</v>
      </c>
      <c r="EI277" s="1117" t="n">
        <v>0</v>
      </c>
      <c r="EJ277" s="1117" t="n">
        <v>0</v>
      </c>
      <c r="EK277" s="1117" t="n">
        <v>0</v>
      </c>
      <c r="EL277" s="1118" t="n">
        <f aca="false">IF(C277&gt;=Summary!$E$26,MAX(0,SUM(EH277:EK277)),0)</f>
        <v>0</v>
      </c>
      <c r="EM277" s="1115" t="n">
        <f aca="false">IF(C277&gt;=Summary!$E$26,DX277*BL277,0)</f>
        <v>0</v>
      </c>
      <c r="EN277" s="1115" t="n">
        <f aca="false">IF(C277&gt;=Summary!$E$26,DY277*BM277,0)</f>
        <v>0</v>
      </c>
      <c r="EO277" s="1115" t="n">
        <f aca="false">IF(C277&gt;=Summary!$E$26,DZ277*BN277,0)</f>
        <v>0</v>
      </c>
      <c r="EP277" s="1115" t="n">
        <f aca="false">IF(C277&gt;=Summary!$E$26,EA277*BO277,0)</f>
        <v>0</v>
      </c>
      <c r="EQ277" s="1115" t="n">
        <f aca="false">IF(C277&gt;=Summary!$E$26,DX277*BL277+DY277*BM277+DZ277*BN277+EA277*BO277,0)</f>
        <v>0</v>
      </c>
      <c r="ER277" s="1119" t="n">
        <v>0</v>
      </c>
      <c r="ES277" s="1120" t="n">
        <v>0</v>
      </c>
      <c r="ET277" s="1120" t="n">
        <v>0</v>
      </c>
      <c r="EU277" s="1120" t="n">
        <v>0</v>
      </c>
      <c r="EV277" s="1143" t="n">
        <f aca="false">IF(C277&gt;=Summary!$E$26,MAX(0,SUM(ER277:EU277)),0)</f>
        <v>0</v>
      </c>
      <c r="EW277" s="1115"/>
      <c r="EX277" s="1165" t="n">
        <f aca="false">(EQ277-EV277)+IF(EZ277="Yes",(EG277-EL277),0)</f>
        <v>0</v>
      </c>
      <c r="EY277" s="1166" t="str">
        <f aca="false">IF(EX277,EX277/EQ277,"")</f>
        <v/>
      </c>
      <c r="EZ277" s="1122" t="s">
        <v>37</v>
      </c>
      <c r="FA277" s="1096" t="n">
        <f aca="false">FA276</f>
        <v>45</v>
      </c>
      <c r="FB277" s="1167" t="e">
        <f aca="false">IF(EZ277="No",IF((OR(MONTH(C277)=5,MONTH(C277)=6,MONTH(C277)=7,MONTH(C277)=8,MONTH(C277)=9)),$FA277*12*AX277*(1-$BC277),$FA277*10*AX277*(1-$BC277)),0)</f>
        <v>#VALUE!</v>
      </c>
      <c r="FC277" s="1129" t="n">
        <f aca="false">IF(EZ277="No",IF((OR(MONTH(C277)=5,MONTH(C277)=6,MONTH(C277)=7,MONTH(C277)=8,MONTH(C277)=9)),0,$FA277*3*AX277*(1-$BC277)),0)</f>
        <v>0</v>
      </c>
      <c r="FD277" s="1129" t="e">
        <f aca="false">IF(EZ277="No",IF((OR(MONTH(C277)=5,MONTH(C277)=6,MONTH(C277)=7,MONTH(C277)=8,MONTH(C277)=9)),$FA277*12*AY277*(1-$BC277),$FA277*10*AY277*(1-$BC277)),0)</f>
        <v>#VALUE!</v>
      </c>
      <c r="FE277" s="1129" t="n">
        <f aca="false">IF(EZ277="No",IF((OR(MONTH(C277)=5,MONTH(C277)=6,MONTH(C277)=7,MONTH(C277)=8,MONTH(C277)=9)),0,$FA277*3*AY277*(1-$BC277)),0)</f>
        <v>0</v>
      </c>
      <c r="FF277" s="1129" t="e">
        <f aca="false">IF(EZ277="No",IF((OR(MONTH(C277)=5,MONTH(C277)=6,MONTH(C277)=7,MONTH(C277)=8,MONTH(C277)=9)),$FA277*12*(AZ277+BA277)*(1-$BC277),$FA277*10*(AZ277+BA277)*(1-$BC277)),0)</f>
        <v>#VALUE!</v>
      </c>
      <c r="FG277" s="1129" t="n">
        <f aca="false">IF(EZ277="No",IF((OR(MONTH(C277)=5,MONTH(C277)=6,MONTH(C277)=7,MONTH(C277)=8,MONTH(C277)=9)),0,$FA277*3*(AZ277+BA277)*(1-$BC277)),0)</f>
        <v>0</v>
      </c>
      <c r="FH277" s="1170" t="e">
        <f aca="false">IF(EZ277="No",IF((OR(MONTH(C277)=5,MONTH(C277)=6,MONTH(C277)=7,MONTH(C277)=8,MONTH(C277)=9)),Summary!$O$15*12*(AX277+AY277+AZ277+BA277)*(1-$BC277),Summary!$O$15*13*(AX277+AY277+AZ277+BA277)*(1-$BC277)+IF(Summary!$O$16="Yes",(CALC!FA277+Summary!$O$15)*6*(AX277+AY277+AZ277+BA277)*(1-$BC277),0)),0)</f>
        <v>#VALUE!</v>
      </c>
      <c r="FI277" s="1126" t="n">
        <f aca="false">IF(MONTH(C277)=5,FI276*(IF(Summary!$E$70="no",(1+(Summary!$E$71*0.8)),1+HLOOKUP(YEAR(C277)-1,CCFMODEL!$I$127:$AF$128,2)*0.8)),+FI276)</f>
        <v>44.8252497008979</v>
      </c>
      <c r="FJ277" s="1127" t="n">
        <f aca="false">IF(MONTH(C277)=5,FJ276*(IF(Summary!$E$70="no",(1+(Summary!$E$71*0.8)),1+HLOOKUP(YEAR(CALC!C277)-1,CCFMODEL!$I$127:$AF$128,2)*0.8)),FJ276)</f>
        <v>39.1779741480288</v>
      </c>
      <c r="FK277" s="1128" t="e">
        <f aca="false">SUM(FB277:FG277)*FI277+FH277*FJ277</f>
        <v>#VALUE!</v>
      </c>
      <c r="FL277" s="1126" t="n">
        <f aca="false">IF(MONTH(C277)=5,FL276*(IF(Summary!$E$70="no",(1+(Summary!$E$71*0.8)),1+HLOOKUP(YEAR(CALC!C277)-1,CCFMODEL!$I$127:$AF$128,2)*0.8)),+FL276)</f>
        <v>94.2725255239355</v>
      </c>
      <c r="FM277" s="1127" t="n">
        <f aca="false">IF(MONTH(C277)=5,FM276*(IF(Summary!$E$70="no",(1+(Summary!$E$71*0.8)),1+HLOOKUP(YEAR(CALC!C277)-1,CCFMODEL!$I$127:$AF$128,2)*0.8)),+FM276)</f>
        <v>44.9933233780666</v>
      </c>
      <c r="FN277" s="1128" t="e">
        <f aca="false">IF((OR(MONTH(C277)=5,MONTH(C277)=6,MONTH(C277)=7,MONTH(C277)=8,MONTH(C277)=9)),SUM(FB277:FG277)/(1-BC277)*FL277,SUM(FB277:FG277)/(1-BC277)*FM277)</f>
        <v>#VALUE!</v>
      </c>
      <c r="FO277" s="1129" t="e">
        <f aca="false">FK277+FN277</f>
        <v>#VALUE!</v>
      </c>
      <c r="FP277" s="1169" t="e">
        <f aca="false">FB277</f>
        <v>#VALUE!</v>
      </c>
      <c r="FQ277" s="1129" t="n">
        <f aca="false">FC277</f>
        <v>0</v>
      </c>
      <c r="FR277" s="1129" t="e">
        <f aca="false">FD277</f>
        <v>#VALUE!</v>
      </c>
      <c r="FS277" s="1129" t="n">
        <f aca="false">FE277</f>
        <v>0</v>
      </c>
      <c r="FT277" s="1129" t="e">
        <f aca="false">FF277</f>
        <v>#VALUE!</v>
      </c>
      <c r="FU277" s="1129" t="n">
        <f aca="false">FG277</f>
        <v>0</v>
      </c>
      <c r="FV277" s="1170" t="e">
        <f aca="false">FH277</f>
        <v>#VALUE!</v>
      </c>
      <c r="FW277" s="1115" t="n">
        <f aca="false">IF(ER277&gt;0,MIN(FB277-FP277,BL277),0)</f>
        <v>0</v>
      </c>
      <c r="FX277" s="1115" t="n">
        <f aca="false">IF(ES277&gt;0,MIN(FD277-FR277,BM277),0)</f>
        <v>0</v>
      </c>
      <c r="FY277" s="1115" t="n">
        <f aca="false">IF(ET277&gt;0,MIN(FF277-FT277,BN277),0)</f>
        <v>0</v>
      </c>
      <c r="FZ277" s="1143" t="n">
        <f aca="false">IF(EU277&gt;0,MIN(FH277-FV277,BO277),0)</f>
        <v>0</v>
      </c>
      <c r="GA277" s="1132" t="e">
        <f aca="false">(SUM(FP277:FV277)+SUM(GU277:HB277)/(1-Summary!$O$25))*CY277/1000</f>
        <v>#VALUE!</v>
      </c>
      <c r="GB277" s="1133" t="n">
        <f aca="false">IF($C277&lt;Summary!$M$81,+Summary!$O$81,VLOOKUP(C277,GasTable,19))</f>
        <v>4.24009290673977</v>
      </c>
      <c r="GC277" s="1134" t="n">
        <f aca="false">IF(H277&lt;=Summary!$N$84,MIN(GA277,Summary!$O$75*(H277-G277+1)),0)</f>
        <v>0</v>
      </c>
      <c r="GD277" s="1135" t="n">
        <f aca="false">IF(C277&lt;Summary!$N$84,IF(Summary!$O$75*(H277-G277+1)*0.8&gt;GC277,1,0),0)</f>
        <v>0</v>
      </c>
      <c r="GE277" s="1136" t="n">
        <v>0</v>
      </c>
      <c r="GF277" s="1134" t="e">
        <f aca="false">ABS(MIN(0,GC277-$GA277))</f>
        <v>#VALUE!</v>
      </c>
      <c r="GG277" s="1135" t="e">
        <f aca="false">GF277*(IF(Summary!$O$74=1,VLOOKUP($C277,GasTable,16)+Summary!$O$92+Summary!$O$93,VLOOKUP($C277,GasTable,19)+Summary!$O$92+Summary!$O$93))</f>
        <v>#VALUE!</v>
      </c>
      <c r="GH277" s="1137" t="n">
        <v>6360.13936010966</v>
      </c>
      <c r="GI277" s="1138" t="n">
        <v>0</v>
      </c>
      <c r="GJ277" s="1139" t="e">
        <f aca="false">+GB277*GC277+GE277+GG277+GH277-GI277</f>
        <v>#VALUE!</v>
      </c>
      <c r="GK277" s="1115" t="e">
        <f aca="false">SUM(FP277:FV277,GU277:GX277,GY277:HB277)</f>
        <v>#VALUE!</v>
      </c>
      <c r="GL277" s="1140" t="n">
        <v>0.52287712808</v>
      </c>
      <c r="GM277" s="1141" t="e">
        <f aca="false">IF(GK277&gt;GC277/(CY277/1000),GC277/(CY277/1000),+GK277)*GL277</f>
        <v>#VALUE!</v>
      </c>
      <c r="GN277" s="1115" t="n">
        <f aca="false">IF(SUM(GU277:HB277)=0,0,IF(Summary!$O$16="Yes",SUM(GX277:HB277),IF(Summary!$O$17="Yes",SUM(GY277:HB277),SUM(GU277:HB277))))</f>
        <v>9239.103</v>
      </c>
      <c r="GO277" s="1142" t="n">
        <v>4.42661845915648</v>
      </c>
      <c r="GP277" s="1143" t="n">
        <f aca="false">GN277*GO277</f>
        <v>40897.983885848</v>
      </c>
      <c r="GQ277" s="1115"/>
      <c r="GR277" s="1115"/>
      <c r="GS277" s="1115"/>
      <c r="GT277" s="1115"/>
      <c r="GU277" s="1150" t="n">
        <v>3592.9845</v>
      </c>
      <c r="GV277" s="1115" t="n">
        <v>684.378</v>
      </c>
      <c r="GW277" s="1115" t="n">
        <v>855.4725</v>
      </c>
      <c r="GX277" s="1115"/>
      <c r="GY277" s="1151" t="n">
        <v>2874.3876</v>
      </c>
      <c r="GZ277" s="1115" t="n">
        <v>547.5024</v>
      </c>
      <c r="HA277" s="1115" t="n">
        <v>684.378</v>
      </c>
      <c r="HB277" s="1141"/>
      <c r="HC277" s="1115" t="n">
        <v>9239.103</v>
      </c>
      <c r="HD277" s="1115"/>
      <c r="HE277" s="1115" t="n">
        <v>21557.907</v>
      </c>
      <c r="HF277" s="1115" t="n">
        <v>621771.802131571</v>
      </c>
      <c r="HG277" s="1115"/>
      <c r="HH277" s="1142" t="n">
        <v>69.851253201145</v>
      </c>
      <c r="HI277" s="1115" t="n">
        <v>1505846.82034374</v>
      </c>
      <c r="HJ277" s="1150" t="e">
        <f aca="false">MAX(FB277-FP277-FW277,0)</f>
        <v>#VALUE!</v>
      </c>
      <c r="HK277" s="1115" t="e">
        <f aca="false">MAX(FD277-FR277-FX277,0)</f>
        <v>#VALUE!</v>
      </c>
      <c r="HL277" s="1115" t="e">
        <f aca="false">MAX(FF277-FT277-FY277,0)</f>
        <v>#VALUE!</v>
      </c>
      <c r="HM277" s="1141" t="e">
        <f aca="false">MAX(FH277-FV277-FZ277,0)</f>
        <v>#VALUE!</v>
      </c>
      <c r="HN277" s="1115" t="e">
        <f aca="false">SUM(HJ277:HM277)</f>
        <v>#VALUE!</v>
      </c>
      <c r="HO277" s="1142" t="n">
        <f aca="false">IF(ISERROR(+HP277/HN277),0,+HP277/HN277)</f>
        <v>0</v>
      </c>
      <c r="HP277" s="1143" t="e">
        <f aca="false">(HJ277*CE277+HK277*CF277+HL277*CG277+HM277*CH277)</f>
        <v>#VALUE!</v>
      </c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1142"/>
      <c r="IE277" s="1142"/>
      <c r="IF277" s="1142"/>
      <c r="IG277" s="1142"/>
      <c r="IH277" s="1142"/>
      <c r="II277" s="1142"/>
      <c r="IJ277" s="1142"/>
      <c r="IK277" s="1142"/>
      <c r="IL277" s="1190"/>
      <c r="IM277" s="222"/>
      <c r="IN277" s="222"/>
      <c r="IR277" s="844"/>
    </row>
    <row r="278" customFormat="false" ht="13.5" hidden="false" customHeight="false" outlineLevel="0" collapsed="false">
      <c r="A278" s="0" t="str">
        <f aca="false">+D278&amp;"Q"&amp;ROUNDUP(E278/3,0)</f>
        <v>2021Q4</v>
      </c>
      <c r="B278" s="0" t="n">
        <f aca="false">YEAR(C278)</f>
        <v>2021</v>
      </c>
      <c r="C278" s="1153" t="n">
        <f aca="false">EOMONTH(C277,0)+1</f>
        <v>44470</v>
      </c>
      <c r="D278" s="841" t="n">
        <f aca="false">+YEAR(C278)</f>
        <v>2021</v>
      </c>
      <c r="E278" s="807" t="n">
        <f aca="false">MONTH(C278)</f>
        <v>10</v>
      </c>
      <c r="F278" s="1154" t="e">
        <f aca="false">IF(G278="","",Holiday(D278,E278))</f>
        <v>#VALUE!</v>
      </c>
      <c r="G278" s="1155" t="n">
        <v>44470</v>
      </c>
      <c r="H278" s="1156" t="n">
        <v>44500</v>
      </c>
      <c r="I278" s="1157" t="n">
        <f aca="false">I277</f>
        <v>0.0715</v>
      </c>
      <c r="J278" s="1158" t="n">
        <f aca="false">(1+I278/2)^(-2*(DATE(D279,E279,20)-$H$7)/365.25)</f>
        <v>0.214204739243876</v>
      </c>
      <c r="K278" s="1159"/>
      <c r="L278" s="1158"/>
      <c r="M278" s="1082" t="n">
        <v>0</v>
      </c>
      <c r="N278" s="1110" t="n">
        <f aca="false">M278</f>
        <v>0</v>
      </c>
      <c r="O278" s="1174" t="n">
        <f aca="false">N278</f>
        <v>0</v>
      </c>
      <c r="P278" s="1175" t="n">
        <f aca="false">M278</f>
        <v>0</v>
      </c>
      <c r="Q278" s="1110" t="n">
        <f aca="false">P278</f>
        <v>0</v>
      </c>
      <c r="R278" s="1174" t="n">
        <f aca="false">Q278</f>
        <v>0</v>
      </c>
      <c r="S278" s="1110" t="n">
        <f aca="false">R278</f>
        <v>0</v>
      </c>
      <c r="T278" s="1110" t="n">
        <f aca="false">S278</f>
        <v>0</v>
      </c>
      <c r="U278" s="1110" t="n">
        <f aca="false">T278</f>
        <v>0</v>
      </c>
      <c r="V278" s="1175" t="n">
        <f aca="false">U278</f>
        <v>0</v>
      </c>
      <c r="W278" s="1110" t="n">
        <f aca="false">V278</f>
        <v>0</v>
      </c>
      <c r="X278" s="1176" t="n">
        <f aca="false">W278</f>
        <v>0</v>
      </c>
      <c r="Y278" s="1086" t="n">
        <v>0</v>
      </c>
      <c r="Z278" s="1086" t="n">
        <v>0</v>
      </c>
      <c r="AA278" s="1087" t="n">
        <v>0</v>
      </c>
      <c r="AB278" s="1086" t="n">
        <v>0</v>
      </c>
      <c r="AC278" s="1086" t="n">
        <v>0</v>
      </c>
      <c r="AD278" s="1087" t="n">
        <v>0</v>
      </c>
      <c r="AE278" s="1086" t="n">
        <v>0</v>
      </c>
      <c r="AF278" s="1086" t="n">
        <v>0</v>
      </c>
      <c r="AG278" s="1087" t="n">
        <v>0</v>
      </c>
      <c r="AH278" s="1086" t="n">
        <v>0</v>
      </c>
      <c r="AI278" s="1086" t="n">
        <v>0</v>
      </c>
      <c r="AJ278" s="1087" t="n">
        <v>0</v>
      </c>
      <c r="AK278" s="1086" t="n">
        <v>0</v>
      </c>
      <c r="AL278" s="1086" t="n">
        <v>0</v>
      </c>
      <c r="AM278" s="1087" t="n">
        <v>0</v>
      </c>
      <c r="AN278" s="1086" t="n">
        <v>0</v>
      </c>
      <c r="AO278" s="1086" t="n">
        <v>0</v>
      </c>
      <c r="AP278" s="1087" t="n">
        <v>0</v>
      </c>
      <c r="AQ278" s="1086" t="n">
        <v>0</v>
      </c>
      <c r="AR278" s="1086" t="n">
        <v>0</v>
      </c>
      <c r="AS278" s="1087" t="n">
        <v>0</v>
      </c>
      <c r="AT278" s="1086" t="n">
        <v>0</v>
      </c>
      <c r="AU278" s="1086" t="n">
        <v>0</v>
      </c>
      <c r="AV278" s="1086" t="n">
        <v>0</v>
      </c>
      <c r="AW278" s="1172" t="n">
        <v>0</v>
      </c>
      <c r="AX278" s="807" t="n">
        <f aca="false">BB278-SUM(AY278:BA278)</f>
        <v>21</v>
      </c>
      <c r="AY278" s="807" t="n">
        <f aca="false">IF(AND($E278=MONTH(Summary!$E$24),$D278=YEAR(Summary!$E$24)),Summary!$E$25,1)*IF(G278="",0,INT((H278-MOD(H278,7)-G278)/7)+1-IF(BA278,IF(WEEKDAY(F278)=7,1,0),0))</f>
        <v>5</v>
      </c>
      <c r="AZ278" s="807" t="n">
        <f aca="false">IF(AND($E278=MONTH(Summary!$E$24),$D278=YEAR(Summary!$E$24)),Summary!$E$25,1)*IF(G278="",0,INT((H278-MOD(H278-1,7)-G278)/7)+1-IF(BA278,IF(WEEKDAY(F278)=1,1,0),0))</f>
        <v>5</v>
      </c>
      <c r="BA278" s="807" t="n">
        <v>0</v>
      </c>
      <c r="BB278" s="807" t="n">
        <f aca="false">IF(AND($E278=MONTH(Summary!$E$24),$D278=YEAR(Summary!$E$24)),Summary!$E$25,1)*IF(G278="",0,H278-G278+1)</f>
        <v>31</v>
      </c>
      <c r="BC278" s="1089" t="n">
        <f aca="false">Summary!$E$19</f>
        <v>0.015</v>
      </c>
      <c r="BD278" s="1090" t="n">
        <v>14893.2</v>
      </c>
      <c r="BE278" s="1091" t="n">
        <v>3546</v>
      </c>
      <c r="BF278" s="1091" t="n">
        <v>3546</v>
      </c>
      <c r="BG278" s="842"/>
      <c r="BH278" s="1092" t="n">
        <v>1</v>
      </c>
      <c r="BI278" s="1092" t="n">
        <v>1</v>
      </c>
      <c r="BJ278" s="1092" t="n">
        <v>1</v>
      </c>
      <c r="BK278" s="1092" t="n">
        <v>1</v>
      </c>
      <c r="BL278" s="1093" t="n">
        <v>2978.64</v>
      </c>
      <c r="BM278" s="1091" t="n">
        <v>709.2</v>
      </c>
      <c r="BN278" s="1091" t="n">
        <v>709.2</v>
      </c>
      <c r="BO278" s="842"/>
      <c r="BP278" s="1092" t="n">
        <v>1</v>
      </c>
      <c r="BQ278" s="1094" t="n">
        <v>1</v>
      </c>
      <c r="BR278" s="1094" t="n">
        <v>1</v>
      </c>
      <c r="BS278" s="1095" t="n">
        <v>1</v>
      </c>
      <c r="BT278" s="1093" t="n">
        <f aca="false">SUM(BD278:BF278)</f>
        <v>21985.2</v>
      </c>
      <c r="BU278" s="1098" t="n">
        <f aca="false">SUM(BD278:BG278)</f>
        <v>21985.2</v>
      </c>
      <c r="BV278" s="1090" t="n">
        <f aca="false">SUM(BL278:BN278)</f>
        <v>4397.04</v>
      </c>
      <c r="BW278" s="1098" t="n">
        <f aca="false">SUM(BL278:BO278)</f>
        <v>4397.04</v>
      </c>
      <c r="BX278" s="852" t="n">
        <v>21.7960301163587</v>
      </c>
      <c r="BY278" s="1099" t="n">
        <v>0</v>
      </c>
      <c r="BZ278" s="852" t="n">
        <v>0</v>
      </c>
      <c r="CA278" s="852" t="n">
        <v>0</v>
      </c>
      <c r="CB278" s="852" t="n">
        <v>0</v>
      </c>
      <c r="CC278" s="852" t="n">
        <v>0</v>
      </c>
      <c r="CD278" s="852" t="n">
        <v>0</v>
      </c>
      <c r="CE278" s="1100" t="n">
        <v>0</v>
      </c>
      <c r="CF278" s="852" t="n">
        <v>0</v>
      </c>
      <c r="CG278" s="852" t="n">
        <v>0</v>
      </c>
      <c r="CH278" s="852" t="n">
        <v>0</v>
      </c>
      <c r="CI278" s="852" t="n">
        <v>0</v>
      </c>
      <c r="CJ278" s="1101" t="n">
        <v>0</v>
      </c>
      <c r="CK278" s="852" t="n">
        <v>0</v>
      </c>
      <c r="CL278" s="852" t="n">
        <v>0</v>
      </c>
      <c r="CM278" s="852" t="n">
        <v>0</v>
      </c>
      <c r="CN278" s="852" t="n">
        <v>0</v>
      </c>
      <c r="CO278" s="852" t="n">
        <v>0</v>
      </c>
      <c r="CP278" s="852" t="n">
        <v>0</v>
      </c>
      <c r="CQ278" s="1102" t="n">
        <v>0</v>
      </c>
      <c r="CR278" s="1103" t="n">
        <v>0</v>
      </c>
      <c r="CS278" s="1103" t="n">
        <v>0</v>
      </c>
      <c r="CT278" s="1103" t="n">
        <v>0</v>
      </c>
      <c r="CU278" s="1103" t="n">
        <v>0</v>
      </c>
      <c r="CV278" s="1103" t="n">
        <v>0</v>
      </c>
      <c r="CW278" s="1103" t="n">
        <v>0</v>
      </c>
      <c r="CX278" s="1104" t="n">
        <v>0</v>
      </c>
      <c r="CY278" s="1105" t="n">
        <v>7806.1672</v>
      </c>
      <c r="CZ278" s="1099" t="n">
        <v>0</v>
      </c>
      <c r="DA278" s="852" t="n">
        <v>0</v>
      </c>
      <c r="DB278" s="852" t="n">
        <v>0</v>
      </c>
      <c r="DC278" s="852" t="n">
        <v>0</v>
      </c>
      <c r="DD278" s="852" t="n">
        <v>0</v>
      </c>
      <c r="DE278" s="1113" t="n">
        <v>0</v>
      </c>
      <c r="DF278" s="1109" t="n">
        <v>0</v>
      </c>
      <c r="DG278" s="1110" t="n">
        <v>0</v>
      </c>
      <c r="DH278" s="1111" t="n">
        <v>0</v>
      </c>
      <c r="DI278" s="1112" t="n">
        <v>0</v>
      </c>
      <c r="DJ278" s="1112" t="n">
        <v>0</v>
      </c>
      <c r="DK278" s="1112" t="n">
        <v>0</v>
      </c>
      <c r="DL278" s="1113" t="n">
        <v>0</v>
      </c>
      <c r="DM278" s="1114" t="n">
        <v>0</v>
      </c>
      <c r="DN278" s="1114" t="n">
        <v>0</v>
      </c>
      <c r="DO278" s="1114" t="n">
        <v>0</v>
      </c>
      <c r="DP278" s="1114" t="n">
        <v>0</v>
      </c>
      <c r="DQ278" s="1114" t="n">
        <v>0</v>
      </c>
      <c r="DR278" s="1109" t="n">
        <v>0</v>
      </c>
      <c r="DS278" s="852" t="n">
        <v>0</v>
      </c>
      <c r="DT278" s="852" t="n">
        <v>0</v>
      </c>
      <c r="DU278" s="852" t="n">
        <v>0</v>
      </c>
      <c r="DV278" s="852" t="n">
        <v>0</v>
      </c>
      <c r="DW278" s="852" t="n">
        <v>0</v>
      </c>
      <c r="DX278" s="852" t="n">
        <v>0</v>
      </c>
      <c r="DY278" s="852" t="n">
        <v>0</v>
      </c>
      <c r="DZ278" s="852" t="n">
        <v>0</v>
      </c>
      <c r="EA278" s="852" t="n">
        <v>0</v>
      </c>
      <c r="EB278" s="1113" t="n">
        <v>0</v>
      </c>
      <c r="EC278" s="1115" t="n">
        <f aca="false">DS278*BD278</f>
        <v>0</v>
      </c>
      <c r="ED278" s="1115" t="n">
        <f aca="false">DT278*BE278</f>
        <v>0</v>
      </c>
      <c r="EE278" s="1115" t="n">
        <f aca="false">DU278*BF278</f>
        <v>0</v>
      </c>
      <c r="EF278" s="1115" t="n">
        <f aca="false">DV278*BG278</f>
        <v>0</v>
      </c>
      <c r="EG278" s="1115" t="n">
        <f aca="false">DS278*BD278+DT278*BE278+DU278*BF278+DV278*BG278</f>
        <v>0</v>
      </c>
      <c r="EH278" s="1116" t="n">
        <v>0</v>
      </c>
      <c r="EI278" s="1117" t="n">
        <v>0</v>
      </c>
      <c r="EJ278" s="1117" t="n">
        <v>0</v>
      </c>
      <c r="EK278" s="1117" t="n">
        <v>0</v>
      </c>
      <c r="EL278" s="1118" t="n">
        <f aca="false">IF(C278&gt;=Summary!$E$26,MAX(0,SUM(EH278:EK278)),0)</f>
        <v>0</v>
      </c>
      <c r="EM278" s="1115" t="n">
        <f aca="false">IF(C278&gt;=Summary!$E$26,DX278*BL278,0)</f>
        <v>0</v>
      </c>
      <c r="EN278" s="1115" t="n">
        <f aca="false">IF(C278&gt;=Summary!$E$26,DY278*BM278,0)</f>
        <v>0</v>
      </c>
      <c r="EO278" s="1115" t="n">
        <f aca="false">IF(C278&gt;=Summary!$E$26,DZ278*BN278,0)</f>
        <v>0</v>
      </c>
      <c r="EP278" s="1115" t="n">
        <f aca="false">IF(C278&gt;=Summary!$E$26,EA278*BO278,0)</f>
        <v>0</v>
      </c>
      <c r="EQ278" s="1115" t="n">
        <f aca="false">IF(C278&gt;=Summary!$E$26,DX278*BL278+DY278*BM278+DZ278*BN278+EA278*BO278,0)</f>
        <v>0</v>
      </c>
      <c r="ER278" s="1119" t="n">
        <v>0</v>
      </c>
      <c r="ES278" s="1120" t="n">
        <v>0</v>
      </c>
      <c r="ET278" s="1120" t="n">
        <v>0</v>
      </c>
      <c r="EU278" s="1120" t="n">
        <v>0</v>
      </c>
      <c r="EV278" s="1143" t="n">
        <f aca="false">IF(C278&gt;=Summary!$E$26,MAX(0,SUM(ER278:EU278)),0)</f>
        <v>0</v>
      </c>
      <c r="EW278" s="1115"/>
      <c r="EX278" s="1165" t="n">
        <f aca="false">(EQ278-EV278)+IF(EZ278="Yes",(EG278-EL278),0)</f>
        <v>0</v>
      </c>
      <c r="EY278" s="1166" t="str">
        <f aca="false">IF(EX278,EX278/EQ278,"")</f>
        <v/>
      </c>
      <c r="EZ278" s="1122" t="s">
        <v>37</v>
      </c>
      <c r="FA278" s="1096" t="n">
        <f aca="false">FA277</f>
        <v>45</v>
      </c>
      <c r="FB278" s="1167" t="n">
        <f aca="false">IF(EZ278="No",IF((OR(MONTH(C278)=5,MONTH(C278)=6,MONTH(C278)=7,MONTH(C278)=8,MONTH(C278)=9)),$FA278*12*AX278*(1-$BC278),$FA278*10*AX278*(1-$BC278)),0)</f>
        <v>9308.25</v>
      </c>
      <c r="FC278" s="1129" t="n">
        <f aca="false">IF(EZ278="No",IF((OR(MONTH(C278)=5,MONTH(C278)=6,MONTH(C278)=7,MONTH(C278)=8,MONTH(C278)=9)),0,$FA278*3*AX278*(1-$BC278)),0)</f>
        <v>2792.475</v>
      </c>
      <c r="FD278" s="1129" t="n">
        <f aca="false">IF(EZ278="No",IF((OR(MONTH(C278)=5,MONTH(C278)=6,MONTH(C278)=7,MONTH(C278)=8,MONTH(C278)=9)),$FA278*12*AY278*(1-$BC278),$FA278*10*AY278*(1-$BC278)),0)</f>
        <v>2216.25</v>
      </c>
      <c r="FE278" s="1129" t="n">
        <f aca="false">IF(EZ278="No",IF((OR(MONTH(C278)=5,MONTH(C278)=6,MONTH(C278)=7,MONTH(C278)=8,MONTH(C278)=9)),0,$FA278*3*AY278*(1-$BC278)),0)</f>
        <v>664.875</v>
      </c>
      <c r="FF278" s="1129" t="n">
        <f aca="false">IF(EZ278="No",IF((OR(MONTH(C278)=5,MONTH(C278)=6,MONTH(C278)=7,MONTH(C278)=8,MONTH(C278)=9)),$FA278*12*(AZ278+BA278)*(1-$BC278),$FA278*10*(AZ278+BA278)*(1-$BC278)),0)</f>
        <v>2216.25</v>
      </c>
      <c r="FG278" s="1129" t="n">
        <f aca="false">IF(EZ278="No",IF((OR(MONTH(C278)=5,MONTH(C278)=6,MONTH(C278)=7,MONTH(C278)=8,MONTH(C278)=9)),0,$FA278*3*(AZ278+BA278)*(1-$BC278)),0)</f>
        <v>664.875</v>
      </c>
      <c r="FH278" s="1170" t="n">
        <f aca="false">IF(EZ278="No",IF((OR(MONTH(C278)=5,MONTH(C278)=6,MONTH(C278)=7,MONTH(C278)=8,MONTH(C278)=9)),Summary!$O$15*12*(AX278+AY278+AZ278+BA278)*(1-$BC278),Summary!$O$15*13*(AX278+AY278+AZ278+BA278)*(1-$BC278)+IF(Summary!$O$16="Yes",(CALC!FA278+Summary!$O$15)*6*(AX278+AY278+AZ278+BA278)*(1-$BC278),0)),0)</f>
        <v>0</v>
      </c>
      <c r="FI278" s="1126" t="n">
        <f aca="false">IF(MONTH(C278)=5,FI277*(IF(Summary!$E$70="no",(1+(Summary!$E$71*0.8)),1+HLOOKUP(YEAR(C278)-1,CCFMODEL!$I$127:$AF$128,2)*0.8)),+FI277)</f>
        <v>44.8252497008979</v>
      </c>
      <c r="FJ278" s="1127" t="n">
        <f aca="false">IF(MONTH(C278)=5,FJ277*(IF(Summary!$E$70="no",(1+(Summary!$E$71*0.8)),1+HLOOKUP(YEAR(CALC!C278)-1,CCFMODEL!$I$127:$AF$128,2)*0.8)),FJ277)</f>
        <v>39.1779741480288</v>
      </c>
      <c r="FK278" s="1128" t="n">
        <f aca="false">SUM(FB278:FG278)*FI278+FH278*FJ278</f>
        <v>800712.314775896</v>
      </c>
      <c r="FL278" s="1126" t="n">
        <f aca="false">IF(MONTH(C278)=5,FL277*(IF(Summary!$E$70="no",(1+(Summary!$E$71*0.8)),1+HLOOKUP(YEAR(CALC!C278)-1,CCFMODEL!$I$127:$AF$128,2)*0.8)),+FL277)</f>
        <v>94.2725255239355</v>
      </c>
      <c r="FM278" s="1127" t="n">
        <f aca="false">IF(MONTH(C278)=5,FM277*(IF(Summary!$E$70="no",(1+(Summary!$E$71*0.8)),1+HLOOKUP(YEAR(CALC!C278)-1,CCFMODEL!$I$127:$AF$128,2)*0.8)),+FM277)</f>
        <v>44.9933233780666</v>
      </c>
      <c r="FN278" s="1128" t="n">
        <f aca="false">IF((OR(MONTH(C278)=5,MONTH(C278)=6,MONTH(C278)=7,MONTH(C278)=8,MONTH(C278)=9)),SUM(FB278:FG278)/(1-BC278)*FL278,SUM(FB278:FG278)/(1-BC278)*FM278)</f>
        <v>815953.919461237</v>
      </c>
      <c r="FO278" s="1129" t="n">
        <f aca="false">FK278+FN278</f>
        <v>1616666.23423713</v>
      </c>
      <c r="FP278" s="1169" t="n">
        <f aca="false">FB278</f>
        <v>9308.25</v>
      </c>
      <c r="FQ278" s="1129" t="n">
        <f aca="false">FC278</f>
        <v>2792.475</v>
      </c>
      <c r="FR278" s="1129" t="n">
        <f aca="false">FD278</f>
        <v>2216.25</v>
      </c>
      <c r="FS278" s="1129" t="n">
        <f aca="false">FE278</f>
        <v>664.875</v>
      </c>
      <c r="FT278" s="1129" t="n">
        <f aca="false">FF278</f>
        <v>2216.25</v>
      </c>
      <c r="FU278" s="1129" t="n">
        <f aca="false">FG278</f>
        <v>664.875</v>
      </c>
      <c r="FV278" s="1170" t="n">
        <f aca="false">FH278</f>
        <v>0</v>
      </c>
      <c r="FW278" s="1115" t="n">
        <f aca="false">IF(ER278&gt;0,MIN(FB278-FP278,BL278),0)</f>
        <v>0</v>
      </c>
      <c r="FX278" s="1115" t="n">
        <f aca="false">IF(ES278&gt;0,MIN(FD278-FR278,BM278),0)</f>
        <v>0</v>
      </c>
      <c r="FY278" s="1115" t="n">
        <f aca="false">IF(ET278&gt;0,MIN(FF278-FT278,BN278),0)</f>
        <v>0</v>
      </c>
      <c r="FZ278" s="1143" t="n">
        <f aca="false">IF(EU278&gt;0,MIN(FH278-FV278,BO278),0)</f>
        <v>0</v>
      </c>
      <c r="GA278" s="1132" t="n">
        <f aca="false">(SUM(FP278:FV278)+SUM(GU278:HB278)/(1-Summary!$O$25))*CY278/1000</f>
        <v>238122.954136548</v>
      </c>
      <c r="GB278" s="1133" t="n">
        <f aca="false">IF($C278&lt;Summary!$M$81,+Summary!$O$81,VLOOKUP(C278,GasTable,19))</f>
        <v>4.42852016270363</v>
      </c>
      <c r="GC278" s="1134" t="n">
        <f aca="false">IF(H278&lt;=Summary!$N$84,MIN(GA278,Summary!$O$75*(H278-G278+1)),0)</f>
        <v>0</v>
      </c>
      <c r="GD278" s="1135" t="n">
        <f aca="false">IF(C278&lt;Summary!$N$84,IF(Summary!$O$75*(H278-G278+1)*0.8&gt;GC278,1,0),0)</f>
        <v>0</v>
      </c>
      <c r="GE278" s="1136" t="n">
        <v>0</v>
      </c>
      <c r="GF278" s="1134" t="n">
        <f aca="false">ABS(MIN(0,GC278-$GA278))</f>
        <v>238122.954136548</v>
      </c>
      <c r="GG278" s="1135" t="n">
        <f aca="false">GF278*(IF(Summary!$O$74=1,VLOOKUP($C278,GasTable,16)+Summary!$O$92+Summary!$O$93,VLOOKUP($C278,GasTable,19)+Summary!$O$92+Summary!$O$93))</f>
        <v>1066938.50950677</v>
      </c>
      <c r="GH278" s="1137" t="n">
        <v>6864.20625219063</v>
      </c>
      <c r="GI278" s="1138" t="n">
        <v>0</v>
      </c>
      <c r="GJ278" s="1139" t="n">
        <f aca="false">+GB278*GC278+GE278+GG278+GH278-GI278</f>
        <v>1073802.71575896</v>
      </c>
      <c r="GK278" s="1115" t="n">
        <f aca="false">SUM(FP278:FV278,GU278:GX278,GY278:HB278)</f>
        <v>30062.01285</v>
      </c>
      <c r="GL278" s="1140" t="n">
        <v>0.5230132024</v>
      </c>
      <c r="GM278" s="1141" t="n">
        <f aca="false">IF(GK278&gt;GC278/(CY278/1000),GC278/(CY278/1000),+GK278)*GL278</f>
        <v>0</v>
      </c>
      <c r="GN278" s="1115" t="n">
        <f aca="false">IF(SUM(GU278:HB278)=0,0,IF(Summary!$O$16="Yes",SUM(GX278:HB278),IF(Summary!$O$17="Yes",SUM(GY278:HB278),SUM(GU278:HB278))))</f>
        <v>12199.03785</v>
      </c>
      <c r="GO278" s="1142" t="n">
        <v>4.42661845915648</v>
      </c>
      <c r="GP278" s="1143" t="n">
        <f aca="false">GN278*GO278</f>
        <v>54000.4861307586</v>
      </c>
      <c r="GQ278" s="1115"/>
      <c r="GR278" s="1115"/>
      <c r="GS278" s="1115"/>
      <c r="GT278" s="1115"/>
      <c r="GU278" s="1150" t="n">
        <v>5389.47675</v>
      </c>
      <c r="GV278" s="1115" t="n">
        <v>1283.20875</v>
      </c>
      <c r="GW278" s="1115" t="n">
        <v>1283.20875</v>
      </c>
      <c r="GX278" s="1115"/>
      <c r="GY278" s="1151" t="n">
        <v>2874.3876</v>
      </c>
      <c r="GZ278" s="1115" t="n">
        <v>684.378</v>
      </c>
      <c r="HA278" s="1115" t="n">
        <v>684.378</v>
      </c>
      <c r="HB278" s="1141"/>
      <c r="HC278" s="1115" t="n">
        <v>12199.03785</v>
      </c>
      <c r="HD278" s="1115"/>
      <c r="HE278" s="1115" t="n">
        <v>20950.521525</v>
      </c>
      <c r="HF278" s="1115" t="n">
        <v>737387.741854697</v>
      </c>
      <c r="HG278" s="1115"/>
      <c r="HH278" s="1142" t="n">
        <v>59.4903376994383</v>
      </c>
      <c r="HI278" s="1115" t="n">
        <v>1246353.6005016</v>
      </c>
      <c r="HJ278" s="1150" t="n">
        <f aca="false">MAX(FB278-FP278-FW278,0)</f>
        <v>0</v>
      </c>
      <c r="HK278" s="1115" t="n">
        <f aca="false">MAX(FD278-FR278-FX278,0)</f>
        <v>0</v>
      </c>
      <c r="HL278" s="1115" t="n">
        <f aca="false">MAX(FF278-FT278-FY278,0)</f>
        <v>0</v>
      </c>
      <c r="HM278" s="1141" t="n">
        <f aca="false">MAX(FH278-FV278-FZ278,0)</f>
        <v>0</v>
      </c>
      <c r="HN278" s="1115" t="n">
        <f aca="false">SUM(HJ278:HM278)</f>
        <v>0</v>
      </c>
      <c r="HO278" s="1142" t="n">
        <f aca="false">IF(ISERROR(+HP278/HN278),0,+HP278/HN278)</f>
        <v>0</v>
      </c>
      <c r="HP278" s="1143" t="n">
        <f aca="false">(HJ278*CE278+HK278*CF278+HL278*CG278+HM278*CH278)</f>
        <v>0</v>
      </c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1142"/>
      <c r="IE278" s="1142"/>
      <c r="IF278" s="1142"/>
      <c r="IG278" s="1142"/>
      <c r="IH278" s="1142"/>
      <c r="II278" s="1142"/>
      <c r="IJ278" s="1142"/>
      <c r="IK278" s="1142"/>
      <c r="IL278" s="1190"/>
      <c r="IM278" s="222"/>
      <c r="IN278" s="222"/>
      <c r="IR278" s="844"/>
    </row>
    <row r="279" customFormat="false" ht="13.5" hidden="false" customHeight="false" outlineLevel="0" collapsed="false">
      <c r="A279" s="0" t="str">
        <f aca="false">+D279&amp;"Q"&amp;ROUNDUP(E279/3,0)</f>
        <v>2021Q4</v>
      </c>
      <c r="B279" s="0" t="n">
        <f aca="false">YEAR(C279)</f>
        <v>2021</v>
      </c>
      <c r="C279" s="1153" t="n">
        <f aca="false">EOMONTH(C278,0)+1</f>
        <v>44501</v>
      </c>
      <c r="D279" s="841" t="n">
        <f aca="false">+YEAR(C279)</f>
        <v>2021</v>
      </c>
      <c r="E279" s="807" t="n">
        <f aca="false">MONTH(C279)</f>
        <v>11</v>
      </c>
      <c r="F279" s="1154" t="e">
        <f aca="false">IF(G279="","",Holiday(D279,E279))</f>
        <v>#VALUE!</v>
      </c>
      <c r="G279" s="1155" t="n">
        <v>44501</v>
      </c>
      <c r="H279" s="1156" t="n">
        <v>44530</v>
      </c>
      <c r="I279" s="1157" t="n">
        <f aca="false">I278</f>
        <v>0.0715</v>
      </c>
      <c r="J279" s="1158" t="n">
        <f aca="false">(1+I279/2)^(-2*(DATE(D280,E280,20)-$H$7)/365.25)</f>
        <v>0.212972304368273</v>
      </c>
      <c r="K279" s="1159"/>
      <c r="L279" s="1158"/>
      <c r="M279" s="1082" t="n">
        <v>0</v>
      </c>
      <c r="N279" s="1110" t="n">
        <f aca="false">M279</f>
        <v>0</v>
      </c>
      <c r="O279" s="1174" t="n">
        <f aca="false">N279</f>
        <v>0</v>
      </c>
      <c r="P279" s="1175" t="n">
        <f aca="false">M279</f>
        <v>0</v>
      </c>
      <c r="Q279" s="1110" t="n">
        <f aca="false">P279</f>
        <v>0</v>
      </c>
      <c r="R279" s="1174" t="n">
        <f aca="false">Q279</f>
        <v>0</v>
      </c>
      <c r="S279" s="1110" t="n">
        <f aca="false">R279</f>
        <v>0</v>
      </c>
      <c r="T279" s="1110" t="n">
        <f aca="false">S279</f>
        <v>0</v>
      </c>
      <c r="U279" s="1110" t="n">
        <f aca="false">T279</f>
        <v>0</v>
      </c>
      <c r="V279" s="1175" t="n">
        <f aca="false">U279</f>
        <v>0</v>
      </c>
      <c r="W279" s="1110" t="n">
        <f aca="false">V279</f>
        <v>0</v>
      </c>
      <c r="X279" s="1176" t="n">
        <f aca="false">W279</f>
        <v>0</v>
      </c>
      <c r="Y279" s="1086" t="n">
        <v>0</v>
      </c>
      <c r="Z279" s="1086" t="n">
        <v>0</v>
      </c>
      <c r="AA279" s="1087" t="n">
        <v>0</v>
      </c>
      <c r="AB279" s="1086" t="n">
        <v>0</v>
      </c>
      <c r="AC279" s="1086" t="n">
        <v>0</v>
      </c>
      <c r="AD279" s="1087" t="n">
        <v>0</v>
      </c>
      <c r="AE279" s="1086" t="n">
        <v>0</v>
      </c>
      <c r="AF279" s="1086" t="n">
        <v>0</v>
      </c>
      <c r="AG279" s="1087" t="n">
        <v>0</v>
      </c>
      <c r="AH279" s="1086" t="n">
        <v>0</v>
      </c>
      <c r="AI279" s="1086" t="n">
        <v>0</v>
      </c>
      <c r="AJ279" s="1087" t="n">
        <v>0</v>
      </c>
      <c r="AK279" s="1086" t="n">
        <v>0</v>
      </c>
      <c r="AL279" s="1086" t="n">
        <v>0</v>
      </c>
      <c r="AM279" s="1087" t="n">
        <v>0</v>
      </c>
      <c r="AN279" s="1086" t="n">
        <v>0</v>
      </c>
      <c r="AO279" s="1086" t="n">
        <v>0</v>
      </c>
      <c r="AP279" s="1087" t="n">
        <v>0</v>
      </c>
      <c r="AQ279" s="1086" t="n">
        <v>0</v>
      </c>
      <c r="AR279" s="1086" t="n">
        <v>0</v>
      </c>
      <c r="AS279" s="1087" t="n">
        <v>0</v>
      </c>
      <c r="AT279" s="1086" t="n">
        <v>0</v>
      </c>
      <c r="AU279" s="1086" t="n">
        <v>0</v>
      </c>
      <c r="AV279" s="1086" t="n">
        <v>0</v>
      </c>
      <c r="AW279" s="1172" t="n">
        <v>0</v>
      </c>
      <c r="AX279" s="807" t="e">
        <f aca="false">BB279-SUM(AY279:BA279)</f>
        <v>#VALUE!</v>
      </c>
      <c r="AY279" s="807" t="e">
        <f aca="false">IF(AND($E279=MONTH(Summary!$E$24),$D279=YEAR(Summary!$E$24)),Summary!$E$25,1)*IF(G279="",0,INT((H279-MOD(H279,7)-G279)/7)+1-IF(BA279,IF(WEEKDAY(F279)=7,1,0),0))</f>
        <v>#VALUE!</v>
      </c>
      <c r="AZ279" s="807" t="e">
        <f aca="false">IF(AND($E279=MONTH(Summary!$E$24),$D279=YEAR(Summary!$E$24)),Summary!$E$25,1)*IF(G279="",0,INT((H279-MOD(H279-1,7)-G279)/7)+1-IF(BA279,IF(WEEKDAY(F279)=1,1,0),0))</f>
        <v>#VALUE!</v>
      </c>
      <c r="BA279" s="807" t="n">
        <v>1</v>
      </c>
      <c r="BB279" s="807" t="n">
        <f aca="false">IF(AND($E279=MONTH(Summary!$E$24),$D279=YEAR(Summary!$E$24)),Summary!$E$25,1)*IF(G279="",0,H279-G279+1)</f>
        <v>30</v>
      </c>
      <c r="BC279" s="1089" t="n">
        <f aca="false">Summary!$E$19</f>
        <v>0.015</v>
      </c>
      <c r="BD279" s="1090" t="n">
        <v>14893.2</v>
      </c>
      <c r="BE279" s="1091" t="n">
        <v>2836.8</v>
      </c>
      <c r="BF279" s="1091" t="n">
        <v>3546</v>
      </c>
      <c r="BG279" s="842"/>
      <c r="BH279" s="1092" t="n">
        <v>1</v>
      </c>
      <c r="BI279" s="1092" t="n">
        <v>1</v>
      </c>
      <c r="BJ279" s="1092" t="n">
        <v>1</v>
      </c>
      <c r="BK279" s="1092" t="n">
        <v>1</v>
      </c>
      <c r="BL279" s="1093" t="n">
        <v>2978.64</v>
      </c>
      <c r="BM279" s="1091" t="n">
        <v>567.36</v>
      </c>
      <c r="BN279" s="1091" t="n">
        <v>709.2</v>
      </c>
      <c r="BO279" s="842"/>
      <c r="BP279" s="1092" t="n">
        <v>1</v>
      </c>
      <c r="BQ279" s="1094" t="n">
        <v>1</v>
      </c>
      <c r="BR279" s="1094" t="n">
        <v>1</v>
      </c>
      <c r="BS279" s="1095" t="n">
        <v>1</v>
      </c>
      <c r="BT279" s="1093" t="n">
        <f aca="false">SUM(BD279:BF279)</f>
        <v>21276</v>
      </c>
      <c r="BU279" s="1098" t="n">
        <f aca="false">SUM(BD279:BG279)</f>
        <v>21276</v>
      </c>
      <c r="BV279" s="1090" t="n">
        <f aca="false">SUM(BL279:BN279)</f>
        <v>4255.2</v>
      </c>
      <c r="BW279" s="1098" t="n">
        <f aca="false">SUM(BL279:BO279)</f>
        <v>4255.2</v>
      </c>
      <c r="BX279" s="852" t="n">
        <v>21.8809034907598</v>
      </c>
      <c r="BY279" s="1099" t="n">
        <v>0</v>
      </c>
      <c r="BZ279" s="852" t="n">
        <v>0</v>
      </c>
      <c r="CA279" s="852" t="n">
        <v>0</v>
      </c>
      <c r="CB279" s="852" t="n">
        <v>0</v>
      </c>
      <c r="CC279" s="852" t="n">
        <v>0</v>
      </c>
      <c r="CD279" s="852" t="n">
        <v>0</v>
      </c>
      <c r="CE279" s="1100" t="n">
        <v>0</v>
      </c>
      <c r="CF279" s="852" t="n">
        <v>0</v>
      </c>
      <c r="CG279" s="852" t="n">
        <v>0</v>
      </c>
      <c r="CH279" s="852" t="n">
        <v>0</v>
      </c>
      <c r="CI279" s="852" t="n">
        <v>0</v>
      </c>
      <c r="CJ279" s="1101" t="n">
        <v>0</v>
      </c>
      <c r="CK279" s="852" t="n">
        <v>0</v>
      </c>
      <c r="CL279" s="852" t="n">
        <v>0</v>
      </c>
      <c r="CM279" s="852" t="n">
        <v>0</v>
      </c>
      <c r="CN279" s="852" t="n">
        <v>0</v>
      </c>
      <c r="CO279" s="852" t="n">
        <v>0</v>
      </c>
      <c r="CP279" s="852" t="n">
        <v>0</v>
      </c>
      <c r="CQ279" s="1102" t="n">
        <v>0</v>
      </c>
      <c r="CR279" s="1103" t="n">
        <v>0</v>
      </c>
      <c r="CS279" s="1103" t="n">
        <v>0</v>
      </c>
      <c r="CT279" s="1103" t="n">
        <v>0</v>
      </c>
      <c r="CU279" s="1103" t="n">
        <v>0</v>
      </c>
      <c r="CV279" s="1103" t="n">
        <v>0</v>
      </c>
      <c r="CW279" s="1103" t="n">
        <v>0</v>
      </c>
      <c r="CX279" s="1104" t="n">
        <v>0</v>
      </c>
      <c r="CY279" s="1105" t="n">
        <v>7808.19816</v>
      </c>
      <c r="CZ279" s="1099" t="n">
        <v>0</v>
      </c>
      <c r="DA279" s="852" t="n">
        <v>0</v>
      </c>
      <c r="DB279" s="852" t="n">
        <v>0</v>
      </c>
      <c r="DC279" s="852" t="n">
        <v>0</v>
      </c>
      <c r="DD279" s="852" t="n">
        <v>0</v>
      </c>
      <c r="DE279" s="1113" t="n">
        <v>0</v>
      </c>
      <c r="DF279" s="1109" t="n">
        <v>0</v>
      </c>
      <c r="DG279" s="1110" t="n">
        <v>0</v>
      </c>
      <c r="DH279" s="1111" t="n">
        <v>0</v>
      </c>
      <c r="DI279" s="1112" t="n">
        <v>0</v>
      </c>
      <c r="DJ279" s="1112" t="n">
        <v>0</v>
      </c>
      <c r="DK279" s="1112" t="n">
        <v>0</v>
      </c>
      <c r="DL279" s="1113" t="n">
        <v>0</v>
      </c>
      <c r="DM279" s="1114" t="n">
        <v>0</v>
      </c>
      <c r="DN279" s="1114" t="n">
        <v>0</v>
      </c>
      <c r="DO279" s="1114" t="n">
        <v>0</v>
      </c>
      <c r="DP279" s="1114" t="n">
        <v>0</v>
      </c>
      <c r="DQ279" s="1114" t="n">
        <v>0</v>
      </c>
      <c r="DR279" s="1109" t="n">
        <v>0</v>
      </c>
      <c r="DS279" s="852" t="n">
        <v>0</v>
      </c>
      <c r="DT279" s="852" t="n">
        <v>0</v>
      </c>
      <c r="DU279" s="852" t="n">
        <v>0</v>
      </c>
      <c r="DV279" s="852" t="n">
        <v>0</v>
      </c>
      <c r="DW279" s="852" t="n">
        <v>0</v>
      </c>
      <c r="DX279" s="852" t="n">
        <v>0</v>
      </c>
      <c r="DY279" s="852" t="n">
        <v>0</v>
      </c>
      <c r="DZ279" s="852" t="n">
        <v>0</v>
      </c>
      <c r="EA279" s="852" t="n">
        <v>0</v>
      </c>
      <c r="EB279" s="1113" t="n">
        <v>0</v>
      </c>
      <c r="EC279" s="1115" t="n">
        <f aca="false">DS279*BD279</f>
        <v>0</v>
      </c>
      <c r="ED279" s="1115" t="n">
        <f aca="false">DT279*BE279</f>
        <v>0</v>
      </c>
      <c r="EE279" s="1115" t="n">
        <f aca="false">DU279*BF279</f>
        <v>0</v>
      </c>
      <c r="EF279" s="1115" t="n">
        <f aca="false">DV279*BG279</f>
        <v>0</v>
      </c>
      <c r="EG279" s="1115" t="n">
        <f aca="false">DS279*BD279+DT279*BE279+DU279*BF279+DV279*BG279</f>
        <v>0</v>
      </c>
      <c r="EH279" s="1116" t="n">
        <v>0</v>
      </c>
      <c r="EI279" s="1117" t="n">
        <v>0</v>
      </c>
      <c r="EJ279" s="1117" t="n">
        <v>0</v>
      </c>
      <c r="EK279" s="1117" t="n">
        <v>0</v>
      </c>
      <c r="EL279" s="1118" t="n">
        <f aca="false">IF(C279&gt;=Summary!$E$26,MAX(0,SUM(EH279:EK279)),0)</f>
        <v>0</v>
      </c>
      <c r="EM279" s="1115" t="n">
        <f aca="false">IF(C279&gt;=Summary!$E$26,DX279*BL279,0)</f>
        <v>0</v>
      </c>
      <c r="EN279" s="1115" t="n">
        <f aca="false">IF(C279&gt;=Summary!$E$26,DY279*BM279,0)</f>
        <v>0</v>
      </c>
      <c r="EO279" s="1115" t="n">
        <f aca="false">IF(C279&gt;=Summary!$E$26,DZ279*BN279,0)</f>
        <v>0</v>
      </c>
      <c r="EP279" s="1115" t="n">
        <f aca="false">IF(C279&gt;=Summary!$E$26,EA279*BO279,0)</f>
        <v>0</v>
      </c>
      <c r="EQ279" s="1115" t="n">
        <f aca="false">IF(C279&gt;=Summary!$E$26,DX279*BL279+DY279*BM279+DZ279*BN279+EA279*BO279,0)</f>
        <v>0</v>
      </c>
      <c r="ER279" s="1119" t="n">
        <v>0</v>
      </c>
      <c r="ES279" s="1120" t="n">
        <v>0</v>
      </c>
      <c r="ET279" s="1120" t="n">
        <v>0</v>
      </c>
      <c r="EU279" s="1120" t="n">
        <v>0</v>
      </c>
      <c r="EV279" s="1143" t="n">
        <f aca="false">IF(C279&gt;=Summary!$E$26,MAX(0,SUM(ER279:EU279)),0)</f>
        <v>0</v>
      </c>
      <c r="EW279" s="1115"/>
      <c r="EX279" s="1165" t="n">
        <f aca="false">(EQ279-EV279)+IF(EZ279="Yes",(EG279-EL279),0)</f>
        <v>0</v>
      </c>
      <c r="EY279" s="1166" t="str">
        <f aca="false">IF(EX279,EX279/EQ279,"")</f>
        <v/>
      </c>
      <c r="EZ279" s="1122" t="s">
        <v>37</v>
      </c>
      <c r="FA279" s="1096" t="n">
        <f aca="false">FA278</f>
        <v>45</v>
      </c>
      <c r="FB279" s="1167" t="e">
        <f aca="false">IF(EZ279="No",IF((OR(MONTH(C279)=5,MONTH(C279)=6,MONTH(C279)=7,MONTH(C279)=8,MONTH(C279)=9)),$FA279*12*AX279*(1-$BC279),$FA279*10*AX279*(1-$BC279)),0)</f>
        <v>#VALUE!</v>
      </c>
      <c r="FC279" s="1129" t="e">
        <f aca="false">IF(EZ279="No",IF((OR(MONTH(C279)=5,MONTH(C279)=6,MONTH(C279)=7,MONTH(C279)=8,MONTH(C279)=9)),0,$FA279*3*AX279*(1-$BC279)),0)</f>
        <v>#VALUE!</v>
      </c>
      <c r="FD279" s="1129" t="e">
        <f aca="false">IF(EZ279="No",IF((OR(MONTH(C279)=5,MONTH(C279)=6,MONTH(C279)=7,MONTH(C279)=8,MONTH(C279)=9)),$FA279*12*AY279*(1-$BC279),$FA279*10*AY279*(1-$BC279)),0)</f>
        <v>#VALUE!</v>
      </c>
      <c r="FE279" s="1129" t="e">
        <f aca="false">IF(EZ279="No",IF((OR(MONTH(C279)=5,MONTH(C279)=6,MONTH(C279)=7,MONTH(C279)=8,MONTH(C279)=9)),0,$FA279*3*AY279*(1-$BC279)),0)</f>
        <v>#VALUE!</v>
      </c>
      <c r="FF279" s="1129" t="e">
        <f aca="false">IF(EZ279="No",IF((OR(MONTH(C279)=5,MONTH(C279)=6,MONTH(C279)=7,MONTH(C279)=8,MONTH(C279)=9)),$FA279*12*(AZ279+BA279)*(1-$BC279),$FA279*10*(AZ279+BA279)*(1-$BC279)),0)</f>
        <v>#VALUE!</v>
      </c>
      <c r="FG279" s="1129" t="e">
        <f aca="false">IF(EZ279="No",IF((OR(MONTH(C279)=5,MONTH(C279)=6,MONTH(C279)=7,MONTH(C279)=8,MONTH(C279)=9)),0,$FA279*3*(AZ279+BA279)*(1-$BC279)),0)</f>
        <v>#VALUE!</v>
      </c>
      <c r="FH279" s="1170" t="e">
        <f aca="false">IF(EZ279="No",IF((OR(MONTH(C279)=5,MONTH(C279)=6,MONTH(C279)=7,MONTH(C279)=8,MONTH(C279)=9)),Summary!$O$15*12*(AX279+AY279+AZ279+BA279)*(1-$BC279),Summary!$O$15*13*(AX279+AY279+AZ279+BA279)*(1-$BC279)+IF(Summary!$O$16="Yes",(CALC!FA279+Summary!$O$15)*6*(AX279+AY279+AZ279+BA279)*(1-$BC279),0)),0)</f>
        <v>#VALUE!</v>
      </c>
      <c r="FI279" s="1126" t="n">
        <f aca="false">IF(MONTH(C279)=5,FI278*(IF(Summary!$E$70="no",(1+(Summary!$E$71*0.8)),1+HLOOKUP(YEAR(C279)-1,CCFMODEL!$I$127:$AF$128,2)*0.8)),+FI278)</f>
        <v>44.8252497008979</v>
      </c>
      <c r="FJ279" s="1127" t="n">
        <f aca="false">IF(MONTH(C279)=5,FJ278*(IF(Summary!$E$70="no",(1+(Summary!$E$71*0.8)),1+HLOOKUP(YEAR(CALC!C279)-1,CCFMODEL!$I$127:$AF$128,2)*0.8)),FJ278)</f>
        <v>39.1779741480288</v>
      </c>
      <c r="FK279" s="1128" t="e">
        <f aca="false">SUM(FB279:FG279)*FI279+FH279*FJ279</f>
        <v>#VALUE!</v>
      </c>
      <c r="FL279" s="1126" t="n">
        <f aca="false">IF(MONTH(C279)=5,FL278*(IF(Summary!$E$70="no",(1+(Summary!$E$71*0.8)),1+HLOOKUP(YEAR(CALC!C279)-1,CCFMODEL!$I$127:$AF$128,2)*0.8)),+FL278)</f>
        <v>94.2725255239355</v>
      </c>
      <c r="FM279" s="1127" t="n">
        <f aca="false">IF(MONTH(C279)=5,FM278*(IF(Summary!$E$70="no",(1+(Summary!$E$71*0.8)),1+HLOOKUP(YEAR(CALC!C279)-1,CCFMODEL!$I$127:$AF$128,2)*0.8)),+FM278)</f>
        <v>44.9933233780666</v>
      </c>
      <c r="FN279" s="1128" t="e">
        <f aca="false">IF((OR(MONTH(C279)=5,MONTH(C279)=6,MONTH(C279)=7,MONTH(C279)=8,MONTH(C279)=9)),SUM(FB279:FG279)/(1-BC279)*FL279,SUM(FB279:FG279)/(1-BC279)*FM279)</f>
        <v>#VALUE!</v>
      </c>
      <c r="FO279" s="1129" t="e">
        <f aca="false">FK279+FN279</f>
        <v>#VALUE!</v>
      </c>
      <c r="FP279" s="1169" t="e">
        <f aca="false">FB279</f>
        <v>#VALUE!</v>
      </c>
      <c r="FQ279" s="1129" t="e">
        <f aca="false">FC279</f>
        <v>#VALUE!</v>
      </c>
      <c r="FR279" s="1129" t="e">
        <f aca="false">FD279</f>
        <v>#VALUE!</v>
      </c>
      <c r="FS279" s="1129" t="e">
        <f aca="false">FE279</f>
        <v>#VALUE!</v>
      </c>
      <c r="FT279" s="1129" t="e">
        <f aca="false">FF279</f>
        <v>#VALUE!</v>
      </c>
      <c r="FU279" s="1129" t="e">
        <f aca="false">FG279</f>
        <v>#VALUE!</v>
      </c>
      <c r="FV279" s="1170" t="e">
        <f aca="false">FH279</f>
        <v>#VALUE!</v>
      </c>
      <c r="FW279" s="1115" t="n">
        <f aca="false">IF(ER279&gt;0,MIN(FB279-FP279,BL279),0)</f>
        <v>0</v>
      </c>
      <c r="FX279" s="1115" t="n">
        <f aca="false">IF(ES279&gt;0,MIN(FD279-FR279,BM279),0)</f>
        <v>0</v>
      </c>
      <c r="FY279" s="1115" t="n">
        <f aca="false">IF(ET279&gt;0,MIN(FF279-FT279,BN279),0)</f>
        <v>0</v>
      </c>
      <c r="FZ279" s="1143" t="n">
        <f aca="false">IF(EU279&gt;0,MIN(FH279-FV279,BO279),0)</f>
        <v>0</v>
      </c>
      <c r="GA279" s="1132" t="e">
        <f aca="false">(SUM(FP279:FV279)+SUM(GU279:HB279)/(1-Summary!$O$25))*CY279/1000</f>
        <v>#VALUE!</v>
      </c>
      <c r="GB279" s="1133" t="n">
        <f aca="false">IF($C279&lt;Summary!$M$81,+Summary!$O$81,VLOOKUP(C279,GasTable,19))</f>
        <v>4.61432828657116</v>
      </c>
      <c r="GC279" s="1134" t="n">
        <f aca="false">IF(H279&lt;=Summary!$N$84,MIN(GA279,Summary!$O$75*(H279-G279+1)),0)</f>
        <v>0</v>
      </c>
      <c r="GD279" s="1135" t="n">
        <f aca="false">IF(C279&lt;Summary!$N$84,IF(Summary!$O$75*(H279-G279+1)*0.8&gt;GC279,1,0),0)</f>
        <v>0</v>
      </c>
      <c r="GE279" s="1136" t="n">
        <v>0</v>
      </c>
      <c r="GF279" s="1134" t="e">
        <f aca="false">ABS(MIN(0,GC279-$GA279))</f>
        <v>#VALUE!</v>
      </c>
      <c r="GG279" s="1135" t="e">
        <f aca="false">GF279*(IF(Summary!$O$74=1,VLOOKUP($C279,GasTable,16)+Summary!$O$92+Summary!$O$93,VLOOKUP($C279,GasTable,19)+Summary!$O$92+Summary!$O$93))</f>
        <v>#VALUE!</v>
      </c>
      <c r="GH279" s="1137" t="n">
        <v>6921.49242985673</v>
      </c>
      <c r="GI279" s="1138" t="n">
        <v>0</v>
      </c>
      <c r="GJ279" s="1139" t="e">
        <f aca="false">+GB279*GC279+GE279+GG279+GH279-GI279</f>
        <v>#VALUE!</v>
      </c>
      <c r="GK279" s="1115" t="e">
        <f aca="false">SUM(FP279:FV279,GU279:GX279,GY279:HB279)</f>
        <v>#VALUE!</v>
      </c>
      <c r="GL279" s="1140" t="n">
        <v>0.52314927672</v>
      </c>
      <c r="GM279" s="1141" t="e">
        <f aca="false">IF(GK279&gt;GC279/(CY279/1000),GC279/(CY279/1000),+GK279)*GL279</f>
        <v>#VALUE!</v>
      </c>
      <c r="GN279" s="1115" t="n">
        <f aca="false">IF(SUM(GU279:HB279)=0,0,IF(Summary!$O$16="Yes",SUM(GX279:HB279),IF(Summary!$O$17="Yes",SUM(GY279:HB279),SUM(GU279:HB279))))</f>
        <v>11805.5205</v>
      </c>
      <c r="GO279" s="1142" t="n">
        <v>4.42661845915648</v>
      </c>
      <c r="GP279" s="1143" t="n">
        <f aca="false">GN279*GO279</f>
        <v>52258.5349652502</v>
      </c>
      <c r="GQ279" s="1115"/>
      <c r="GR279" s="1115"/>
      <c r="GS279" s="1115"/>
      <c r="GT279" s="1115"/>
      <c r="GU279" s="1150" t="n">
        <v>5389.47675</v>
      </c>
      <c r="GV279" s="1115" t="n">
        <v>1026.567</v>
      </c>
      <c r="GW279" s="1115" t="n">
        <v>1283.20875</v>
      </c>
      <c r="GX279" s="1115"/>
      <c r="GY279" s="1151" t="n">
        <v>2874.3876</v>
      </c>
      <c r="GZ279" s="1115" t="n">
        <v>547.5024</v>
      </c>
      <c r="HA279" s="1115" t="n">
        <v>684.378</v>
      </c>
      <c r="HB279" s="1141"/>
      <c r="HC279" s="1115" t="n">
        <v>11805.5205</v>
      </c>
      <c r="HD279" s="1115"/>
      <c r="HE279" s="1115" t="n">
        <v>20274.69825</v>
      </c>
      <c r="HF279" s="1115" t="n">
        <v>726216.654471014</v>
      </c>
      <c r="HG279" s="1115"/>
      <c r="HH279" s="1142" t="n">
        <v>61.1528820732165</v>
      </c>
      <c r="HI279" s="1115" t="n">
        <v>1239856.2311523</v>
      </c>
      <c r="HJ279" s="1150" t="e">
        <f aca="false">MAX(FB279-FP279-FW279,0)</f>
        <v>#VALUE!</v>
      </c>
      <c r="HK279" s="1115" t="e">
        <f aca="false">MAX(FD279-FR279-FX279,0)</f>
        <v>#VALUE!</v>
      </c>
      <c r="HL279" s="1115" t="e">
        <f aca="false">MAX(FF279-FT279-FY279,0)</f>
        <v>#VALUE!</v>
      </c>
      <c r="HM279" s="1141" t="e">
        <f aca="false">MAX(FH279-FV279-FZ279,0)</f>
        <v>#VALUE!</v>
      </c>
      <c r="HN279" s="1115" t="e">
        <f aca="false">SUM(HJ279:HM279)</f>
        <v>#VALUE!</v>
      </c>
      <c r="HO279" s="1142" t="n">
        <f aca="false">IF(ISERROR(+HP279/HN279),0,+HP279/HN279)</f>
        <v>0</v>
      </c>
      <c r="HP279" s="1143" t="e">
        <f aca="false">(HJ279*CE279+HK279*CF279+HL279*CG279+HM279*CH279)</f>
        <v>#VALUE!</v>
      </c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1142"/>
      <c r="IE279" s="1142"/>
      <c r="IF279" s="1142"/>
      <c r="IG279" s="1142"/>
      <c r="IH279" s="1142"/>
      <c r="II279" s="1142"/>
      <c r="IJ279" s="1142"/>
      <c r="IK279" s="1142"/>
      <c r="IL279" s="1190"/>
      <c r="IM279" s="222"/>
      <c r="IN279" s="222"/>
      <c r="IR279" s="844"/>
    </row>
    <row r="280" customFormat="false" ht="13.5" hidden="false" customHeight="false" outlineLevel="0" collapsed="false">
      <c r="A280" s="0" t="str">
        <f aca="false">+D280&amp;"Q"&amp;ROUNDUP(E280/3,0)</f>
        <v>2021Q4</v>
      </c>
      <c r="B280" s="0" t="n">
        <f aca="false">YEAR(C280)</f>
        <v>2021</v>
      </c>
      <c r="C280" s="1153" t="n">
        <f aca="false">EOMONTH(C279,0)+1</f>
        <v>44531</v>
      </c>
      <c r="D280" s="841" t="n">
        <f aca="false">+YEAR(C280)</f>
        <v>2021</v>
      </c>
      <c r="E280" s="807" t="n">
        <f aca="false">MONTH(C280)</f>
        <v>12</v>
      </c>
      <c r="F280" s="1154" t="e">
        <f aca="false">IF(G280="","",Holiday(D280,E280))</f>
        <v>#VALUE!</v>
      </c>
      <c r="G280" s="1155" t="n">
        <v>44531</v>
      </c>
      <c r="H280" s="1156" t="n">
        <v>44561</v>
      </c>
      <c r="I280" s="1157" t="n">
        <f aca="false">I279</f>
        <v>0.0715</v>
      </c>
      <c r="J280" s="1158" t="n">
        <f aca="false">(1+I280/2)^(-2*(DATE(D281,E281,20)-$H$7)/365.25)</f>
        <v>0.211706237195165</v>
      </c>
      <c r="K280" s="1159"/>
      <c r="L280" s="1158"/>
      <c r="M280" s="1082" t="n">
        <v>0</v>
      </c>
      <c r="N280" s="1110" t="n">
        <f aca="false">M280</f>
        <v>0</v>
      </c>
      <c r="O280" s="1174" t="n">
        <f aca="false">N280</f>
        <v>0</v>
      </c>
      <c r="P280" s="1175" t="n">
        <f aca="false">M280</f>
        <v>0</v>
      </c>
      <c r="Q280" s="1110" t="n">
        <f aca="false">P280</f>
        <v>0</v>
      </c>
      <c r="R280" s="1174" t="n">
        <f aca="false">Q280</f>
        <v>0</v>
      </c>
      <c r="S280" s="1110" t="n">
        <f aca="false">R280</f>
        <v>0</v>
      </c>
      <c r="T280" s="1110" t="n">
        <f aca="false">S280</f>
        <v>0</v>
      </c>
      <c r="U280" s="1110" t="n">
        <f aca="false">T280</f>
        <v>0</v>
      </c>
      <c r="V280" s="1175" t="n">
        <f aca="false">U280</f>
        <v>0</v>
      </c>
      <c r="W280" s="1110" t="n">
        <f aca="false">V280</f>
        <v>0</v>
      </c>
      <c r="X280" s="1176" t="n">
        <f aca="false">W280</f>
        <v>0</v>
      </c>
      <c r="Y280" s="1086" t="n">
        <v>0</v>
      </c>
      <c r="Z280" s="1086" t="n">
        <v>0</v>
      </c>
      <c r="AA280" s="1087" t="n">
        <v>0</v>
      </c>
      <c r="AB280" s="1086" t="n">
        <v>0</v>
      </c>
      <c r="AC280" s="1086" t="n">
        <v>0</v>
      </c>
      <c r="AD280" s="1087" t="n">
        <v>0</v>
      </c>
      <c r="AE280" s="1086" t="n">
        <v>0</v>
      </c>
      <c r="AF280" s="1086" t="n">
        <v>0</v>
      </c>
      <c r="AG280" s="1087" t="n">
        <v>0</v>
      </c>
      <c r="AH280" s="1086" t="n">
        <v>0</v>
      </c>
      <c r="AI280" s="1086" t="n">
        <v>0</v>
      </c>
      <c r="AJ280" s="1087" t="n">
        <v>0</v>
      </c>
      <c r="AK280" s="1086" t="n">
        <v>0</v>
      </c>
      <c r="AL280" s="1086" t="n">
        <v>0</v>
      </c>
      <c r="AM280" s="1087" t="n">
        <v>0</v>
      </c>
      <c r="AN280" s="1086" t="n">
        <v>0</v>
      </c>
      <c r="AO280" s="1086" t="n">
        <v>0</v>
      </c>
      <c r="AP280" s="1087" t="n">
        <v>0</v>
      </c>
      <c r="AQ280" s="1086" t="n">
        <v>0</v>
      </c>
      <c r="AR280" s="1086" t="n">
        <v>0</v>
      </c>
      <c r="AS280" s="1087" t="n">
        <v>0</v>
      </c>
      <c r="AT280" s="1086" t="n">
        <v>0</v>
      </c>
      <c r="AU280" s="1086" t="n">
        <v>0</v>
      </c>
      <c r="AV280" s="1086" t="n">
        <v>0</v>
      </c>
      <c r="AW280" s="1172" t="n">
        <v>0</v>
      </c>
      <c r="AX280" s="807" t="e">
        <f aca="false">BB280-SUM(AY280:BA280)</f>
        <v>#VALUE!</v>
      </c>
      <c r="AY280" s="807" t="e">
        <f aca="false">IF(AND($E280=MONTH(Summary!$E$24),$D280=YEAR(Summary!$E$24)),Summary!$E$25,1)*IF(G280="",0,INT((H280-MOD(H280,7)-G280)/7)+1-IF(BA280,IF(WEEKDAY(F280)=7,1,0),0))</f>
        <v>#VALUE!</v>
      </c>
      <c r="AZ280" s="807" t="e">
        <f aca="false">IF(AND($E280=MONTH(Summary!$E$24),$D280=YEAR(Summary!$E$24)),Summary!$E$25,1)*IF(G280="",0,INT((H280-MOD(H280-1,7)-G280)/7)+1-IF(BA280,IF(WEEKDAY(F280)=1,1,0),0))</f>
        <v>#VALUE!</v>
      </c>
      <c r="BA280" s="807" t="n">
        <v>1</v>
      </c>
      <c r="BB280" s="807" t="n">
        <f aca="false">IF(AND($E280=MONTH(Summary!$E$24),$D280=YEAR(Summary!$E$24)),Summary!$E$25,1)*IF(G280="",0,H280-G280+1)</f>
        <v>31</v>
      </c>
      <c r="BC280" s="1089" t="n">
        <f aca="false">Summary!$E$19</f>
        <v>0.015</v>
      </c>
      <c r="BD280" s="1090" t="n">
        <v>16311.6</v>
      </c>
      <c r="BE280" s="1091" t="n">
        <v>2127.6</v>
      </c>
      <c r="BF280" s="1091" t="n">
        <v>3546</v>
      </c>
      <c r="BG280" s="842"/>
      <c r="BH280" s="1092" t="n">
        <v>1</v>
      </c>
      <c r="BI280" s="1092" t="n">
        <v>1</v>
      </c>
      <c r="BJ280" s="1092" t="n">
        <v>1</v>
      </c>
      <c r="BK280" s="1092" t="n">
        <v>1</v>
      </c>
      <c r="BL280" s="1093" t="n">
        <v>3262.32</v>
      </c>
      <c r="BM280" s="1091" t="n">
        <v>425.52</v>
      </c>
      <c r="BN280" s="1091" t="n">
        <v>709.2</v>
      </c>
      <c r="BO280" s="842"/>
      <c r="BP280" s="1092" t="n">
        <v>1</v>
      </c>
      <c r="BQ280" s="1094" t="n">
        <v>1</v>
      </c>
      <c r="BR280" s="1094" t="n">
        <v>1</v>
      </c>
      <c r="BS280" s="1095" t="n">
        <v>1</v>
      </c>
      <c r="BT280" s="1093" t="n">
        <f aca="false">SUM(BD280:BF280)</f>
        <v>21985.2</v>
      </c>
      <c r="BU280" s="1098" t="n">
        <f aca="false">SUM(BD280:BG280)</f>
        <v>21985.2</v>
      </c>
      <c r="BV280" s="1090" t="n">
        <f aca="false">SUM(BL280:BN280)</f>
        <v>4397.04</v>
      </c>
      <c r="BW280" s="1098" t="n">
        <f aca="false">SUM(BL280:BO280)</f>
        <v>4397.04</v>
      </c>
      <c r="BX280" s="852" t="n">
        <v>21.9630390143737</v>
      </c>
      <c r="BY280" s="1099" t="n">
        <v>0</v>
      </c>
      <c r="BZ280" s="852" t="n">
        <v>0</v>
      </c>
      <c r="CA280" s="852" t="n">
        <v>0</v>
      </c>
      <c r="CB280" s="852" t="n">
        <v>0</v>
      </c>
      <c r="CC280" s="852" t="n">
        <v>0</v>
      </c>
      <c r="CD280" s="852" t="n">
        <v>0</v>
      </c>
      <c r="CE280" s="1100" t="n">
        <v>0</v>
      </c>
      <c r="CF280" s="852" t="n">
        <v>0</v>
      </c>
      <c r="CG280" s="852" t="n">
        <v>0</v>
      </c>
      <c r="CH280" s="852" t="n">
        <v>0</v>
      </c>
      <c r="CI280" s="852" t="n">
        <v>0</v>
      </c>
      <c r="CJ280" s="1101" t="n">
        <v>0</v>
      </c>
      <c r="CK280" s="852" t="n">
        <v>0</v>
      </c>
      <c r="CL280" s="852" t="n">
        <v>0</v>
      </c>
      <c r="CM280" s="852" t="n">
        <v>0</v>
      </c>
      <c r="CN280" s="852" t="n">
        <v>0</v>
      </c>
      <c r="CO280" s="852" t="n">
        <v>0</v>
      </c>
      <c r="CP280" s="852" t="n">
        <v>0</v>
      </c>
      <c r="CQ280" s="1102" t="n">
        <v>0</v>
      </c>
      <c r="CR280" s="1103" t="n">
        <v>0</v>
      </c>
      <c r="CS280" s="1103" t="n">
        <v>0</v>
      </c>
      <c r="CT280" s="1103" t="n">
        <v>0</v>
      </c>
      <c r="CU280" s="1103" t="n">
        <v>0</v>
      </c>
      <c r="CV280" s="1103" t="n">
        <v>0</v>
      </c>
      <c r="CW280" s="1103" t="n">
        <v>0</v>
      </c>
      <c r="CX280" s="1104" t="n">
        <v>0</v>
      </c>
      <c r="CY280" s="1105" t="n">
        <v>7810.22912</v>
      </c>
      <c r="CZ280" s="1099" t="n">
        <v>0</v>
      </c>
      <c r="DA280" s="852" t="n">
        <v>0</v>
      </c>
      <c r="DB280" s="852" t="n">
        <v>0</v>
      </c>
      <c r="DC280" s="852" t="n">
        <v>0</v>
      </c>
      <c r="DD280" s="852" t="n">
        <v>0</v>
      </c>
      <c r="DE280" s="1113" t="n">
        <v>0</v>
      </c>
      <c r="DF280" s="1109" t="n">
        <v>0</v>
      </c>
      <c r="DG280" s="1110" t="n">
        <v>0</v>
      </c>
      <c r="DH280" s="1111" t="n">
        <v>0</v>
      </c>
      <c r="DI280" s="1112" t="n">
        <v>0</v>
      </c>
      <c r="DJ280" s="1112" t="n">
        <v>0</v>
      </c>
      <c r="DK280" s="1112" t="n">
        <v>0</v>
      </c>
      <c r="DL280" s="1113" t="n">
        <v>0</v>
      </c>
      <c r="DM280" s="1114" t="n">
        <v>0</v>
      </c>
      <c r="DN280" s="1114" t="n">
        <v>0</v>
      </c>
      <c r="DO280" s="1114" t="n">
        <v>0</v>
      </c>
      <c r="DP280" s="1114" t="n">
        <v>0</v>
      </c>
      <c r="DQ280" s="1114" t="n">
        <v>0</v>
      </c>
      <c r="DR280" s="1109" t="n">
        <v>0</v>
      </c>
      <c r="DS280" s="852" t="n">
        <v>0</v>
      </c>
      <c r="DT280" s="852" t="n">
        <v>0</v>
      </c>
      <c r="DU280" s="852" t="n">
        <v>0</v>
      </c>
      <c r="DV280" s="852" t="n">
        <v>0</v>
      </c>
      <c r="DW280" s="852" t="n">
        <v>0</v>
      </c>
      <c r="DX280" s="852" t="n">
        <v>0</v>
      </c>
      <c r="DY280" s="852" t="n">
        <v>0</v>
      </c>
      <c r="DZ280" s="852" t="n">
        <v>0</v>
      </c>
      <c r="EA280" s="852" t="n">
        <v>0</v>
      </c>
      <c r="EB280" s="1113" t="n">
        <v>0</v>
      </c>
      <c r="EC280" s="1115" t="n">
        <f aca="false">DS280*BD280</f>
        <v>0</v>
      </c>
      <c r="ED280" s="1115" t="n">
        <f aca="false">DT280*BE280</f>
        <v>0</v>
      </c>
      <c r="EE280" s="1115" t="n">
        <f aca="false">DU280*BF280</f>
        <v>0</v>
      </c>
      <c r="EF280" s="1115" t="n">
        <f aca="false">DV280*BG280</f>
        <v>0</v>
      </c>
      <c r="EG280" s="1115" t="n">
        <f aca="false">DS280*BD280+DT280*BE280+DU280*BF280+DV280*BG280</f>
        <v>0</v>
      </c>
      <c r="EH280" s="1116" t="n">
        <v>0</v>
      </c>
      <c r="EI280" s="1117" t="n">
        <v>0</v>
      </c>
      <c r="EJ280" s="1117" t="n">
        <v>0</v>
      </c>
      <c r="EK280" s="1117" t="n">
        <v>0</v>
      </c>
      <c r="EL280" s="1118" t="n">
        <f aca="false">IF(C280&gt;=Summary!$E$26,MAX(0,SUM(EH280:EK280)),0)</f>
        <v>0</v>
      </c>
      <c r="EM280" s="1115" t="n">
        <f aca="false">IF(C280&gt;=Summary!$E$26,DX280*BL280,0)</f>
        <v>0</v>
      </c>
      <c r="EN280" s="1115" t="n">
        <f aca="false">IF(C280&gt;=Summary!$E$26,DY280*BM280,0)</f>
        <v>0</v>
      </c>
      <c r="EO280" s="1115" t="n">
        <f aca="false">IF(C280&gt;=Summary!$E$26,DZ280*BN280,0)</f>
        <v>0</v>
      </c>
      <c r="EP280" s="1115" t="n">
        <f aca="false">IF(C280&gt;=Summary!$E$26,EA280*BO280,0)</f>
        <v>0</v>
      </c>
      <c r="EQ280" s="1115" t="n">
        <f aca="false">IF(C280&gt;=Summary!$E$26,DX280*BL280+DY280*BM280+DZ280*BN280+EA280*BO280,0)</f>
        <v>0</v>
      </c>
      <c r="ER280" s="1119" t="n">
        <v>0</v>
      </c>
      <c r="ES280" s="1120" t="n">
        <v>0</v>
      </c>
      <c r="ET280" s="1120" t="n">
        <v>0</v>
      </c>
      <c r="EU280" s="1120" t="n">
        <v>0</v>
      </c>
      <c r="EV280" s="1143" t="n">
        <f aca="false">IF(C280&gt;=Summary!$E$26,MAX(0,SUM(ER280:EU280)),0)</f>
        <v>0</v>
      </c>
      <c r="EW280" s="1115"/>
      <c r="EX280" s="1165" t="n">
        <f aca="false">(EQ280-EV280)+IF(EZ280="Yes",(EG280-EL280),0)</f>
        <v>0</v>
      </c>
      <c r="EY280" s="1166" t="str">
        <f aca="false">IF(EX280,EX280/EQ280,"")</f>
        <v/>
      </c>
      <c r="EZ280" s="1122" t="s">
        <v>37</v>
      </c>
      <c r="FA280" s="1096" t="n">
        <f aca="false">FA279</f>
        <v>45</v>
      </c>
      <c r="FB280" s="1167" t="e">
        <f aca="false">IF(EZ280="No",IF((OR(MONTH(C280)=5,MONTH(C280)=6,MONTH(C280)=7,MONTH(C280)=8,MONTH(C280)=9)),$FA280*12*AX280*(1-$BC280),$FA280*10*AX280*(1-$BC280)),0)</f>
        <v>#VALUE!</v>
      </c>
      <c r="FC280" s="1129" t="e">
        <f aca="false">IF(EZ280="No",IF((OR(MONTH(C280)=5,MONTH(C280)=6,MONTH(C280)=7,MONTH(C280)=8,MONTH(C280)=9)),0,$FA280*3*AX280*(1-$BC280)),0)</f>
        <v>#VALUE!</v>
      </c>
      <c r="FD280" s="1129" t="e">
        <f aca="false">IF(EZ280="No",IF((OR(MONTH(C280)=5,MONTH(C280)=6,MONTH(C280)=7,MONTH(C280)=8,MONTH(C280)=9)),$FA280*12*AY280*(1-$BC280),$FA280*10*AY280*(1-$BC280)),0)</f>
        <v>#VALUE!</v>
      </c>
      <c r="FE280" s="1129" t="e">
        <f aca="false">IF(EZ280="No",IF((OR(MONTH(C280)=5,MONTH(C280)=6,MONTH(C280)=7,MONTH(C280)=8,MONTH(C280)=9)),0,$FA280*3*AY280*(1-$BC280)),0)</f>
        <v>#VALUE!</v>
      </c>
      <c r="FF280" s="1129" t="e">
        <f aca="false">IF(EZ280="No",IF((OR(MONTH(C280)=5,MONTH(C280)=6,MONTH(C280)=7,MONTH(C280)=8,MONTH(C280)=9)),$FA280*12*(AZ280+BA280)*(1-$BC280),$FA280*10*(AZ280+BA280)*(1-$BC280)),0)</f>
        <v>#VALUE!</v>
      </c>
      <c r="FG280" s="1129" t="e">
        <f aca="false">IF(EZ280="No",IF((OR(MONTH(C280)=5,MONTH(C280)=6,MONTH(C280)=7,MONTH(C280)=8,MONTH(C280)=9)),0,$FA280*3*(AZ280+BA280)*(1-$BC280)),0)</f>
        <v>#VALUE!</v>
      </c>
      <c r="FH280" s="1170" t="e">
        <f aca="false">IF(EZ280="No",IF((OR(MONTH(C280)=5,MONTH(C280)=6,MONTH(C280)=7,MONTH(C280)=8,MONTH(C280)=9)),Summary!$O$15*12*(AX280+AY280+AZ280+BA280)*(1-$BC280),Summary!$O$15*13*(AX280+AY280+AZ280+BA280)*(1-$BC280)+IF(Summary!$O$16="Yes",(CALC!FA280+Summary!$O$15)*6*(AX280+AY280+AZ280+BA280)*(1-$BC280),0)),0)</f>
        <v>#VALUE!</v>
      </c>
      <c r="FI280" s="1126" t="n">
        <f aca="false">IF(MONTH(C280)=5,FI279*(IF(Summary!$E$70="no",(1+(Summary!$E$71*0.8)),1+HLOOKUP(YEAR(C280)-1,CCFMODEL!$I$127:$AF$128,2)*0.8)),+FI279)</f>
        <v>44.8252497008979</v>
      </c>
      <c r="FJ280" s="1127" t="n">
        <f aca="false">IF(MONTH(C280)=5,FJ279*(IF(Summary!$E$70="no",(1+(Summary!$E$71*0.8)),1+HLOOKUP(YEAR(CALC!C280)-1,CCFMODEL!$I$127:$AF$128,2)*0.8)),FJ279)</f>
        <v>39.1779741480288</v>
      </c>
      <c r="FK280" s="1128" t="e">
        <f aca="false">SUM(FB280:FG280)*FI280+FH280*FJ280</f>
        <v>#VALUE!</v>
      </c>
      <c r="FL280" s="1126" t="n">
        <f aca="false">IF(MONTH(C280)=5,FL279*(IF(Summary!$E$70="no",(1+(Summary!$E$71*0.8)),1+HLOOKUP(YEAR(CALC!C280)-1,CCFMODEL!$I$127:$AF$128,2)*0.8)),+FL279)</f>
        <v>94.2725255239355</v>
      </c>
      <c r="FM280" s="1127" t="n">
        <f aca="false">IF(MONTH(C280)=5,FM279*(IF(Summary!$E$70="no",(1+(Summary!$E$71*0.8)),1+HLOOKUP(YEAR(CALC!C280)-1,CCFMODEL!$I$127:$AF$128,2)*0.8)),+FM279)</f>
        <v>44.9933233780666</v>
      </c>
      <c r="FN280" s="1128" t="e">
        <f aca="false">IF((OR(MONTH(C280)=5,MONTH(C280)=6,MONTH(C280)=7,MONTH(C280)=8,MONTH(C280)=9)),SUM(FB280:FG280)/(1-BC280)*FL280,SUM(FB280:FG280)/(1-BC280)*FM280)</f>
        <v>#VALUE!</v>
      </c>
      <c r="FO280" s="1129" t="e">
        <f aca="false">FK280+FN280</f>
        <v>#VALUE!</v>
      </c>
      <c r="FP280" s="1169" t="e">
        <f aca="false">FB280</f>
        <v>#VALUE!</v>
      </c>
      <c r="FQ280" s="1129" t="e">
        <f aca="false">FC280</f>
        <v>#VALUE!</v>
      </c>
      <c r="FR280" s="1129" t="e">
        <f aca="false">FD280</f>
        <v>#VALUE!</v>
      </c>
      <c r="FS280" s="1129" t="e">
        <f aca="false">FE280</f>
        <v>#VALUE!</v>
      </c>
      <c r="FT280" s="1129" t="e">
        <f aca="false">FF280</f>
        <v>#VALUE!</v>
      </c>
      <c r="FU280" s="1129" t="e">
        <f aca="false">FG280</f>
        <v>#VALUE!</v>
      </c>
      <c r="FV280" s="1170" t="e">
        <f aca="false">FH280</f>
        <v>#VALUE!</v>
      </c>
      <c r="FW280" s="1115" t="n">
        <f aca="false">IF(ER280&gt;0,MIN(FB280-FP280,BL280),0)</f>
        <v>0</v>
      </c>
      <c r="FX280" s="1115" t="n">
        <f aca="false">IF(ES280&gt;0,MIN(FD280-FR280,BM280),0)</f>
        <v>0</v>
      </c>
      <c r="FY280" s="1115" t="n">
        <f aca="false">IF(ET280&gt;0,MIN(FF280-FT280,BN280),0)</f>
        <v>0</v>
      </c>
      <c r="FZ280" s="1143" t="n">
        <f aca="false">IF(EU280&gt;0,MIN(FH280-FV280,BO280),0)</f>
        <v>0</v>
      </c>
      <c r="GA280" s="1132" t="e">
        <f aca="false">(SUM(FP280:FV280)+SUM(GU280:HB280)/(1-Summary!$O$25))*CY280/1000</f>
        <v>#VALUE!</v>
      </c>
      <c r="GB280" s="1133" t="n">
        <f aca="false">IF($C280&lt;Summary!$M$81,+Summary!$O$81,VLOOKUP(C280,GasTable,19))</f>
        <v>4.81059920760735</v>
      </c>
      <c r="GC280" s="1134" t="n">
        <f aca="false">IF(H280&lt;=Summary!$N$84,MIN(GA280,Summary!$O$75*(H280-G280+1)),0)</f>
        <v>0</v>
      </c>
      <c r="GD280" s="1135" t="n">
        <f aca="false">IF(C280&lt;Summary!$N$84,IF(Summary!$O$75*(H280-G280+1)*0.8&gt;GC280,1,0),0)</f>
        <v>0</v>
      </c>
      <c r="GE280" s="1136" t="n">
        <v>0</v>
      </c>
      <c r="GF280" s="1134" t="e">
        <f aca="false">ABS(MIN(0,GC280-$GA280))</f>
        <v>#VALUE!</v>
      </c>
      <c r="GG280" s="1135" t="e">
        <f aca="false">GF280*(IF(Summary!$O$74=1,VLOOKUP($C280,GasTable,16)+Summary!$O$92+Summary!$O$93,VLOOKUP($C280,GasTable,19)+Summary!$O$92+Summary!$O$93))</f>
        <v>#VALUE!</v>
      </c>
      <c r="GH280" s="1137" t="n">
        <v>7456.4287717914</v>
      </c>
      <c r="GI280" s="1138" t="n">
        <v>0</v>
      </c>
      <c r="GJ280" s="1139" t="e">
        <f aca="false">+GB280*GC280+GE280+GG280+GH280-GI280</f>
        <v>#VALUE!</v>
      </c>
      <c r="GK280" s="1115" t="e">
        <f aca="false">SUM(FP280:FV280,GU280:GX280,GY280:HB280)</f>
        <v>#VALUE!</v>
      </c>
      <c r="GL280" s="1140" t="n">
        <v>0.52328535104</v>
      </c>
      <c r="GM280" s="1141" t="e">
        <f aca="false">IF(GK280&gt;GC280/(CY280/1000),GC280/(CY280/1000),+GK280)*GL280</f>
        <v>#VALUE!</v>
      </c>
      <c r="GN280" s="1115" t="n">
        <f aca="false">IF(SUM(GU280:HB280)=0,0,IF(Summary!$O$16="Yes",SUM(GX280:HB280),IF(Summary!$O$17="Yes",SUM(GY280:HB280),SUM(GU280:HB280))))</f>
        <v>12199.03785</v>
      </c>
      <c r="GO280" s="1142" t="n">
        <v>4.42661845915648</v>
      </c>
      <c r="GP280" s="1143" t="n">
        <f aca="false">GN280*GO280</f>
        <v>54000.4861307586</v>
      </c>
      <c r="GQ280" s="1115"/>
      <c r="GR280" s="1115"/>
      <c r="GS280" s="1115"/>
      <c r="GT280" s="1115"/>
      <c r="GU280" s="1150" t="n">
        <v>5902.76025</v>
      </c>
      <c r="GV280" s="1115" t="n">
        <v>769.92525</v>
      </c>
      <c r="GW280" s="1115" t="n">
        <v>1283.20875</v>
      </c>
      <c r="GX280" s="1115"/>
      <c r="GY280" s="1151" t="n">
        <v>3148.1388</v>
      </c>
      <c r="GZ280" s="1115" t="n">
        <v>410.6268</v>
      </c>
      <c r="HA280" s="1115" t="n">
        <v>684.378</v>
      </c>
      <c r="HB280" s="1141"/>
      <c r="HC280" s="1115" t="n">
        <v>12199.03785</v>
      </c>
      <c r="HD280" s="1115"/>
      <c r="HE280" s="1115" t="n">
        <v>20950.521525</v>
      </c>
      <c r="HF280" s="1115" t="n">
        <v>775696.549501068</v>
      </c>
      <c r="HG280" s="1115"/>
      <c r="HH280" s="1142" t="n">
        <v>63.1763895445183</v>
      </c>
      <c r="HI280" s="1115" t="n">
        <v>1323578.30902422</v>
      </c>
      <c r="HJ280" s="1150" t="e">
        <f aca="false">MAX(FB280-FP280-FW280,0)</f>
        <v>#VALUE!</v>
      </c>
      <c r="HK280" s="1115" t="e">
        <f aca="false">MAX(FD280-FR280-FX280,0)</f>
        <v>#VALUE!</v>
      </c>
      <c r="HL280" s="1115" t="e">
        <f aca="false">MAX(FF280-FT280-FY280,0)</f>
        <v>#VALUE!</v>
      </c>
      <c r="HM280" s="1141" t="e">
        <f aca="false">MAX(FH280-FV280-FZ280,0)</f>
        <v>#VALUE!</v>
      </c>
      <c r="HN280" s="1115" t="e">
        <f aca="false">SUM(HJ280:HM280)</f>
        <v>#VALUE!</v>
      </c>
      <c r="HO280" s="1142" t="n">
        <f aca="false">IF(ISERROR(+HP280/HN280),0,+HP280/HN280)</f>
        <v>0</v>
      </c>
      <c r="HP280" s="1143" t="e">
        <f aca="false">(HJ280*CE280+HK280*CF280+HL280*CG280+HM280*CH280)</f>
        <v>#VALUE!</v>
      </c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1142"/>
      <c r="IE280" s="1142"/>
      <c r="IF280" s="1142"/>
      <c r="IG280" s="1142"/>
      <c r="IH280" s="1142"/>
      <c r="II280" s="1142"/>
      <c r="IJ280" s="1142"/>
      <c r="IK280" s="1142"/>
      <c r="IL280" s="1190"/>
      <c r="IM280" s="222"/>
      <c r="IN280" s="222"/>
      <c r="IR280" s="844"/>
    </row>
    <row r="281" customFormat="false" ht="13.5" hidden="false" customHeight="false" outlineLevel="0" collapsed="false">
      <c r="A281" s="0" t="str">
        <f aca="false">+D281&amp;"Q"&amp;ROUNDUP(E281/3,0)</f>
        <v>2022Q1</v>
      </c>
      <c r="B281" s="0" t="n">
        <f aca="false">YEAR(C281)</f>
        <v>2022</v>
      </c>
      <c r="C281" s="1153" t="n">
        <f aca="false">EOMONTH(C280,0)+1</f>
        <v>44562</v>
      </c>
      <c r="D281" s="841" t="n">
        <f aca="false">+YEAR(C281)</f>
        <v>2022</v>
      </c>
      <c r="E281" s="807" t="n">
        <f aca="false">MONTH(C281)</f>
        <v>1</v>
      </c>
      <c r="F281" s="1154" t="e">
        <f aca="false">IF(G281="","",Holiday(D281,E281))</f>
        <v>#VALUE!</v>
      </c>
      <c r="G281" s="1155" t="n">
        <v>44562</v>
      </c>
      <c r="H281" s="1156" t="n">
        <v>44592</v>
      </c>
      <c r="I281" s="1157" t="n">
        <f aca="false">I280</f>
        <v>0.0715</v>
      </c>
      <c r="J281" s="1158" t="n">
        <f aca="false">(1+I281/2)^(-2*(DATE(D282,E282,20)-$H$7)/365.25)</f>
        <v>0.210447696475282</v>
      </c>
      <c r="K281" s="1159"/>
      <c r="L281" s="1158"/>
      <c r="M281" s="1082" t="n">
        <v>0</v>
      </c>
      <c r="N281" s="1110" t="n">
        <f aca="false">M281</f>
        <v>0</v>
      </c>
      <c r="O281" s="1174" t="n">
        <f aca="false">N281</f>
        <v>0</v>
      </c>
      <c r="P281" s="1175" t="n">
        <f aca="false">M281</f>
        <v>0</v>
      </c>
      <c r="Q281" s="1110" t="n">
        <f aca="false">P281</f>
        <v>0</v>
      </c>
      <c r="R281" s="1174" t="n">
        <f aca="false">Q281</f>
        <v>0</v>
      </c>
      <c r="S281" s="1110" t="n">
        <f aca="false">R281</f>
        <v>0</v>
      </c>
      <c r="T281" s="1110" t="n">
        <f aca="false">S281</f>
        <v>0</v>
      </c>
      <c r="U281" s="1110" t="n">
        <f aca="false">T281</f>
        <v>0</v>
      </c>
      <c r="V281" s="1175" t="n">
        <f aca="false">U281</f>
        <v>0</v>
      </c>
      <c r="W281" s="1110" t="n">
        <f aca="false">V281</f>
        <v>0</v>
      </c>
      <c r="X281" s="1176" t="n">
        <f aca="false">W281</f>
        <v>0</v>
      </c>
      <c r="Y281" s="1086" t="n">
        <v>0</v>
      </c>
      <c r="Z281" s="1086" t="n">
        <v>0</v>
      </c>
      <c r="AA281" s="1087" t="n">
        <v>0</v>
      </c>
      <c r="AB281" s="1086" t="n">
        <v>0</v>
      </c>
      <c r="AC281" s="1086" t="n">
        <v>0</v>
      </c>
      <c r="AD281" s="1087" t="n">
        <v>0</v>
      </c>
      <c r="AE281" s="1086" t="n">
        <v>0</v>
      </c>
      <c r="AF281" s="1086" t="n">
        <v>0</v>
      </c>
      <c r="AG281" s="1087" t="n">
        <v>0</v>
      </c>
      <c r="AH281" s="1086" t="n">
        <v>0</v>
      </c>
      <c r="AI281" s="1086" t="n">
        <v>0</v>
      </c>
      <c r="AJ281" s="1087" t="n">
        <v>0</v>
      </c>
      <c r="AK281" s="1086" t="n">
        <v>0</v>
      </c>
      <c r="AL281" s="1086" t="n">
        <v>0</v>
      </c>
      <c r="AM281" s="1087" t="n">
        <v>0</v>
      </c>
      <c r="AN281" s="1086" t="n">
        <v>0</v>
      </c>
      <c r="AO281" s="1086" t="n">
        <v>0</v>
      </c>
      <c r="AP281" s="1087" t="n">
        <v>0</v>
      </c>
      <c r="AQ281" s="1086" t="n">
        <v>0</v>
      </c>
      <c r="AR281" s="1086" t="n">
        <v>0</v>
      </c>
      <c r="AS281" s="1087" t="n">
        <v>0</v>
      </c>
      <c r="AT281" s="1086" t="n">
        <v>0</v>
      </c>
      <c r="AU281" s="1086" t="n">
        <v>0</v>
      </c>
      <c r="AV281" s="1086" t="n">
        <v>0</v>
      </c>
      <c r="AW281" s="1172" t="n">
        <v>0</v>
      </c>
      <c r="AX281" s="807" t="e">
        <f aca="false">BB281-SUM(AY281:BA281)</f>
        <v>#VALUE!</v>
      </c>
      <c r="AY281" s="807" t="e">
        <f aca="false">IF(AND($E281=MONTH(Summary!$E$24),$D281=YEAR(Summary!$E$24)),Summary!$E$25,1)*IF(G281="",0,INT((H281-MOD(H281,7)-G281)/7)+1-IF(BA281,IF(WEEKDAY(F281)=7,1,0),0))</f>
        <v>#VALUE!</v>
      </c>
      <c r="AZ281" s="807" t="e">
        <f aca="false">IF(AND($E281=MONTH(Summary!$E$24),$D281=YEAR(Summary!$E$24)),Summary!$E$25,1)*IF(G281="",0,INT((H281-MOD(H281-1,7)-G281)/7)+1-IF(BA281,IF(WEEKDAY(F281)=1,1,0),0))</f>
        <v>#VALUE!</v>
      </c>
      <c r="BA281" s="807" t="n">
        <v>1</v>
      </c>
      <c r="BB281" s="807" t="n">
        <f aca="false">IF(AND($E281=MONTH(Summary!$E$24),$D281=YEAR(Summary!$E$24)),Summary!$E$25,1)*IF(G281="",0,H281-G281+1)</f>
        <v>31</v>
      </c>
      <c r="BC281" s="1089" t="n">
        <f aca="false">Summary!$E$19</f>
        <v>0.015</v>
      </c>
      <c r="BD281" s="1090" t="n">
        <v>14893.2</v>
      </c>
      <c r="BE281" s="1091" t="n">
        <v>2836.8</v>
      </c>
      <c r="BF281" s="1091" t="n">
        <v>4255.2</v>
      </c>
      <c r="BG281" s="842"/>
      <c r="BH281" s="1092" t="n">
        <v>1</v>
      </c>
      <c r="BI281" s="1092" t="n">
        <v>1</v>
      </c>
      <c r="BJ281" s="1092" t="n">
        <v>1</v>
      </c>
      <c r="BK281" s="1092" t="n">
        <v>1</v>
      </c>
      <c r="BL281" s="1093" t="n">
        <v>2978.64</v>
      </c>
      <c r="BM281" s="1091" t="n">
        <v>567.36</v>
      </c>
      <c r="BN281" s="1091" t="n">
        <v>851.04</v>
      </c>
      <c r="BO281" s="842"/>
      <c r="BP281" s="1092" t="n">
        <v>1</v>
      </c>
      <c r="BQ281" s="1094" t="n">
        <v>1</v>
      </c>
      <c r="BR281" s="1094" t="n">
        <v>1</v>
      </c>
      <c r="BS281" s="1095" t="n">
        <v>1</v>
      </c>
      <c r="BT281" s="1093" t="n">
        <f aca="false">SUM(BD281:BF281)</f>
        <v>21985.2</v>
      </c>
      <c r="BU281" s="1098" t="n">
        <f aca="false">SUM(BD281:BG281)</f>
        <v>21985.2</v>
      </c>
      <c r="BV281" s="1090" t="n">
        <f aca="false">SUM(BL281:BN281)</f>
        <v>4397.04</v>
      </c>
      <c r="BW281" s="1098" t="n">
        <f aca="false">SUM(BL281:BO281)</f>
        <v>4397.04</v>
      </c>
      <c r="BX281" s="852" t="n">
        <v>22.0479123887748</v>
      </c>
      <c r="BY281" s="1099" t="n">
        <v>0</v>
      </c>
      <c r="BZ281" s="852" t="n">
        <v>0</v>
      </c>
      <c r="CA281" s="852" t="n">
        <v>0</v>
      </c>
      <c r="CB281" s="852" t="n">
        <v>0</v>
      </c>
      <c r="CC281" s="852" t="n">
        <v>0</v>
      </c>
      <c r="CD281" s="852" t="n">
        <v>0</v>
      </c>
      <c r="CE281" s="1100" t="n">
        <v>0</v>
      </c>
      <c r="CF281" s="852" t="n">
        <v>0</v>
      </c>
      <c r="CG281" s="852" t="n">
        <v>0</v>
      </c>
      <c r="CH281" s="852" t="n">
        <v>0</v>
      </c>
      <c r="CI281" s="852" t="n">
        <v>0</v>
      </c>
      <c r="CJ281" s="1101" t="n">
        <v>0</v>
      </c>
      <c r="CK281" s="852" t="n">
        <v>0</v>
      </c>
      <c r="CL281" s="852" t="n">
        <v>0</v>
      </c>
      <c r="CM281" s="852" t="n">
        <v>0</v>
      </c>
      <c r="CN281" s="852" t="n">
        <v>0</v>
      </c>
      <c r="CO281" s="852" t="n">
        <v>0</v>
      </c>
      <c r="CP281" s="852" t="n">
        <v>0</v>
      </c>
      <c r="CQ281" s="1102" t="n">
        <v>0</v>
      </c>
      <c r="CR281" s="1103" t="n">
        <v>0</v>
      </c>
      <c r="CS281" s="1103" t="n">
        <v>0</v>
      </c>
      <c r="CT281" s="1103" t="n">
        <v>0</v>
      </c>
      <c r="CU281" s="1103" t="n">
        <v>0</v>
      </c>
      <c r="CV281" s="1103" t="n">
        <v>0</v>
      </c>
      <c r="CW281" s="1103" t="n">
        <v>0</v>
      </c>
      <c r="CX281" s="1104" t="n">
        <v>0</v>
      </c>
      <c r="CY281" s="1105" t="n">
        <v>7812.26008</v>
      </c>
      <c r="CZ281" s="1099" t="n">
        <v>0</v>
      </c>
      <c r="DA281" s="852" t="n">
        <v>0</v>
      </c>
      <c r="DB281" s="852" t="n">
        <v>0</v>
      </c>
      <c r="DC281" s="852" t="n">
        <v>0</v>
      </c>
      <c r="DD281" s="852" t="n">
        <v>0</v>
      </c>
      <c r="DE281" s="1113" t="n">
        <v>0</v>
      </c>
      <c r="DF281" s="1109" t="n">
        <v>0</v>
      </c>
      <c r="DG281" s="1110" t="n">
        <v>0</v>
      </c>
      <c r="DH281" s="1111" t="n">
        <v>0</v>
      </c>
      <c r="DI281" s="1112" t="n">
        <v>0</v>
      </c>
      <c r="DJ281" s="1112" t="n">
        <v>0</v>
      </c>
      <c r="DK281" s="1112" t="n">
        <v>0</v>
      </c>
      <c r="DL281" s="1113" t="n">
        <v>0</v>
      </c>
      <c r="DM281" s="1114" t="n">
        <v>0</v>
      </c>
      <c r="DN281" s="1114" t="n">
        <v>0</v>
      </c>
      <c r="DO281" s="1114" t="n">
        <v>0</v>
      </c>
      <c r="DP281" s="1114" t="n">
        <v>0</v>
      </c>
      <c r="DQ281" s="1114" t="n">
        <v>0</v>
      </c>
      <c r="DR281" s="1109" t="n">
        <v>0</v>
      </c>
      <c r="DS281" s="852" t="n">
        <v>0</v>
      </c>
      <c r="DT281" s="852" t="n">
        <v>0</v>
      </c>
      <c r="DU281" s="852" t="n">
        <v>0</v>
      </c>
      <c r="DV281" s="852" t="n">
        <v>0</v>
      </c>
      <c r="DW281" s="852" t="n">
        <v>0</v>
      </c>
      <c r="DX281" s="852" t="n">
        <v>0</v>
      </c>
      <c r="DY281" s="852" t="n">
        <v>0</v>
      </c>
      <c r="DZ281" s="852" t="n">
        <v>0</v>
      </c>
      <c r="EA281" s="852" t="n">
        <v>0</v>
      </c>
      <c r="EB281" s="1113" t="n">
        <v>0</v>
      </c>
      <c r="EC281" s="1115" t="n">
        <f aca="false">DS281*BD281</f>
        <v>0</v>
      </c>
      <c r="ED281" s="1115" t="n">
        <f aca="false">DT281*BE281</f>
        <v>0</v>
      </c>
      <c r="EE281" s="1115" t="n">
        <f aca="false">DU281*BF281</f>
        <v>0</v>
      </c>
      <c r="EF281" s="1115" t="n">
        <f aca="false">DV281*BG281</f>
        <v>0</v>
      </c>
      <c r="EG281" s="1115" t="n">
        <f aca="false">DS281*BD281+DT281*BE281+DU281*BF281+DV281*BG281</f>
        <v>0</v>
      </c>
      <c r="EH281" s="1116" t="n">
        <v>0</v>
      </c>
      <c r="EI281" s="1117" t="n">
        <v>0</v>
      </c>
      <c r="EJ281" s="1117" t="n">
        <v>0</v>
      </c>
      <c r="EK281" s="1117" t="n">
        <v>0</v>
      </c>
      <c r="EL281" s="1118" t="n">
        <f aca="false">IF(C281&gt;=Summary!$E$26,MAX(0,SUM(EH281:EK281)),0)</f>
        <v>0</v>
      </c>
      <c r="EM281" s="1115" t="n">
        <f aca="false">IF(C281&gt;=Summary!$E$26,DX281*BL281,0)</f>
        <v>0</v>
      </c>
      <c r="EN281" s="1115" t="n">
        <f aca="false">IF(C281&gt;=Summary!$E$26,DY281*BM281,0)</f>
        <v>0</v>
      </c>
      <c r="EO281" s="1115" t="n">
        <f aca="false">IF(C281&gt;=Summary!$E$26,DZ281*BN281,0)</f>
        <v>0</v>
      </c>
      <c r="EP281" s="1115" t="n">
        <f aca="false">IF(C281&gt;=Summary!$E$26,EA281*BO281,0)</f>
        <v>0</v>
      </c>
      <c r="EQ281" s="1115" t="n">
        <f aca="false">IF(C281&gt;=Summary!$E$26,DX281*BL281+DY281*BM281+DZ281*BN281+EA281*BO281,0)</f>
        <v>0</v>
      </c>
      <c r="ER281" s="1119" t="n">
        <v>0</v>
      </c>
      <c r="ES281" s="1120" t="n">
        <v>0</v>
      </c>
      <c r="ET281" s="1120" t="n">
        <v>0</v>
      </c>
      <c r="EU281" s="1120" t="n">
        <v>0</v>
      </c>
      <c r="EV281" s="1143" t="n">
        <f aca="false">IF(C281&gt;=Summary!$E$26,MAX(0,SUM(ER281:EU281)),0)</f>
        <v>0</v>
      </c>
      <c r="EW281" s="1115"/>
      <c r="EX281" s="1165" t="n">
        <f aca="false">(EQ281-EV281)+IF(EZ281="Yes",(EG281-EL281),0)</f>
        <v>0</v>
      </c>
      <c r="EY281" s="1166" t="str">
        <f aca="false">IF(EX281,EX281/EQ281,"")</f>
        <v/>
      </c>
      <c r="EZ281" s="1122" t="s">
        <v>37</v>
      </c>
      <c r="FA281" s="1096" t="n">
        <f aca="false">FA280</f>
        <v>45</v>
      </c>
      <c r="FB281" s="1167" t="e">
        <f aca="false">IF(EZ281="No",IF((OR(MONTH(C281)=5,MONTH(C281)=6,MONTH(C281)=7,MONTH(C281)=8,MONTH(C281)=9)),$FA281*12*AX281*(1-$BC281),$FA281*10*AX281*(1-$BC281)),0)</f>
        <v>#VALUE!</v>
      </c>
      <c r="FC281" s="1129" t="e">
        <f aca="false">IF(EZ281="No",IF((OR(MONTH(C281)=5,MONTH(C281)=6,MONTH(C281)=7,MONTH(C281)=8,MONTH(C281)=9)),0,$FA281*3*AX281*(1-$BC281)),0)</f>
        <v>#VALUE!</v>
      </c>
      <c r="FD281" s="1129" t="e">
        <f aca="false">IF(EZ281="No",IF((OR(MONTH(C281)=5,MONTH(C281)=6,MONTH(C281)=7,MONTH(C281)=8,MONTH(C281)=9)),$FA281*12*AY281*(1-$BC281),$FA281*10*AY281*(1-$BC281)),0)</f>
        <v>#VALUE!</v>
      </c>
      <c r="FE281" s="1129" t="e">
        <f aca="false">IF(EZ281="No",IF((OR(MONTH(C281)=5,MONTH(C281)=6,MONTH(C281)=7,MONTH(C281)=8,MONTH(C281)=9)),0,$FA281*3*AY281*(1-$BC281)),0)</f>
        <v>#VALUE!</v>
      </c>
      <c r="FF281" s="1129" t="e">
        <f aca="false">IF(EZ281="No",IF((OR(MONTH(C281)=5,MONTH(C281)=6,MONTH(C281)=7,MONTH(C281)=8,MONTH(C281)=9)),$FA281*12*(AZ281+BA281)*(1-$BC281),$FA281*10*(AZ281+BA281)*(1-$BC281)),0)</f>
        <v>#VALUE!</v>
      </c>
      <c r="FG281" s="1129" t="e">
        <f aca="false">IF(EZ281="No",IF((OR(MONTH(C281)=5,MONTH(C281)=6,MONTH(C281)=7,MONTH(C281)=8,MONTH(C281)=9)),0,$FA281*3*(AZ281+BA281)*(1-$BC281)),0)</f>
        <v>#VALUE!</v>
      </c>
      <c r="FH281" s="1170" t="e">
        <f aca="false">IF(EZ281="No",IF((OR(MONTH(C281)=5,MONTH(C281)=6,MONTH(C281)=7,MONTH(C281)=8,MONTH(C281)=9)),Summary!$O$15*12*(AX281+AY281+AZ281+BA281)*(1-$BC281),Summary!$O$15*13*(AX281+AY281+AZ281+BA281)*(1-$BC281)+IF(Summary!$O$16="Yes",(CALC!FA281+Summary!$O$15)*6*(AX281+AY281+AZ281+BA281)*(1-$BC281),0)),0)</f>
        <v>#VALUE!</v>
      </c>
      <c r="FI281" s="1126" t="n">
        <f aca="false">IF(MONTH(C281)=5,FI280*(IF(Summary!$E$70="no",(1+(Summary!$E$71*0.8)),1+HLOOKUP(YEAR(C281)-1,CCFMODEL!$I$127:$AF$128,2)*0.8)),+FI280)</f>
        <v>44.8252497008979</v>
      </c>
      <c r="FJ281" s="1127" t="n">
        <f aca="false">IF(MONTH(C281)=5,FJ280*(IF(Summary!$E$70="no",(1+(Summary!$E$71*0.8)),1+HLOOKUP(YEAR(CALC!C281)-1,CCFMODEL!$I$127:$AF$128,2)*0.8)),FJ280)</f>
        <v>39.1779741480288</v>
      </c>
      <c r="FK281" s="1128" t="e">
        <f aca="false">SUM(FB281:FG281)*FI281+FH281*FJ281</f>
        <v>#VALUE!</v>
      </c>
      <c r="FL281" s="1126" t="n">
        <f aca="false">IF(MONTH(C281)=5,FL280*(IF(Summary!$E$70="no",(1+(Summary!$E$71*0.8)),1+HLOOKUP(YEAR(CALC!C281)-1,CCFMODEL!$I$127:$AF$128,2)*0.8)),+FL280)</f>
        <v>94.2725255239355</v>
      </c>
      <c r="FM281" s="1127" t="n">
        <f aca="false">IF(MONTH(C281)=5,FM280*(IF(Summary!$E$70="no",(1+(Summary!$E$71*0.8)),1+HLOOKUP(YEAR(CALC!C281)-1,CCFMODEL!$I$127:$AF$128,2)*0.8)),+FM280)</f>
        <v>44.9933233780666</v>
      </c>
      <c r="FN281" s="1128" t="e">
        <f aca="false">IF((OR(MONTH(C281)=5,MONTH(C281)=6,MONTH(C281)=7,MONTH(C281)=8,MONTH(C281)=9)),SUM(FB281:FG281)/(1-BC281)*FL281,SUM(FB281:FG281)/(1-BC281)*FM281)</f>
        <v>#VALUE!</v>
      </c>
      <c r="FO281" s="1129" t="e">
        <f aca="false">FK281+FN281</f>
        <v>#VALUE!</v>
      </c>
      <c r="FP281" s="1169" t="e">
        <f aca="false">FB281</f>
        <v>#VALUE!</v>
      </c>
      <c r="FQ281" s="1129" t="e">
        <f aca="false">FC281</f>
        <v>#VALUE!</v>
      </c>
      <c r="FR281" s="1129" t="e">
        <f aca="false">FD281</f>
        <v>#VALUE!</v>
      </c>
      <c r="FS281" s="1129" t="e">
        <f aca="false">FE281</f>
        <v>#VALUE!</v>
      </c>
      <c r="FT281" s="1129" t="e">
        <f aca="false">FF281</f>
        <v>#VALUE!</v>
      </c>
      <c r="FU281" s="1129" t="e">
        <f aca="false">FG281</f>
        <v>#VALUE!</v>
      </c>
      <c r="FV281" s="1170" t="e">
        <f aca="false">FH281</f>
        <v>#VALUE!</v>
      </c>
      <c r="FW281" s="1115" t="n">
        <f aca="false">IF(ER281&gt;0,MIN(FB281-FP281,BL281),0)</f>
        <v>0</v>
      </c>
      <c r="FX281" s="1115" t="n">
        <f aca="false">IF(ES281&gt;0,MIN(FD281-FR281,BM281),0)</f>
        <v>0</v>
      </c>
      <c r="FY281" s="1115" t="n">
        <f aca="false">IF(ET281&gt;0,MIN(FF281-FT281,BN281),0)</f>
        <v>0</v>
      </c>
      <c r="FZ281" s="1143" t="n">
        <f aca="false">IF(EU281&gt;0,MIN(FH281-FV281,BO281),0)</f>
        <v>0</v>
      </c>
      <c r="GA281" s="1132" t="e">
        <f aca="false">(SUM(FP281:FV281)+SUM(GU281:HB281)/(1-Summary!$O$25))*CY281/1000</f>
        <v>#VALUE!</v>
      </c>
      <c r="GB281" s="1133" t="n">
        <f aca="false">IF($C281&lt;Summary!$M$81,+Summary!$O$81,VLOOKUP(C281,GasTable,19))</f>
        <v>4.851</v>
      </c>
      <c r="GC281" s="1134" t="n">
        <f aca="false">IF(H281&lt;=Summary!$N$84,MIN(GA281,Summary!$O$75*(H281-G281+1)),0)</f>
        <v>0</v>
      </c>
      <c r="GD281" s="1135" t="n">
        <f aca="false">IF(C281&lt;Summary!$N$84,IF(Summary!$O$75*(H281-G281+1)*0.8&gt;GC281,1,0),0)</f>
        <v>0</v>
      </c>
      <c r="GE281" s="1136" t="n">
        <v>0</v>
      </c>
      <c r="GF281" s="1134" t="e">
        <f aca="false">ABS(MIN(0,GC281-$GA281))</f>
        <v>#VALUE!</v>
      </c>
      <c r="GG281" s="1135" t="e">
        <f aca="false">GF281*(IF(Summary!$O$74=1,VLOOKUP($C281,GasTable,16)+Summary!$O$92+Summary!$O$93,VLOOKUP($C281,GasTable,19)+Summary!$O$92+Summary!$O$93))</f>
        <v>#VALUE!</v>
      </c>
      <c r="GH281" s="1137" t="n">
        <v>7519.05</v>
      </c>
      <c r="GI281" s="1138" t="n">
        <v>0</v>
      </c>
      <c r="GJ281" s="1139" t="e">
        <f aca="false">+GB281*GC281+GE281+GG281+GH281-GI281</f>
        <v>#VALUE!</v>
      </c>
      <c r="GK281" s="1115" t="e">
        <f aca="false">SUM(FP281:FV281,GU281:GX281,GY281:HB281)</f>
        <v>#VALUE!</v>
      </c>
      <c r="GL281" s="1140" t="n">
        <v>0.52342142536</v>
      </c>
      <c r="GM281" s="1141" t="e">
        <f aca="false">IF(GK281&gt;GC281/(CY281/1000),GC281/(CY281/1000),+GK281)*GL281</f>
        <v>#VALUE!</v>
      </c>
      <c r="GN281" s="1115" t="n">
        <f aca="false">IF(SUM(GU281:HB281)=0,0,IF(Summary!$O$16="Yes",SUM(GX281:HB281),IF(Summary!$O$17="Yes",SUM(GY281:HB281),SUM(GU281:HB281))))</f>
        <v>0</v>
      </c>
      <c r="GO281" s="1142" t="n">
        <v>4.55941701293117</v>
      </c>
      <c r="GP281" s="1143" t="n">
        <f aca="false">GN281*GO281</f>
        <v>0</v>
      </c>
      <c r="GQ281" s="1115"/>
      <c r="GR281" s="1115"/>
      <c r="GS281" s="1115"/>
      <c r="GT281" s="1115"/>
      <c r="GU281" s="1150" t="n">
        <v>0</v>
      </c>
      <c r="GV281" s="1115" t="n">
        <v>0</v>
      </c>
      <c r="GW281" s="1115" t="n">
        <v>0</v>
      </c>
      <c r="GX281" s="1115"/>
      <c r="GY281" s="1151" t="n">
        <v>0</v>
      </c>
      <c r="GZ281" s="1115" t="n">
        <v>0</v>
      </c>
      <c r="HA281" s="1115" t="n">
        <v>0</v>
      </c>
      <c r="HB281" s="1141"/>
      <c r="HC281" s="1115" t="n">
        <v>0</v>
      </c>
      <c r="HD281" s="1115"/>
      <c r="HE281" s="1115" t="n">
        <v>0</v>
      </c>
      <c r="HF281" s="1115" t="n">
        <v>0</v>
      </c>
      <c r="HG281" s="1115"/>
      <c r="HH281" s="1142" t="n">
        <v>0</v>
      </c>
      <c r="HI281" s="1115" t="n">
        <v>0</v>
      </c>
      <c r="HJ281" s="1150" t="e">
        <f aca="false">MAX(FB281-FP281-FW281,0)</f>
        <v>#VALUE!</v>
      </c>
      <c r="HK281" s="1115" t="e">
        <f aca="false">MAX(FD281-FR281-FX281,0)</f>
        <v>#VALUE!</v>
      </c>
      <c r="HL281" s="1115" t="e">
        <f aca="false">MAX(FF281-FT281-FY281,0)</f>
        <v>#VALUE!</v>
      </c>
      <c r="HM281" s="1141" t="e">
        <f aca="false">MAX(FH281-FV281-FZ281,0)</f>
        <v>#VALUE!</v>
      </c>
      <c r="HN281" s="1115" t="e">
        <f aca="false">SUM(HJ281:HM281)</f>
        <v>#VALUE!</v>
      </c>
      <c r="HO281" s="1142" t="n">
        <f aca="false">IF(ISERROR(+HP281/HN281),0,+HP281/HN281)</f>
        <v>0</v>
      </c>
      <c r="HP281" s="1143" t="e">
        <f aca="false">(HJ281*CE281+HK281*CF281+HL281*CG281+HM281*CH281)</f>
        <v>#VALUE!</v>
      </c>
      <c r="HQ281" s="1142"/>
      <c r="HR281" s="1142"/>
      <c r="HS281" s="1142"/>
      <c r="HT281" s="1142"/>
      <c r="HU281" s="1142"/>
      <c r="HV281" s="1142"/>
      <c r="HW281" s="1142"/>
      <c r="HX281" s="1142"/>
      <c r="HY281" s="1142"/>
      <c r="HZ281" s="1142"/>
      <c r="IA281" s="1142"/>
      <c r="IB281" s="1142"/>
      <c r="IC281" s="1142"/>
      <c r="ID281" s="1142"/>
      <c r="IE281" s="1142"/>
      <c r="IF281" s="1142"/>
      <c r="IG281" s="1142"/>
      <c r="IH281" s="1142"/>
      <c r="II281" s="1142"/>
      <c r="IJ281" s="1142"/>
      <c r="IK281" s="1142"/>
      <c r="IL281" s="1190"/>
      <c r="IM281" s="222"/>
      <c r="IN281" s="222"/>
      <c r="IR281" s="844"/>
    </row>
    <row r="282" customFormat="false" ht="13.5" hidden="false" customHeight="false" outlineLevel="0" collapsed="false">
      <c r="A282" s="0" t="str">
        <f aca="false">+D282&amp;"Q"&amp;ROUNDUP(E282/3,0)</f>
        <v>2022Q1</v>
      </c>
      <c r="B282" s="0" t="n">
        <f aca="false">YEAR(C282)</f>
        <v>2022</v>
      </c>
      <c r="C282" s="1153" t="n">
        <f aca="false">EOMONTH(C281,0)+1</f>
        <v>44593</v>
      </c>
      <c r="D282" s="841" t="n">
        <f aca="false">+YEAR(C282)</f>
        <v>2022</v>
      </c>
      <c r="E282" s="807" t="n">
        <f aca="false">MONTH(C282)</f>
        <v>2</v>
      </c>
      <c r="F282" s="1154" t="e">
        <f aca="false">IF(G282="","",Holiday(D282,E282))</f>
        <v>#VALUE!</v>
      </c>
      <c r="G282" s="1155" t="n">
        <v>44593</v>
      </c>
      <c r="H282" s="1156" t="n">
        <v>44620</v>
      </c>
      <c r="I282" s="1157" t="n">
        <f aca="false">I281</f>
        <v>0.0715</v>
      </c>
      <c r="J282" s="1158" t="n">
        <f aca="false">(1+I282/2)^(-2*(DATE(D283,E283,20)-$H$7)/365.25)</f>
        <v>0.209317381943452</v>
      </c>
      <c r="K282" s="1159"/>
      <c r="L282" s="1158"/>
      <c r="M282" s="1082" t="n">
        <v>0</v>
      </c>
      <c r="N282" s="1110" t="n">
        <f aca="false">M282</f>
        <v>0</v>
      </c>
      <c r="O282" s="1174" t="n">
        <f aca="false">N282</f>
        <v>0</v>
      </c>
      <c r="P282" s="1175" t="n">
        <f aca="false">M282</f>
        <v>0</v>
      </c>
      <c r="Q282" s="1110" t="n">
        <f aca="false">P282</f>
        <v>0</v>
      </c>
      <c r="R282" s="1174" t="n">
        <f aca="false">Q282</f>
        <v>0</v>
      </c>
      <c r="S282" s="1110" t="n">
        <f aca="false">R282</f>
        <v>0</v>
      </c>
      <c r="T282" s="1110" t="n">
        <f aca="false">S282</f>
        <v>0</v>
      </c>
      <c r="U282" s="1110" t="n">
        <f aca="false">T282</f>
        <v>0</v>
      </c>
      <c r="V282" s="1175" t="n">
        <f aca="false">U282</f>
        <v>0</v>
      </c>
      <c r="W282" s="1110" t="n">
        <f aca="false">V282</f>
        <v>0</v>
      </c>
      <c r="X282" s="1176" t="n">
        <f aca="false">W282</f>
        <v>0</v>
      </c>
      <c r="Y282" s="1086" t="n">
        <v>0</v>
      </c>
      <c r="Z282" s="1086" t="n">
        <v>0</v>
      </c>
      <c r="AA282" s="1087" t="n">
        <v>0</v>
      </c>
      <c r="AB282" s="1086" t="n">
        <v>0</v>
      </c>
      <c r="AC282" s="1086" t="n">
        <v>0</v>
      </c>
      <c r="AD282" s="1087" t="n">
        <v>0</v>
      </c>
      <c r="AE282" s="1086" t="n">
        <v>0</v>
      </c>
      <c r="AF282" s="1086" t="n">
        <v>0</v>
      </c>
      <c r="AG282" s="1087" t="n">
        <v>0</v>
      </c>
      <c r="AH282" s="1086" t="n">
        <v>0</v>
      </c>
      <c r="AI282" s="1086" t="n">
        <v>0</v>
      </c>
      <c r="AJ282" s="1087" t="n">
        <v>0</v>
      </c>
      <c r="AK282" s="1086" t="n">
        <v>0</v>
      </c>
      <c r="AL282" s="1086" t="n">
        <v>0</v>
      </c>
      <c r="AM282" s="1087" t="n">
        <v>0</v>
      </c>
      <c r="AN282" s="1086" t="n">
        <v>0</v>
      </c>
      <c r="AO282" s="1086" t="n">
        <v>0</v>
      </c>
      <c r="AP282" s="1087" t="n">
        <v>0</v>
      </c>
      <c r="AQ282" s="1086" t="n">
        <v>0</v>
      </c>
      <c r="AR282" s="1086" t="n">
        <v>0</v>
      </c>
      <c r="AS282" s="1087" t="n">
        <v>0</v>
      </c>
      <c r="AT282" s="1086" t="n">
        <v>0</v>
      </c>
      <c r="AU282" s="1086" t="n">
        <v>0</v>
      </c>
      <c r="AV282" s="1086" t="n">
        <v>0</v>
      </c>
      <c r="AW282" s="1172" t="n">
        <v>0</v>
      </c>
      <c r="AX282" s="807" t="n">
        <f aca="false">BB282-SUM(AY282:BA282)</f>
        <v>20</v>
      </c>
      <c r="AY282" s="807" t="n">
        <f aca="false">IF(AND($E282=MONTH(Summary!$E$24),$D282=YEAR(Summary!$E$24)),Summary!$E$25,1)*IF(G282="",0,INT((H282-MOD(H282,7)-G282)/7)+1-IF(BA282,IF(WEEKDAY(F282)=7,1,0),0))</f>
        <v>4</v>
      </c>
      <c r="AZ282" s="807" t="n">
        <f aca="false">IF(AND($E282=MONTH(Summary!$E$24),$D282=YEAR(Summary!$E$24)),Summary!$E$25,1)*IF(G282="",0,INT((H282-MOD(H282-1,7)-G282)/7)+1-IF(BA282,IF(WEEKDAY(F282)=1,1,0),0))</f>
        <v>4</v>
      </c>
      <c r="BA282" s="807" t="n">
        <v>0</v>
      </c>
      <c r="BB282" s="807" t="n">
        <f aca="false">IF(AND($E282=MONTH(Summary!$E$24),$D282=YEAR(Summary!$E$24)),Summary!$E$25,1)*IF(G282="",0,H282-G282+1)</f>
        <v>28</v>
      </c>
      <c r="BC282" s="1089" t="n">
        <f aca="false">Summary!$E$19</f>
        <v>0.015</v>
      </c>
      <c r="BD282" s="1090" t="n">
        <v>14184</v>
      </c>
      <c r="BE282" s="1091" t="n">
        <v>2836.8</v>
      </c>
      <c r="BF282" s="1091" t="n">
        <v>2836.8</v>
      </c>
      <c r="BG282" s="842"/>
      <c r="BH282" s="1092" t="n">
        <v>1</v>
      </c>
      <c r="BI282" s="1092" t="n">
        <v>1</v>
      </c>
      <c r="BJ282" s="1092" t="n">
        <v>1</v>
      </c>
      <c r="BK282" s="1092" t="n">
        <v>1</v>
      </c>
      <c r="BL282" s="1093" t="n">
        <v>2836.8</v>
      </c>
      <c r="BM282" s="1091" t="n">
        <v>567.36</v>
      </c>
      <c r="BN282" s="1091" t="n">
        <v>567.36</v>
      </c>
      <c r="BO282" s="842"/>
      <c r="BP282" s="1092" t="n">
        <v>1</v>
      </c>
      <c r="BQ282" s="1094" t="n">
        <v>1</v>
      </c>
      <c r="BR282" s="1094" t="n">
        <v>1</v>
      </c>
      <c r="BS282" s="1095" t="n">
        <v>1</v>
      </c>
      <c r="BT282" s="1093" t="n">
        <f aca="false">SUM(BD282:BF282)</f>
        <v>19857.6</v>
      </c>
      <c r="BU282" s="1098" t="n">
        <f aca="false">SUM(BD282:BG282)</f>
        <v>19857.6</v>
      </c>
      <c r="BV282" s="1090" t="n">
        <f aca="false">SUM(BL282:BN282)</f>
        <v>3971.52</v>
      </c>
      <c r="BW282" s="1098" t="n">
        <f aca="false">SUM(BL282:BO282)</f>
        <v>3971.52</v>
      </c>
      <c r="BX282" s="852" t="n">
        <v>22.1327857631759</v>
      </c>
      <c r="BY282" s="1099" t="n">
        <v>0</v>
      </c>
      <c r="BZ282" s="852" t="n">
        <v>0</v>
      </c>
      <c r="CA282" s="852" t="n">
        <v>0</v>
      </c>
      <c r="CB282" s="852" t="n">
        <v>0</v>
      </c>
      <c r="CC282" s="852" t="n">
        <v>0</v>
      </c>
      <c r="CD282" s="852" t="n">
        <v>0</v>
      </c>
      <c r="CE282" s="1100" t="n">
        <v>0</v>
      </c>
      <c r="CF282" s="852" t="n">
        <v>0</v>
      </c>
      <c r="CG282" s="852" t="n">
        <v>0</v>
      </c>
      <c r="CH282" s="852" t="n">
        <v>0</v>
      </c>
      <c r="CI282" s="852" t="n">
        <v>0</v>
      </c>
      <c r="CJ282" s="1101" t="n">
        <v>0</v>
      </c>
      <c r="CK282" s="852" t="n">
        <v>0</v>
      </c>
      <c r="CL282" s="852" t="n">
        <v>0</v>
      </c>
      <c r="CM282" s="852" t="n">
        <v>0</v>
      </c>
      <c r="CN282" s="852" t="n">
        <v>0</v>
      </c>
      <c r="CO282" s="852" t="n">
        <v>0</v>
      </c>
      <c r="CP282" s="852" t="n">
        <v>0</v>
      </c>
      <c r="CQ282" s="1102" t="n">
        <v>0</v>
      </c>
      <c r="CR282" s="1103" t="n">
        <v>0</v>
      </c>
      <c r="CS282" s="1103" t="n">
        <v>0</v>
      </c>
      <c r="CT282" s="1103" t="n">
        <v>0</v>
      </c>
      <c r="CU282" s="1103" t="n">
        <v>0</v>
      </c>
      <c r="CV282" s="1103" t="n">
        <v>0</v>
      </c>
      <c r="CW282" s="1103" t="n">
        <v>0</v>
      </c>
      <c r="CX282" s="1104" t="n">
        <v>0</v>
      </c>
      <c r="CY282" s="1105" t="n">
        <v>7814.29104</v>
      </c>
      <c r="CZ282" s="1099" t="n">
        <v>0</v>
      </c>
      <c r="DA282" s="852" t="n">
        <v>0</v>
      </c>
      <c r="DB282" s="852" t="n">
        <v>0</v>
      </c>
      <c r="DC282" s="852" t="n">
        <v>0</v>
      </c>
      <c r="DD282" s="852" t="n">
        <v>0</v>
      </c>
      <c r="DE282" s="1113" t="n">
        <v>0</v>
      </c>
      <c r="DF282" s="1109" t="n">
        <v>0</v>
      </c>
      <c r="DG282" s="1110" t="n">
        <v>0</v>
      </c>
      <c r="DH282" s="1111" t="n">
        <v>0</v>
      </c>
      <c r="DI282" s="1112" t="n">
        <v>0</v>
      </c>
      <c r="DJ282" s="1112" t="n">
        <v>0</v>
      </c>
      <c r="DK282" s="1112" t="n">
        <v>0</v>
      </c>
      <c r="DL282" s="1113" t="n">
        <v>0</v>
      </c>
      <c r="DM282" s="1114" t="n">
        <v>0</v>
      </c>
      <c r="DN282" s="1114" t="n">
        <v>0</v>
      </c>
      <c r="DO282" s="1114" t="n">
        <v>0</v>
      </c>
      <c r="DP282" s="1114" t="n">
        <v>0</v>
      </c>
      <c r="DQ282" s="1114" t="n">
        <v>0</v>
      </c>
      <c r="DR282" s="1109" t="n">
        <v>0</v>
      </c>
      <c r="DS282" s="852" t="n">
        <v>0</v>
      </c>
      <c r="DT282" s="852" t="n">
        <v>0</v>
      </c>
      <c r="DU282" s="852" t="n">
        <v>0</v>
      </c>
      <c r="DV282" s="852" t="n">
        <v>0</v>
      </c>
      <c r="DW282" s="852" t="n">
        <v>0</v>
      </c>
      <c r="DX282" s="852" t="n">
        <v>0</v>
      </c>
      <c r="DY282" s="852" t="n">
        <v>0</v>
      </c>
      <c r="DZ282" s="852" t="n">
        <v>0</v>
      </c>
      <c r="EA282" s="852" t="n">
        <v>0</v>
      </c>
      <c r="EB282" s="1113" t="n">
        <v>0</v>
      </c>
      <c r="EC282" s="1115" t="n">
        <f aca="false">DS282*BD282</f>
        <v>0</v>
      </c>
      <c r="ED282" s="1115" t="n">
        <f aca="false">DT282*BE282</f>
        <v>0</v>
      </c>
      <c r="EE282" s="1115" t="n">
        <f aca="false">DU282*BF282</f>
        <v>0</v>
      </c>
      <c r="EF282" s="1115" t="n">
        <f aca="false">DV282*BG282</f>
        <v>0</v>
      </c>
      <c r="EG282" s="1115" t="n">
        <f aca="false">DS282*BD282+DT282*BE282+DU282*BF282+DV282*BG282</f>
        <v>0</v>
      </c>
      <c r="EH282" s="1116" t="n">
        <v>0</v>
      </c>
      <c r="EI282" s="1117" t="n">
        <v>0</v>
      </c>
      <c r="EJ282" s="1117" t="n">
        <v>0</v>
      </c>
      <c r="EK282" s="1117" t="n">
        <v>0</v>
      </c>
      <c r="EL282" s="1118" t="n">
        <f aca="false">IF(C282&gt;=Summary!$E$26,MAX(0,SUM(EH282:EK282)),0)</f>
        <v>0</v>
      </c>
      <c r="EM282" s="1115" t="n">
        <f aca="false">IF(C282&gt;=Summary!$E$26,DX282*BL282,0)</f>
        <v>0</v>
      </c>
      <c r="EN282" s="1115" t="n">
        <f aca="false">IF(C282&gt;=Summary!$E$26,DY282*BM282,0)</f>
        <v>0</v>
      </c>
      <c r="EO282" s="1115" t="n">
        <f aca="false">IF(C282&gt;=Summary!$E$26,DZ282*BN282,0)</f>
        <v>0</v>
      </c>
      <c r="EP282" s="1115" t="n">
        <f aca="false">IF(C282&gt;=Summary!$E$26,EA282*BO282,0)</f>
        <v>0</v>
      </c>
      <c r="EQ282" s="1115" t="n">
        <f aca="false">IF(C282&gt;=Summary!$E$26,DX282*BL282+DY282*BM282+DZ282*BN282+EA282*BO282,0)</f>
        <v>0</v>
      </c>
      <c r="ER282" s="1119" t="n">
        <v>0</v>
      </c>
      <c r="ES282" s="1120" t="n">
        <v>0</v>
      </c>
      <c r="ET282" s="1120" t="n">
        <v>0</v>
      </c>
      <c r="EU282" s="1120" t="n">
        <v>0</v>
      </c>
      <c r="EV282" s="1143" t="n">
        <f aca="false">IF(C282&gt;=Summary!$E$26,MAX(0,SUM(ER282:EU282)),0)</f>
        <v>0</v>
      </c>
      <c r="EW282" s="1115"/>
      <c r="EX282" s="1165" t="n">
        <f aca="false">(EQ282-EV282)+IF(EZ282="Yes",(EG282-EL282),0)</f>
        <v>0</v>
      </c>
      <c r="EY282" s="1166" t="str">
        <f aca="false">IF(EX282,EX282/EQ282,"")</f>
        <v/>
      </c>
      <c r="EZ282" s="1122" t="s">
        <v>37</v>
      </c>
      <c r="FA282" s="1096" t="n">
        <f aca="false">FA281</f>
        <v>45</v>
      </c>
      <c r="FB282" s="1167" t="n">
        <f aca="false">IF(EZ282="No",IF((OR(MONTH(C282)=5,MONTH(C282)=6,MONTH(C282)=7,MONTH(C282)=8,MONTH(C282)=9)),$FA282*12*AX282*(1-$BC282),$FA282*10*AX282*(1-$BC282)),0)</f>
        <v>8865</v>
      </c>
      <c r="FC282" s="1129" t="n">
        <f aca="false">IF(EZ282="No",IF((OR(MONTH(C282)=5,MONTH(C282)=6,MONTH(C282)=7,MONTH(C282)=8,MONTH(C282)=9)),0,$FA282*3*AX282*(1-$BC282)),0)</f>
        <v>2659.5</v>
      </c>
      <c r="FD282" s="1129" t="n">
        <f aca="false">IF(EZ282="No",IF((OR(MONTH(C282)=5,MONTH(C282)=6,MONTH(C282)=7,MONTH(C282)=8,MONTH(C282)=9)),$FA282*12*AY282*(1-$BC282),$FA282*10*AY282*(1-$BC282)),0)</f>
        <v>1773</v>
      </c>
      <c r="FE282" s="1129" t="n">
        <f aca="false">IF(EZ282="No",IF((OR(MONTH(C282)=5,MONTH(C282)=6,MONTH(C282)=7,MONTH(C282)=8,MONTH(C282)=9)),0,$FA282*3*AY282*(1-$BC282)),0)</f>
        <v>531.9</v>
      </c>
      <c r="FF282" s="1129" t="n">
        <f aca="false">IF(EZ282="No",IF((OR(MONTH(C282)=5,MONTH(C282)=6,MONTH(C282)=7,MONTH(C282)=8,MONTH(C282)=9)),$FA282*12*(AZ282+BA282)*(1-$BC282),$FA282*10*(AZ282+BA282)*(1-$BC282)),0)</f>
        <v>1773</v>
      </c>
      <c r="FG282" s="1129" t="n">
        <f aca="false">IF(EZ282="No",IF((OR(MONTH(C282)=5,MONTH(C282)=6,MONTH(C282)=7,MONTH(C282)=8,MONTH(C282)=9)),0,$FA282*3*(AZ282+BA282)*(1-$BC282)),0)</f>
        <v>531.9</v>
      </c>
      <c r="FH282" s="1170" t="n">
        <f aca="false">IF(EZ282="No",IF((OR(MONTH(C282)=5,MONTH(C282)=6,MONTH(C282)=7,MONTH(C282)=8,MONTH(C282)=9)),Summary!$O$15*12*(AX282+AY282+AZ282+BA282)*(1-$BC282),Summary!$O$15*13*(AX282+AY282+AZ282+BA282)*(1-$BC282)+IF(Summary!$O$16="Yes",(CALC!FA282+Summary!$O$15)*6*(AX282+AY282+AZ282+BA282)*(1-$BC282),0)),0)</f>
        <v>0</v>
      </c>
      <c r="FI282" s="1126" t="n">
        <f aca="false">IF(MONTH(C282)=5,FI281*(IF(Summary!$E$70="no",(1+(Summary!$E$71*0.8)),1+HLOOKUP(YEAR(C282)-1,CCFMODEL!$I$127:$AF$128,2)*0.8)),+FI281)</f>
        <v>44.8252497008979</v>
      </c>
      <c r="FJ282" s="1127" t="n">
        <f aca="false">IF(MONTH(C282)=5,FJ281*(IF(Summary!$E$70="no",(1+(Summary!$E$71*0.8)),1+HLOOKUP(YEAR(CALC!C282)-1,CCFMODEL!$I$127:$AF$128,2)*0.8)),FJ281)</f>
        <v>39.1779741480288</v>
      </c>
      <c r="FK282" s="1128" t="n">
        <f aca="false">SUM(FB282:FG282)*FI282+FH282*FJ282</f>
        <v>723224.026249196</v>
      </c>
      <c r="FL282" s="1126" t="n">
        <f aca="false">IF(MONTH(C282)=5,FL281*(IF(Summary!$E$70="no",(1+(Summary!$E$71*0.8)),1+HLOOKUP(YEAR(CALC!C282)-1,CCFMODEL!$I$127:$AF$128,2)*0.8)),+FL281)</f>
        <v>94.2725255239355</v>
      </c>
      <c r="FM282" s="1127" t="n">
        <f aca="false">IF(MONTH(C282)=5,FM281*(IF(Summary!$E$70="no",(1+(Summary!$E$71*0.8)),1+HLOOKUP(YEAR(CALC!C282)-1,CCFMODEL!$I$127:$AF$128,2)*0.8)),+FM281)</f>
        <v>44.9933233780666</v>
      </c>
      <c r="FN282" s="1128" t="n">
        <f aca="false">IF((OR(MONTH(C282)=5,MONTH(C282)=6,MONTH(C282)=7,MONTH(C282)=8,MONTH(C282)=9)),SUM(FB282:FG282)/(1-BC282)*FL282,SUM(FB282:FG282)/(1-BC282)*FM282)</f>
        <v>736990.63693273</v>
      </c>
      <c r="FO282" s="1129" t="n">
        <f aca="false">FK282+FN282</f>
        <v>1460214.66318193</v>
      </c>
      <c r="FP282" s="1169" t="n">
        <f aca="false">FB282</f>
        <v>8865</v>
      </c>
      <c r="FQ282" s="1129" t="n">
        <f aca="false">FC282</f>
        <v>2659.5</v>
      </c>
      <c r="FR282" s="1129" t="n">
        <f aca="false">FD282</f>
        <v>1773</v>
      </c>
      <c r="FS282" s="1129" t="n">
        <f aca="false">FE282</f>
        <v>531.9</v>
      </c>
      <c r="FT282" s="1129" t="n">
        <f aca="false">FF282</f>
        <v>1773</v>
      </c>
      <c r="FU282" s="1129" t="n">
        <f aca="false">FG282</f>
        <v>531.9</v>
      </c>
      <c r="FV282" s="1170" t="n">
        <f aca="false">FH282</f>
        <v>0</v>
      </c>
      <c r="FW282" s="1115" t="n">
        <f aca="false">IF(ER282&gt;0,MIN(FB282-FP282,BL282),0)</f>
        <v>0</v>
      </c>
      <c r="FX282" s="1115" t="n">
        <f aca="false">IF(ES282&gt;0,MIN(FD282-FR282,BM282),0)</f>
        <v>0</v>
      </c>
      <c r="FY282" s="1115" t="n">
        <f aca="false">IF(ET282&gt;0,MIN(FF282-FT282,BN282),0)</f>
        <v>0</v>
      </c>
      <c r="FZ282" s="1143" t="n">
        <f aca="false">IF(EU282&gt;0,MIN(FH282-FV282,BO282),0)</f>
        <v>0</v>
      </c>
      <c r="GA282" s="1132" t="n">
        <f aca="false">(SUM(FP282:FV282)+SUM(GU282:HB282)/(1-Summary!$O$25))*CY282/1000</f>
        <v>126078.115926672</v>
      </c>
      <c r="GB282" s="1133" t="n">
        <f aca="false">IF($C282&lt;Summary!$M$81,+Summary!$O$81,VLOOKUP(C282,GasTable,19))</f>
        <v>4.8</v>
      </c>
      <c r="GC282" s="1134" t="n">
        <f aca="false">IF(H282&lt;=Summary!$N$84,MIN(GA282,Summary!$O$75*(H282-G282+1)),0)</f>
        <v>0</v>
      </c>
      <c r="GD282" s="1135" t="n">
        <f aca="false">IF(C282&lt;Summary!$N$84,IF(Summary!$O$75*(H282-G282+1)*0.8&gt;GC282,1,0),0)</f>
        <v>0</v>
      </c>
      <c r="GE282" s="1136" t="n">
        <v>0</v>
      </c>
      <c r="GF282" s="1134" t="n">
        <f aca="false">ABS(MIN(0,GC282-$GA282))</f>
        <v>126078.115926672</v>
      </c>
      <c r="GG282" s="1135" t="n">
        <f aca="false">GF282*(IF(Summary!$O$74=1,VLOOKUP($C282,GasTable,16)+Summary!$O$92+Summary!$O$93,VLOOKUP($C282,GasTable,19)+Summary!$O$92+Summary!$O$93))</f>
        <v>611743.626287805</v>
      </c>
      <c r="GH282" s="1137" t="n">
        <v>6720</v>
      </c>
      <c r="GI282" s="1138" t="n">
        <v>0</v>
      </c>
      <c r="GJ282" s="1139" t="n">
        <f aca="false">+GB282*GC282+GE282+GG282+GH282-GI282</f>
        <v>618463.626287805</v>
      </c>
      <c r="GK282" s="1115" t="n">
        <f aca="false">SUM(FP282:FV282,GU282:GX282,GY282:HB282)</f>
        <v>16134.3</v>
      </c>
      <c r="GL282" s="1140" t="n">
        <v>0.52355749968</v>
      </c>
      <c r="GM282" s="1141" t="n">
        <f aca="false">IF(GK282&gt;GC282/(CY282/1000),GC282/(CY282/1000),+GK282)*GL282</f>
        <v>0</v>
      </c>
      <c r="GN282" s="1115" t="n">
        <f aca="false">IF(SUM(GU282:HB282)=0,0,IF(Summary!$O$16="Yes",SUM(GX282:HB282),IF(Summary!$O$17="Yes",SUM(GY282:HB282),SUM(GU282:HB282))))</f>
        <v>0</v>
      </c>
      <c r="GO282" s="1142" t="n">
        <v>4.55941701293117</v>
      </c>
      <c r="GP282" s="1143" t="n">
        <f aca="false">GN282*GO282</f>
        <v>0</v>
      </c>
      <c r="GQ282" s="1115"/>
      <c r="GR282" s="1115"/>
      <c r="GS282" s="1115"/>
      <c r="GT282" s="1115"/>
      <c r="GU282" s="1150" t="n">
        <v>0</v>
      </c>
      <c r="GV282" s="1115" t="n">
        <v>0</v>
      </c>
      <c r="GW282" s="1115" t="n">
        <v>0</v>
      </c>
      <c r="GX282" s="1115"/>
      <c r="GY282" s="1151" t="n">
        <v>0</v>
      </c>
      <c r="GZ282" s="1115" t="n">
        <v>0</v>
      </c>
      <c r="HA282" s="1115" t="n">
        <v>0</v>
      </c>
      <c r="HB282" s="1141"/>
      <c r="HC282" s="1115" t="n">
        <v>0</v>
      </c>
      <c r="HD282" s="1115"/>
      <c r="HE282" s="1115" t="n">
        <v>0</v>
      </c>
      <c r="HF282" s="1115" t="n">
        <v>0</v>
      </c>
      <c r="HG282" s="1115"/>
      <c r="HH282" s="1142" t="n">
        <v>0</v>
      </c>
      <c r="HI282" s="1115" t="n">
        <v>0</v>
      </c>
      <c r="HJ282" s="1150" t="n">
        <f aca="false">MAX(FB282-FP282-FW282,0)</f>
        <v>0</v>
      </c>
      <c r="HK282" s="1115" t="n">
        <f aca="false">MAX(FD282-FR282-FX282,0)</f>
        <v>0</v>
      </c>
      <c r="HL282" s="1115" t="n">
        <f aca="false">MAX(FF282-FT282-FY282,0)</f>
        <v>0</v>
      </c>
      <c r="HM282" s="1141" t="n">
        <f aca="false">MAX(FH282-FV282-FZ282,0)</f>
        <v>0</v>
      </c>
      <c r="HN282" s="1115" t="n">
        <f aca="false">SUM(HJ282:HM282)</f>
        <v>0</v>
      </c>
      <c r="HO282" s="1142" t="n">
        <f aca="false">IF(ISERROR(+HP282/HN282),0,+HP282/HN282)</f>
        <v>0</v>
      </c>
      <c r="HP282" s="1143" t="n">
        <f aca="false">(HJ282*CE282+HK282*CF282+HL282*CG282+HM282*CH282)</f>
        <v>0</v>
      </c>
      <c r="HQ282" s="1142"/>
      <c r="HR282" s="1142"/>
      <c r="HS282" s="1142"/>
      <c r="HT282" s="1142"/>
      <c r="HU282" s="1142"/>
      <c r="HV282" s="1142"/>
      <c r="HW282" s="1142"/>
      <c r="HX282" s="1142"/>
      <c r="HY282" s="1142"/>
      <c r="HZ282" s="1142"/>
      <c r="IA282" s="1142"/>
      <c r="IB282" s="1142"/>
      <c r="IC282" s="1142"/>
      <c r="ID282" s="1142"/>
      <c r="IE282" s="1142"/>
      <c r="IF282" s="1142"/>
      <c r="IG282" s="1142"/>
      <c r="IH282" s="1142"/>
      <c r="II282" s="1142"/>
      <c r="IJ282" s="1142"/>
      <c r="IK282" s="1142"/>
      <c r="IL282" s="1190"/>
      <c r="IM282" s="222"/>
      <c r="IN282" s="222"/>
      <c r="IR282" s="844"/>
    </row>
    <row r="283" customFormat="false" ht="13.5" hidden="false" customHeight="false" outlineLevel="0" collapsed="false">
      <c r="A283" s="0" t="str">
        <f aca="false">+D283&amp;"Q"&amp;ROUNDUP(E283/3,0)</f>
        <v>2022Q1</v>
      </c>
      <c r="B283" s="0" t="n">
        <f aca="false">YEAR(C283)</f>
        <v>2022</v>
      </c>
      <c r="C283" s="1153" t="n">
        <f aca="false">EOMONTH(C282,0)+1</f>
        <v>44621</v>
      </c>
      <c r="D283" s="841" t="n">
        <f aca="false">+YEAR(C283)</f>
        <v>2022</v>
      </c>
      <c r="E283" s="807" t="n">
        <f aca="false">MONTH(C283)</f>
        <v>3</v>
      </c>
      <c r="F283" s="1154" t="e">
        <f aca="false">IF(G283="","",Holiday(D283,E283))</f>
        <v>#VALUE!</v>
      </c>
      <c r="G283" s="1155" t="n">
        <v>44621</v>
      </c>
      <c r="H283" s="1156" t="n">
        <v>44651</v>
      </c>
      <c r="I283" s="1157" t="n">
        <f aca="false">I282</f>
        <v>0.0715</v>
      </c>
      <c r="J283" s="1158" t="n">
        <f aca="false">(1+I283/2)^(-2*(DATE(D284,E284,20)-$H$7)/365.25)</f>
        <v>0.208073042371574</v>
      </c>
      <c r="K283" s="1159"/>
      <c r="L283" s="1158"/>
      <c r="M283" s="1082" t="n">
        <v>0</v>
      </c>
      <c r="N283" s="1110" t="n">
        <f aca="false">M283</f>
        <v>0</v>
      </c>
      <c r="O283" s="1174" t="n">
        <f aca="false">N283</f>
        <v>0</v>
      </c>
      <c r="P283" s="1175" t="n">
        <f aca="false">M283</f>
        <v>0</v>
      </c>
      <c r="Q283" s="1110" t="n">
        <f aca="false">P283</f>
        <v>0</v>
      </c>
      <c r="R283" s="1174" t="n">
        <f aca="false">Q283</f>
        <v>0</v>
      </c>
      <c r="S283" s="1110" t="n">
        <f aca="false">R283</f>
        <v>0</v>
      </c>
      <c r="T283" s="1110" t="n">
        <f aca="false">S283</f>
        <v>0</v>
      </c>
      <c r="U283" s="1110" t="n">
        <f aca="false">T283</f>
        <v>0</v>
      </c>
      <c r="V283" s="1175" t="n">
        <f aca="false">U283</f>
        <v>0</v>
      </c>
      <c r="W283" s="1110" t="n">
        <f aca="false">V283</f>
        <v>0</v>
      </c>
      <c r="X283" s="1176" t="n">
        <f aca="false">W283</f>
        <v>0</v>
      </c>
      <c r="Y283" s="1086" t="n">
        <v>0</v>
      </c>
      <c r="Z283" s="1086" t="n">
        <v>0</v>
      </c>
      <c r="AA283" s="1087" t="n">
        <v>0</v>
      </c>
      <c r="AB283" s="1086" t="n">
        <v>0</v>
      </c>
      <c r="AC283" s="1086" t="n">
        <v>0</v>
      </c>
      <c r="AD283" s="1087" t="n">
        <v>0</v>
      </c>
      <c r="AE283" s="1086" t="n">
        <v>0</v>
      </c>
      <c r="AF283" s="1086" t="n">
        <v>0</v>
      </c>
      <c r="AG283" s="1087" t="n">
        <v>0</v>
      </c>
      <c r="AH283" s="1086" t="n">
        <v>0</v>
      </c>
      <c r="AI283" s="1086" t="n">
        <v>0</v>
      </c>
      <c r="AJ283" s="1087" t="n">
        <v>0</v>
      </c>
      <c r="AK283" s="1086" t="n">
        <v>0</v>
      </c>
      <c r="AL283" s="1086" t="n">
        <v>0</v>
      </c>
      <c r="AM283" s="1087" t="n">
        <v>0</v>
      </c>
      <c r="AN283" s="1086" t="n">
        <v>0</v>
      </c>
      <c r="AO283" s="1086" t="n">
        <v>0</v>
      </c>
      <c r="AP283" s="1087" t="n">
        <v>0</v>
      </c>
      <c r="AQ283" s="1086" t="n">
        <v>0</v>
      </c>
      <c r="AR283" s="1086" t="n">
        <v>0</v>
      </c>
      <c r="AS283" s="1087" t="n">
        <v>0</v>
      </c>
      <c r="AT283" s="1086" t="n">
        <v>0</v>
      </c>
      <c r="AU283" s="1086" t="n">
        <v>0</v>
      </c>
      <c r="AV283" s="1086" t="n">
        <v>0</v>
      </c>
      <c r="AW283" s="1172" t="n">
        <v>0</v>
      </c>
      <c r="AX283" s="807" t="n">
        <f aca="false">BB283-SUM(AY283:BA283)</f>
        <v>23</v>
      </c>
      <c r="AY283" s="807" t="n">
        <f aca="false">IF(AND($E283=MONTH(Summary!$E$24),$D283=YEAR(Summary!$E$24)),Summary!$E$25,1)*IF(G283="",0,INT((H283-MOD(H283,7)-G283)/7)+1-IF(BA283,IF(WEEKDAY(F283)=7,1,0),0))</f>
        <v>4</v>
      </c>
      <c r="AZ283" s="807" t="n">
        <f aca="false">IF(AND($E283=MONTH(Summary!$E$24),$D283=YEAR(Summary!$E$24)),Summary!$E$25,1)*IF(G283="",0,INT((H283-MOD(H283-1,7)-G283)/7)+1-IF(BA283,IF(WEEKDAY(F283)=1,1,0),0))</f>
        <v>4</v>
      </c>
      <c r="BA283" s="807" t="n">
        <v>0</v>
      </c>
      <c r="BB283" s="807" t="n">
        <f aca="false">IF(AND($E283=MONTH(Summary!$E$24),$D283=YEAR(Summary!$E$24)),Summary!$E$25,1)*IF(G283="",0,H283-G283+1)</f>
        <v>31</v>
      </c>
      <c r="BC283" s="1089" t="n">
        <f aca="false">Summary!$E$19</f>
        <v>0.015</v>
      </c>
      <c r="BD283" s="1090" t="n">
        <v>16311.6</v>
      </c>
      <c r="BE283" s="1091" t="n">
        <v>2836.8</v>
      </c>
      <c r="BF283" s="1091" t="n">
        <v>2836.8</v>
      </c>
      <c r="BG283" s="842"/>
      <c r="BH283" s="1092" t="n">
        <v>1</v>
      </c>
      <c r="BI283" s="1092" t="n">
        <v>1</v>
      </c>
      <c r="BJ283" s="1092" t="n">
        <v>1</v>
      </c>
      <c r="BK283" s="1092" t="n">
        <v>1</v>
      </c>
      <c r="BL283" s="1093" t="n">
        <v>3262.32</v>
      </c>
      <c r="BM283" s="1091" t="n">
        <v>567.36</v>
      </c>
      <c r="BN283" s="1091" t="n">
        <v>567.36</v>
      </c>
      <c r="BO283" s="842"/>
      <c r="BP283" s="1092" t="n">
        <v>1</v>
      </c>
      <c r="BQ283" s="1094" t="n">
        <v>1</v>
      </c>
      <c r="BR283" s="1094" t="n">
        <v>1</v>
      </c>
      <c r="BS283" s="1095" t="n">
        <v>1</v>
      </c>
      <c r="BT283" s="1093" t="n">
        <f aca="false">SUM(BD283:BF283)</f>
        <v>21985.2</v>
      </c>
      <c r="BU283" s="1098" t="n">
        <f aca="false">SUM(BD283:BG283)</f>
        <v>21985.2</v>
      </c>
      <c r="BV283" s="1090" t="n">
        <f aca="false">SUM(BL283:BN283)</f>
        <v>4397.04</v>
      </c>
      <c r="BW283" s="1098" t="n">
        <f aca="false">SUM(BL283:BO283)</f>
        <v>4397.04</v>
      </c>
      <c r="BX283" s="852" t="n">
        <v>22.2094455852156</v>
      </c>
      <c r="BY283" s="1099" t="n">
        <v>0</v>
      </c>
      <c r="BZ283" s="852" t="n">
        <v>0</v>
      </c>
      <c r="CA283" s="852" t="n">
        <v>0</v>
      </c>
      <c r="CB283" s="852" t="n">
        <v>0</v>
      </c>
      <c r="CC283" s="852" t="n">
        <v>0</v>
      </c>
      <c r="CD283" s="852" t="n">
        <v>0</v>
      </c>
      <c r="CE283" s="1100" t="n">
        <v>0</v>
      </c>
      <c r="CF283" s="852" t="n">
        <v>0</v>
      </c>
      <c r="CG283" s="852" t="n">
        <v>0</v>
      </c>
      <c r="CH283" s="852" t="n">
        <v>0</v>
      </c>
      <c r="CI283" s="852" t="n">
        <v>0</v>
      </c>
      <c r="CJ283" s="1101" t="n">
        <v>0</v>
      </c>
      <c r="CK283" s="852" t="n">
        <v>0</v>
      </c>
      <c r="CL283" s="852" t="n">
        <v>0</v>
      </c>
      <c r="CM283" s="852" t="n">
        <v>0</v>
      </c>
      <c r="CN283" s="852" t="n">
        <v>0</v>
      </c>
      <c r="CO283" s="852" t="n">
        <v>0</v>
      </c>
      <c r="CP283" s="852" t="n">
        <v>0</v>
      </c>
      <c r="CQ283" s="1102" t="n">
        <v>0</v>
      </c>
      <c r="CR283" s="1103" t="n">
        <v>0</v>
      </c>
      <c r="CS283" s="1103" t="n">
        <v>0</v>
      </c>
      <c r="CT283" s="1103" t="n">
        <v>0</v>
      </c>
      <c r="CU283" s="1103" t="n">
        <v>0</v>
      </c>
      <c r="CV283" s="1103" t="n">
        <v>0</v>
      </c>
      <c r="CW283" s="1103" t="n">
        <v>0</v>
      </c>
      <c r="CX283" s="1104" t="n">
        <v>0</v>
      </c>
      <c r="CY283" s="1105" t="n">
        <v>7816.322</v>
      </c>
      <c r="CZ283" s="1099" t="n">
        <v>0</v>
      </c>
      <c r="DA283" s="852" t="n">
        <v>0</v>
      </c>
      <c r="DB283" s="852" t="n">
        <v>0</v>
      </c>
      <c r="DC283" s="852" t="n">
        <v>0</v>
      </c>
      <c r="DD283" s="852" t="n">
        <v>0</v>
      </c>
      <c r="DE283" s="1113" t="n">
        <v>0</v>
      </c>
      <c r="DF283" s="1109" t="n">
        <v>0</v>
      </c>
      <c r="DG283" s="1110" t="n">
        <v>0</v>
      </c>
      <c r="DH283" s="1111" t="n">
        <v>0</v>
      </c>
      <c r="DI283" s="1112" t="n">
        <v>0</v>
      </c>
      <c r="DJ283" s="1112" t="n">
        <v>0</v>
      </c>
      <c r="DK283" s="1112" t="n">
        <v>0</v>
      </c>
      <c r="DL283" s="1113" t="n">
        <v>0</v>
      </c>
      <c r="DM283" s="1114" t="n">
        <v>0</v>
      </c>
      <c r="DN283" s="1114" t="n">
        <v>0</v>
      </c>
      <c r="DO283" s="1114" t="n">
        <v>0</v>
      </c>
      <c r="DP283" s="1114" t="n">
        <v>0</v>
      </c>
      <c r="DQ283" s="1114" t="n">
        <v>0</v>
      </c>
      <c r="DR283" s="1109" t="n">
        <v>0</v>
      </c>
      <c r="DS283" s="852" t="n">
        <v>0</v>
      </c>
      <c r="DT283" s="852" t="n">
        <v>0</v>
      </c>
      <c r="DU283" s="852" t="n">
        <v>0</v>
      </c>
      <c r="DV283" s="852" t="n">
        <v>0</v>
      </c>
      <c r="DW283" s="852" t="n">
        <v>0</v>
      </c>
      <c r="DX283" s="852" t="n">
        <v>0</v>
      </c>
      <c r="DY283" s="852" t="n">
        <v>0</v>
      </c>
      <c r="DZ283" s="852" t="n">
        <v>0</v>
      </c>
      <c r="EA283" s="852" t="n">
        <v>0</v>
      </c>
      <c r="EB283" s="1113" t="n">
        <v>0</v>
      </c>
      <c r="EC283" s="1115" t="n">
        <f aca="false">DS283*BD283</f>
        <v>0</v>
      </c>
      <c r="ED283" s="1115" t="n">
        <f aca="false">DT283*BE283</f>
        <v>0</v>
      </c>
      <c r="EE283" s="1115" t="n">
        <f aca="false">DU283*BF283</f>
        <v>0</v>
      </c>
      <c r="EF283" s="1115" t="n">
        <f aca="false">DV283*BG283</f>
        <v>0</v>
      </c>
      <c r="EG283" s="1115" t="n">
        <f aca="false">DS283*BD283+DT283*BE283+DU283*BF283+DV283*BG283</f>
        <v>0</v>
      </c>
      <c r="EH283" s="1116" t="n">
        <v>0</v>
      </c>
      <c r="EI283" s="1117" t="n">
        <v>0</v>
      </c>
      <c r="EJ283" s="1117" t="n">
        <v>0</v>
      </c>
      <c r="EK283" s="1117" t="n">
        <v>0</v>
      </c>
      <c r="EL283" s="1118" t="n">
        <f aca="false">IF(C283&gt;=Summary!$E$26,MAX(0,SUM(EH283:EK283)),0)</f>
        <v>0</v>
      </c>
      <c r="EM283" s="1115" t="n">
        <f aca="false">IF(C283&gt;=Summary!$E$26,DX283*BL283,0)</f>
        <v>0</v>
      </c>
      <c r="EN283" s="1115" t="n">
        <f aca="false">IF(C283&gt;=Summary!$E$26,DY283*BM283,0)</f>
        <v>0</v>
      </c>
      <c r="EO283" s="1115" t="n">
        <f aca="false">IF(C283&gt;=Summary!$E$26,DZ283*BN283,0)</f>
        <v>0</v>
      </c>
      <c r="EP283" s="1115" t="n">
        <f aca="false">IF(C283&gt;=Summary!$E$26,EA283*BO283,0)</f>
        <v>0</v>
      </c>
      <c r="EQ283" s="1115" t="n">
        <f aca="false">IF(C283&gt;=Summary!$E$26,DX283*BL283+DY283*BM283+DZ283*BN283+EA283*BO283,0)</f>
        <v>0</v>
      </c>
      <c r="ER283" s="1119" t="n">
        <v>0</v>
      </c>
      <c r="ES283" s="1120" t="n">
        <v>0</v>
      </c>
      <c r="ET283" s="1120" t="n">
        <v>0</v>
      </c>
      <c r="EU283" s="1120" t="n">
        <v>0</v>
      </c>
      <c r="EV283" s="1143" t="n">
        <f aca="false">IF(C283&gt;=Summary!$E$26,MAX(0,SUM(ER283:EU283)),0)</f>
        <v>0</v>
      </c>
      <c r="EW283" s="1115"/>
      <c r="EX283" s="1165" t="n">
        <f aca="false">(EQ283-EV283)+IF(EZ283="Yes",(EG283-EL283),0)</f>
        <v>0</v>
      </c>
      <c r="EY283" s="1166" t="str">
        <f aca="false">IF(EX283,EX283/EQ283,"")</f>
        <v/>
      </c>
      <c r="EZ283" s="1122" t="s">
        <v>37</v>
      </c>
      <c r="FA283" s="1096" t="n">
        <f aca="false">FA282</f>
        <v>45</v>
      </c>
      <c r="FB283" s="1167" t="n">
        <f aca="false">IF(EZ283="No",IF((OR(MONTH(C283)=5,MONTH(C283)=6,MONTH(C283)=7,MONTH(C283)=8,MONTH(C283)=9)),$FA283*12*AX283*(1-$BC283),$FA283*10*AX283*(1-$BC283)),0)</f>
        <v>10194.75</v>
      </c>
      <c r="FC283" s="1129" t="n">
        <f aca="false">IF(EZ283="No",IF((OR(MONTH(C283)=5,MONTH(C283)=6,MONTH(C283)=7,MONTH(C283)=8,MONTH(C283)=9)),0,$FA283*3*AX283*(1-$BC283)),0)</f>
        <v>3058.425</v>
      </c>
      <c r="FD283" s="1129" t="n">
        <f aca="false">IF(EZ283="No",IF((OR(MONTH(C283)=5,MONTH(C283)=6,MONTH(C283)=7,MONTH(C283)=8,MONTH(C283)=9)),$FA283*12*AY283*(1-$BC283),$FA283*10*AY283*(1-$BC283)),0)</f>
        <v>1773</v>
      </c>
      <c r="FE283" s="1129" t="n">
        <f aca="false">IF(EZ283="No",IF((OR(MONTH(C283)=5,MONTH(C283)=6,MONTH(C283)=7,MONTH(C283)=8,MONTH(C283)=9)),0,$FA283*3*AY283*(1-$BC283)),0)</f>
        <v>531.9</v>
      </c>
      <c r="FF283" s="1129" t="n">
        <f aca="false">IF(EZ283="No",IF((OR(MONTH(C283)=5,MONTH(C283)=6,MONTH(C283)=7,MONTH(C283)=8,MONTH(C283)=9)),$FA283*12*(AZ283+BA283)*(1-$BC283),$FA283*10*(AZ283+BA283)*(1-$BC283)),0)</f>
        <v>1773</v>
      </c>
      <c r="FG283" s="1129" t="n">
        <f aca="false">IF(EZ283="No",IF((OR(MONTH(C283)=5,MONTH(C283)=6,MONTH(C283)=7,MONTH(C283)=8,MONTH(C283)=9)),0,$FA283*3*(AZ283+BA283)*(1-$BC283)),0)</f>
        <v>531.9</v>
      </c>
      <c r="FH283" s="1170" t="n">
        <f aca="false">IF(EZ283="No",IF((OR(MONTH(C283)=5,MONTH(C283)=6,MONTH(C283)=7,MONTH(C283)=8,MONTH(C283)=9)),Summary!$O$15*12*(AX283+AY283+AZ283+BA283)*(1-$BC283),Summary!$O$15*13*(AX283+AY283+AZ283+BA283)*(1-$BC283)+IF(Summary!$O$16="Yes",(CALC!FA283+Summary!$O$15)*6*(AX283+AY283+AZ283+BA283)*(1-$BC283),0)),0)</f>
        <v>0</v>
      </c>
      <c r="FI283" s="1126" t="n">
        <f aca="false">IF(MONTH(C283)=5,FI282*(IF(Summary!$E$70="no",(1+(Summary!$E$71*0.8)),1+HLOOKUP(YEAR(C283)-1,CCFMODEL!$I$127:$AF$128,2)*0.8)),+FI282)</f>
        <v>44.8252497008979</v>
      </c>
      <c r="FJ283" s="1127" t="n">
        <f aca="false">IF(MONTH(C283)=5,FJ282*(IF(Summary!$E$70="no",(1+(Summary!$E$71*0.8)),1+HLOOKUP(YEAR(CALC!C283)-1,CCFMODEL!$I$127:$AF$128,2)*0.8)),FJ282)</f>
        <v>39.1779741480288</v>
      </c>
      <c r="FK283" s="1128" t="n">
        <f aca="false">SUM(FB283:FG283)*FI283+FH283*FJ283</f>
        <v>800712.314775896</v>
      </c>
      <c r="FL283" s="1126" t="n">
        <f aca="false">IF(MONTH(C283)=5,FL282*(IF(Summary!$E$70="no",(1+(Summary!$E$71*0.8)),1+HLOOKUP(YEAR(CALC!C283)-1,CCFMODEL!$I$127:$AF$128,2)*0.8)),+FL282)</f>
        <v>94.2725255239355</v>
      </c>
      <c r="FM283" s="1127" t="n">
        <f aca="false">IF(MONTH(C283)=5,FM282*(IF(Summary!$E$70="no",(1+(Summary!$E$71*0.8)),1+HLOOKUP(YEAR(CALC!C283)-1,CCFMODEL!$I$127:$AF$128,2)*0.8)),+FM282)</f>
        <v>44.9933233780666</v>
      </c>
      <c r="FN283" s="1128" t="n">
        <f aca="false">IF((OR(MONTH(C283)=5,MONTH(C283)=6,MONTH(C283)=7,MONTH(C283)=8,MONTH(C283)=9)),SUM(FB283:FG283)/(1-BC283)*FL283,SUM(FB283:FG283)/(1-BC283)*FM283)</f>
        <v>815953.919461237</v>
      </c>
      <c r="FO283" s="1129" t="n">
        <f aca="false">FK283+FN283</f>
        <v>1616666.23423713</v>
      </c>
      <c r="FP283" s="1169" t="n">
        <f aca="false">FB283</f>
        <v>10194.75</v>
      </c>
      <c r="FQ283" s="1129" t="n">
        <f aca="false">FC283</f>
        <v>3058.425</v>
      </c>
      <c r="FR283" s="1129" t="n">
        <f aca="false">FD283</f>
        <v>1773</v>
      </c>
      <c r="FS283" s="1129" t="n">
        <f aca="false">FE283</f>
        <v>531.9</v>
      </c>
      <c r="FT283" s="1129" t="n">
        <f aca="false">FF283</f>
        <v>1773</v>
      </c>
      <c r="FU283" s="1129" t="n">
        <f aca="false">FG283</f>
        <v>531.9</v>
      </c>
      <c r="FV283" s="1170" t="n">
        <f aca="false">FH283</f>
        <v>0</v>
      </c>
      <c r="FW283" s="1115" t="n">
        <f aca="false">IF(ER283&gt;0,MIN(FB283-FP283,BL283),0)</f>
        <v>0</v>
      </c>
      <c r="FX283" s="1115" t="n">
        <f aca="false">IF(ES283&gt;0,MIN(FD283-FR283,BM283),0)</f>
        <v>0</v>
      </c>
      <c r="FY283" s="1115" t="n">
        <f aca="false">IF(ET283&gt;0,MIN(FF283-FT283,BN283),0)</f>
        <v>0</v>
      </c>
      <c r="FZ283" s="1143" t="n">
        <f aca="false">IF(EU283&gt;0,MIN(FH283-FV283,BO283),0)</f>
        <v>0</v>
      </c>
      <c r="GA283" s="1132" t="n">
        <f aca="false">(SUM(FP283:FV283)+SUM(GU283:HB283)/(1-Summary!$O$25))*CY283/1000</f>
        <v>139622.76447795</v>
      </c>
      <c r="GB283" s="1133" t="n">
        <f aca="false">IF($C283&lt;Summary!$M$81,+Summary!$O$81,VLOOKUP(C283,GasTable,19))</f>
        <v>4.699</v>
      </c>
      <c r="GC283" s="1134" t="n">
        <f aca="false">IF(H283&lt;=Summary!$N$84,MIN(GA283,Summary!$O$75*(H283-G283+1)),0)</f>
        <v>0</v>
      </c>
      <c r="GD283" s="1135" t="n">
        <f aca="false">IF(C283&lt;Summary!$N$84,IF(Summary!$O$75*(H283-G283+1)*0.8&gt;GC283,1,0),0)</f>
        <v>0</v>
      </c>
      <c r="GE283" s="1136" t="n">
        <v>0</v>
      </c>
      <c r="GF283" s="1134" t="n">
        <f aca="false">ABS(MIN(0,GC283-$GA283))</f>
        <v>139622.76447795</v>
      </c>
      <c r="GG283" s="1135" t="n">
        <f aca="false">GF283*(IF(Summary!$O$74=1,VLOOKUP($C283,GasTable,16)+Summary!$O$92+Summary!$O$93,VLOOKUP($C283,GasTable,19)+Summary!$O$92+Summary!$O$93))</f>
        <v>663361.716311188</v>
      </c>
      <c r="GH283" s="1137" t="n">
        <v>7283.45</v>
      </c>
      <c r="GI283" s="1138" t="n">
        <v>0</v>
      </c>
      <c r="GJ283" s="1139" t="n">
        <f aca="false">+GB283*GC283+GE283+GG283+GH283-GI283</f>
        <v>670645.166311188</v>
      </c>
      <c r="GK283" s="1115" t="n">
        <f aca="false">SUM(FP283:FV283,GU283:GX283,GY283:HB283)</f>
        <v>17862.975</v>
      </c>
      <c r="GL283" s="1140" t="n">
        <v>0.523693574</v>
      </c>
      <c r="GM283" s="1141" t="n">
        <f aca="false">IF(GK283&gt;GC283/(CY283/1000),GC283/(CY283/1000),+GK283)*GL283</f>
        <v>0</v>
      </c>
      <c r="GN283" s="1115" t="n">
        <f aca="false">IF(SUM(GU283:HB283)=0,0,IF(Summary!$O$16="Yes",SUM(GX283:HB283),IF(Summary!$O$17="Yes",SUM(GY283:HB283),SUM(GU283:HB283))))</f>
        <v>0</v>
      </c>
      <c r="GO283" s="1142" t="n">
        <v>4.55941701293117</v>
      </c>
      <c r="GP283" s="1143" t="n">
        <f aca="false">GN283*GO283</f>
        <v>0</v>
      </c>
      <c r="GQ283" s="1115"/>
      <c r="GR283" s="1115"/>
      <c r="GS283" s="1115"/>
      <c r="GT283" s="1115"/>
      <c r="GU283" s="1150" t="n">
        <v>0</v>
      </c>
      <c r="GV283" s="1115" t="n">
        <v>0</v>
      </c>
      <c r="GW283" s="1115" t="n">
        <v>0</v>
      </c>
      <c r="GX283" s="1115"/>
      <c r="GY283" s="1151" t="n">
        <v>0</v>
      </c>
      <c r="GZ283" s="1115" t="n">
        <v>0</v>
      </c>
      <c r="HA283" s="1115" t="n">
        <v>0</v>
      </c>
      <c r="HB283" s="1141"/>
      <c r="HC283" s="1115" t="n">
        <v>0</v>
      </c>
      <c r="HD283" s="1115"/>
      <c r="HE283" s="1115" t="n">
        <v>0</v>
      </c>
      <c r="HF283" s="1115" t="n">
        <v>0</v>
      </c>
      <c r="HG283" s="1115"/>
      <c r="HH283" s="1142" t="n">
        <v>0</v>
      </c>
      <c r="HI283" s="1115" t="n">
        <v>0</v>
      </c>
      <c r="HJ283" s="1150" t="n">
        <f aca="false">MAX(FB283-FP283-FW283,0)</f>
        <v>0</v>
      </c>
      <c r="HK283" s="1115" t="n">
        <f aca="false">MAX(FD283-FR283-FX283,0)</f>
        <v>0</v>
      </c>
      <c r="HL283" s="1115" t="n">
        <f aca="false">MAX(FF283-FT283-FY283,0)</f>
        <v>0</v>
      </c>
      <c r="HM283" s="1141" t="n">
        <f aca="false">MAX(FH283-FV283-FZ283,0)</f>
        <v>0</v>
      </c>
      <c r="HN283" s="1115" t="n">
        <f aca="false">SUM(HJ283:HM283)</f>
        <v>0</v>
      </c>
      <c r="HO283" s="1142" t="n">
        <f aca="false">IF(ISERROR(+HP283/HN283),0,+HP283/HN283)</f>
        <v>0</v>
      </c>
      <c r="HP283" s="1143" t="n">
        <f aca="false">(HJ283*CE283+HK283*CF283+HL283*CG283+HM283*CH283)</f>
        <v>0</v>
      </c>
      <c r="HQ283" s="1142"/>
      <c r="HR283" s="1142"/>
      <c r="HS283" s="1142"/>
      <c r="HT283" s="1142"/>
      <c r="HU283" s="1142"/>
      <c r="HV283" s="1142"/>
      <c r="HW283" s="1142"/>
      <c r="HX283" s="1142"/>
      <c r="HY283" s="1142"/>
      <c r="HZ283" s="1142"/>
      <c r="IA283" s="1142"/>
      <c r="IB283" s="1142"/>
      <c r="IC283" s="1142"/>
      <c r="ID283" s="1142"/>
      <c r="IE283" s="1142"/>
      <c r="IF283" s="1142"/>
      <c r="IG283" s="1142"/>
      <c r="IH283" s="1142"/>
      <c r="II283" s="1142"/>
      <c r="IJ283" s="1142"/>
      <c r="IK283" s="1142"/>
      <c r="IL283" s="1190"/>
      <c r="IM283" s="222"/>
      <c r="IN283" s="222"/>
      <c r="IR283" s="844"/>
    </row>
    <row r="284" customFormat="false" ht="13.5" hidden="false" customHeight="false" outlineLevel="0" collapsed="false">
      <c r="A284" s="0" t="str">
        <f aca="false">+D284&amp;"Q"&amp;ROUNDUP(E284/3,0)</f>
        <v>2022Q2</v>
      </c>
      <c r="B284" s="0" t="n">
        <f aca="false">YEAR(C284)</f>
        <v>2022</v>
      </c>
      <c r="C284" s="1153" t="n">
        <f aca="false">EOMONTH(C283,0)+1</f>
        <v>44652</v>
      </c>
      <c r="D284" s="841" t="n">
        <f aca="false">+YEAR(C284)</f>
        <v>2022</v>
      </c>
      <c r="E284" s="807" t="n">
        <f aca="false">MONTH(C284)</f>
        <v>4</v>
      </c>
      <c r="F284" s="1154" t="e">
        <f aca="false">IF(G284="","",Holiday(D284,E284))</f>
        <v>#VALUE!</v>
      </c>
      <c r="G284" s="1155" t="n">
        <v>44652</v>
      </c>
      <c r="H284" s="1156" t="n">
        <v>44681</v>
      </c>
      <c r="I284" s="1157" t="n">
        <f aca="false">I283</f>
        <v>0.0715</v>
      </c>
      <c r="J284" s="1158" t="n">
        <f aca="false">(1+I284/2)^(-2*(DATE(D285,E285,20)-$H$7)/365.25)</f>
        <v>0.206875886440306</v>
      </c>
      <c r="K284" s="1159"/>
      <c r="L284" s="1158"/>
      <c r="M284" s="1082" t="n">
        <v>0</v>
      </c>
      <c r="N284" s="1110" t="n">
        <f aca="false">M284</f>
        <v>0</v>
      </c>
      <c r="O284" s="1174" t="n">
        <f aca="false">N284</f>
        <v>0</v>
      </c>
      <c r="P284" s="1175" t="n">
        <f aca="false">M284</f>
        <v>0</v>
      </c>
      <c r="Q284" s="1110" t="n">
        <f aca="false">P284</f>
        <v>0</v>
      </c>
      <c r="R284" s="1174" t="n">
        <f aca="false">Q284</f>
        <v>0</v>
      </c>
      <c r="S284" s="1110" t="n">
        <f aca="false">R284</f>
        <v>0</v>
      </c>
      <c r="T284" s="1110" t="n">
        <f aca="false">S284</f>
        <v>0</v>
      </c>
      <c r="U284" s="1110" t="n">
        <f aca="false">T284</f>
        <v>0</v>
      </c>
      <c r="V284" s="1175" t="n">
        <f aca="false">U284</f>
        <v>0</v>
      </c>
      <c r="W284" s="1110" t="n">
        <f aca="false">V284</f>
        <v>0</v>
      </c>
      <c r="X284" s="1176" t="n">
        <f aca="false">W284</f>
        <v>0</v>
      </c>
      <c r="Y284" s="1086" t="n">
        <v>0</v>
      </c>
      <c r="Z284" s="1086" t="n">
        <v>0</v>
      </c>
      <c r="AA284" s="1087" t="n">
        <v>0</v>
      </c>
      <c r="AB284" s="1086" t="n">
        <v>0</v>
      </c>
      <c r="AC284" s="1086" t="n">
        <v>0</v>
      </c>
      <c r="AD284" s="1087" t="n">
        <v>0</v>
      </c>
      <c r="AE284" s="1086" t="n">
        <v>0</v>
      </c>
      <c r="AF284" s="1086" t="n">
        <v>0</v>
      </c>
      <c r="AG284" s="1087" t="n">
        <v>0</v>
      </c>
      <c r="AH284" s="1086" t="n">
        <v>0</v>
      </c>
      <c r="AI284" s="1086" t="n">
        <v>0</v>
      </c>
      <c r="AJ284" s="1087" t="n">
        <v>0</v>
      </c>
      <c r="AK284" s="1086" t="n">
        <v>0</v>
      </c>
      <c r="AL284" s="1086" t="n">
        <v>0</v>
      </c>
      <c r="AM284" s="1087" t="n">
        <v>0</v>
      </c>
      <c r="AN284" s="1086" t="n">
        <v>0</v>
      </c>
      <c r="AO284" s="1086" t="n">
        <v>0</v>
      </c>
      <c r="AP284" s="1087" t="n">
        <v>0</v>
      </c>
      <c r="AQ284" s="1086" t="n">
        <v>0</v>
      </c>
      <c r="AR284" s="1086" t="n">
        <v>0</v>
      </c>
      <c r="AS284" s="1087" t="n">
        <v>0</v>
      </c>
      <c r="AT284" s="1086" t="n">
        <v>0</v>
      </c>
      <c r="AU284" s="1086" t="n">
        <v>0</v>
      </c>
      <c r="AV284" s="1086" t="n">
        <v>0</v>
      </c>
      <c r="AW284" s="1172" t="n">
        <v>0</v>
      </c>
      <c r="AX284" s="807" t="n">
        <f aca="false">BB284-SUM(AY284:BA284)</f>
        <v>21</v>
      </c>
      <c r="AY284" s="807" t="n">
        <f aca="false">IF(AND($E284=MONTH(Summary!$E$24),$D284=YEAR(Summary!$E$24)),Summary!$E$25,1)*IF(G284="",0,INT((H284-MOD(H284,7)-G284)/7)+1-IF(BA284,IF(WEEKDAY(F284)=7,1,0),0))</f>
        <v>5</v>
      </c>
      <c r="AZ284" s="807" t="n">
        <f aca="false">IF(AND($E284=MONTH(Summary!$E$24),$D284=YEAR(Summary!$E$24)),Summary!$E$25,1)*IF(G284="",0,INT((H284-MOD(H284-1,7)-G284)/7)+1-IF(BA284,IF(WEEKDAY(F284)=1,1,0),0))</f>
        <v>4</v>
      </c>
      <c r="BA284" s="807" t="n">
        <v>0</v>
      </c>
      <c r="BB284" s="807" t="n">
        <f aca="false">IF(AND($E284=MONTH(Summary!$E$24),$D284=YEAR(Summary!$E$24)),Summary!$E$25,1)*IF(G284="",0,H284-G284+1)</f>
        <v>30</v>
      </c>
      <c r="BC284" s="1089" t="n">
        <f aca="false">Summary!$E$19</f>
        <v>0.015</v>
      </c>
      <c r="BD284" s="1090" t="n">
        <v>14893.2</v>
      </c>
      <c r="BE284" s="1091" t="n">
        <v>3546</v>
      </c>
      <c r="BF284" s="1091" t="n">
        <v>2836.8</v>
      </c>
      <c r="BG284" s="842"/>
      <c r="BH284" s="1092" t="n">
        <v>1</v>
      </c>
      <c r="BI284" s="1092" t="n">
        <v>1</v>
      </c>
      <c r="BJ284" s="1092" t="n">
        <v>1</v>
      </c>
      <c r="BK284" s="1092" t="n">
        <v>1</v>
      </c>
      <c r="BL284" s="1093" t="n">
        <v>2978.64</v>
      </c>
      <c r="BM284" s="1091" t="n">
        <v>709.2</v>
      </c>
      <c r="BN284" s="1091" t="n">
        <v>567.36</v>
      </c>
      <c r="BO284" s="842"/>
      <c r="BP284" s="1092" t="n">
        <v>1</v>
      </c>
      <c r="BQ284" s="1094" t="n">
        <v>1</v>
      </c>
      <c r="BR284" s="1094" t="n">
        <v>1</v>
      </c>
      <c r="BS284" s="1095" t="n">
        <v>1</v>
      </c>
      <c r="BT284" s="1093" t="n">
        <f aca="false">SUM(BD284:BF284)</f>
        <v>21276</v>
      </c>
      <c r="BU284" s="1098" t="n">
        <f aca="false">SUM(BD284:BG284)</f>
        <v>21276</v>
      </c>
      <c r="BV284" s="1090" t="n">
        <f aca="false">SUM(BL284:BN284)</f>
        <v>4255.2</v>
      </c>
      <c r="BW284" s="1098" t="n">
        <f aca="false">SUM(BL284:BO284)</f>
        <v>4255.2</v>
      </c>
      <c r="BX284" s="852" t="n">
        <v>22.2943189596167</v>
      </c>
      <c r="BY284" s="1099" t="n">
        <v>0</v>
      </c>
      <c r="BZ284" s="852" t="n">
        <v>0</v>
      </c>
      <c r="CA284" s="852" t="n">
        <v>0</v>
      </c>
      <c r="CB284" s="852" t="n">
        <v>0</v>
      </c>
      <c r="CC284" s="852" t="n">
        <v>0</v>
      </c>
      <c r="CD284" s="852" t="n">
        <v>0</v>
      </c>
      <c r="CE284" s="1100" t="n">
        <v>0</v>
      </c>
      <c r="CF284" s="852" t="n">
        <v>0</v>
      </c>
      <c r="CG284" s="852" t="n">
        <v>0</v>
      </c>
      <c r="CH284" s="852" t="n">
        <v>0</v>
      </c>
      <c r="CI284" s="852" t="n">
        <v>0</v>
      </c>
      <c r="CJ284" s="1101" t="n">
        <v>0</v>
      </c>
      <c r="CK284" s="852" t="n">
        <v>0</v>
      </c>
      <c r="CL284" s="852" t="n">
        <v>0</v>
      </c>
      <c r="CM284" s="852" t="n">
        <v>0</v>
      </c>
      <c r="CN284" s="852" t="n">
        <v>0</v>
      </c>
      <c r="CO284" s="852" t="n">
        <v>0</v>
      </c>
      <c r="CP284" s="852" t="n">
        <v>0</v>
      </c>
      <c r="CQ284" s="1102" t="n">
        <v>0</v>
      </c>
      <c r="CR284" s="1103" t="n">
        <v>0</v>
      </c>
      <c r="CS284" s="1103" t="n">
        <v>0</v>
      </c>
      <c r="CT284" s="1103" t="n">
        <v>0</v>
      </c>
      <c r="CU284" s="1103" t="n">
        <v>0</v>
      </c>
      <c r="CV284" s="1103" t="n">
        <v>0</v>
      </c>
      <c r="CW284" s="1103" t="n">
        <v>0</v>
      </c>
      <c r="CX284" s="1104" t="n">
        <v>0</v>
      </c>
      <c r="CY284" s="1105" t="n">
        <v>7818.35296</v>
      </c>
      <c r="CZ284" s="1099" t="n">
        <v>0</v>
      </c>
      <c r="DA284" s="852" t="n">
        <v>0</v>
      </c>
      <c r="DB284" s="852" t="n">
        <v>0</v>
      </c>
      <c r="DC284" s="852" t="n">
        <v>0</v>
      </c>
      <c r="DD284" s="852" t="n">
        <v>0</v>
      </c>
      <c r="DE284" s="1113" t="n">
        <v>0</v>
      </c>
      <c r="DF284" s="1109" t="n">
        <v>0</v>
      </c>
      <c r="DG284" s="1110" t="n">
        <v>0</v>
      </c>
      <c r="DH284" s="1111" t="n">
        <v>0</v>
      </c>
      <c r="DI284" s="1112" t="n">
        <v>0</v>
      </c>
      <c r="DJ284" s="1112" t="n">
        <v>0</v>
      </c>
      <c r="DK284" s="1112" t="n">
        <v>0</v>
      </c>
      <c r="DL284" s="1113" t="n">
        <v>0</v>
      </c>
      <c r="DM284" s="1114" t="n">
        <v>0</v>
      </c>
      <c r="DN284" s="1114" t="n">
        <v>0</v>
      </c>
      <c r="DO284" s="1114" t="n">
        <v>0</v>
      </c>
      <c r="DP284" s="1114" t="n">
        <v>0</v>
      </c>
      <c r="DQ284" s="1114" t="n">
        <v>0</v>
      </c>
      <c r="DR284" s="1109" t="n">
        <v>0</v>
      </c>
      <c r="DS284" s="852" t="n">
        <v>0</v>
      </c>
      <c r="DT284" s="852" t="n">
        <v>0</v>
      </c>
      <c r="DU284" s="852" t="n">
        <v>0</v>
      </c>
      <c r="DV284" s="852" t="n">
        <v>0</v>
      </c>
      <c r="DW284" s="852" t="n">
        <v>0</v>
      </c>
      <c r="DX284" s="852" t="n">
        <v>0</v>
      </c>
      <c r="DY284" s="852" t="n">
        <v>0</v>
      </c>
      <c r="DZ284" s="852" t="n">
        <v>0</v>
      </c>
      <c r="EA284" s="852" t="n">
        <v>0</v>
      </c>
      <c r="EB284" s="1113" t="n">
        <v>0</v>
      </c>
      <c r="EC284" s="1115" t="n">
        <f aca="false">DS284*BD284</f>
        <v>0</v>
      </c>
      <c r="ED284" s="1115" t="n">
        <f aca="false">DT284*BE284</f>
        <v>0</v>
      </c>
      <c r="EE284" s="1115" t="n">
        <f aca="false">DU284*BF284</f>
        <v>0</v>
      </c>
      <c r="EF284" s="1115" t="n">
        <f aca="false">DV284*BG284</f>
        <v>0</v>
      </c>
      <c r="EG284" s="1115" t="n">
        <f aca="false">DS284*BD284+DT284*BE284+DU284*BF284+DV284*BG284</f>
        <v>0</v>
      </c>
      <c r="EH284" s="1116" t="n">
        <v>0</v>
      </c>
      <c r="EI284" s="1117" t="n">
        <v>0</v>
      </c>
      <c r="EJ284" s="1117" t="n">
        <v>0</v>
      </c>
      <c r="EK284" s="1117" t="n">
        <v>0</v>
      </c>
      <c r="EL284" s="1118" t="n">
        <f aca="false">IF(C284&gt;=Summary!$E$26,MAX(0,SUM(EH284:EK284)),0)</f>
        <v>0</v>
      </c>
      <c r="EM284" s="1115" t="n">
        <f aca="false">IF(C284&gt;=Summary!$E$26,DX284*BL284,0)</f>
        <v>0</v>
      </c>
      <c r="EN284" s="1115" t="n">
        <f aca="false">IF(C284&gt;=Summary!$E$26,DY284*BM284,0)</f>
        <v>0</v>
      </c>
      <c r="EO284" s="1115" t="n">
        <f aca="false">IF(C284&gt;=Summary!$E$26,DZ284*BN284,0)</f>
        <v>0</v>
      </c>
      <c r="EP284" s="1115" t="n">
        <f aca="false">IF(C284&gt;=Summary!$E$26,EA284*BO284,0)</f>
        <v>0</v>
      </c>
      <c r="EQ284" s="1115" t="n">
        <f aca="false">IF(C284&gt;=Summary!$E$26,DX284*BL284+DY284*BM284+DZ284*BN284+EA284*BO284,0)</f>
        <v>0</v>
      </c>
      <c r="ER284" s="1119" t="n">
        <v>0</v>
      </c>
      <c r="ES284" s="1120" t="n">
        <v>0</v>
      </c>
      <c r="ET284" s="1120" t="n">
        <v>0</v>
      </c>
      <c r="EU284" s="1120" t="n">
        <v>0</v>
      </c>
      <c r="EV284" s="1143" t="n">
        <f aca="false">IF(C284&gt;=Summary!$E$26,MAX(0,SUM(ER284:EU284)),0)</f>
        <v>0</v>
      </c>
      <c r="EW284" s="1115"/>
      <c r="EX284" s="1165" t="n">
        <f aca="false">(EQ284-EV284)+IF(EZ284="Yes",(EG284-EL284),0)</f>
        <v>0</v>
      </c>
      <c r="EY284" s="1166" t="str">
        <f aca="false">IF(EX284,EX284/EQ284,"")</f>
        <v/>
      </c>
      <c r="EZ284" s="1122" t="s">
        <v>37</v>
      </c>
      <c r="FA284" s="1096" t="n">
        <f aca="false">FA283</f>
        <v>45</v>
      </c>
      <c r="FB284" s="1167" t="n">
        <f aca="false">IF(EZ284="No",IF((OR(MONTH(C284)=5,MONTH(C284)=6,MONTH(C284)=7,MONTH(C284)=8,MONTH(C284)=9)),$FA284*12*AX284*(1-$BC284),$FA284*10*AX284*(1-$BC284)),0)</f>
        <v>9308.25</v>
      </c>
      <c r="FC284" s="1129" t="n">
        <f aca="false">IF(EZ284="No",IF((OR(MONTH(C284)=5,MONTH(C284)=6,MONTH(C284)=7,MONTH(C284)=8,MONTH(C284)=9)),0,$FA284*3*AX284*(1-$BC284)),0)</f>
        <v>2792.475</v>
      </c>
      <c r="FD284" s="1129" t="n">
        <f aca="false">IF(EZ284="No",IF((OR(MONTH(C284)=5,MONTH(C284)=6,MONTH(C284)=7,MONTH(C284)=8,MONTH(C284)=9)),$FA284*12*AY284*(1-$BC284),$FA284*10*AY284*(1-$BC284)),0)</f>
        <v>2216.25</v>
      </c>
      <c r="FE284" s="1129" t="n">
        <f aca="false">IF(EZ284="No",IF((OR(MONTH(C284)=5,MONTH(C284)=6,MONTH(C284)=7,MONTH(C284)=8,MONTH(C284)=9)),0,$FA284*3*AY284*(1-$BC284)),0)</f>
        <v>664.875</v>
      </c>
      <c r="FF284" s="1129" t="n">
        <f aca="false">IF(EZ284="No",IF((OR(MONTH(C284)=5,MONTH(C284)=6,MONTH(C284)=7,MONTH(C284)=8,MONTH(C284)=9)),$FA284*12*(AZ284+BA284)*(1-$BC284),$FA284*10*(AZ284+BA284)*(1-$BC284)),0)</f>
        <v>1773</v>
      </c>
      <c r="FG284" s="1129" t="n">
        <f aca="false">IF(EZ284="No",IF((OR(MONTH(C284)=5,MONTH(C284)=6,MONTH(C284)=7,MONTH(C284)=8,MONTH(C284)=9)),0,$FA284*3*(AZ284+BA284)*(1-$BC284)),0)</f>
        <v>531.9</v>
      </c>
      <c r="FH284" s="1170" t="n">
        <f aca="false">IF(EZ284="No",IF((OR(MONTH(C284)=5,MONTH(C284)=6,MONTH(C284)=7,MONTH(C284)=8,MONTH(C284)=9)),Summary!$O$15*12*(AX284+AY284+AZ284+BA284)*(1-$BC284),Summary!$O$15*13*(AX284+AY284+AZ284+BA284)*(1-$BC284)+IF(Summary!$O$16="Yes",(CALC!FA284+Summary!$O$15)*6*(AX284+AY284+AZ284+BA284)*(1-$BC284),0)),0)</f>
        <v>0</v>
      </c>
      <c r="FI284" s="1126" t="n">
        <f aca="false">IF(MONTH(C284)=5,FI283*(IF(Summary!$E$70="no",(1+(Summary!$E$71*0.8)),1+HLOOKUP(YEAR(C284)-1,CCFMODEL!$I$127:$AF$128,2)*0.8)),+FI283)</f>
        <v>44.8252497008979</v>
      </c>
      <c r="FJ284" s="1127" t="n">
        <f aca="false">IF(MONTH(C284)=5,FJ283*(IF(Summary!$E$70="no",(1+(Summary!$E$71*0.8)),1+HLOOKUP(YEAR(CALC!C284)-1,CCFMODEL!$I$127:$AF$128,2)*0.8)),FJ283)</f>
        <v>39.1779741480288</v>
      </c>
      <c r="FK284" s="1128" t="n">
        <f aca="false">SUM(FB284:FG284)*FI284+FH284*FJ284</f>
        <v>774882.885266996</v>
      </c>
      <c r="FL284" s="1126" t="n">
        <f aca="false">IF(MONTH(C284)=5,FL283*(IF(Summary!$E$70="no",(1+(Summary!$E$71*0.8)),1+HLOOKUP(YEAR(CALC!C284)-1,CCFMODEL!$I$127:$AF$128,2)*0.8)),+FL283)</f>
        <v>94.2725255239355</v>
      </c>
      <c r="FM284" s="1127" t="n">
        <f aca="false">IF(MONTH(C284)=5,FM283*(IF(Summary!$E$70="no",(1+(Summary!$E$71*0.8)),1+HLOOKUP(YEAR(CALC!C284)-1,CCFMODEL!$I$127:$AF$128,2)*0.8)),+FM283)</f>
        <v>44.9933233780666</v>
      </c>
      <c r="FN284" s="1128" t="n">
        <f aca="false">IF((OR(MONTH(C284)=5,MONTH(C284)=6,MONTH(C284)=7,MONTH(C284)=8,MONTH(C284)=9)),SUM(FB284:FG284)/(1-BC284)*FL284,SUM(FB284:FG284)/(1-BC284)*FM284)</f>
        <v>789632.825285068</v>
      </c>
      <c r="FO284" s="1129" t="n">
        <f aca="false">FK284+FN284</f>
        <v>1564515.71055206</v>
      </c>
      <c r="FP284" s="1169" t="n">
        <f aca="false">FB284</f>
        <v>9308.25</v>
      </c>
      <c r="FQ284" s="1129" t="n">
        <f aca="false">FC284</f>
        <v>2792.475</v>
      </c>
      <c r="FR284" s="1129" t="n">
        <f aca="false">FD284</f>
        <v>2216.25</v>
      </c>
      <c r="FS284" s="1129" t="n">
        <f aca="false">FE284</f>
        <v>664.875</v>
      </c>
      <c r="FT284" s="1129" t="n">
        <f aca="false">FF284</f>
        <v>1773</v>
      </c>
      <c r="FU284" s="1129" t="n">
        <f aca="false">FG284</f>
        <v>531.9</v>
      </c>
      <c r="FV284" s="1170" t="n">
        <f aca="false">FH284</f>
        <v>0</v>
      </c>
      <c r="FW284" s="1115" t="n">
        <f aca="false">IF(ER284&gt;0,MIN(FB284-FP284,BL284),0)</f>
        <v>0</v>
      </c>
      <c r="FX284" s="1115" t="n">
        <f aca="false">IF(ES284&gt;0,MIN(FD284-FR284,BM284),0)</f>
        <v>0</v>
      </c>
      <c r="FY284" s="1115" t="n">
        <f aca="false">IF(ET284&gt;0,MIN(FF284-FT284,BN284),0)</f>
        <v>0</v>
      </c>
      <c r="FZ284" s="1143" t="n">
        <f aca="false">IF(EU284&gt;0,MIN(FH284-FV284,BO284),0)</f>
        <v>0</v>
      </c>
      <c r="GA284" s="1132" t="n">
        <f aca="false">(SUM(FP284:FV284)+SUM(GU284:HB284)/(1-Summary!$O$25))*CY284/1000</f>
        <v>135153.91303128</v>
      </c>
      <c r="GB284" s="1133" t="n">
        <f aca="false">IF($C284&lt;Summary!$M$81,+Summary!$O$81,VLOOKUP(C284,GasTable,19))</f>
        <v>4.601</v>
      </c>
      <c r="GC284" s="1134" t="n">
        <f aca="false">IF(H284&lt;=Summary!$N$84,MIN(GA284,Summary!$O$75*(H284-G284+1)),0)</f>
        <v>0</v>
      </c>
      <c r="GD284" s="1135" t="n">
        <f aca="false">IF(C284&lt;Summary!$N$84,IF(Summary!$O$75*(H284-G284+1)*0.8&gt;GC284,1,0),0)</f>
        <v>0</v>
      </c>
      <c r="GE284" s="1136" t="n">
        <v>0</v>
      </c>
      <c r="GF284" s="1134" t="n">
        <f aca="false">ABS(MIN(0,GC284-$GA284))</f>
        <v>135153.91303128</v>
      </c>
      <c r="GG284" s="1135" t="n">
        <f aca="false">GF284*(IF(Summary!$O$74=1,VLOOKUP($C284,GasTable,16)+Summary!$O$92+Summary!$O$93,VLOOKUP($C284,GasTable,19)+Summary!$O$92+Summary!$O$93))</f>
        <v>628884.672725849</v>
      </c>
      <c r="GH284" s="1137" t="n">
        <v>6901.5</v>
      </c>
      <c r="GI284" s="1138" t="n">
        <v>0</v>
      </c>
      <c r="GJ284" s="1139" t="n">
        <f aca="false">+GB284*GC284+GE284+GG284+GH284-GI284</f>
        <v>635786.172725849</v>
      </c>
      <c r="GK284" s="1115" t="n">
        <f aca="false">SUM(FP284:FV284,GU284:GX284,GY284:HB284)</f>
        <v>17286.75</v>
      </c>
      <c r="GL284" s="1140" t="n">
        <v>0.52382964832</v>
      </c>
      <c r="GM284" s="1141" t="n">
        <f aca="false">IF(GK284&gt;GC284/(CY284/1000),GC284/(CY284/1000),+GK284)*GL284</f>
        <v>0</v>
      </c>
      <c r="GN284" s="1115" t="n">
        <f aca="false">IF(SUM(GU284:HB284)=0,0,IF(Summary!$O$16="Yes",SUM(GX284:HB284),IF(Summary!$O$17="Yes",SUM(GY284:HB284),SUM(GU284:HB284))))</f>
        <v>0</v>
      </c>
      <c r="GO284" s="1142" t="n">
        <v>4.55941701293117</v>
      </c>
      <c r="GP284" s="1143" t="n">
        <f aca="false">GN284*GO284</f>
        <v>0</v>
      </c>
      <c r="GQ284" s="1115"/>
      <c r="GR284" s="1115"/>
      <c r="GS284" s="1115"/>
      <c r="GT284" s="1115"/>
      <c r="GU284" s="1150" t="n">
        <v>0</v>
      </c>
      <c r="GV284" s="1115" t="n">
        <v>0</v>
      </c>
      <c r="GW284" s="1115" t="n">
        <v>0</v>
      </c>
      <c r="GX284" s="1115"/>
      <c r="GY284" s="1151" t="n">
        <v>0</v>
      </c>
      <c r="GZ284" s="1115" t="n">
        <v>0</v>
      </c>
      <c r="HA284" s="1115" t="n">
        <v>0</v>
      </c>
      <c r="HB284" s="1141"/>
      <c r="HC284" s="1115" t="n">
        <v>0</v>
      </c>
      <c r="HD284" s="1115"/>
      <c r="HE284" s="1115" t="n">
        <v>0</v>
      </c>
      <c r="HF284" s="1115" t="n">
        <v>0</v>
      </c>
      <c r="HG284" s="1115"/>
      <c r="HH284" s="1142" t="n">
        <v>0</v>
      </c>
      <c r="HI284" s="1115" t="n">
        <v>0</v>
      </c>
      <c r="HJ284" s="1150" t="n">
        <f aca="false">MAX(FB284-FP284-FW284,0)</f>
        <v>0</v>
      </c>
      <c r="HK284" s="1115" t="n">
        <f aca="false">MAX(FD284-FR284-FX284,0)</f>
        <v>0</v>
      </c>
      <c r="HL284" s="1115" t="n">
        <f aca="false">MAX(FF284-FT284-FY284,0)</f>
        <v>0</v>
      </c>
      <c r="HM284" s="1141" t="n">
        <f aca="false">MAX(FH284-FV284-FZ284,0)</f>
        <v>0</v>
      </c>
      <c r="HN284" s="1115" t="n">
        <f aca="false">SUM(HJ284:HM284)</f>
        <v>0</v>
      </c>
      <c r="HO284" s="1142" t="n">
        <f aca="false">IF(ISERROR(+HP284/HN284),0,+HP284/HN284)</f>
        <v>0</v>
      </c>
      <c r="HP284" s="1143" t="n">
        <f aca="false">(HJ284*CE284+HK284*CF284+HL284*CG284+HM284*CH284)</f>
        <v>0</v>
      </c>
      <c r="HQ284" s="1142"/>
      <c r="HR284" s="1142"/>
      <c r="HS284" s="1142"/>
      <c r="HT284" s="1142"/>
      <c r="HU284" s="1142"/>
      <c r="HV284" s="1142"/>
      <c r="HW284" s="1142"/>
      <c r="HX284" s="1142"/>
      <c r="HY284" s="1142"/>
      <c r="HZ284" s="1142"/>
      <c r="IA284" s="1142"/>
      <c r="IB284" s="1142"/>
      <c r="IC284" s="1142"/>
      <c r="ID284" s="1142"/>
      <c r="IE284" s="1142"/>
      <c r="IF284" s="1142"/>
      <c r="IG284" s="1142"/>
      <c r="IH284" s="1142"/>
      <c r="II284" s="1142"/>
      <c r="IJ284" s="1142"/>
      <c r="IK284" s="1142"/>
      <c r="IL284" s="1190"/>
      <c r="IM284" s="222"/>
      <c r="IN284" s="222"/>
      <c r="IR284" s="844"/>
    </row>
    <row r="285" customFormat="false" ht="13.5" hidden="false" customHeight="false" outlineLevel="0" collapsed="false">
      <c r="A285" s="0" t="str">
        <f aca="false">+D285&amp;"Q"&amp;ROUNDUP(E285/3,0)</f>
        <v>2022Q2</v>
      </c>
      <c r="B285" s="0" t="n">
        <f aca="false">YEAR(C285)</f>
        <v>2022</v>
      </c>
      <c r="C285" s="1153" t="n">
        <f aca="false">EOMONTH(C284,0)+1</f>
        <v>44682</v>
      </c>
      <c r="D285" s="841" t="n">
        <f aca="false">+YEAR(C285)</f>
        <v>2022</v>
      </c>
      <c r="E285" s="807" t="n">
        <f aca="false">MONTH(C285)</f>
        <v>5</v>
      </c>
      <c r="F285" s="1154" t="e">
        <f aca="false">IF(G285="","",Holiday(D285,E285))</f>
        <v>#VALUE!</v>
      </c>
      <c r="G285" s="1155" t="n">
        <v>44682</v>
      </c>
      <c r="H285" s="1156" t="n">
        <v>44712</v>
      </c>
      <c r="I285" s="1157" t="n">
        <f aca="false">I284</f>
        <v>0.0715</v>
      </c>
      <c r="J285" s="1158" t="n">
        <f aca="false">(1+I285/2)^(-2*(DATE(D286,E286,20)-$H$7)/365.25)</f>
        <v>0.205646060949585</v>
      </c>
      <c r="K285" s="1159"/>
      <c r="L285" s="1158"/>
      <c r="M285" s="1082" t="n">
        <v>0</v>
      </c>
      <c r="N285" s="1110" t="n">
        <f aca="false">M285</f>
        <v>0</v>
      </c>
      <c r="O285" s="1174" t="n">
        <f aca="false">N285</f>
        <v>0</v>
      </c>
      <c r="P285" s="1175" t="n">
        <f aca="false">M285</f>
        <v>0</v>
      </c>
      <c r="Q285" s="1110" t="n">
        <f aca="false">P285</f>
        <v>0</v>
      </c>
      <c r="R285" s="1174" t="n">
        <f aca="false">Q285</f>
        <v>0</v>
      </c>
      <c r="S285" s="1110" t="n">
        <f aca="false">R285</f>
        <v>0</v>
      </c>
      <c r="T285" s="1110" t="n">
        <f aca="false">S285</f>
        <v>0</v>
      </c>
      <c r="U285" s="1110" t="n">
        <f aca="false">T285</f>
        <v>0</v>
      </c>
      <c r="V285" s="1175" t="n">
        <f aca="false">U285</f>
        <v>0</v>
      </c>
      <c r="W285" s="1110" t="n">
        <f aca="false">V285</f>
        <v>0</v>
      </c>
      <c r="X285" s="1176" t="n">
        <f aca="false">W285</f>
        <v>0</v>
      </c>
      <c r="Y285" s="1086" t="n">
        <v>0</v>
      </c>
      <c r="Z285" s="1086" t="n">
        <v>0</v>
      </c>
      <c r="AA285" s="1087" t="n">
        <v>0</v>
      </c>
      <c r="AB285" s="1086" t="n">
        <v>0</v>
      </c>
      <c r="AC285" s="1086" t="n">
        <v>0</v>
      </c>
      <c r="AD285" s="1087" t="n">
        <v>0</v>
      </c>
      <c r="AE285" s="1086" t="n">
        <v>0</v>
      </c>
      <c r="AF285" s="1086" t="n">
        <v>0</v>
      </c>
      <c r="AG285" s="1087" t="n">
        <v>0</v>
      </c>
      <c r="AH285" s="1086" t="n">
        <v>0</v>
      </c>
      <c r="AI285" s="1086" t="n">
        <v>0</v>
      </c>
      <c r="AJ285" s="1087" t="n">
        <v>0</v>
      </c>
      <c r="AK285" s="1086" t="n">
        <v>0</v>
      </c>
      <c r="AL285" s="1086" t="n">
        <v>0</v>
      </c>
      <c r="AM285" s="1087" t="n">
        <v>0</v>
      </c>
      <c r="AN285" s="1086" t="n">
        <v>0</v>
      </c>
      <c r="AO285" s="1086" t="n">
        <v>0</v>
      </c>
      <c r="AP285" s="1087" t="n">
        <v>0</v>
      </c>
      <c r="AQ285" s="1086" t="n">
        <v>0</v>
      </c>
      <c r="AR285" s="1086" t="n">
        <v>0</v>
      </c>
      <c r="AS285" s="1087" t="n">
        <v>0</v>
      </c>
      <c r="AT285" s="1086" t="n">
        <v>0</v>
      </c>
      <c r="AU285" s="1086" t="n">
        <v>0</v>
      </c>
      <c r="AV285" s="1086" t="n">
        <v>0</v>
      </c>
      <c r="AW285" s="1172" t="n">
        <v>0</v>
      </c>
      <c r="AX285" s="807" t="e">
        <f aca="false">BB285-SUM(AY285:BA285)</f>
        <v>#VALUE!</v>
      </c>
      <c r="AY285" s="807" t="e">
        <f aca="false">IF(AND($E285=MONTH(Summary!$E$24),$D285=YEAR(Summary!$E$24)),Summary!$E$25,1)*IF(G285="",0,INT((H285-MOD(H285,7)-G285)/7)+1-IF(BA285,IF(WEEKDAY(F285)=7,1,0),0))</f>
        <v>#VALUE!</v>
      </c>
      <c r="AZ285" s="807" t="e">
        <f aca="false">IF(AND($E285=MONTH(Summary!$E$24),$D285=YEAR(Summary!$E$24)),Summary!$E$25,1)*IF(G285="",0,INT((H285-MOD(H285-1,7)-G285)/7)+1-IF(BA285,IF(WEEKDAY(F285)=1,1,0),0))</f>
        <v>#VALUE!</v>
      </c>
      <c r="BA285" s="807" t="n">
        <v>1</v>
      </c>
      <c r="BB285" s="807" t="n">
        <f aca="false">IF(AND($E285=MONTH(Summary!$E$24),$D285=YEAR(Summary!$E$24)),Summary!$E$25,1)*IF(G285="",0,H285-G285+1)</f>
        <v>31</v>
      </c>
      <c r="BC285" s="1089" t="n">
        <f aca="false">Summary!$E$19</f>
        <v>0.015</v>
      </c>
      <c r="BD285" s="1090" t="n">
        <v>14893.2</v>
      </c>
      <c r="BE285" s="1091" t="n">
        <v>2836.8</v>
      </c>
      <c r="BF285" s="1091" t="n">
        <v>4255.2</v>
      </c>
      <c r="BG285" s="842"/>
      <c r="BH285" s="1092" t="n">
        <v>1</v>
      </c>
      <c r="BI285" s="1092" t="n">
        <v>1</v>
      </c>
      <c r="BJ285" s="1092" t="n">
        <v>1</v>
      </c>
      <c r="BK285" s="1092" t="n">
        <v>1</v>
      </c>
      <c r="BL285" s="1093" t="n">
        <v>2978.64</v>
      </c>
      <c r="BM285" s="1091" t="n">
        <v>567.36</v>
      </c>
      <c r="BN285" s="1091" t="n">
        <v>851.04</v>
      </c>
      <c r="BO285" s="842"/>
      <c r="BP285" s="1092" t="n">
        <v>1</v>
      </c>
      <c r="BQ285" s="1094" t="n">
        <v>1</v>
      </c>
      <c r="BR285" s="1094" t="n">
        <v>1</v>
      </c>
      <c r="BS285" s="1095" t="n">
        <v>1</v>
      </c>
      <c r="BT285" s="1093" t="n">
        <f aca="false">SUM(BD285:BF285)</f>
        <v>21985.2</v>
      </c>
      <c r="BU285" s="1098" t="n">
        <f aca="false">SUM(BD285:BG285)</f>
        <v>21985.2</v>
      </c>
      <c r="BV285" s="1090" t="n">
        <f aca="false">SUM(BL285:BN285)</f>
        <v>4397.04</v>
      </c>
      <c r="BW285" s="1098" t="n">
        <f aca="false">SUM(BL285:BO285)</f>
        <v>4397.04</v>
      </c>
      <c r="BX285" s="852" t="n">
        <v>22.3764544832307</v>
      </c>
      <c r="BY285" s="1099" t="n">
        <v>0</v>
      </c>
      <c r="BZ285" s="852" t="n">
        <v>0</v>
      </c>
      <c r="CA285" s="852" t="n">
        <v>0</v>
      </c>
      <c r="CB285" s="852" t="n">
        <v>0</v>
      </c>
      <c r="CC285" s="852" t="n">
        <v>0</v>
      </c>
      <c r="CD285" s="852" t="n">
        <v>0</v>
      </c>
      <c r="CE285" s="1100" t="n">
        <v>0</v>
      </c>
      <c r="CF285" s="852" t="n">
        <v>0</v>
      </c>
      <c r="CG285" s="852" t="n">
        <v>0</v>
      </c>
      <c r="CH285" s="852" t="n">
        <v>0</v>
      </c>
      <c r="CI285" s="852" t="n">
        <v>0</v>
      </c>
      <c r="CJ285" s="1101" t="n">
        <v>0</v>
      </c>
      <c r="CK285" s="852" t="n">
        <v>0</v>
      </c>
      <c r="CL285" s="852" t="n">
        <v>0</v>
      </c>
      <c r="CM285" s="852" t="n">
        <v>0</v>
      </c>
      <c r="CN285" s="852" t="n">
        <v>0</v>
      </c>
      <c r="CO285" s="852" t="n">
        <v>0</v>
      </c>
      <c r="CP285" s="852" t="n">
        <v>0</v>
      </c>
      <c r="CQ285" s="1102" t="n">
        <v>0</v>
      </c>
      <c r="CR285" s="1103" t="n">
        <v>0</v>
      </c>
      <c r="CS285" s="1103" t="n">
        <v>0</v>
      </c>
      <c r="CT285" s="1103" t="n">
        <v>0</v>
      </c>
      <c r="CU285" s="1103" t="n">
        <v>0</v>
      </c>
      <c r="CV285" s="1103" t="n">
        <v>0</v>
      </c>
      <c r="CW285" s="1103" t="n">
        <v>0</v>
      </c>
      <c r="CX285" s="1104" t="n">
        <v>0</v>
      </c>
      <c r="CY285" s="1105" t="n">
        <v>7820.38392</v>
      </c>
      <c r="CZ285" s="1099" t="n">
        <v>0</v>
      </c>
      <c r="DA285" s="852" t="n">
        <v>0</v>
      </c>
      <c r="DB285" s="852" t="n">
        <v>0</v>
      </c>
      <c r="DC285" s="852" t="n">
        <v>0</v>
      </c>
      <c r="DD285" s="852" t="n">
        <v>0</v>
      </c>
      <c r="DE285" s="1113" t="n">
        <v>0</v>
      </c>
      <c r="DF285" s="1109" t="n">
        <v>0</v>
      </c>
      <c r="DG285" s="1110" t="n">
        <v>0</v>
      </c>
      <c r="DH285" s="1111" t="n">
        <v>0</v>
      </c>
      <c r="DI285" s="1112" t="n">
        <v>0</v>
      </c>
      <c r="DJ285" s="1112" t="n">
        <v>0</v>
      </c>
      <c r="DK285" s="1112" t="n">
        <v>0</v>
      </c>
      <c r="DL285" s="1113" t="n">
        <v>0</v>
      </c>
      <c r="DM285" s="1114" t="n">
        <v>0</v>
      </c>
      <c r="DN285" s="1114" t="n">
        <v>0</v>
      </c>
      <c r="DO285" s="1114" t="n">
        <v>0</v>
      </c>
      <c r="DP285" s="1114" t="n">
        <v>0</v>
      </c>
      <c r="DQ285" s="1114" t="n">
        <v>0</v>
      </c>
      <c r="DR285" s="1109" t="n">
        <v>0</v>
      </c>
      <c r="DS285" s="852" t="n">
        <v>0</v>
      </c>
      <c r="DT285" s="852" t="n">
        <v>0</v>
      </c>
      <c r="DU285" s="852" t="n">
        <v>0</v>
      </c>
      <c r="DV285" s="852" t="n">
        <v>0</v>
      </c>
      <c r="DW285" s="852" t="n">
        <v>0</v>
      </c>
      <c r="DX285" s="852" t="n">
        <v>0</v>
      </c>
      <c r="DY285" s="852" t="n">
        <v>0</v>
      </c>
      <c r="DZ285" s="852" t="n">
        <v>0</v>
      </c>
      <c r="EA285" s="852" t="n">
        <v>0</v>
      </c>
      <c r="EB285" s="1113" t="n">
        <v>0</v>
      </c>
      <c r="EC285" s="1115" t="n">
        <f aca="false">DS285*BD285</f>
        <v>0</v>
      </c>
      <c r="ED285" s="1115" t="n">
        <f aca="false">DT285*BE285</f>
        <v>0</v>
      </c>
      <c r="EE285" s="1115" t="n">
        <f aca="false">DU285*BF285</f>
        <v>0</v>
      </c>
      <c r="EF285" s="1115" t="n">
        <f aca="false">DV285*BG285</f>
        <v>0</v>
      </c>
      <c r="EG285" s="1115" t="n">
        <f aca="false">DS285*BD285+DT285*BE285+DU285*BF285+DV285*BG285</f>
        <v>0</v>
      </c>
      <c r="EH285" s="1116" t="n">
        <v>0</v>
      </c>
      <c r="EI285" s="1117" t="n">
        <v>0</v>
      </c>
      <c r="EJ285" s="1117" t="n">
        <v>0</v>
      </c>
      <c r="EK285" s="1117" t="n">
        <v>0</v>
      </c>
      <c r="EL285" s="1118" t="n">
        <f aca="false">IF(C285&gt;=Summary!$E$26,MAX(0,SUM(EH285:EK285)),0)</f>
        <v>0</v>
      </c>
      <c r="EM285" s="1115" t="n">
        <f aca="false">IF(C285&gt;=Summary!$E$26,DX285*BL285,0)</f>
        <v>0</v>
      </c>
      <c r="EN285" s="1115" t="n">
        <f aca="false">IF(C285&gt;=Summary!$E$26,DY285*BM285,0)</f>
        <v>0</v>
      </c>
      <c r="EO285" s="1115" t="n">
        <f aca="false">IF(C285&gt;=Summary!$E$26,DZ285*BN285,0)</f>
        <v>0</v>
      </c>
      <c r="EP285" s="1115" t="n">
        <f aca="false">IF(C285&gt;=Summary!$E$26,EA285*BO285,0)</f>
        <v>0</v>
      </c>
      <c r="EQ285" s="1115" t="n">
        <f aca="false">IF(C285&gt;=Summary!$E$26,DX285*BL285+DY285*BM285+DZ285*BN285+EA285*BO285,0)</f>
        <v>0</v>
      </c>
      <c r="ER285" s="1119" t="n">
        <v>0</v>
      </c>
      <c r="ES285" s="1120" t="n">
        <v>0</v>
      </c>
      <c r="ET285" s="1120" t="n">
        <v>0</v>
      </c>
      <c r="EU285" s="1120" t="n">
        <v>0</v>
      </c>
      <c r="EV285" s="1143" t="n">
        <f aca="false">IF(C285&gt;=Summary!$E$26,MAX(0,SUM(ER285:EU285)),0)</f>
        <v>0</v>
      </c>
      <c r="EW285" s="1115"/>
      <c r="EX285" s="1165" t="n">
        <f aca="false">(EQ285-EV285)+IF(EZ285="Yes",(EG285-EL285),0)</f>
        <v>0</v>
      </c>
      <c r="EY285" s="1166" t="str">
        <f aca="false">IF(EX285,EX285/EQ285,"")</f>
        <v/>
      </c>
      <c r="EZ285" s="1122" t="s">
        <v>37</v>
      </c>
      <c r="FA285" s="1096" t="n">
        <f aca="false">FA284</f>
        <v>45</v>
      </c>
      <c r="FB285" s="1167" t="e">
        <f aca="false">IF(EZ285="No",IF((OR(MONTH(C285)=5,MONTH(C285)=6,MONTH(C285)=7,MONTH(C285)=8,MONTH(C285)=9)),$FA285*12*AX285*(1-$BC285),$FA285*10*AX285*(1-$BC285)),0)</f>
        <v>#VALUE!</v>
      </c>
      <c r="FC285" s="1129" t="n">
        <f aca="false">IF(EZ285="No",IF((OR(MONTH(C285)=5,MONTH(C285)=6,MONTH(C285)=7,MONTH(C285)=8,MONTH(C285)=9)),0,$FA285*3*AX285*(1-$BC285)),0)</f>
        <v>0</v>
      </c>
      <c r="FD285" s="1129" t="e">
        <f aca="false">IF(EZ285="No",IF((OR(MONTH(C285)=5,MONTH(C285)=6,MONTH(C285)=7,MONTH(C285)=8,MONTH(C285)=9)),$FA285*12*AY285*(1-$BC285),$FA285*10*AY285*(1-$BC285)),0)</f>
        <v>#VALUE!</v>
      </c>
      <c r="FE285" s="1129" t="n">
        <f aca="false">IF(EZ285="No",IF((OR(MONTH(C285)=5,MONTH(C285)=6,MONTH(C285)=7,MONTH(C285)=8,MONTH(C285)=9)),0,$FA285*3*AY285*(1-$BC285)),0)</f>
        <v>0</v>
      </c>
      <c r="FF285" s="1129" t="e">
        <f aca="false">IF(EZ285="No",IF((OR(MONTH(C285)=5,MONTH(C285)=6,MONTH(C285)=7,MONTH(C285)=8,MONTH(C285)=9)),$FA285*12*(AZ285+BA285)*(1-$BC285),$FA285*10*(AZ285+BA285)*(1-$BC285)),0)</f>
        <v>#VALUE!</v>
      </c>
      <c r="FG285" s="1129" t="n">
        <f aca="false">IF(EZ285="No",IF((OR(MONTH(C285)=5,MONTH(C285)=6,MONTH(C285)=7,MONTH(C285)=8,MONTH(C285)=9)),0,$FA285*3*(AZ285+BA285)*(1-$BC285)),0)</f>
        <v>0</v>
      </c>
      <c r="FH285" s="1170" t="e">
        <f aca="false">IF(EZ285="No",IF((OR(MONTH(C285)=5,MONTH(C285)=6,MONTH(C285)=7,MONTH(C285)=8,MONTH(C285)=9)),Summary!$O$15*12*(AX285+AY285+AZ285+BA285)*(1-$BC285),Summary!$O$15*13*(AX285+AY285+AZ285+BA285)*(1-$BC285)+IF(Summary!$O$16="Yes",(CALC!FA285+Summary!$O$15)*6*(AX285+AY285+AZ285+BA285)*(1-$BC285),0)),0)</f>
        <v>#VALUE!</v>
      </c>
      <c r="FI285" s="1126" t="n">
        <f aca="false">IF(MONTH(C285)=5,FI284*(IF(Summary!$E$70="no",(1+(Summary!$E$71*0.8)),1+HLOOKUP(YEAR(C285)-1,CCFMODEL!$I$127:$AF$128,2)*0.8)),+FI284)</f>
        <v>45.9010556937194</v>
      </c>
      <c r="FJ285" s="1127" t="n">
        <f aca="false">IF(MONTH(C285)=5,FJ284*(IF(Summary!$E$70="no",(1+(Summary!$E$71*0.8)),1+HLOOKUP(YEAR(CALC!C285)-1,CCFMODEL!$I$127:$AF$128,2)*0.8)),FJ284)</f>
        <v>40.1182455275815</v>
      </c>
      <c r="FK285" s="1128" t="e">
        <f aca="false">SUM(FB285:FG285)*FI285+FH285*FJ285</f>
        <v>#VALUE!</v>
      </c>
      <c r="FL285" s="1126" t="n">
        <f aca="false">IF(MONTH(C285)=5,FL284*(IF(Summary!$E$70="no",(1+(Summary!$E$71*0.8)),1+HLOOKUP(YEAR(CALC!C285)-1,CCFMODEL!$I$127:$AF$128,2)*0.8)),+FL284)</f>
        <v>96.5350661365099</v>
      </c>
      <c r="FM285" s="1127" t="n">
        <f aca="false">IF(MONTH(C285)=5,FM284*(IF(Summary!$E$70="no",(1+(Summary!$E$71*0.8)),1+HLOOKUP(YEAR(CALC!C285)-1,CCFMODEL!$I$127:$AF$128,2)*0.8)),+FM284)</f>
        <v>46.0731631391402</v>
      </c>
      <c r="FN285" s="1128" t="e">
        <f aca="false">IF((OR(MONTH(C285)=5,MONTH(C285)=6,MONTH(C285)=7,MONTH(C285)=8,MONTH(C285)=9)),SUM(FB285:FG285)/(1-BC285)*FL285,SUM(FB285:FG285)/(1-BC285)*FM285)</f>
        <v>#VALUE!</v>
      </c>
      <c r="FO285" s="1129" t="e">
        <f aca="false">FK285+FN285</f>
        <v>#VALUE!</v>
      </c>
      <c r="FP285" s="1169" t="e">
        <f aca="false">FB285</f>
        <v>#VALUE!</v>
      </c>
      <c r="FQ285" s="1129" t="n">
        <f aca="false">FC285</f>
        <v>0</v>
      </c>
      <c r="FR285" s="1129" t="e">
        <f aca="false">FD285</f>
        <v>#VALUE!</v>
      </c>
      <c r="FS285" s="1129" t="n">
        <f aca="false">FE285</f>
        <v>0</v>
      </c>
      <c r="FT285" s="1129" t="e">
        <f aca="false">FF285</f>
        <v>#VALUE!</v>
      </c>
      <c r="FU285" s="1129" t="n">
        <f aca="false">FG285</f>
        <v>0</v>
      </c>
      <c r="FV285" s="1170" t="e">
        <f aca="false">FH285</f>
        <v>#VALUE!</v>
      </c>
      <c r="FW285" s="1115" t="n">
        <f aca="false">IF(ER285&gt;0,MIN(FB285-FP285,BL285),0)</f>
        <v>0</v>
      </c>
      <c r="FX285" s="1115" t="n">
        <f aca="false">IF(ES285&gt;0,MIN(FD285-FR285,BM285),0)</f>
        <v>0</v>
      </c>
      <c r="FY285" s="1115" t="n">
        <f aca="false">IF(ET285&gt;0,MIN(FF285-FT285,BN285),0)</f>
        <v>0</v>
      </c>
      <c r="FZ285" s="1143" t="n">
        <f aca="false">IF(EU285&gt;0,MIN(FH285-FV285,BO285),0)</f>
        <v>0</v>
      </c>
      <c r="GA285" s="1132" t="e">
        <f aca="false">(SUM(FP285:FV285)+SUM(GU285:HB285)/(1-Summary!$O$25))*CY285/1000</f>
        <v>#VALUE!</v>
      </c>
      <c r="GB285" s="1133" t="n">
        <f aca="false">IF($C285&lt;Summary!$M$81,+Summary!$O$81,VLOOKUP(C285,GasTable,19))</f>
        <v>4.592</v>
      </c>
      <c r="GC285" s="1134" t="n">
        <f aca="false">IF(H285&lt;=Summary!$N$84,MIN(GA285,Summary!$O$75*(H285-G285+1)),0)</f>
        <v>0</v>
      </c>
      <c r="GD285" s="1135" t="n">
        <f aca="false">IF(C285&lt;Summary!$N$84,IF(Summary!$O$75*(H285-G285+1)*0.8&gt;GC285,1,0),0)</f>
        <v>0</v>
      </c>
      <c r="GE285" s="1136" t="n">
        <v>0</v>
      </c>
      <c r="GF285" s="1134" t="e">
        <f aca="false">ABS(MIN(0,GC285-$GA285))</f>
        <v>#VALUE!</v>
      </c>
      <c r="GG285" s="1135" t="e">
        <f aca="false">GF285*(IF(Summary!$O$74=1,VLOOKUP($C285,GasTable,16)+Summary!$O$92+Summary!$O$93,VLOOKUP($C285,GasTable,19)+Summary!$O$92+Summary!$O$93))</f>
        <v>#VALUE!</v>
      </c>
      <c r="GH285" s="1137" t="n">
        <v>7117.6</v>
      </c>
      <c r="GI285" s="1138" t="n">
        <v>0</v>
      </c>
      <c r="GJ285" s="1139" t="e">
        <f aca="false">+GB285*GC285+GE285+GG285+GH285-GI285</f>
        <v>#VALUE!</v>
      </c>
      <c r="GK285" s="1115" t="e">
        <f aca="false">SUM(FP285:FV285,GU285:GX285,GY285:HB285)</f>
        <v>#VALUE!</v>
      </c>
      <c r="GL285" s="1140" t="n">
        <v>0.52396572264</v>
      </c>
      <c r="GM285" s="1141" t="e">
        <f aca="false">IF(GK285&gt;GC285/(CY285/1000),GC285/(CY285/1000),+GK285)*GL285</f>
        <v>#VALUE!</v>
      </c>
      <c r="GN285" s="1115" t="n">
        <f aca="false">IF(SUM(GU285:HB285)=0,0,IF(Summary!$O$16="Yes",SUM(GX285:HB285),IF(Summary!$O$17="Yes",SUM(GY285:HB285),SUM(GU285:HB285))))</f>
        <v>0</v>
      </c>
      <c r="GO285" s="1142" t="n">
        <v>4.55941701293117</v>
      </c>
      <c r="GP285" s="1143" t="n">
        <f aca="false">GN285*GO285</f>
        <v>0</v>
      </c>
      <c r="GQ285" s="1115"/>
      <c r="GR285" s="1115"/>
      <c r="GS285" s="1115"/>
      <c r="GT285" s="1115"/>
      <c r="GU285" s="1150" t="n">
        <v>0</v>
      </c>
      <c r="GV285" s="1115" t="n">
        <v>0</v>
      </c>
      <c r="GW285" s="1115" t="n">
        <v>0</v>
      </c>
      <c r="GX285" s="1115"/>
      <c r="GY285" s="1151" t="n">
        <v>0</v>
      </c>
      <c r="GZ285" s="1115" t="n">
        <v>0</v>
      </c>
      <c r="HA285" s="1115" t="n">
        <v>0</v>
      </c>
      <c r="HB285" s="1141"/>
      <c r="HC285" s="1115" t="n">
        <v>0</v>
      </c>
      <c r="HD285" s="1115"/>
      <c r="HE285" s="1115" t="n">
        <v>0</v>
      </c>
      <c r="HF285" s="1115" t="n">
        <v>0</v>
      </c>
      <c r="HG285" s="1115"/>
      <c r="HH285" s="1142" t="n">
        <v>0</v>
      </c>
      <c r="HI285" s="1115" t="n">
        <v>0</v>
      </c>
      <c r="HJ285" s="1150" t="e">
        <f aca="false">MAX(FB285-FP285-FW285,0)</f>
        <v>#VALUE!</v>
      </c>
      <c r="HK285" s="1115" t="e">
        <f aca="false">MAX(FD285-FR285-FX285,0)</f>
        <v>#VALUE!</v>
      </c>
      <c r="HL285" s="1115" t="e">
        <f aca="false">MAX(FF285-FT285-FY285,0)</f>
        <v>#VALUE!</v>
      </c>
      <c r="HM285" s="1141" t="e">
        <f aca="false">MAX(FH285-FV285-FZ285,0)</f>
        <v>#VALUE!</v>
      </c>
      <c r="HN285" s="1115" t="e">
        <f aca="false">SUM(HJ285:HM285)</f>
        <v>#VALUE!</v>
      </c>
      <c r="HO285" s="1142" t="n">
        <f aca="false">IF(ISERROR(+HP285/HN285),0,+HP285/HN285)</f>
        <v>0</v>
      </c>
      <c r="HP285" s="1143" t="e">
        <f aca="false">(HJ285*CE285+HK285*CF285+HL285*CG285+HM285*CH285)</f>
        <v>#VALUE!</v>
      </c>
      <c r="HQ285" s="1142"/>
      <c r="HR285" s="1142"/>
      <c r="HS285" s="1142"/>
      <c r="HT285" s="1142"/>
      <c r="HU285" s="1142"/>
      <c r="HV285" s="1142"/>
      <c r="HW285" s="1142"/>
      <c r="HX285" s="1142"/>
      <c r="HY285" s="1142"/>
      <c r="HZ285" s="1142"/>
      <c r="IA285" s="1142"/>
      <c r="IB285" s="1142"/>
      <c r="IC285" s="1142"/>
      <c r="ID285" s="1142"/>
      <c r="IE285" s="1142"/>
      <c r="IF285" s="1142"/>
      <c r="IG285" s="1142"/>
      <c r="IH285" s="1142"/>
      <c r="II285" s="1142"/>
      <c r="IJ285" s="1142"/>
      <c r="IK285" s="1142"/>
      <c r="IL285" s="1190"/>
      <c r="IM285" s="222"/>
      <c r="IN285" s="222"/>
      <c r="IR285" s="844"/>
    </row>
    <row r="286" customFormat="false" ht="13.5" hidden="false" customHeight="false" outlineLevel="0" collapsed="false">
      <c r="A286" s="0" t="str">
        <f aca="false">+D286&amp;"Q"&amp;ROUNDUP(E286/3,0)</f>
        <v>2022Q2</v>
      </c>
      <c r="B286" s="0" t="n">
        <f aca="false">YEAR(C286)</f>
        <v>2022</v>
      </c>
      <c r="C286" s="1153" t="n">
        <f aca="false">EOMONTH(C285,0)+1</f>
        <v>44713</v>
      </c>
      <c r="D286" s="841" t="n">
        <f aca="false">+YEAR(C286)</f>
        <v>2022</v>
      </c>
      <c r="E286" s="807" t="n">
        <f aca="false">MONTH(C286)</f>
        <v>6</v>
      </c>
      <c r="F286" s="1154" t="e">
        <f aca="false">IF(G286="","",Holiday(D286,E286))</f>
        <v>#VALUE!</v>
      </c>
      <c r="G286" s="1155" t="n">
        <v>44713</v>
      </c>
      <c r="H286" s="1156" t="n">
        <v>44742</v>
      </c>
      <c r="I286" s="1157" t="n">
        <f aca="false">I285</f>
        <v>0.0715</v>
      </c>
      <c r="J286" s="1158" t="n">
        <f aca="false">(1+I286/2)^(-2*(DATE(D287,E287,20)-$H$7)/365.25)</f>
        <v>0.204462868745532</v>
      </c>
      <c r="K286" s="1159"/>
      <c r="L286" s="1158"/>
      <c r="M286" s="1082" t="n">
        <v>0</v>
      </c>
      <c r="N286" s="1110" t="n">
        <f aca="false">M286</f>
        <v>0</v>
      </c>
      <c r="O286" s="1174" t="n">
        <f aca="false">N286</f>
        <v>0</v>
      </c>
      <c r="P286" s="1175" t="n">
        <f aca="false">M286</f>
        <v>0</v>
      </c>
      <c r="Q286" s="1110" t="n">
        <f aca="false">P286</f>
        <v>0</v>
      </c>
      <c r="R286" s="1174" t="n">
        <f aca="false">Q286</f>
        <v>0</v>
      </c>
      <c r="S286" s="1110" t="n">
        <f aca="false">R286</f>
        <v>0</v>
      </c>
      <c r="T286" s="1110" t="n">
        <f aca="false">S286</f>
        <v>0</v>
      </c>
      <c r="U286" s="1110" t="n">
        <f aca="false">T286</f>
        <v>0</v>
      </c>
      <c r="V286" s="1175" t="n">
        <f aca="false">U286</f>
        <v>0</v>
      </c>
      <c r="W286" s="1110" t="n">
        <f aca="false">V286</f>
        <v>0</v>
      </c>
      <c r="X286" s="1176" t="n">
        <f aca="false">W286</f>
        <v>0</v>
      </c>
      <c r="Y286" s="1086" t="n">
        <v>0</v>
      </c>
      <c r="Z286" s="1086" t="n">
        <v>0</v>
      </c>
      <c r="AA286" s="1087" t="n">
        <v>0</v>
      </c>
      <c r="AB286" s="1086" t="n">
        <v>0</v>
      </c>
      <c r="AC286" s="1086" t="n">
        <v>0</v>
      </c>
      <c r="AD286" s="1087" t="n">
        <v>0</v>
      </c>
      <c r="AE286" s="1086" t="n">
        <v>0</v>
      </c>
      <c r="AF286" s="1086" t="n">
        <v>0</v>
      </c>
      <c r="AG286" s="1087" t="n">
        <v>0</v>
      </c>
      <c r="AH286" s="1086" t="n">
        <v>0</v>
      </c>
      <c r="AI286" s="1086" t="n">
        <v>0</v>
      </c>
      <c r="AJ286" s="1087" t="n">
        <v>0</v>
      </c>
      <c r="AK286" s="1086" t="n">
        <v>0</v>
      </c>
      <c r="AL286" s="1086" t="n">
        <v>0</v>
      </c>
      <c r="AM286" s="1087" t="n">
        <v>0</v>
      </c>
      <c r="AN286" s="1086" t="n">
        <v>0</v>
      </c>
      <c r="AO286" s="1086" t="n">
        <v>0</v>
      </c>
      <c r="AP286" s="1087" t="n">
        <v>0</v>
      </c>
      <c r="AQ286" s="1086" t="n">
        <v>0</v>
      </c>
      <c r="AR286" s="1086" t="n">
        <v>0</v>
      </c>
      <c r="AS286" s="1087" t="n">
        <v>0</v>
      </c>
      <c r="AT286" s="1086" t="n">
        <v>0</v>
      </c>
      <c r="AU286" s="1086" t="n">
        <v>0</v>
      </c>
      <c r="AV286" s="1086" t="n">
        <v>0</v>
      </c>
      <c r="AW286" s="1172" t="n">
        <v>0</v>
      </c>
      <c r="AX286" s="807" t="n">
        <f aca="false">BB286-SUM(AY286:BA286)</f>
        <v>22</v>
      </c>
      <c r="AY286" s="807" t="n">
        <f aca="false">IF(AND($E286=MONTH(Summary!$E$24),$D286=YEAR(Summary!$E$24)),Summary!$E$25,1)*IF(G286="",0,INT((H286-MOD(H286,7)-G286)/7)+1-IF(BA286,IF(WEEKDAY(F286)=7,1,0),0))</f>
        <v>4</v>
      </c>
      <c r="AZ286" s="807" t="n">
        <f aca="false">IF(AND($E286=MONTH(Summary!$E$24),$D286=YEAR(Summary!$E$24)),Summary!$E$25,1)*IF(G286="",0,INT((H286-MOD(H286-1,7)-G286)/7)+1-IF(BA286,IF(WEEKDAY(F286)=1,1,0),0))</f>
        <v>4</v>
      </c>
      <c r="BA286" s="807" t="n">
        <v>0</v>
      </c>
      <c r="BB286" s="807" t="n">
        <f aca="false">IF(AND($E286=MONTH(Summary!$E$24),$D286=YEAR(Summary!$E$24)),Summary!$E$25,1)*IF(G286="",0,H286-G286+1)</f>
        <v>30</v>
      </c>
      <c r="BC286" s="1089" t="n">
        <f aca="false">Summary!$E$19</f>
        <v>0.015</v>
      </c>
      <c r="BD286" s="1090" t="n">
        <v>15602.4</v>
      </c>
      <c r="BE286" s="1091" t="n">
        <v>2836.8</v>
      </c>
      <c r="BF286" s="1091" t="n">
        <v>2836.8</v>
      </c>
      <c r="BG286" s="842"/>
      <c r="BH286" s="1092" t="n">
        <v>1</v>
      </c>
      <c r="BI286" s="1092" t="n">
        <v>1</v>
      </c>
      <c r="BJ286" s="1092" t="n">
        <v>1</v>
      </c>
      <c r="BK286" s="1092" t="n">
        <v>1</v>
      </c>
      <c r="BL286" s="1093" t="n">
        <v>3120.48</v>
      </c>
      <c r="BM286" s="1091" t="n">
        <v>567.36</v>
      </c>
      <c r="BN286" s="1091" t="n">
        <v>567.36</v>
      </c>
      <c r="BO286" s="842"/>
      <c r="BP286" s="1092" t="n">
        <v>1</v>
      </c>
      <c r="BQ286" s="1094" t="n">
        <v>1</v>
      </c>
      <c r="BR286" s="1094" t="n">
        <v>1</v>
      </c>
      <c r="BS286" s="1095" t="n">
        <v>1</v>
      </c>
      <c r="BT286" s="1093" t="n">
        <f aca="false">SUM(BD286:BF286)</f>
        <v>21276</v>
      </c>
      <c r="BU286" s="1098" t="n">
        <f aca="false">SUM(BD286:BG286)</f>
        <v>21276</v>
      </c>
      <c r="BV286" s="1090" t="n">
        <f aca="false">SUM(BL286:BN286)</f>
        <v>4255.2</v>
      </c>
      <c r="BW286" s="1098" t="n">
        <f aca="false">SUM(BL286:BO286)</f>
        <v>4255.2</v>
      </c>
      <c r="BX286" s="852" t="n">
        <v>22.4613278576318</v>
      </c>
      <c r="BY286" s="1099" t="n">
        <v>0</v>
      </c>
      <c r="BZ286" s="852" t="n">
        <v>0</v>
      </c>
      <c r="CA286" s="852" t="n">
        <v>0</v>
      </c>
      <c r="CB286" s="852" t="n">
        <v>0</v>
      </c>
      <c r="CC286" s="852" t="n">
        <v>0</v>
      </c>
      <c r="CD286" s="852" t="n">
        <v>0</v>
      </c>
      <c r="CE286" s="1100" t="n">
        <v>0</v>
      </c>
      <c r="CF286" s="852" t="n">
        <v>0</v>
      </c>
      <c r="CG286" s="852" t="n">
        <v>0</v>
      </c>
      <c r="CH286" s="852" t="n">
        <v>0</v>
      </c>
      <c r="CI286" s="852" t="n">
        <v>0</v>
      </c>
      <c r="CJ286" s="1101" t="n">
        <v>0</v>
      </c>
      <c r="CK286" s="852" t="n">
        <v>0</v>
      </c>
      <c r="CL286" s="852" t="n">
        <v>0</v>
      </c>
      <c r="CM286" s="852" t="n">
        <v>0</v>
      </c>
      <c r="CN286" s="852" t="n">
        <v>0</v>
      </c>
      <c r="CO286" s="852" t="n">
        <v>0</v>
      </c>
      <c r="CP286" s="852" t="n">
        <v>0</v>
      </c>
      <c r="CQ286" s="1102" t="n">
        <v>0</v>
      </c>
      <c r="CR286" s="1103" t="n">
        <v>0</v>
      </c>
      <c r="CS286" s="1103" t="n">
        <v>0</v>
      </c>
      <c r="CT286" s="1103" t="n">
        <v>0</v>
      </c>
      <c r="CU286" s="1103" t="n">
        <v>0</v>
      </c>
      <c r="CV286" s="1103" t="n">
        <v>0</v>
      </c>
      <c r="CW286" s="1103" t="n">
        <v>0</v>
      </c>
      <c r="CX286" s="1104" t="n">
        <v>0</v>
      </c>
      <c r="CY286" s="1105" t="n">
        <v>7822.41488</v>
      </c>
      <c r="CZ286" s="1099" t="n">
        <v>0</v>
      </c>
      <c r="DA286" s="852" t="n">
        <v>0</v>
      </c>
      <c r="DB286" s="852" t="n">
        <v>0</v>
      </c>
      <c r="DC286" s="852" t="n">
        <v>0</v>
      </c>
      <c r="DD286" s="852" t="n">
        <v>0</v>
      </c>
      <c r="DE286" s="1113" t="n">
        <v>0</v>
      </c>
      <c r="DF286" s="1109" t="n">
        <v>0</v>
      </c>
      <c r="DG286" s="1110" t="n">
        <v>0</v>
      </c>
      <c r="DH286" s="1111" t="n">
        <v>0</v>
      </c>
      <c r="DI286" s="1112" t="n">
        <v>0</v>
      </c>
      <c r="DJ286" s="1112" t="n">
        <v>0</v>
      </c>
      <c r="DK286" s="1112" t="n">
        <v>0</v>
      </c>
      <c r="DL286" s="1113" t="n">
        <v>0</v>
      </c>
      <c r="DM286" s="1114" t="n">
        <v>0</v>
      </c>
      <c r="DN286" s="1114" t="n">
        <v>0</v>
      </c>
      <c r="DO286" s="1114" t="n">
        <v>0</v>
      </c>
      <c r="DP286" s="1114" t="n">
        <v>0</v>
      </c>
      <c r="DQ286" s="1114" t="n">
        <v>0</v>
      </c>
      <c r="DR286" s="1109" t="n">
        <v>0</v>
      </c>
      <c r="DS286" s="852" t="n">
        <v>0</v>
      </c>
      <c r="DT286" s="852" t="n">
        <v>0</v>
      </c>
      <c r="DU286" s="852" t="n">
        <v>0</v>
      </c>
      <c r="DV286" s="852" t="n">
        <v>0</v>
      </c>
      <c r="DW286" s="852" t="n">
        <v>0</v>
      </c>
      <c r="DX286" s="852" t="n">
        <v>0</v>
      </c>
      <c r="DY286" s="852" t="n">
        <v>0</v>
      </c>
      <c r="DZ286" s="852" t="n">
        <v>0</v>
      </c>
      <c r="EA286" s="852" t="n">
        <v>0</v>
      </c>
      <c r="EB286" s="1113" t="n">
        <v>0</v>
      </c>
      <c r="EC286" s="1115" t="n">
        <f aca="false">DS286*BD286</f>
        <v>0</v>
      </c>
      <c r="ED286" s="1115" t="n">
        <f aca="false">DT286*BE286</f>
        <v>0</v>
      </c>
      <c r="EE286" s="1115" t="n">
        <f aca="false">DU286*BF286</f>
        <v>0</v>
      </c>
      <c r="EF286" s="1115" t="n">
        <f aca="false">DV286*BG286</f>
        <v>0</v>
      </c>
      <c r="EG286" s="1115" t="n">
        <f aca="false">DS286*BD286+DT286*BE286+DU286*BF286+DV286*BG286</f>
        <v>0</v>
      </c>
      <c r="EH286" s="1116" t="n">
        <v>0</v>
      </c>
      <c r="EI286" s="1117" t="n">
        <v>0</v>
      </c>
      <c r="EJ286" s="1117" t="n">
        <v>0</v>
      </c>
      <c r="EK286" s="1117" t="n">
        <v>0</v>
      </c>
      <c r="EL286" s="1118" t="n">
        <f aca="false">IF(C286&gt;=Summary!$E$26,MAX(0,SUM(EH286:EK286)),0)</f>
        <v>0</v>
      </c>
      <c r="EM286" s="1115" t="n">
        <f aca="false">IF(C286&gt;=Summary!$E$26,DX286*BL286,0)</f>
        <v>0</v>
      </c>
      <c r="EN286" s="1115" t="n">
        <f aca="false">IF(C286&gt;=Summary!$E$26,DY286*BM286,0)</f>
        <v>0</v>
      </c>
      <c r="EO286" s="1115" t="n">
        <f aca="false">IF(C286&gt;=Summary!$E$26,DZ286*BN286,0)</f>
        <v>0</v>
      </c>
      <c r="EP286" s="1115" t="n">
        <f aca="false">IF(C286&gt;=Summary!$E$26,EA286*BO286,0)</f>
        <v>0</v>
      </c>
      <c r="EQ286" s="1115" t="n">
        <f aca="false">IF(C286&gt;=Summary!$E$26,DX286*BL286+DY286*BM286+DZ286*BN286+EA286*BO286,0)</f>
        <v>0</v>
      </c>
      <c r="ER286" s="1119" t="n">
        <v>0</v>
      </c>
      <c r="ES286" s="1120" t="n">
        <v>0</v>
      </c>
      <c r="ET286" s="1120" t="n">
        <v>0</v>
      </c>
      <c r="EU286" s="1120" t="n">
        <v>0</v>
      </c>
      <c r="EV286" s="1143" t="n">
        <f aca="false">IF(C286&gt;=Summary!$E$26,MAX(0,SUM(ER286:EU286)),0)</f>
        <v>0</v>
      </c>
      <c r="EW286" s="1115"/>
      <c r="EX286" s="1165" t="n">
        <f aca="false">(EQ286-EV286)+IF(EZ286="Yes",(EG286-EL286),0)</f>
        <v>0</v>
      </c>
      <c r="EY286" s="1166" t="str">
        <f aca="false">IF(EX286,EX286/EQ286,"")</f>
        <v/>
      </c>
      <c r="EZ286" s="1122" t="s">
        <v>37</v>
      </c>
      <c r="FA286" s="1096" t="n">
        <f aca="false">FA285</f>
        <v>45</v>
      </c>
      <c r="FB286" s="1167" t="n">
        <f aca="false">IF(EZ286="No",IF((OR(MONTH(C286)=5,MONTH(C286)=6,MONTH(C286)=7,MONTH(C286)=8,MONTH(C286)=9)),$FA286*12*AX286*(1-$BC286),$FA286*10*AX286*(1-$BC286)),0)</f>
        <v>11701.8</v>
      </c>
      <c r="FC286" s="1129" t="n">
        <f aca="false">IF(EZ286="No",IF((OR(MONTH(C286)=5,MONTH(C286)=6,MONTH(C286)=7,MONTH(C286)=8,MONTH(C286)=9)),0,$FA286*3*AX286*(1-$BC286)),0)</f>
        <v>0</v>
      </c>
      <c r="FD286" s="1129" t="n">
        <f aca="false">IF(EZ286="No",IF((OR(MONTH(C286)=5,MONTH(C286)=6,MONTH(C286)=7,MONTH(C286)=8,MONTH(C286)=9)),$FA286*12*AY286*(1-$BC286),$FA286*10*AY286*(1-$BC286)),0)</f>
        <v>2127.6</v>
      </c>
      <c r="FE286" s="1129" t="n">
        <f aca="false">IF(EZ286="No",IF((OR(MONTH(C286)=5,MONTH(C286)=6,MONTH(C286)=7,MONTH(C286)=8,MONTH(C286)=9)),0,$FA286*3*AY286*(1-$BC286)),0)</f>
        <v>0</v>
      </c>
      <c r="FF286" s="1129" t="n">
        <f aca="false">IF(EZ286="No",IF((OR(MONTH(C286)=5,MONTH(C286)=6,MONTH(C286)=7,MONTH(C286)=8,MONTH(C286)=9)),$FA286*12*(AZ286+BA286)*(1-$BC286),$FA286*10*(AZ286+BA286)*(1-$BC286)),0)</f>
        <v>2127.6</v>
      </c>
      <c r="FG286" s="1129" t="n">
        <f aca="false">IF(EZ286="No",IF((OR(MONTH(C286)=5,MONTH(C286)=6,MONTH(C286)=7,MONTH(C286)=8,MONTH(C286)=9)),0,$FA286*3*(AZ286+BA286)*(1-$BC286)),0)</f>
        <v>0</v>
      </c>
      <c r="FH286" s="1170" t="n">
        <f aca="false">IF(EZ286="No",IF((OR(MONTH(C286)=5,MONTH(C286)=6,MONTH(C286)=7,MONTH(C286)=8,MONTH(C286)=9)),Summary!$O$15*12*(AX286+AY286+AZ286+BA286)*(1-$BC286),Summary!$O$15*13*(AX286+AY286+AZ286+BA286)*(1-$BC286)+IF(Summary!$O$16="Yes",(CALC!FA286+Summary!$O$15)*6*(AX286+AY286+AZ286+BA286)*(1-$BC286),0)),0)</f>
        <v>0</v>
      </c>
      <c r="FI286" s="1126" t="n">
        <f aca="false">IF(MONTH(C286)=5,FI285*(IF(Summary!$E$70="no",(1+(Summary!$E$71*0.8)),1+HLOOKUP(YEAR(C286)-1,CCFMODEL!$I$127:$AF$128,2)*0.8)),+FI285)</f>
        <v>45.9010556937194</v>
      </c>
      <c r="FJ286" s="1127" t="n">
        <f aca="false">IF(MONTH(C286)=5,FJ285*(IF(Summary!$E$70="no",(1+(Summary!$E$71*0.8)),1+HLOOKUP(YEAR(CALC!C286)-1,CCFMODEL!$I$127:$AF$128,2)*0.8)),FJ285)</f>
        <v>40.1182455275815</v>
      </c>
      <c r="FK286" s="1128" t="n">
        <f aca="false">SUM(FB286:FG286)*FI286+FH286*FJ286</f>
        <v>732443.145704681</v>
      </c>
      <c r="FL286" s="1126" t="n">
        <f aca="false">IF(MONTH(C286)=5,FL285*(IF(Summary!$E$70="no",(1+(Summary!$E$71*0.8)),1+HLOOKUP(YEAR(CALC!C286)-1,CCFMODEL!$I$127:$AF$128,2)*0.8)),+FL285)</f>
        <v>96.5350661365099</v>
      </c>
      <c r="FM286" s="1127" t="n">
        <f aca="false">IF(MONTH(C286)=5,FM285*(IF(Summary!$E$70="no",(1+(Summary!$E$71*0.8)),1+HLOOKUP(YEAR(CALC!C286)-1,CCFMODEL!$I$127:$AF$128,2)*0.8)),+FM285)</f>
        <v>46.0731631391402</v>
      </c>
      <c r="FN286" s="1128" t="n">
        <f aca="false">IF((OR(MONTH(C286)=5,MONTH(C286)=6,MONTH(C286)=7,MONTH(C286)=8,MONTH(C286)=9)),SUM(FB286:FG286)/(1-BC286)*FL286,SUM(FB286:FG286)/(1-BC286)*FM286)</f>
        <v>1563868.07141146</v>
      </c>
      <c r="FO286" s="1129" t="n">
        <f aca="false">FK286+FN286</f>
        <v>2296311.21711614</v>
      </c>
      <c r="FP286" s="1169" t="n">
        <f aca="false">FB286</f>
        <v>11701.8</v>
      </c>
      <c r="FQ286" s="1129" t="n">
        <f aca="false">FC286</f>
        <v>0</v>
      </c>
      <c r="FR286" s="1129" t="n">
        <f aca="false">FD286</f>
        <v>2127.6</v>
      </c>
      <c r="FS286" s="1129" t="n">
        <f aca="false">FE286</f>
        <v>0</v>
      </c>
      <c r="FT286" s="1129" t="n">
        <f aca="false">FF286</f>
        <v>2127.6</v>
      </c>
      <c r="FU286" s="1129" t="n">
        <f aca="false">FG286</f>
        <v>0</v>
      </c>
      <c r="FV286" s="1170" t="n">
        <f aca="false">FH286</f>
        <v>0</v>
      </c>
      <c r="FW286" s="1115" t="n">
        <f aca="false">IF(ER286&gt;0,MIN(FB286-FP286,BL286),0)</f>
        <v>0</v>
      </c>
      <c r="FX286" s="1115" t="n">
        <f aca="false">IF(ES286&gt;0,MIN(FD286-FR286,BM286),0)</f>
        <v>0</v>
      </c>
      <c r="FY286" s="1115" t="n">
        <f aca="false">IF(ET286&gt;0,MIN(FF286-FT286,BN286),0)</f>
        <v>0</v>
      </c>
      <c r="FZ286" s="1143" t="n">
        <f aca="false">IF(EU286&gt;0,MIN(FH286-FV286,BO286),0)</f>
        <v>0</v>
      </c>
      <c r="GA286" s="1132" t="n">
        <f aca="false">(SUM(FP286:FV286)+SUM(GU286:HB286)/(1-Summary!$O$25))*CY286/1000</f>
        <v>124822.27424016</v>
      </c>
      <c r="GB286" s="1133" t="n">
        <f aca="false">IF($C286&lt;Summary!$M$81,+Summary!$O$81,VLOOKUP(C286,GasTable,19))</f>
        <v>4.591</v>
      </c>
      <c r="GC286" s="1134" t="n">
        <f aca="false">IF(H286&lt;=Summary!$N$84,MIN(GA286,Summary!$O$75*(H286-G286+1)),0)</f>
        <v>0</v>
      </c>
      <c r="GD286" s="1135" t="n">
        <f aca="false">IF(C286&lt;Summary!$N$84,IF(Summary!$O$75*(H286-G286+1)*0.8&gt;GC286,1,0),0)</f>
        <v>0</v>
      </c>
      <c r="GE286" s="1136" t="n">
        <v>0</v>
      </c>
      <c r="GF286" s="1134" t="n">
        <f aca="false">ABS(MIN(0,GC286-$GA286))</f>
        <v>124822.27424016</v>
      </c>
      <c r="GG286" s="1135" t="n">
        <f aca="false">GF286*(IF(Summary!$O$74=1,VLOOKUP($C286,GasTable,16)+Summary!$O$92+Summary!$O$93,VLOOKUP($C286,GasTable,19)+Summary!$O$92+Summary!$O$93))</f>
        <v>579562.301524487</v>
      </c>
      <c r="GH286" s="1137" t="n">
        <v>6886.5</v>
      </c>
      <c r="GI286" s="1138" t="n">
        <v>0</v>
      </c>
      <c r="GJ286" s="1139" t="n">
        <f aca="false">+GB286*GC286+GE286+GG286+GH286-GI286</f>
        <v>586448.801524487</v>
      </c>
      <c r="GK286" s="1115" t="n">
        <f aca="false">SUM(FP286:FV286,GU286:GX286,GY286:HB286)</f>
        <v>15957</v>
      </c>
      <c r="GL286" s="1140" t="n">
        <v>0.52410179696</v>
      </c>
      <c r="GM286" s="1141" t="n">
        <f aca="false">IF(GK286&gt;GC286/(CY286/1000),GC286/(CY286/1000),+GK286)*GL286</f>
        <v>0</v>
      </c>
      <c r="GN286" s="1115" t="n">
        <f aca="false">IF(SUM(GU286:HB286)=0,0,IF(Summary!$O$16="Yes",SUM(GX286:HB286),IF(Summary!$O$17="Yes",SUM(GY286:HB286),SUM(GU286:HB286))))</f>
        <v>0</v>
      </c>
      <c r="GO286" s="1142" t="n">
        <v>4.55941701293117</v>
      </c>
      <c r="GP286" s="1143" t="n">
        <f aca="false">GN286*GO286</f>
        <v>0</v>
      </c>
      <c r="GQ286" s="1115"/>
      <c r="GR286" s="1115"/>
      <c r="GS286" s="1115"/>
      <c r="GT286" s="1115"/>
      <c r="GU286" s="1150" t="n">
        <v>0</v>
      </c>
      <c r="GV286" s="1115" t="n">
        <v>0</v>
      </c>
      <c r="GW286" s="1115" t="n">
        <v>0</v>
      </c>
      <c r="GX286" s="1115"/>
      <c r="GY286" s="1151" t="n">
        <v>0</v>
      </c>
      <c r="GZ286" s="1115" t="n">
        <v>0</v>
      </c>
      <c r="HA286" s="1115" t="n">
        <v>0</v>
      </c>
      <c r="HB286" s="1141"/>
      <c r="HC286" s="1115" t="n">
        <v>0</v>
      </c>
      <c r="HD286" s="1115"/>
      <c r="HE286" s="1115" t="n">
        <v>0</v>
      </c>
      <c r="HF286" s="1115" t="n">
        <v>0</v>
      </c>
      <c r="HG286" s="1115"/>
      <c r="HH286" s="1142" t="n">
        <v>0</v>
      </c>
      <c r="HI286" s="1115" t="n">
        <v>0</v>
      </c>
      <c r="HJ286" s="1150" t="n">
        <f aca="false">MAX(FB286-FP286-FW286,0)</f>
        <v>0</v>
      </c>
      <c r="HK286" s="1115" t="n">
        <f aca="false">MAX(FD286-FR286-FX286,0)</f>
        <v>0</v>
      </c>
      <c r="HL286" s="1115" t="n">
        <f aca="false">MAX(FF286-FT286-FY286,0)</f>
        <v>0</v>
      </c>
      <c r="HM286" s="1141" t="n">
        <f aca="false">MAX(FH286-FV286-FZ286,0)</f>
        <v>0</v>
      </c>
      <c r="HN286" s="1115" t="n">
        <f aca="false">SUM(HJ286:HM286)</f>
        <v>0</v>
      </c>
      <c r="HO286" s="1142" t="n">
        <f aca="false">IF(ISERROR(+HP286/HN286),0,+HP286/HN286)</f>
        <v>0</v>
      </c>
      <c r="HP286" s="1143" t="n">
        <f aca="false">(HJ286*CE286+HK286*CF286+HL286*CG286+HM286*CH286)</f>
        <v>0</v>
      </c>
      <c r="HQ286" s="1142"/>
      <c r="HR286" s="1142"/>
      <c r="HS286" s="1142"/>
      <c r="HT286" s="1142"/>
      <c r="HU286" s="1142"/>
      <c r="HV286" s="1142"/>
      <c r="HW286" s="1142"/>
      <c r="HX286" s="1142"/>
      <c r="HY286" s="1142"/>
      <c r="HZ286" s="1142"/>
      <c r="IA286" s="1142"/>
      <c r="IB286" s="1142"/>
      <c r="IC286" s="1142"/>
      <c r="ID286" s="1142"/>
      <c r="IE286" s="1142"/>
      <c r="IF286" s="1142"/>
      <c r="IG286" s="1142"/>
      <c r="IH286" s="1142"/>
      <c r="II286" s="1142"/>
      <c r="IJ286" s="1142"/>
      <c r="IK286" s="1142"/>
      <c r="IL286" s="1190"/>
      <c r="IM286" s="222"/>
      <c r="IN286" s="222"/>
      <c r="IR286" s="844"/>
    </row>
    <row r="287" customFormat="false" ht="13.5" hidden="false" customHeight="false" outlineLevel="0" collapsed="false">
      <c r="A287" s="0" t="str">
        <f aca="false">+D287&amp;"Q"&amp;ROUNDUP(E287/3,0)</f>
        <v>2022Q3</v>
      </c>
      <c r="B287" s="0" t="n">
        <f aca="false">YEAR(C287)</f>
        <v>2022</v>
      </c>
      <c r="C287" s="1153" t="n">
        <f aca="false">EOMONTH(C286,0)+1</f>
        <v>44743</v>
      </c>
      <c r="D287" s="841" t="n">
        <f aca="false">+YEAR(C287)</f>
        <v>2022</v>
      </c>
      <c r="E287" s="807" t="n">
        <f aca="false">MONTH(C287)</f>
        <v>7</v>
      </c>
      <c r="F287" s="1154" t="e">
        <f aca="false">IF(G287="","",Holiday(D287,E287))</f>
        <v>#VALUE!</v>
      </c>
      <c r="G287" s="1155" t="n">
        <v>44743</v>
      </c>
      <c r="H287" s="1156" t="n">
        <v>44773</v>
      </c>
      <c r="I287" s="1157" t="n">
        <f aca="false">I286</f>
        <v>0.0715</v>
      </c>
      <c r="J287" s="1158" t="n">
        <f aca="false">(1+I287/2)^(-2*(DATE(D288,E288,20)-$H$7)/365.25)</f>
        <v>0.203247388042508</v>
      </c>
      <c r="K287" s="1159"/>
      <c r="L287" s="1158"/>
      <c r="M287" s="1082" t="n">
        <v>0</v>
      </c>
      <c r="N287" s="1110" t="n">
        <f aca="false">M287</f>
        <v>0</v>
      </c>
      <c r="O287" s="1174" t="n">
        <f aca="false">N287</f>
        <v>0</v>
      </c>
      <c r="P287" s="1175" t="n">
        <f aca="false">M287</f>
        <v>0</v>
      </c>
      <c r="Q287" s="1110" t="n">
        <f aca="false">P287</f>
        <v>0</v>
      </c>
      <c r="R287" s="1174" t="n">
        <f aca="false">Q287</f>
        <v>0</v>
      </c>
      <c r="S287" s="1110" t="n">
        <f aca="false">R287</f>
        <v>0</v>
      </c>
      <c r="T287" s="1110" t="n">
        <f aca="false">S287</f>
        <v>0</v>
      </c>
      <c r="U287" s="1110" t="n">
        <f aca="false">T287</f>
        <v>0</v>
      </c>
      <c r="V287" s="1175" t="n">
        <f aca="false">U287</f>
        <v>0</v>
      </c>
      <c r="W287" s="1110" t="n">
        <f aca="false">V287</f>
        <v>0</v>
      </c>
      <c r="X287" s="1176" t="n">
        <f aca="false">W287</f>
        <v>0</v>
      </c>
      <c r="Y287" s="1086" t="n">
        <v>0</v>
      </c>
      <c r="Z287" s="1086" t="n">
        <v>0</v>
      </c>
      <c r="AA287" s="1087" t="n">
        <v>0</v>
      </c>
      <c r="AB287" s="1086" t="n">
        <v>0</v>
      </c>
      <c r="AC287" s="1086" t="n">
        <v>0</v>
      </c>
      <c r="AD287" s="1087" t="n">
        <v>0</v>
      </c>
      <c r="AE287" s="1086" t="n">
        <v>0</v>
      </c>
      <c r="AF287" s="1086" t="n">
        <v>0</v>
      </c>
      <c r="AG287" s="1087" t="n">
        <v>0</v>
      </c>
      <c r="AH287" s="1086" t="n">
        <v>0</v>
      </c>
      <c r="AI287" s="1086" t="n">
        <v>0</v>
      </c>
      <c r="AJ287" s="1087" t="n">
        <v>0</v>
      </c>
      <c r="AK287" s="1086" t="n">
        <v>0</v>
      </c>
      <c r="AL287" s="1086" t="n">
        <v>0</v>
      </c>
      <c r="AM287" s="1087" t="n">
        <v>0</v>
      </c>
      <c r="AN287" s="1086" t="n">
        <v>0</v>
      </c>
      <c r="AO287" s="1086" t="n">
        <v>0</v>
      </c>
      <c r="AP287" s="1087" t="n">
        <v>0</v>
      </c>
      <c r="AQ287" s="1086" t="n">
        <v>0</v>
      </c>
      <c r="AR287" s="1086" t="n">
        <v>0</v>
      </c>
      <c r="AS287" s="1087" t="n">
        <v>0</v>
      </c>
      <c r="AT287" s="1086" t="n">
        <v>0</v>
      </c>
      <c r="AU287" s="1086" t="n">
        <v>0</v>
      </c>
      <c r="AV287" s="1086" t="n">
        <v>0</v>
      </c>
      <c r="AW287" s="1172" t="n">
        <v>0</v>
      </c>
      <c r="AX287" s="807" t="e">
        <f aca="false">BB287-SUM(AY287:BA287)</f>
        <v>#VALUE!</v>
      </c>
      <c r="AY287" s="807" t="e">
        <f aca="false">IF(AND($E287=MONTH(Summary!$E$24),$D287=YEAR(Summary!$E$24)),Summary!$E$25,1)*IF(G287="",0,INT((H287-MOD(H287,7)-G287)/7)+1-IF(BA287,IF(WEEKDAY(F287)=7,1,0),0))</f>
        <v>#VALUE!</v>
      </c>
      <c r="AZ287" s="807" t="e">
        <f aca="false">IF(AND($E287=MONTH(Summary!$E$24),$D287=YEAR(Summary!$E$24)),Summary!$E$25,1)*IF(G287="",0,INT((H287-MOD(H287-1,7)-G287)/7)+1-IF(BA287,IF(WEEKDAY(F287)=1,1,0),0))</f>
        <v>#VALUE!</v>
      </c>
      <c r="BA287" s="807" t="n">
        <v>1</v>
      </c>
      <c r="BB287" s="807" t="n">
        <f aca="false">IF(AND($E287=MONTH(Summary!$E$24),$D287=YEAR(Summary!$E$24)),Summary!$E$25,1)*IF(G287="",0,H287-G287+1)</f>
        <v>31</v>
      </c>
      <c r="BC287" s="1089" t="n">
        <f aca="false">Summary!$E$19</f>
        <v>0.015</v>
      </c>
      <c r="BD287" s="1090" t="n">
        <v>14184</v>
      </c>
      <c r="BE287" s="1091" t="n">
        <v>3546</v>
      </c>
      <c r="BF287" s="1091" t="n">
        <v>4255.2</v>
      </c>
      <c r="BG287" s="842"/>
      <c r="BH287" s="1092" t="n">
        <v>1</v>
      </c>
      <c r="BI287" s="1092" t="n">
        <v>1</v>
      </c>
      <c r="BJ287" s="1092" t="n">
        <v>1</v>
      </c>
      <c r="BK287" s="1092" t="n">
        <v>1</v>
      </c>
      <c r="BL287" s="1093" t="n">
        <v>2836.8</v>
      </c>
      <c r="BM287" s="1091" t="n">
        <v>709.2</v>
      </c>
      <c r="BN287" s="1091" t="n">
        <v>851.04</v>
      </c>
      <c r="BO287" s="842"/>
      <c r="BP287" s="1092" t="n">
        <v>1</v>
      </c>
      <c r="BQ287" s="1094" t="n">
        <v>1</v>
      </c>
      <c r="BR287" s="1094" t="n">
        <v>1</v>
      </c>
      <c r="BS287" s="1095" t="n">
        <v>1</v>
      </c>
      <c r="BT287" s="1093" t="n">
        <f aca="false">SUM(BD287:BF287)</f>
        <v>21985.2</v>
      </c>
      <c r="BU287" s="1098" t="n">
        <f aca="false">SUM(BD287:BG287)</f>
        <v>21985.2</v>
      </c>
      <c r="BV287" s="1090" t="n">
        <f aca="false">SUM(BL287:BN287)</f>
        <v>4397.04</v>
      </c>
      <c r="BW287" s="1098" t="n">
        <f aca="false">SUM(BL287:BO287)</f>
        <v>4397.04</v>
      </c>
      <c r="BX287" s="852" t="n">
        <v>22.5434633812457</v>
      </c>
      <c r="BY287" s="1099" t="n">
        <v>0</v>
      </c>
      <c r="BZ287" s="852" t="n">
        <v>0</v>
      </c>
      <c r="CA287" s="852" t="n">
        <v>0</v>
      </c>
      <c r="CB287" s="852" t="n">
        <v>0</v>
      </c>
      <c r="CC287" s="852" t="n">
        <v>0</v>
      </c>
      <c r="CD287" s="852" t="n">
        <v>0</v>
      </c>
      <c r="CE287" s="1100" t="n">
        <v>0</v>
      </c>
      <c r="CF287" s="852" t="n">
        <v>0</v>
      </c>
      <c r="CG287" s="852" t="n">
        <v>0</v>
      </c>
      <c r="CH287" s="852" t="n">
        <v>0</v>
      </c>
      <c r="CI287" s="852" t="n">
        <v>0</v>
      </c>
      <c r="CJ287" s="1101" t="n">
        <v>0</v>
      </c>
      <c r="CK287" s="852" t="n">
        <v>0</v>
      </c>
      <c r="CL287" s="852" t="n">
        <v>0</v>
      </c>
      <c r="CM287" s="852" t="n">
        <v>0</v>
      </c>
      <c r="CN287" s="852" t="n">
        <v>0</v>
      </c>
      <c r="CO287" s="852" t="n">
        <v>0</v>
      </c>
      <c r="CP287" s="852" t="n">
        <v>0</v>
      </c>
      <c r="CQ287" s="1102" t="n">
        <v>0</v>
      </c>
      <c r="CR287" s="1103" t="n">
        <v>0</v>
      </c>
      <c r="CS287" s="1103" t="n">
        <v>0</v>
      </c>
      <c r="CT287" s="1103" t="n">
        <v>0</v>
      </c>
      <c r="CU287" s="1103" t="n">
        <v>0</v>
      </c>
      <c r="CV287" s="1103" t="n">
        <v>0</v>
      </c>
      <c r="CW287" s="1103" t="n">
        <v>0</v>
      </c>
      <c r="CX287" s="1104" t="n">
        <v>0</v>
      </c>
      <c r="CY287" s="1105" t="n">
        <v>7824.44584</v>
      </c>
      <c r="CZ287" s="1099" t="n">
        <v>0</v>
      </c>
      <c r="DA287" s="852" t="n">
        <v>0</v>
      </c>
      <c r="DB287" s="852" t="n">
        <v>0</v>
      </c>
      <c r="DC287" s="852" t="n">
        <v>0</v>
      </c>
      <c r="DD287" s="852" t="n">
        <v>0</v>
      </c>
      <c r="DE287" s="1113" t="n">
        <v>0</v>
      </c>
      <c r="DF287" s="1109" t="n">
        <v>0</v>
      </c>
      <c r="DG287" s="1110" t="n">
        <v>0</v>
      </c>
      <c r="DH287" s="1111" t="n">
        <v>0</v>
      </c>
      <c r="DI287" s="1112" t="n">
        <v>0</v>
      </c>
      <c r="DJ287" s="1112" t="n">
        <v>0</v>
      </c>
      <c r="DK287" s="1112" t="n">
        <v>0</v>
      </c>
      <c r="DL287" s="1113" t="n">
        <v>0</v>
      </c>
      <c r="DM287" s="1114" t="n">
        <v>0</v>
      </c>
      <c r="DN287" s="1114" t="n">
        <v>0</v>
      </c>
      <c r="DO287" s="1114" t="n">
        <v>0</v>
      </c>
      <c r="DP287" s="1114" t="n">
        <v>0</v>
      </c>
      <c r="DQ287" s="1114" t="n">
        <v>0</v>
      </c>
      <c r="DR287" s="1109" t="n">
        <v>0</v>
      </c>
      <c r="DS287" s="852" t="n">
        <v>0</v>
      </c>
      <c r="DT287" s="852" t="n">
        <v>0</v>
      </c>
      <c r="DU287" s="852" t="n">
        <v>0</v>
      </c>
      <c r="DV287" s="852" t="n">
        <v>0</v>
      </c>
      <c r="DW287" s="852" t="n">
        <v>0</v>
      </c>
      <c r="DX287" s="852" t="n">
        <v>0</v>
      </c>
      <c r="DY287" s="852" t="n">
        <v>0</v>
      </c>
      <c r="DZ287" s="852" t="n">
        <v>0</v>
      </c>
      <c r="EA287" s="852" t="n">
        <v>0</v>
      </c>
      <c r="EB287" s="1113" t="n">
        <v>0</v>
      </c>
      <c r="EC287" s="1115" t="n">
        <f aca="false">DS287*BD287</f>
        <v>0</v>
      </c>
      <c r="ED287" s="1115" t="n">
        <f aca="false">DT287*BE287</f>
        <v>0</v>
      </c>
      <c r="EE287" s="1115" t="n">
        <f aca="false">DU287*BF287</f>
        <v>0</v>
      </c>
      <c r="EF287" s="1115" t="n">
        <f aca="false">DV287*BG287</f>
        <v>0</v>
      </c>
      <c r="EG287" s="1115" t="n">
        <f aca="false">DS287*BD287+DT287*BE287+DU287*BF287+DV287*BG287</f>
        <v>0</v>
      </c>
      <c r="EH287" s="1116" t="n">
        <v>0</v>
      </c>
      <c r="EI287" s="1117" t="n">
        <v>0</v>
      </c>
      <c r="EJ287" s="1117" t="n">
        <v>0</v>
      </c>
      <c r="EK287" s="1117" t="n">
        <v>0</v>
      </c>
      <c r="EL287" s="1118" t="n">
        <f aca="false">IF(C287&gt;=Summary!$E$26,MAX(0,SUM(EH287:EK287)),0)</f>
        <v>0</v>
      </c>
      <c r="EM287" s="1115" t="n">
        <f aca="false">IF(C287&gt;=Summary!$E$26,DX287*BL287,0)</f>
        <v>0</v>
      </c>
      <c r="EN287" s="1115" t="n">
        <f aca="false">IF(C287&gt;=Summary!$E$26,DY287*BM287,0)</f>
        <v>0</v>
      </c>
      <c r="EO287" s="1115" t="n">
        <f aca="false">IF(C287&gt;=Summary!$E$26,DZ287*BN287,0)</f>
        <v>0</v>
      </c>
      <c r="EP287" s="1115" t="n">
        <f aca="false">IF(C287&gt;=Summary!$E$26,EA287*BO287,0)</f>
        <v>0</v>
      </c>
      <c r="EQ287" s="1115" t="n">
        <f aca="false">IF(C287&gt;=Summary!$E$26,DX287*BL287+DY287*BM287+DZ287*BN287+EA287*BO287,0)</f>
        <v>0</v>
      </c>
      <c r="ER287" s="1119" t="n">
        <v>0</v>
      </c>
      <c r="ES287" s="1120" t="n">
        <v>0</v>
      </c>
      <c r="ET287" s="1120" t="n">
        <v>0</v>
      </c>
      <c r="EU287" s="1120" t="n">
        <v>0</v>
      </c>
      <c r="EV287" s="1143" t="n">
        <f aca="false">IF(C287&gt;=Summary!$E$26,MAX(0,SUM(ER287:EU287)),0)</f>
        <v>0</v>
      </c>
      <c r="EW287" s="1115"/>
      <c r="EX287" s="1165" t="n">
        <f aca="false">(EQ287-EV287)+IF(EZ287="Yes",(EG287-EL287),0)</f>
        <v>0</v>
      </c>
      <c r="EY287" s="1166" t="str">
        <f aca="false">IF(EX287,EX287/EQ287,"")</f>
        <v/>
      </c>
      <c r="EZ287" s="1122" t="s">
        <v>37</v>
      </c>
      <c r="FA287" s="1096" t="n">
        <f aca="false">FA286</f>
        <v>45</v>
      </c>
      <c r="FB287" s="1167" t="e">
        <f aca="false">IF(EZ287="No",IF((OR(MONTH(C287)=5,MONTH(C287)=6,MONTH(C287)=7,MONTH(C287)=8,MONTH(C287)=9)),$FA287*12*AX287*(1-$BC287),$FA287*10*AX287*(1-$BC287)),0)</f>
        <v>#VALUE!</v>
      </c>
      <c r="FC287" s="1129" t="n">
        <f aca="false">IF(EZ287="No",IF((OR(MONTH(C287)=5,MONTH(C287)=6,MONTH(C287)=7,MONTH(C287)=8,MONTH(C287)=9)),0,$FA287*3*AX287*(1-$BC287)),0)</f>
        <v>0</v>
      </c>
      <c r="FD287" s="1129" t="e">
        <f aca="false">IF(EZ287="No",IF((OR(MONTH(C287)=5,MONTH(C287)=6,MONTH(C287)=7,MONTH(C287)=8,MONTH(C287)=9)),$FA287*12*AY287*(1-$BC287),$FA287*10*AY287*(1-$BC287)),0)</f>
        <v>#VALUE!</v>
      </c>
      <c r="FE287" s="1129" t="n">
        <f aca="false">IF(EZ287="No",IF((OR(MONTH(C287)=5,MONTH(C287)=6,MONTH(C287)=7,MONTH(C287)=8,MONTH(C287)=9)),0,$FA287*3*AY287*(1-$BC287)),0)</f>
        <v>0</v>
      </c>
      <c r="FF287" s="1129" t="e">
        <f aca="false">IF(EZ287="No",IF((OR(MONTH(C287)=5,MONTH(C287)=6,MONTH(C287)=7,MONTH(C287)=8,MONTH(C287)=9)),$FA287*12*(AZ287+BA287)*(1-$BC287),$FA287*10*(AZ287+BA287)*(1-$BC287)),0)</f>
        <v>#VALUE!</v>
      </c>
      <c r="FG287" s="1129" t="n">
        <f aca="false">IF(EZ287="No",IF((OR(MONTH(C287)=5,MONTH(C287)=6,MONTH(C287)=7,MONTH(C287)=8,MONTH(C287)=9)),0,$FA287*3*(AZ287+BA287)*(1-$BC287)),0)</f>
        <v>0</v>
      </c>
      <c r="FH287" s="1170" t="e">
        <f aca="false">IF(EZ287="No",IF((OR(MONTH(C287)=5,MONTH(C287)=6,MONTH(C287)=7,MONTH(C287)=8,MONTH(C287)=9)),Summary!$O$15*12*(AX287+AY287+AZ287+BA287)*(1-$BC287),Summary!$O$15*13*(AX287+AY287+AZ287+BA287)*(1-$BC287)+IF(Summary!$O$16="Yes",(CALC!FA287+Summary!$O$15)*6*(AX287+AY287+AZ287+BA287)*(1-$BC287),0)),0)</f>
        <v>#VALUE!</v>
      </c>
      <c r="FI287" s="1126" t="n">
        <f aca="false">IF(MONTH(C287)=5,FI286*(IF(Summary!$E$70="no",(1+(Summary!$E$71*0.8)),1+HLOOKUP(YEAR(C287)-1,CCFMODEL!$I$127:$AF$128,2)*0.8)),+FI286)</f>
        <v>45.9010556937194</v>
      </c>
      <c r="FJ287" s="1127" t="n">
        <f aca="false">IF(MONTH(C287)=5,FJ286*(IF(Summary!$E$70="no",(1+(Summary!$E$71*0.8)),1+HLOOKUP(YEAR(CALC!C287)-1,CCFMODEL!$I$127:$AF$128,2)*0.8)),FJ286)</f>
        <v>40.1182455275815</v>
      </c>
      <c r="FK287" s="1128" t="e">
        <f aca="false">SUM(FB287:FG287)*FI287+FH287*FJ287</f>
        <v>#VALUE!</v>
      </c>
      <c r="FL287" s="1126" t="n">
        <f aca="false">IF(MONTH(C287)=5,FL286*(IF(Summary!$E$70="no",(1+(Summary!$E$71*0.8)),1+HLOOKUP(YEAR(CALC!C287)-1,CCFMODEL!$I$127:$AF$128,2)*0.8)),+FL286)</f>
        <v>96.5350661365099</v>
      </c>
      <c r="FM287" s="1127" t="n">
        <f aca="false">IF(MONTH(C287)=5,FM286*(IF(Summary!$E$70="no",(1+(Summary!$E$71*0.8)),1+HLOOKUP(YEAR(CALC!C287)-1,CCFMODEL!$I$127:$AF$128,2)*0.8)),+FM286)</f>
        <v>46.0731631391402</v>
      </c>
      <c r="FN287" s="1128" t="e">
        <f aca="false">IF((OR(MONTH(C287)=5,MONTH(C287)=6,MONTH(C287)=7,MONTH(C287)=8,MONTH(C287)=9)),SUM(FB287:FG287)/(1-BC287)*FL287,SUM(FB287:FG287)/(1-BC287)*FM287)</f>
        <v>#VALUE!</v>
      </c>
      <c r="FO287" s="1129" t="e">
        <f aca="false">FK287+FN287</f>
        <v>#VALUE!</v>
      </c>
      <c r="FP287" s="1169" t="e">
        <f aca="false">FB287</f>
        <v>#VALUE!</v>
      </c>
      <c r="FQ287" s="1129" t="n">
        <f aca="false">FC287</f>
        <v>0</v>
      </c>
      <c r="FR287" s="1129" t="e">
        <f aca="false">FD287</f>
        <v>#VALUE!</v>
      </c>
      <c r="FS287" s="1129" t="n">
        <f aca="false">FE287</f>
        <v>0</v>
      </c>
      <c r="FT287" s="1129" t="e">
        <f aca="false">FF287</f>
        <v>#VALUE!</v>
      </c>
      <c r="FU287" s="1129" t="n">
        <f aca="false">FG287</f>
        <v>0</v>
      </c>
      <c r="FV287" s="1170" t="e">
        <f aca="false">FH287</f>
        <v>#VALUE!</v>
      </c>
      <c r="FW287" s="1115" t="n">
        <f aca="false">IF(ER287&gt;0,MIN(FB287-FP287,BL287),0)</f>
        <v>0</v>
      </c>
      <c r="FX287" s="1115" t="n">
        <f aca="false">IF(ES287&gt;0,MIN(FD287-FR287,BM287),0)</f>
        <v>0</v>
      </c>
      <c r="FY287" s="1115" t="n">
        <f aca="false">IF(ET287&gt;0,MIN(FF287-FT287,BN287),0)</f>
        <v>0</v>
      </c>
      <c r="FZ287" s="1143" t="n">
        <f aca="false">IF(EU287&gt;0,MIN(FH287-FV287,BO287),0)</f>
        <v>0</v>
      </c>
      <c r="GA287" s="1132" t="e">
        <f aca="false">(SUM(FP287:FV287)+SUM(GU287:HB287)/(1-Summary!$O$25))*CY287/1000</f>
        <v>#VALUE!</v>
      </c>
      <c r="GB287" s="1133" t="n">
        <f aca="false">IF($C287&lt;Summary!$M$81,+Summary!$O$81,VLOOKUP(C287,GasTable,19))</f>
        <v>4.656</v>
      </c>
      <c r="GC287" s="1134" t="n">
        <f aca="false">IF(H287&lt;=Summary!$N$84,MIN(GA287,Summary!$O$75*(H287-G287+1)),0)</f>
        <v>0</v>
      </c>
      <c r="GD287" s="1135" t="n">
        <f aca="false">IF(C287&lt;Summary!$N$84,IF(Summary!$O$75*(H287-G287+1)*0.8&gt;GC287,1,0),0)</f>
        <v>0</v>
      </c>
      <c r="GE287" s="1136" t="n">
        <v>0</v>
      </c>
      <c r="GF287" s="1134" t="e">
        <f aca="false">ABS(MIN(0,GC287-$GA287))</f>
        <v>#VALUE!</v>
      </c>
      <c r="GG287" s="1135" t="e">
        <f aca="false">GF287*(IF(Summary!$O$74=1,VLOOKUP($C287,GasTable,16)+Summary!$O$92+Summary!$O$93,VLOOKUP($C287,GasTable,19)+Summary!$O$92+Summary!$O$93))</f>
        <v>#VALUE!</v>
      </c>
      <c r="GH287" s="1137" t="n">
        <v>7216.8</v>
      </c>
      <c r="GI287" s="1138" t="n">
        <v>0</v>
      </c>
      <c r="GJ287" s="1139" t="e">
        <f aca="false">+GB287*GC287+GE287+GG287+GH287-GI287</f>
        <v>#VALUE!</v>
      </c>
      <c r="GK287" s="1115" t="e">
        <f aca="false">SUM(FP287:FV287,GU287:GX287,GY287:HB287)</f>
        <v>#VALUE!</v>
      </c>
      <c r="GL287" s="1140" t="n">
        <v>0.52423787128</v>
      </c>
      <c r="GM287" s="1141" t="e">
        <f aca="false">IF(GK287&gt;GC287/(CY287/1000),GC287/(CY287/1000),+GK287)*GL287</f>
        <v>#VALUE!</v>
      </c>
      <c r="GN287" s="1115" t="n">
        <f aca="false">IF(SUM(GU287:HB287)=0,0,IF(Summary!$O$16="Yes",SUM(GX287:HB287),IF(Summary!$O$17="Yes",SUM(GY287:HB287),SUM(GU287:HB287))))</f>
        <v>0</v>
      </c>
      <c r="GO287" s="1142" t="n">
        <v>4.55941701293117</v>
      </c>
      <c r="GP287" s="1143" t="n">
        <f aca="false">GN287*GO287</f>
        <v>0</v>
      </c>
      <c r="GQ287" s="1115"/>
      <c r="GR287" s="1115"/>
      <c r="GS287" s="1115"/>
      <c r="GT287" s="1115"/>
      <c r="GU287" s="1150" t="n">
        <v>0</v>
      </c>
      <c r="GV287" s="1115" t="n">
        <v>0</v>
      </c>
      <c r="GW287" s="1115" t="n">
        <v>0</v>
      </c>
      <c r="GX287" s="1115"/>
      <c r="GY287" s="1151" t="n">
        <v>0</v>
      </c>
      <c r="GZ287" s="1115" t="n">
        <v>0</v>
      </c>
      <c r="HA287" s="1115" t="n">
        <v>0</v>
      </c>
      <c r="HB287" s="1141"/>
      <c r="HC287" s="1115" t="n">
        <v>0</v>
      </c>
      <c r="HD287" s="1115"/>
      <c r="HE287" s="1115" t="n">
        <v>0</v>
      </c>
      <c r="HF287" s="1115" t="n">
        <v>0</v>
      </c>
      <c r="HG287" s="1115"/>
      <c r="HH287" s="1142" t="n">
        <v>0</v>
      </c>
      <c r="HI287" s="1115" t="n">
        <v>0</v>
      </c>
      <c r="HJ287" s="1150" t="e">
        <f aca="false">MAX(FB287-FP287-FW287,0)</f>
        <v>#VALUE!</v>
      </c>
      <c r="HK287" s="1115" t="e">
        <f aca="false">MAX(FD287-FR287-FX287,0)</f>
        <v>#VALUE!</v>
      </c>
      <c r="HL287" s="1115" t="e">
        <f aca="false">MAX(FF287-FT287-FY287,0)</f>
        <v>#VALUE!</v>
      </c>
      <c r="HM287" s="1141" t="e">
        <f aca="false">MAX(FH287-FV287-FZ287,0)</f>
        <v>#VALUE!</v>
      </c>
      <c r="HN287" s="1115" t="e">
        <f aca="false">SUM(HJ287:HM287)</f>
        <v>#VALUE!</v>
      </c>
      <c r="HO287" s="1142" t="n">
        <f aca="false">IF(ISERROR(+HP287/HN287),0,+HP287/HN287)</f>
        <v>0</v>
      </c>
      <c r="HP287" s="1143" t="e">
        <f aca="false">(HJ287*CE287+HK287*CF287+HL287*CG287+HM287*CH287)</f>
        <v>#VALUE!</v>
      </c>
      <c r="HQ287" s="1142"/>
      <c r="HR287" s="1142"/>
      <c r="HS287" s="1142"/>
      <c r="HT287" s="1142"/>
      <c r="HU287" s="1142"/>
      <c r="HV287" s="1142"/>
      <c r="HW287" s="1142"/>
      <c r="HX287" s="1142"/>
      <c r="HY287" s="1142"/>
      <c r="HZ287" s="1142"/>
      <c r="IA287" s="1142"/>
      <c r="IB287" s="1142"/>
      <c r="IC287" s="1142"/>
      <c r="ID287" s="1142"/>
      <c r="IE287" s="1142"/>
      <c r="IF287" s="1142"/>
      <c r="IG287" s="1142"/>
      <c r="IH287" s="1142"/>
      <c r="II287" s="1142"/>
      <c r="IJ287" s="1142"/>
      <c r="IK287" s="1142"/>
      <c r="IL287" s="1190"/>
      <c r="IM287" s="222"/>
      <c r="IN287" s="222"/>
      <c r="IR287" s="844"/>
    </row>
    <row r="288" customFormat="false" ht="13.5" hidden="false" customHeight="false" outlineLevel="0" collapsed="false">
      <c r="A288" s="0" t="str">
        <f aca="false">+D288&amp;"Q"&amp;ROUNDUP(E288/3,0)</f>
        <v>2022Q3</v>
      </c>
      <c r="B288" s="0" t="n">
        <f aca="false">YEAR(C288)</f>
        <v>2022</v>
      </c>
      <c r="C288" s="1153" t="n">
        <f aca="false">EOMONTH(C287,0)+1</f>
        <v>44774</v>
      </c>
      <c r="D288" s="841" t="n">
        <f aca="false">+YEAR(C288)</f>
        <v>2022</v>
      </c>
      <c r="E288" s="807" t="n">
        <f aca="false">MONTH(C288)</f>
        <v>8</v>
      </c>
      <c r="F288" s="1154" t="e">
        <f aca="false">IF(G288="","",Holiday(D288,E288))</f>
        <v>#VALUE!</v>
      </c>
      <c r="G288" s="1155" t="n">
        <v>44774</v>
      </c>
      <c r="H288" s="1156" t="n">
        <v>44804</v>
      </c>
      <c r="I288" s="1157" t="n">
        <f aca="false">I287</f>
        <v>0.0715</v>
      </c>
      <c r="J288" s="1158" t="n">
        <f aca="false">(1+I288/2)^(-2*(DATE(D289,E289,20)-$H$7)/365.25)</f>
        <v>0.202039133068774</v>
      </c>
      <c r="K288" s="1159"/>
      <c r="L288" s="1158"/>
      <c r="M288" s="1082" t="n">
        <v>0</v>
      </c>
      <c r="N288" s="1110" t="n">
        <f aca="false">M288</f>
        <v>0</v>
      </c>
      <c r="O288" s="1174" t="n">
        <f aca="false">N288</f>
        <v>0</v>
      </c>
      <c r="P288" s="1175" t="n">
        <f aca="false">M288</f>
        <v>0</v>
      </c>
      <c r="Q288" s="1110" t="n">
        <f aca="false">P288</f>
        <v>0</v>
      </c>
      <c r="R288" s="1174" t="n">
        <f aca="false">Q288</f>
        <v>0</v>
      </c>
      <c r="S288" s="1110" t="n">
        <f aca="false">R288</f>
        <v>0</v>
      </c>
      <c r="T288" s="1110" t="n">
        <f aca="false">S288</f>
        <v>0</v>
      </c>
      <c r="U288" s="1110" t="n">
        <f aca="false">T288</f>
        <v>0</v>
      </c>
      <c r="V288" s="1175" t="n">
        <f aca="false">U288</f>
        <v>0</v>
      </c>
      <c r="W288" s="1110" t="n">
        <f aca="false">V288</f>
        <v>0</v>
      </c>
      <c r="X288" s="1176" t="n">
        <f aca="false">W288</f>
        <v>0</v>
      </c>
      <c r="Y288" s="1086" t="n">
        <v>0</v>
      </c>
      <c r="Z288" s="1086" t="n">
        <v>0</v>
      </c>
      <c r="AA288" s="1087" t="n">
        <v>0</v>
      </c>
      <c r="AB288" s="1086" t="n">
        <v>0</v>
      </c>
      <c r="AC288" s="1086" t="n">
        <v>0</v>
      </c>
      <c r="AD288" s="1087" t="n">
        <v>0</v>
      </c>
      <c r="AE288" s="1086" t="n">
        <v>0</v>
      </c>
      <c r="AF288" s="1086" t="n">
        <v>0</v>
      </c>
      <c r="AG288" s="1087" t="n">
        <v>0</v>
      </c>
      <c r="AH288" s="1086" t="n">
        <v>0</v>
      </c>
      <c r="AI288" s="1086" t="n">
        <v>0</v>
      </c>
      <c r="AJ288" s="1087" t="n">
        <v>0</v>
      </c>
      <c r="AK288" s="1086" t="n">
        <v>0</v>
      </c>
      <c r="AL288" s="1086" t="n">
        <v>0</v>
      </c>
      <c r="AM288" s="1087" t="n">
        <v>0</v>
      </c>
      <c r="AN288" s="1086" t="n">
        <v>0</v>
      </c>
      <c r="AO288" s="1086" t="n">
        <v>0</v>
      </c>
      <c r="AP288" s="1087" t="n">
        <v>0</v>
      </c>
      <c r="AQ288" s="1086" t="n">
        <v>0</v>
      </c>
      <c r="AR288" s="1086" t="n">
        <v>0</v>
      </c>
      <c r="AS288" s="1087" t="n">
        <v>0</v>
      </c>
      <c r="AT288" s="1086" t="n">
        <v>0</v>
      </c>
      <c r="AU288" s="1086" t="n">
        <v>0</v>
      </c>
      <c r="AV288" s="1086" t="n">
        <v>0</v>
      </c>
      <c r="AW288" s="1172" t="n">
        <v>0</v>
      </c>
      <c r="AX288" s="807" t="n">
        <f aca="false">BB288-SUM(AY288:BA288)</f>
        <v>23</v>
      </c>
      <c r="AY288" s="807" t="n">
        <f aca="false">IF(AND($E288=MONTH(Summary!$E$24),$D288=YEAR(Summary!$E$24)),Summary!$E$25,1)*IF(G288="",0,INT((H288-MOD(H288,7)-G288)/7)+1-IF(BA288,IF(WEEKDAY(F288)=7,1,0),0))</f>
        <v>4</v>
      </c>
      <c r="AZ288" s="807" t="n">
        <f aca="false">IF(AND($E288=MONTH(Summary!$E$24),$D288=YEAR(Summary!$E$24)),Summary!$E$25,1)*IF(G288="",0,INT((H288-MOD(H288-1,7)-G288)/7)+1-IF(BA288,IF(WEEKDAY(F288)=1,1,0),0))</f>
        <v>4</v>
      </c>
      <c r="BA288" s="807" t="n">
        <v>0</v>
      </c>
      <c r="BB288" s="807" t="n">
        <f aca="false">IF(AND($E288=MONTH(Summary!$E$24),$D288=YEAR(Summary!$E$24)),Summary!$E$25,1)*IF(G288="",0,H288-G288+1)</f>
        <v>31</v>
      </c>
      <c r="BC288" s="1089" t="n">
        <f aca="false">Summary!$E$19</f>
        <v>0.015</v>
      </c>
      <c r="BD288" s="1090" t="n">
        <v>16311.6</v>
      </c>
      <c r="BE288" s="1091" t="n">
        <v>2836.8</v>
      </c>
      <c r="BF288" s="1091" t="n">
        <v>2836.8</v>
      </c>
      <c r="BG288" s="842"/>
      <c r="BH288" s="1092" t="n">
        <v>1</v>
      </c>
      <c r="BI288" s="1092" t="n">
        <v>1</v>
      </c>
      <c r="BJ288" s="1092" t="n">
        <v>1</v>
      </c>
      <c r="BK288" s="1092" t="n">
        <v>1</v>
      </c>
      <c r="BL288" s="1093" t="n">
        <v>3262.32</v>
      </c>
      <c r="BM288" s="1091" t="n">
        <v>567.36</v>
      </c>
      <c r="BN288" s="1091" t="n">
        <v>567.36</v>
      </c>
      <c r="BO288" s="842"/>
      <c r="BP288" s="1092" t="n">
        <v>1</v>
      </c>
      <c r="BQ288" s="1094" t="n">
        <v>1</v>
      </c>
      <c r="BR288" s="1094" t="n">
        <v>1</v>
      </c>
      <c r="BS288" s="1095" t="n">
        <v>1</v>
      </c>
      <c r="BT288" s="1093" t="n">
        <f aca="false">SUM(BD288:BF288)</f>
        <v>21985.2</v>
      </c>
      <c r="BU288" s="1098" t="n">
        <f aca="false">SUM(BD288:BG288)</f>
        <v>21985.2</v>
      </c>
      <c r="BV288" s="1090" t="n">
        <f aca="false">SUM(BL288:BN288)</f>
        <v>4397.04</v>
      </c>
      <c r="BW288" s="1098" t="n">
        <f aca="false">SUM(BL288:BO288)</f>
        <v>4397.04</v>
      </c>
      <c r="BX288" s="852" t="n">
        <v>22.6283367556468</v>
      </c>
      <c r="BY288" s="1099" t="n">
        <v>0</v>
      </c>
      <c r="BZ288" s="852" t="n">
        <v>0</v>
      </c>
      <c r="CA288" s="852" t="n">
        <v>0</v>
      </c>
      <c r="CB288" s="852" t="n">
        <v>0</v>
      </c>
      <c r="CC288" s="852" t="n">
        <v>0</v>
      </c>
      <c r="CD288" s="852" t="n">
        <v>0</v>
      </c>
      <c r="CE288" s="1100" t="n">
        <v>0</v>
      </c>
      <c r="CF288" s="852" t="n">
        <v>0</v>
      </c>
      <c r="CG288" s="852" t="n">
        <v>0</v>
      </c>
      <c r="CH288" s="852" t="n">
        <v>0</v>
      </c>
      <c r="CI288" s="852" t="n">
        <v>0</v>
      </c>
      <c r="CJ288" s="1101" t="n">
        <v>0</v>
      </c>
      <c r="CK288" s="852" t="n">
        <v>0</v>
      </c>
      <c r="CL288" s="852" t="n">
        <v>0</v>
      </c>
      <c r="CM288" s="852" t="n">
        <v>0</v>
      </c>
      <c r="CN288" s="852" t="n">
        <v>0</v>
      </c>
      <c r="CO288" s="852" t="n">
        <v>0</v>
      </c>
      <c r="CP288" s="852" t="n">
        <v>0</v>
      </c>
      <c r="CQ288" s="1102" t="n">
        <v>0</v>
      </c>
      <c r="CR288" s="1103" t="n">
        <v>0</v>
      </c>
      <c r="CS288" s="1103" t="n">
        <v>0</v>
      </c>
      <c r="CT288" s="1103" t="n">
        <v>0</v>
      </c>
      <c r="CU288" s="1103" t="n">
        <v>0</v>
      </c>
      <c r="CV288" s="1103" t="n">
        <v>0</v>
      </c>
      <c r="CW288" s="1103" t="n">
        <v>0</v>
      </c>
      <c r="CX288" s="1104" t="n">
        <v>0</v>
      </c>
      <c r="CY288" s="1105" t="n">
        <v>7826.4768</v>
      </c>
      <c r="CZ288" s="1099" t="n">
        <v>0</v>
      </c>
      <c r="DA288" s="852" t="n">
        <v>0</v>
      </c>
      <c r="DB288" s="852" t="n">
        <v>0</v>
      </c>
      <c r="DC288" s="852" t="n">
        <v>0</v>
      </c>
      <c r="DD288" s="852" t="n">
        <v>0</v>
      </c>
      <c r="DE288" s="1113" t="n">
        <v>0</v>
      </c>
      <c r="DF288" s="1109" t="n">
        <v>0</v>
      </c>
      <c r="DG288" s="1110" t="n">
        <v>0</v>
      </c>
      <c r="DH288" s="1111" t="n">
        <v>0</v>
      </c>
      <c r="DI288" s="1112" t="n">
        <v>0</v>
      </c>
      <c r="DJ288" s="1112" t="n">
        <v>0</v>
      </c>
      <c r="DK288" s="1112" t="n">
        <v>0</v>
      </c>
      <c r="DL288" s="1113" t="n">
        <v>0</v>
      </c>
      <c r="DM288" s="1114" t="n">
        <v>0</v>
      </c>
      <c r="DN288" s="1114" t="n">
        <v>0</v>
      </c>
      <c r="DO288" s="1114" t="n">
        <v>0</v>
      </c>
      <c r="DP288" s="1114" t="n">
        <v>0</v>
      </c>
      <c r="DQ288" s="1114" t="n">
        <v>0</v>
      </c>
      <c r="DR288" s="1109" t="n">
        <v>0</v>
      </c>
      <c r="DS288" s="852" t="n">
        <v>0</v>
      </c>
      <c r="DT288" s="852" t="n">
        <v>0</v>
      </c>
      <c r="DU288" s="852" t="n">
        <v>0</v>
      </c>
      <c r="DV288" s="852" t="n">
        <v>0</v>
      </c>
      <c r="DW288" s="852" t="n">
        <v>0</v>
      </c>
      <c r="DX288" s="852" t="n">
        <v>0</v>
      </c>
      <c r="DY288" s="852" t="n">
        <v>0</v>
      </c>
      <c r="DZ288" s="852" t="n">
        <v>0</v>
      </c>
      <c r="EA288" s="852" t="n">
        <v>0</v>
      </c>
      <c r="EB288" s="1113" t="n">
        <v>0</v>
      </c>
      <c r="EC288" s="1115" t="n">
        <f aca="false">DS288*BD288</f>
        <v>0</v>
      </c>
      <c r="ED288" s="1115" t="n">
        <f aca="false">DT288*BE288</f>
        <v>0</v>
      </c>
      <c r="EE288" s="1115" t="n">
        <f aca="false">DU288*BF288</f>
        <v>0</v>
      </c>
      <c r="EF288" s="1115" t="n">
        <f aca="false">DV288*BG288</f>
        <v>0</v>
      </c>
      <c r="EG288" s="1115" t="n">
        <f aca="false">DS288*BD288+DT288*BE288+DU288*BF288+DV288*BG288</f>
        <v>0</v>
      </c>
      <c r="EH288" s="1116" t="n">
        <v>0</v>
      </c>
      <c r="EI288" s="1117" t="n">
        <v>0</v>
      </c>
      <c r="EJ288" s="1117" t="n">
        <v>0</v>
      </c>
      <c r="EK288" s="1117" t="n">
        <v>0</v>
      </c>
      <c r="EL288" s="1118" t="n">
        <f aca="false">IF(C288&gt;=Summary!$E$26,MAX(0,SUM(EH288:EK288)),0)</f>
        <v>0</v>
      </c>
      <c r="EM288" s="1115" t="n">
        <f aca="false">IF(C288&gt;=Summary!$E$26,DX288*BL288,0)</f>
        <v>0</v>
      </c>
      <c r="EN288" s="1115" t="n">
        <f aca="false">IF(C288&gt;=Summary!$E$26,DY288*BM288,0)</f>
        <v>0</v>
      </c>
      <c r="EO288" s="1115" t="n">
        <f aca="false">IF(C288&gt;=Summary!$E$26,DZ288*BN288,0)</f>
        <v>0</v>
      </c>
      <c r="EP288" s="1115" t="n">
        <f aca="false">IF(C288&gt;=Summary!$E$26,EA288*BO288,0)</f>
        <v>0</v>
      </c>
      <c r="EQ288" s="1115" t="n">
        <f aca="false">IF(C288&gt;=Summary!$E$26,DX288*BL288+DY288*BM288+DZ288*BN288+EA288*BO288,0)</f>
        <v>0</v>
      </c>
      <c r="ER288" s="1119" t="n">
        <v>0</v>
      </c>
      <c r="ES288" s="1120" t="n">
        <v>0</v>
      </c>
      <c r="ET288" s="1120" t="n">
        <v>0</v>
      </c>
      <c r="EU288" s="1120" t="n">
        <v>0</v>
      </c>
      <c r="EV288" s="1143" t="n">
        <f aca="false">IF(C288&gt;=Summary!$E$26,MAX(0,SUM(ER288:EU288)),0)</f>
        <v>0</v>
      </c>
      <c r="EW288" s="1115"/>
      <c r="EX288" s="1165" t="n">
        <f aca="false">(EQ288-EV288)+IF(EZ288="Yes",(EG288-EL288),0)</f>
        <v>0</v>
      </c>
      <c r="EY288" s="1166" t="str">
        <f aca="false">IF(EX288,EX288/EQ288,"")</f>
        <v/>
      </c>
      <c r="EZ288" s="1122" t="s">
        <v>37</v>
      </c>
      <c r="FA288" s="1096" t="n">
        <f aca="false">FA287</f>
        <v>45</v>
      </c>
      <c r="FB288" s="1167" t="n">
        <f aca="false">IF(EZ288="No",IF((OR(MONTH(C288)=5,MONTH(C288)=6,MONTH(C288)=7,MONTH(C288)=8,MONTH(C288)=9)),$FA288*12*AX288*(1-$BC288),$FA288*10*AX288*(1-$BC288)),0)</f>
        <v>12233.7</v>
      </c>
      <c r="FC288" s="1129" t="n">
        <f aca="false">IF(EZ288="No",IF((OR(MONTH(C288)=5,MONTH(C288)=6,MONTH(C288)=7,MONTH(C288)=8,MONTH(C288)=9)),0,$FA288*3*AX288*(1-$BC288)),0)</f>
        <v>0</v>
      </c>
      <c r="FD288" s="1129" t="n">
        <f aca="false">IF(EZ288="No",IF((OR(MONTH(C288)=5,MONTH(C288)=6,MONTH(C288)=7,MONTH(C288)=8,MONTH(C288)=9)),$FA288*12*AY288*(1-$BC288),$FA288*10*AY288*(1-$BC288)),0)</f>
        <v>2127.6</v>
      </c>
      <c r="FE288" s="1129" t="n">
        <f aca="false">IF(EZ288="No",IF((OR(MONTH(C288)=5,MONTH(C288)=6,MONTH(C288)=7,MONTH(C288)=8,MONTH(C288)=9)),0,$FA288*3*AY288*(1-$BC288)),0)</f>
        <v>0</v>
      </c>
      <c r="FF288" s="1129" t="n">
        <f aca="false">IF(EZ288="No",IF((OR(MONTH(C288)=5,MONTH(C288)=6,MONTH(C288)=7,MONTH(C288)=8,MONTH(C288)=9)),$FA288*12*(AZ288+BA288)*(1-$BC288),$FA288*10*(AZ288+BA288)*(1-$BC288)),0)</f>
        <v>2127.6</v>
      </c>
      <c r="FG288" s="1129" t="n">
        <f aca="false">IF(EZ288="No",IF((OR(MONTH(C288)=5,MONTH(C288)=6,MONTH(C288)=7,MONTH(C288)=8,MONTH(C288)=9)),0,$FA288*3*(AZ288+BA288)*(1-$BC288)),0)</f>
        <v>0</v>
      </c>
      <c r="FH288" s="1170" t="n">
        <f aca="false">IF(EZ288="No",IF((OR(MONTH(C288)=5,MONTH(C288)=6,MONTH(C288)=7,MONTH(C288)=8,MONTH(C288)=9)),Summary!$O$15*12*(AX288+AY288+AZ288+BA288)*(1-$BC288),Summary!$O$15*13*(AX288+AY288+AZ288+BA288)*(1-$BC288)+IF(Summary!$O$16="Yes",(CALC!FA288+Summary!$O$15)*6*(AX288+AY288+AZ288+BA288)*(1-$BC288),0)),0)</f>
        <v>0</v>
      </c>
      <c r="FI288" s="1126" t="n">
        <f aca="false">IF(MONTH(C288)=5,FI287*(IF(Summary!$E$70="no",(1+(Summary!$E$71*0.8)),1+HLOOKUP(YEAR(C288)-1,CCFMODEL!$I$127:$AF$128,2)*0.8)),+FI287)</f>
        <v>45.9010556937194</v>
      </c>
      <c r="FJ288" s="1127" t="n">
        <f aca="false">IF(MONTH(C288)=5,FJ287*(IF(Summary!$E$70="no",(1+(Summary!$E$71*0.8)),1+HLOOKUP(YEAR(CALC!C288)-1,CCFMODEL!$I$127:$AF$128,2)*0.8)),FJ287)</f>
        <v>40.1182455275815</v>
      </c>
      <c r="FK288" s="1128" t="n">
        <f aca="false">SUM(FB288:FG288)*FI288+FH288*FJ288</f>
        <v>756857.91722817</v>
      </c>
      <c r="FL288" s="1126" t="n">
        <f aca="false">IF(MONTH(C288)=5,FL287*(IF(Summary!$E$70="no",(1+(Summary!$E$71*0.8)),1+HLOOKUP(YEAR(CALC!C288)-1,CCFMODEL!$I$127:$AF$128,2)*0.8)),+FL287)</f>
        <v>96.5350661365099</v>
      </c>
      <c r="FM288" s="1127" t="n">
        <f aca="false">IF(MONTH(C288)=5,FM287*(IF(Summary!$E$70="no",(1+(Summary!$E$71*0.8)),1+HLOOKUP(YEAR(CALC!C288)-1,CCFMODEL!$I$127:$AF$128,2)*0.8)),+FM287)</f>
        <v>46.0731631391402</v>
      </c>
      <c r="FN288" s="1128" t="n">
        <f aca="false">IF((OR(MONTH(C288)=5,MONTH(C288)=6,MONTH(C288)=7,MONTH(C288)=8,MONTH(C288)=9)),SUM(FB288:FG288)/(1-BC288)*FL288,SUM(FB288:FG288)/(1-BC288)*FM288)</f>
        <v>1615997.00712518</v>
      </c>
      <c r="FO288" s="1129" t="n">
        <f aca="false">FK288+FN288</f>
        <v>2372854.92435335</v>
      </c>
      <c r="FP288" s="1169" t="n">
        <f aca="false">FB288</f>
        <v>12233.7</v>
      </c>
      <c r="FQ288" s="1129" t="n">
        <f aca="false">FC288</f>
        <v>0</v>
      </c>
      <c r="FR288" s="1129" t="n">
        <f aca="false">FD288</f>
        <v>2127.6</v>
      </c>
      <c r="FS288" s="1129" t="n">
        <f aca="false">FE288</f>
        <v>0</v>
      </c>
      <c r="FT288" s="1129" t="n">
        <f aca="false">FF288</f>
        <v>2127.6</v>
      </c>
      <c r="FU288" s="1129" t="n">
        <f aca="false">FG288</f>
        <v>0</v>
      </c>
      <c r="FV288" s="1170" t="n">
        <f aca="false">FH288</f>
        <v>0</v>
      </c>
      <c r="FW288" s="1115" t="n">
        <f aca="false">IF(ER288&gt;0,MIN(FB288-FP288,BL288),0)</f>
        <v>0</v>
      </c>
      <c r="FX288" s="1115" t="n">
        <f aca="false">IF(ES288&gt;0,MIN(FD288-FR288,BM288),0)</f>
        <v>0</v>
      </c>
      <c r="FY288" s="1115" t="n">
        <f aca="false">IF(ET288&gt;0,MIN(FF288-FT288,BN288),0)</f>
        <v>0</v>
      </c>
      <c r="FZ288" s="1143" t="n">
        <f aca="false">IF(EU288&gt;0,MIN(FH288-FV288,BO288),0)</f>
        <v>0</v>
      </c>
      <c r="GA288" s="1132" t="n">
        <f aca="false">(SUM(FP288:FV288)+SUM(GU288:HB288)/(1-Summary!$O$25))*CY288/1000</f>
        <v>163463.324856192</v>
      </c>
      <c r="GB288" s="1133" t="n">
        <f aca="false">IF($C288&lt;Summary!$M$81,+Summary!$O$81,VLOOKUP(C288,GasTable,19))</f>
        <v>4.651</v>
      </c>
      <c r="GC288" s="1134" t="n">
        <f aca="false">IF(H288&lt;=Summary!$N$84,MIN(GA288,Summary!$O$75*(H288-G288+1)),0)</f>
        <v>0</v>
      </c>
      <c r="GD288" s="1135" t="n">
        <f aca="false">IF(C288&lt;Summary!$N$84,IF(Summary!$O$75*(H288-G288+1)*0.8&gt;GC288,1,0),0)</f>
        <v>0</v>
      </c>
      <c r="GE288" s="1136" t="n">
        <v>0</v>
      </c>
      <c r="GF288" s="1134" t="n">
        <f aca="false">ABS(MIN(0,GC288-$GA288))</f>
        <v>163463.324856192</v>
      </c>
      <c r="GG288" s="1135" t="n">
        <f aca="false">GF288*(IF(Summary!$O$74=1,VLOOKUP($C288,GasTable,16)+Summary!$O$92+Summary!$O$93,VLOOKUP($C288,GasTable,19)+Summary!$O$92+Summary!$O$93))</f>
        <v>768784.363131157</v>
      </c>
      <c r="GH288" s="1137" t="n">
        <v>7209.05</v>
      </c>
      <c r="GI288" s="1138" t="n">
        <v>0</v>
      </c>
      <c r="GJ288" s="1139" t="n">
        <f aca="false">+GB288*GC288+GE288+GG288+GH288-GI288</f>
        <v>775993.413131157</v>
      </c>
      <c r="GK288" s="1115" t="n">
        <f aca="false">SUM(FP288:FV288,GU288:GX288,GY288:HB288)</f>
        <v>20732.0436</v>
      </c>
      <c r="GL288" s="1140" t="n">
        <v>0.5243739456</v>
      </c>
      <c r="GM288" s="1141" t="n">
        <f aca="false">IF(GK288&gt;GC288/(CY288/1000),GC288/(CY288/1000),+GK288)*GL288</f>
        <v>0</v>
      </c>
      <c r="GN288" s="1115" t="n">
        <f aca="false">IF(SUM(GU288:HB288)=0,0,IF(Summary!$O$16="Yes",SUM(GX288:HB288),IF(Summary!$O$17="Yes",SUM(GY288:HB288),SUM(GU288:HB288))))</f>
        <v>4243.1436</v>
      </c>
      <c r="GO288" s="1142" t="n">
        <v>4.55941701293117</v>
      </c>
      <c r="GP288" s="1143" t="n">
        <f aca="false">GN288*GO288</f>
        <v>19346.26111815</v>
      </c>
      <c r="GQ288" s="1115"/>
      <c r="GR288" s="1115"/>
      <c r="GS288" s="1115"/>
      <c r="GT288" s="1115"/>
      <c r="GU288" s="1150" t="n">
        <v>0</v>
      </c>
      <c r="GV288" s="1115" t="n">
        <v>0</v>
      </c>
      <c r="GW288" s="1115" t="n">
        <v>0</v>
      </c>
      <c r="GX288" s="1115"/>
      <c r="GY288" s="1151" t="n">
        <v>3148.1388</v>
      </c>
      <c r="GZ288" s="1115" t="n">
        <v>547.5024</v>
      </c>
      <c r="HA288" s="1115" t="n">
        <v>547.5024</v>
      </c>
      <c r="HB288" s="1141"/>
      <c r="HC288" s="1115" t="n">
        <v>4243.1436</v>
      </c>
      <c r="HD288" s="1115"/>
      <c r="HE288" s="1115" t="n">
        <v>16972.5744</v>
      </c>
      <c r="HF288" s="1115" t="n">
        <v>228095.892</v>
      </c>
      <c r="HG288" s="1115"/>
      <c r="HH288" s="1142" t="n">
        <v>53.756345177665</v>
      </c>
      <c r="HI288" s="1115" t="n">
        <v>912383.568</v>
      </c>
      <c r="HJ288" s="1150" t="n">
        <f aca="false">MAX(FB288-FP288-FW288,0)</f>
        <v>0</v>
      </c>
      <c r="HK288" s="1115" t="n">
        <f aca="false">MAX(FD288-FR288-FX288,0)</f>
        <v>0</v>
      </c>
      <c r="HL288" s="1115" t="n">
        <f aca="false">MAX(FF288-FT288-FY288,0)</f>
        <v>0</v>
      </c>
      <c r="HM288" s="1141" t="n">
        <f aca="false">MAX(FH288-FV288-FZ288,0)</f>
        <v>0</v>
      </c>
      <c r="HN288" s="1115" t="n">
        <f aca="false">SUM(HJ288:HM288)</f>
        <v>0</v>
      </c>
      <c r="HO288" s="1142" t="n">
        <f aca="false">IF(ISERROR(+HP288/HN288),0,+HP288/HN288)</f>
        <v>0</v>
      </c>
      <c r="HP288" s="1143" t="n">
        <f aca="false">(HJ288*CE288+HK288*CF288+HL288*CG288+HM288*CH288)</f>
        <v>0</v>
      </c>
      <c r="HQ288" s="1142"/>
      <c r="HR288" s="1142"/>
      <c r="HS288" s="1142"/>
      <c r="HT288" s="1142"/>
      <c r="HU288" s="1142"/>
      <c r="HV288" s="1142"/>
      <c r="HW288" s="1142"/>
      <c r="HX288" s="1142"/>
      <c r="HY288" s="1142"/>
      <c r="HZ288" s="1142"/>
      <c r="IA288" s="1142"/>
      <c r="IB288" s="1142"/>
      <c r="IC288" s="1142"/>
      <c r="ID288" s="1142"/>
      <c r="IE288" s="1142"/>
      <c r="IF288" s="1142"/>
      <c r="IG288" s="1142"/>
      <c r="IH288" s="1142"/>
      <c r="II288" s="1142"/>
      <c r="IJ288" s="1142"/>
      <c r="IK288" s="1142"/>
      <c r="IL288" s="1190"/>
      <c r="IM288" s="222"/>
      <c r="IN288" s="222"/>
      <c r="IR288" s="844"/>
    </row>
    <row r="289" customFormat="false" ht="13.5" hidden="false" customHeight="false" outlineLevel="0" collapsed="false">
      <c r="A289" s="0" t="str">
        <f aca="false">+D289&amp;"Q"&amp;ROUNDUP(E289/3,0)</f>
        <v>2022Q3</v>
      </c>
      <c r="B289" s="0" t="n">
        <f aca="false">YEAR(C289)</f>
        <v>2022</v>
      </c>
      <c r="C289" s="1153" t="n">
        <f aca="false">EOMONTH(C288,0)+1</f>
        <v>44805</v>
      </c>
      <c r="D289" s="841" t="n">
        <f aca="false">+YEAR(C289)</f>
        <v>2022</v>
      </c>
      <c r="E289" s="807" t="n">
        <f aca="false">MONTH(C289)</f>
        <v>9</v>
      </c>
      <c r="F289" s="1154" t="e">
        <f aca="false">IF(G289="","",Holiday(D289,E289))</f>
        <v>#VALUE!</v>
      </c>
      <c r="G289" s="1155" t="n">
        <v>44805</v>
      </c>
      <c r="H289" s="1156" t="n">
        <v>44834</v>
      </c>
      <c r="I289" s="1157" t="n">
        <f aca="false">I288</f>
        <v>0.0715</v>
      </c>
      <c r="J289" s="1158" t="n">
        <f aca="false">(1+I289/2)^(-2*(DATE(D290,E290,20)-$H$7)/365.25)</f>
        <v>0.20087669345745</v>
      </c>
      <c r="K289" s="1159"/>
      <c r="L289" s="1158"/>
      <c r="M289" s="1082" t="n">
        <v>0</v>
      </c>
      <c r="N289" s="1110" t="n">
        <f aca="false">M289</f>
        <v>0</v>
      </c>
      <c r="O289" s="1174" t="n">
        <f aca="false">N289</f>
        <v>0</v>
      </c>
      <c r="P289" s="1175" t="n">
        <f aca="false">M289</f>
        <v>0</v>
      </c>
      <c r="Q289" s="1110" t="n">
        <f aca="false">P289</f>
        <v>0</v>
      </c>
      <c r="R289" s="1174" t="n">
        <f aca="false">Q289</f>
        <v>0</v>
      </c>
      <c r="S289" s="1110" t="n">
        <f aca="false">R289</f>
        <v>0</v>
      </c>
      <c r="T289" s="1110" t="n">
        <f aca="false">S289</f>
        <v>0</v>
      </c>
      <c r="U289" s="1110" t="n">
        <f aca="false">T289</f>
        <v>0</v>
      </c>
      <c r="V289" s="1175" t="n">
        <f aca="false">U289</f>
        <v>0</v>
      </c>
      <c r="W289" s="1110" t="n">
        <f aca="false">V289</f>
        <v>0</v>
      </c>
      <c r="X289" s="1176" t="n">
        <f aca="false">W289</f>
        <v>0</v>
      </c>
      <c r="Y289" s="1086" t="n">
        <v>0</v>
      </c>
      <c r="Z289" s="1086" t="n">
        <v>0</v>
      </c>
      <c r="AA289" s="1087" t="n">
        <v>0</v>
      </c>
      <c r="AB289" s="1086" t="n">
        <v>0</v>
      </c>
      <c r="AC289" s="1086" t="n">
        <v>0</v>
      </c>
      <c r="AD289" s="1087" t="n">
        <v>0</v>
      </c>
      <c r="AE289" s="1086" t="n">
        <v>0</v>
      </c>
      <c r="AF289" s="1086" t="n">
        <v>0</v>
      </c>
      <c r="AG289" s="1087" t="n">
        <v>0</v>
      </c>
      <c r="AH289" s="1086" t="n">
        <v>0</v>
      </c>
      <c r="AI289" s="1086" t="n">
        <v>0</v>
      </c>
      <c r="AJ289" s="1087" t="n">
        <v>0</v>
      </c>
      <c r="AK289" s="1086" t="n">
        <v>0</v>
      </c>
      <c r="AL289" s="1086" t="n">
        <v>0</v>
      </c>
      <c r="AM289" s="1087" t="n">
        <v>0</v>
      </c>
      <c r="AN289" s="1086" t="n">
        <v>0</v>
      </c>
      <c r="AO289" s="1086" t="n">
        <v>0</v>
      </c>
      <c r="AP289" s="1087" t="n">
        <v>0</v>
      </c>
      <c r="AQ289" s="1086" t="n">
        <v>0</v>
      </c>
      <c r="AR289" s="1086" t="n">
        <v>0</v>
      </c>
      <c r="AS289" s="1087" t="n">
        <v>0</v>
      </c>
      <c r="AT289" s="1086" t="n">
        <v>0</v>
      </c>
      <c r="AU289" s="1086" t="n">
        <v>0</v>
      </c>
      <c r="AV289" s="1086" t="n">
        <v>0</v>
      </c>
      <c r="AW289" s="1172" t="n">
        <v>0</v>
      </c>
      <c r="AX289" s="807" t="e">
        <f aca="false">BB289-SUM(AY289:BA289)</f>
        <v>#VALUE!</v>
      </c>
      <c r="AY289" s="807" t="e">
        <f aca="false">IF(AND($E289=MONTH(Summary!$E$24),$D289=YEAR(Summary!$E$24)),Summary!$E$25,1)*IF(G289="",0,INT((H289-MOD(H289,7)-G289)/7)+1-IF(BA289,IF(WEEKDAY(F289)=7,1,0),0))</f>
        <v>#VALUE!</v>
      </c>
      <c r="AZ289" s="807" t="e">
        <f aca="false">IF(AND($E289=MONTH(Summary!$E$24),$D289=YEAR(Summary!$E$24)),Summary!$E$25,1)*IF(G289="",0,INT((H289-MOD(H289-1,7)-G289)/7)+1-IF(BA289,IF(WEEKDAY(F289)=1,1,0),0))</f>
        <v>#VALUE!</v>
      </c>
      <c r="BA289" s="807" t="n">
        <v>1</v>
      </c>
      <c r="BB289" s="807" t="n">
        <f aca="false">IF(AND($E289=MONTH(Summary!$E$24),$D289=YEAR(Summary!$E$24)),Summary!$E$25,1)*IF(G289="",0,H289-G289+1)</f>
        <v>30</v>
      </c>
      <c r="BC289" s="1089" t="n">
        <f aca="false">Summary!$E$19</f>
        <v>0.015</v>
      </c>
      <c r="BD289" s="1090" t="n">
        <v>14893.2</v>
      </c>
      <c r="BE289" s="1091" t="n">
        <v>2836.8</v>
      </c>
      <c r="BF289" s="1091" t="n">
        <v>3546</v>
      </c>
      <c r="BG289" s="842"/>
      <c r="BH289" s="1092" t="n">
        <v>1</v>
      </c>
      <c r="BI289" s="1092" t="n">
        <v>1</v>
      </c>
      <c r="BJ289" s="1092" t="n">
        <v>1</v>
      </c>
      <c r="BK289" s="1092" t="n">
        <v>1</v>
      </c>
      <c r="BL289" s="1093" t="n">
        <v>2978.64</v>
      </c>
      <c r="BM289" s="1091" t="n">
        <v>567.36</v>
      </c>
      <c r="BN289" s="1091" t="n">
        <v>709.2</v>
      </c>
      <c r="BO289" s="842"/>
      <c r="BP289" s="1092" t="n">
        <v>1</v>
      </c>
      <c r="BQ289" s="1094" t="n">
        <v>1</v>
      </c>
      <c r="BR289" s="1094" t="n">
        <v>1</v>
      </c>
      <c r="BS289" s="1095" t="n">
        <v>1</v>
      </c>
      <c r="BT289" s="1093" t="n">
        <f aca="false">SUM(BD289:BF289)</f>
        <v>21276</v>
      </c>
      <c r="BU289" s="1098" t="n">
        <f aca="false">SUM(BD289:BG289)</f>
        <v>21276</v>
      </c>
      <c r="BV289" s="1090" t="n">
        <f aca="false">SUM(BL289:BN289)</f>
        <v>4255.2</v>
      </c>
      <c r="BW289" s="1098" t="n">
        <f aca="false">SUM(BL289:BO289)</f>
        <v>4255.2</v>
      </c>
      <c r="BX289" s="852" t="n">
        <v>22.7132101300479</v>
      </c>
      <c r="BY289" s="1099" t="n">
        <v>0</v>
      </c>
      <c r="BZ289" s="852" t="n">
        <v>0</v>
      </c>
      <c r="CA289" s="852" t="n">
        <v>0</v>
      </c>
      <c r="CB289" s="852" t="n">
        <v>0</v>
      </c>
      <c r="CC289" s="852" t="n">
        <v>0</v>
      </c>
      <c r="CD289" s="852" t="n">
        <v>0</v>
      </c>
      <c r="CE289" s="1100" t="n">
        <v>0</v>
      </c>
      <c r="CF289" s="852" t="n">
        <v>0</v>
      </c>
      <c r="CG289" s="852" t="n">
        <v>0</v>
      </c>
      <c r="CH289" s="852" t="n">
        <v>0</v>
      </c>
      <c r="CI289" s="852" t="n">
        <v>0</v>
      </c>
      <c r="CJ289" s="1101" t="n">
        <v>0</v>
      </c>
      <c r="CK289" s="852" t="n">
        <v>0</v>
      </c>
      <c r="CL289" s="852" t="n">
        <v>0</v>
      </c>
      <c r="CM289" s="852" t="n">
        <v>0</v>
      </c>
      <c r="CN289" s="852" t="n">
        <v>0</v>
      </c>
      <c r="CO289" s="852" t="n">
        <v>0</v>
      </c>
      <c r="CP289" s="852" t="n">
        <v>0</v>
      </c>
      <c r="CQ289" s="1102" t="n">
        <v>0</v>
      </c>
      <c r="CR289" s="1103" t="n">
        <v>0</v>
      </c>
      <c r="CS289" s="1103" t="n">
        <v>0</v>
      </c>
      <c r="CT289" s="1103" t="n">
        <v>0</v>
      </c>
      <c r="CU289" s="1103" t="n">
        <v>0</v>
      </c>
      <c r="CV289" s="1103" t="n">
        <v>0</v>
      </c>
      <c r="CW289" s="1103" t="n">
        <v>0</v>
      </c>
      <c r="CX289" s="1104" t="n">
        <v>0</v>
      </c>
      <c r="CY289" s="1105" t="n">
        <v>7828.50776</v>
      </c>
      <c r="CZ289" s="1099" t="n">
        <v>0</v>
      </c>
      <c r="DA289" s="852" t="n">
        <v>0</v>
      </c>
      <c r="DB289" s="852" t="n">
        <v>0</v>
      </c>
      <c r="DC289" s="852" t="n">
        <v>0</v>
      </c>
      <c r="DD289" s="852" t="n">
        <v>0</v>
      </c>
      <c r="DE289" s="1113" t="n">
        <v>0</v>
      </c>
      <c r="DF289" s="1109" t="n">
        <v>0</v>
      </c>
      <c r="DG289" s="1110" t="n">
        <v>0</v>
      </c>
      <c r="DH289" s="1111" t="n">
        <v>0</v>
      </c>
      <c r="DI289" s="1112" t="n">
        <v>0</v>
      </c>
      <c r="DJ289" s="1112" t="n">
        <v>0</v>
      </c>
      <c r="DK289" s="1112" t="n">
        <v>0</v>
      </c>
      <c r="DL289" s="1113" t="n">
        <v>0</v>
      </c>
      <c r="DM289" s="1114" t="n">
        <v>0</v>
      </c>
      <c r="DN289" s="1114" t="n">
        <v>0</v>
      </c>
      <c r="DO289" s="1114" t="n">
        <v>0</v>
      </c>
      <c r="DP289" s="1114" t="n">
        <v>0</v>
      </c>
      <c r="DQ289" s="1114" t="n">
        <v>0</v>
      </c>
      <c r="DR289" s="1109" t="n">
        <v>0</v>
      </c>
      <c r="DS289" s="852" t="n">
        <v>0</v>
      </c>
      <c r="DT289" s="852" t="n">
        <v>0</v>
      </c>
      <c r="DU289" s="852" t="n">
        <v>0</v>
      </c>
      <c r="DV289" s="852" t="n">
        <v>0</v>
      </c>
      <c r="DW289" s="852" t="n">
        <v>0</v>
      </c>
      <c r="DX289" s="852" t="n">
        <v>0</v>
      </c>
      <c r="DY289" s="852" t="n">
        <v>0</v>
      </c>
      <c r="DZ289" s="852" t="n">
        <v>0</v>
      </c>
      <c r="EA289" s="852" t="n">
        <v>0</v>
      </c>
      <c r="EB289" s="1113" t="n">
        <v>0</v>
      </c>
      <c r="EC289" s="1115" t="n">
        <f aca="false">DS289*BD289</f>
        <v>0</v>
      </c>
      <c r="ED289" s="1115" t="n">
        <f aca="false">DT289*BE289</f>
        <v>0</v>
      </c>
      <c r="EE289" s="1115" t="n">
        <f aca="false">DU289*BF289</f>
        <v>0</v>
      </c>
      <c r="EF289" s="1115" t="n">
        <f aca="false">DV289*BG289</f>
        <v>0</v>
      </c>
      <c r="EG289" s="1115" t="n">
        <f aca="false">DS289*BD289+DT289*BE289+DU289*BF289+DV289*BG289</f>
        <v>0</v>
      </c>
      <c r="EH289" s="1116" t="n">
        <v>0</v>
      </c>
      <c r="EI289" s="1117" t="n">
        <v>0</v>
      </c>
      <c r="EJ289" s="1117" t="n">
        <v>0</v>
      </c>
      <c r="EK289" s="1117" t="n">
        <v>0</v>
      </c>
      <c r="EL289" s="1118" t="n">
        <f aca="false">IF(C289&gt;=Summary!$E$26,MAX(0,SUM(EH289:EK289)),0)</f>
        <v>0</v>
      </c>
      <c r="EM289" s="1115" t="n">
        <f aca="false">IF(C289&gt;=Summary!$E$26,DX289*BL289,0)</f>
        <v>0</v>
      </c>
      <c r="EN289" s="1115" t="n">
        <f aca="false">IF(C289&gt;=Summary!$E$26,DY289*BM289,0)</f>
        <v>0</v>
      </c>
      <c r="EO289" s="1115" t="n">
        <f aca="false">IF(C289&gt;=Summary!$E$26,DZ289*BN289,0)</f>
        <v>0</v>
      </c>
      <c r="EP289" s="1115" t="n">
        <f aca="false">IF(C289&gt;=Summary!$E$26,EA289*BO289,0)</f>
        <v>0</v>
      </c>
      <c r="EQ289" s="1115" t="n">
        <f aca="false">IF(C289&gt;=Summary!$E$26,DX289*BL289+DY289*BM289+DZ289*BN289+EA289*BO289,0)</f>
        <v>0</v>
      </c>
      <c r="ER289" s="1119" t="n">
        <v>0</v>
      </c>
      <c r="ES289" s="1120" t="n">
        <v>0</v>
      </c>
      <c r="ET289" s="1120" t="n">
        <v>0</v>
      </c>
      <c r="EU289" s="1120" t="n">
        <v>0</v>
      </c>
      <c r="EV289" s="1143" t="n">
        <f aca="false">IF(C289&gt;=Summary!$E$26,MAX(0,SUM(ER289:EU289)),0)</f>
        <v>0</v>
      </c>
      <c r="EW289" s="1115"/>
      <c r="EX289" s="1165" t="n">
        <f aca="false">(EQ289-EV289)+IF(EZ289="Yes",(EG289-EL289),0)</f>
        <v>0</v>
      </c>
      <c r="EY289" s="1166" t="str">
        <f aca="false">IF(EX289,EX289/EQ289,"")</f>
        <v/>
      </c>
      <c r="EZ289" s="1122" t="s">
        <v>37</v>
      </c>
      <c r="FA289" s="1096" t="n">
        <f aca="false">FA288</f>
        <v>45</v>
      </c>
      <c r="FB289" s="1167" t="e">
        <f aca="false">IF(EZ289="No",IF((OR(MONTH(C289)=5,MONTH(C289)=6,MONTH(C289)=7,MONTH(C289)=8,MONTH(C289)=9)),$FA289*12*AX289*(1-$BC289),$FA289*10*AX289*(1-$BC289)),0)</f>
        <v>#VALUE!</v>
      </c>
      <c r="FC289" s="1129" t="n">
        <f aca="false">IF(EZ289="No",IF((OR(MONTH(C289)=5,MONTH(C289)=6,MONTH(C289)=7,MONTH(C289)=8,MONTH(C289)=9)),0,$FA289*3*AX289*(1-$BC289)),0)</f>
        <v>0</v>
      </c>
      <c r="FD289" s="1129" t="e">
        <f aca="false">IF(EZ289="No",IF((OR(MONTH(C289)=5,MONTH(C289)=6,MONTH(C289)=7,MONTH(C289)=8,MONTH(C289)=9)),$FA289*12*AY289*(1-$BC289),$FA289*10*AY289*(1-$BC289)),0)</f>
        <v>#VALUE!</v>
      </c>
      <c r="FE289" s="1129" t="n">
        <f aca="false">IF(EZ289="No",IF((OR(MONTH(C289)=5,MONTH(C289)=6,MONTH(C289)=7,MONTH(C289)=8,MONTH(C289)=9)),0,$FA289*3*AY289*(1-$BC289)),0)</f>
        <v>0</v>
      </c>
      <c r="FF289" s="1129" t="e">
        <f aca="false">IF(EZ289="No",IF((OR(MONTH(C289)=5,MONTH(C289)=6,MONTH(C289)=7,MONTH(C289)=8,MONTH(C289)=9)),$FA289*12*(AZ289+BA289)*(1-$BC289),$FA289*10*(AZ289+BA289)*(1-$BC289)),0)</f>
        <v>#VALUE!</v>
      </c>
      <c r="FG289" s="1129" t="n">
        <f aca="false">IF(EZ289="No",IF((OR(MONTH(C289)=5,MONTH(C289)=6,MONTH(C289)=7,MONTH(C289)=8,MONTH(C289)=9)),0,$FA289*3*(AZ289+BA289)*(1-$BC289)),0)</f>
        <v>0</v>
      </c>
      <c r="FH289" s="1170" t="e">
        <f aca="false">IF(EZ289="No",IF((OR(MONTH(C289)=5,MONTH(C289)=6,MONTH(C289)=7,MONTH(C289)=8,MONTH(C289)=9)),Summary!$O$15*12*(AX289+AY289+AZ289+BA289)*(1-$BC289),Summary!$O$15*13*(AX289+AY289+AZ289+BA289)*(1-$BC289)+IF(Summary!$O$16="Yes",(CALC!FA289+Summary!$O$15)*6*(AX289+AY289+AZ289+BA289)*(1-$BC289),0)),0)</f>
        <v>#VALUE!</v>
      </c>
      <c r="FI289" s="1126" t="n">
        <f aca="false">IF(MONTH(C289)=5,FI288*(IF(Summary!$E$70="no",(1+(Summary!$E$71*0.8)),1+HLOOKUP(YEAR(C289)-1,CCFMODEL!$I$127:$AF$128,2)*0.8)),+FI288)</f>
        <v>45.9010556937194</v>
      </c>
      <c r="FJ289" s="1127" t="n">
        <f aca="false">IF(MONTH(C289)=5,FJ288*(IF(Summary!$E$70="no",(1+(Summary!$E$71*0.8)),1+HLOOKUP(YEAR(CALC!C289)-1,CCFMODEL!$I$127:$AF$128,2)*0.8)),FJ288)</f>
        <v>40.1182455275815</v>
      </c>
      <c r="FK289" s="1128" t="e">
        <f aca="false">SUM(FB289:FG289)*FI289+FH289*FJ289</f>
        <v>#VALUE!</v>
      </c>
      <c r="FL289" s="1126" t="n">
        <f aca="false">IF(MONTH(C289)=5,FL288*(IF(Summary!$E$70="no",(1+(Summary!$E$71*0.8)),1+HLOOKUP(YEAR(CALC!C289)-1,CCFMODEL!$I$127:$AF$128,2)*0.8)),+FL288)</f>
        <v>96.5350661365099</v>
      </c>
      <c r="FM289" s="1127" t="n">
        <f aca="false">IF(MONTH(C289)=5,FM288*(IF(Summary!$E$70="no",(1+(Summary!$E$71*0.8)),1+HLOOKUP(YEAR(CALC!C289)-1,CCFMODEL!$I$127:$AF$128,2)*0.8)),+FM288)</f>
        <v>46.0731631391402</v>
      </c>
      <c r="FN289" s="1128" t="e">
        <f aca="false">IF((OR(MONTH(C289)=5,MONTH(C289)=6,MONTH(C289)=7,MONTH(C289)=8,MONTH(C289)=9)),SUM(FB289:FG289)/(1-BC289)*FL289,SUM(FB289:FG289)/(1-BC289)*FM289)</f>
        <v>#VALUE!</v>
      </c>
      <c r="FO289" s="1129" t="e">
        <f aca="false">FK289+FN289</f>
        <v>#VALUE!</v>
      </c>
      <c r="FP289" s="1169" t="e">
        <f aca="false">FB289</f>
        <v>#VALUE!</v>
      </c>
      <c r="FQ289" s="1129" t="n">
        <f aca="false">FC289</f>
        <v>0</v>
      </c>
      <c r="FR289" s="1129" t="e">
        <f aca="false">FD289</f>
        <v>#VALUE!</v>
      </c>
      <c r="FS289" s="1129" t="n">
        <f aca="false">FE289</f>
        <v>0</v>
      </c>
      <c r="FT289" s="1129" t="e">
        <f aca="false">FF289</f>
        <v>#VALUE!</v>
      </c>
      <c r="FU289" s="1129" t="n">
        <f aca="false">FG289</f>
        <v>0</v>
      </c>
      <c r="FV289" s="1170" t="e">
        <f aca="false">FH289</f>
        <v>#VALUE!</v>
      </c>
      <c r="FW289" s="1115" t="n">
        <f aca="false">IF(ER289&gt;0,MIN(FB289-FP289,BL289),0)</f>
        <v>0</v>
      </c>
      <c r="FX289" s="1115" t="n">
        <f aca="false">IF(ES289&gt;0,MIN(FD289-FR289,BM289),0)</f>
        <v>0</v>
      </c>
      <c r="FY289" s="1115" t="n">
        <f aca="false">IF(ET289&gt;0,MIN(FF289-FT289,BN289),0)</f>
        <v>0</v>
      </c>
      <c r="FZ289" s="1143" t="n">
        <f aca="false">IF(EU289&gt;0,MIN(FH289-FV289,BO289),0)</f>
        <v>0</v>
      </c>
      <c r="GA289" s="1132" t="e">
        <f aca="false">(SUM(FP289:FV289)+SUM(GU289:HB289)/(1-Summary!$O$25))*CY289/1000</f>
        <v>#VALUE!</v>
      </c>
      <c r="GB289" s="1133" t="n">
        <f aca="false">IF($C289&lt;Summary!$M$81,+Summary!$O$81,VLOOKUP(C289,GasTable,19))</f>
        <v>4.622</v>
      </c>
      <c r="GC289" s="1134" t="n">
        <f aca="false">IF(H289&lt;=Summary!$N$84,MIN(GA289,Summary!$O$75*(H289-G289+1)),0)</f>
        <v>0</v>
      </c>
      <c r="GD289" s="1135" t="n">
        <f aca="false">IF(C289&lt;Summary!$N$84,IF(Summary!$O$75*(H289-G289+1)*0.8&gt;GC289,1,0),0)</f>
        <v>0</v>
      </c>
      <c r="GE289" s="1136" t="n">
        <v>0</v>
      </c>
      <c r="GF289" s="1134" t="e">
        <f aca="false">ABS(MIN(0,GC289-$GA289))</f>
        <v>#VALUE!</v>
      </c>
      <c r="GG289" s="1135" t="e">
        <f aca="false">GF289*(IF(Summary!$O$74=1,VLOOKUP($C289,GasTable,16)+Summary!$O$92+Summary!$O$93,VLOOKUP($C289,GasTable,19)+Summary!$O$92+Summary!$O$93))</f>
        <v>#VALUE!</v>
      </c>
      <c r="GH289" s="1137" t="n">
        <v>6933</v>
      </c>
      <c r="GI289" s="1138" t="n">
        <v>0</v>
      </c>
      <c r="GJ289" s="1139" t="e">
        <f aca="false">+GB289*GC289+GE289+GG289+GH289-GI289</f>
        <v>#VALUE!</v>
      </c>
      <c r="GK289" s="1115" t="e">
        <f aca="false">SUM(FP289:FV289,GU289:GX289,GY289:HB289)</f>
        <v>#VALUE!</v>
      </c>
      <c r="GL289" s="1140" t="n">
        <v>0.52451001992</v>
      </c>
      <c r="GM289" s="1141" t="e">
        <f aca="false">IF(GK289&gt;GC289/(CY289/1000),GC289/(CY289/1000),+GK289)*GL289</f>
        <v>#VALUE!</v>
      </c>
      <c r="GN289" s="1115" t="n">
        <f aca="false">IF(SUM(GU289:HB289)=0,0,IF(Summary!$O$16="Yes",SUM(GX289:HB289),IF(Summary!$O$17="Yes",SUM(GY289:HB289),SUM(GU289:HB289))))</f>
        <v>9239.103</v>
      </c>
      <c r="GO289" s="1142" t="n">
        <v>4.55941701293117</v>
      </c>
      <c r="GP289" s="1143" t="n">
        <f aca="false">GN289*GO289</f>
        <v>42124.9234024234</v>
      </c>
      <c r="GQ289" s="1115"/>
      <c r="GR289" s="1115"/>
      <c r="GS289" s="1115"/>
      <c r="GT289" s="1115"/>
      <c r="GU289" s="1150" t="n">
        <v>3592.9845</v>
      </c>
      <c r="GV289" s="1115" t="n">
        <v>684.378</v>
      </c>
      <c r="GW289" s="1115" t="n">
        <v>855.4725</v>
      </c>
      <c r="GX289" s="1115"/>
      <c r="GY289" s="1151" t="n">
        <v>2874.3876</v>
      </c>
      <c r="GZ289" s="1115" t="n">
        <v>547.5024</v>
      </c>
      <c r="HA289" s="1115" t="n">
        <v>684.378</v>
      </c>
      <c r="HB289" s="1141"/>
      <c r="HC289" s="1115" t="n">
        <v>9239.103</v>
      </c>
      <c r="HD289" s="1115"/>
      <c r="HE289" s="1115" t="n">
        <v>21557.907</v>
      </c>
      <c r="HF289" s="1115" t="n">
        <v>615264.61339125</v>
      </c>
      <c r="HG289" s="1115"/>
      <c r="HH289" s="1142" t="n">
        <v>69.120220872613</v>
      </c>
      <c r="HI289" s="1115" t="n">
        <v>1490087.29339125</v>
      </c>
      <c r="HJ289" s="1150" t="e">
        <f aca="false">MAX(FB289-FP289-FW289,0)</f>
        <v>#VALUE!</v>
      </c>
      <c r="HK289" s="1115" t="e">
        <f aca="false">MAX(FD289-FR289-FX289,0)</f>
        <v>#VALUE!</v>
      </c>
      <c r="HL289" s="1115" t="e">
        <f aca="false">MAX(FF289-FT289-FY289,0)</f>
        <v>#VALUE!</v>
      </c>
      <c r="HM289" s="1141" t="e">
        <f aca="false">MAX(FH289-FV289-FZ289,0)</f>
        <v>#VALUE!</v>
      </c>
      <c r="HN289" s="1115" t="e">
        <f aca="false">SUM(HJ289:HM289)</f>
        <v>#VALUE!</v>
      </c>
      <c r="HO289" s="1142" t="n">
        <f aca="false">IF(ISERROR(+HP289/HN289),0,+HP289/HN289)</f>
        <v>0</v>
      </c>
      <c r="HP289" s="1143" t="e">
        <f aca="false">(HJ289*CE289+HK289*CF289+HL289*CG289+HM289*CH289)</f>
        <v>#VALUE!</v>
      </c>
      <c r="HQ289" s="1142"/>
      <c r="HR289" s="1142"/>
      <c r="HS289" s="1142"/>
      <c r="HT289" s="1142"/>
      <c r="HU289" s="1142"/>
      <c r="HV289" s="1142"/>
      <c r="HW289" s="1142"/>
      <c r="HX289" s="1142"/>
      <c r="HY289" s="1142"/>
      <c r="HZ289" s="1142"/>
      <c r="IA289" s="1142"/>
      <c r="IB289" s="1142"/>
      <c r="IC289" s="1142"/>
      <c r="ID289" s="1142"/>
      <c r="IE289" s="1142"/>
      <c r="IF289" s="1142"/>
      <c r="IG289" s="1142"/>
      <c r="IH289" s="1142"/>
      <c r="II289" s="1142"/>
      <c r="IJ289" s="1142"/>
      <c r="IK289" s="1142"/>
      <c r="IL289" s="1190"/>
      <c r="IM289" s="222"/>
      <c r="IN289" s="222"/>
      <c r="IR289" s="844"/>
    </row>
    <row r="290" customFormat="false" ht="13.5" hidden="false" customHeight="false" outlineLevel="0" collapsed="false">
      <c r="A290" s="0" t="str">
        <f aca="false">+D290&amp;"Q"&amp;ROUNDUP(E290/3,0)</f>
        <v>2022Q4</v>
      </c>
      <c r="B290" s="0" t="n">
        <f aca="false">YEAR(C290)</f>
        <v>2022</v>
      </c>
      <c r="C290" s="1153" t="n">
        <f aca="false">EOMONTH(C289,0)+1</f>
        <v>44835</v>
      </c>
      <c r="D290" s="841" t="n">
        <f aca="false">+YEAR(C290)</f>
        <v>2022</v>
      </c>
      <c r="E290" s="807" t="n">
        <f aca="false">MONTH(C290)</f>
        <v>10</v>
      </c>
      <c r="F290" s="1154" t="e">
        <f aca="false">IF(G290="","",Holiday(D290,E290))</f>
        <v>#VALUE!</v>
      </c>
      <c r="G290" s="1155" t="n">
        <v>44835</v>
      </c>
      <c r="H290" s="1156" t="n">
        <v>44865</v>
      </c>
      <c r="I290" s="1157" t="n">
        <f aca="false">I289</f>
        <v>0.0715</v>
      </c>
      <c r="J290" s="1158" t="n">
        <f aca="false">(1+I290/2)^(-2*(DATE(D291,E291,20)-$H$7)/365.25)</f>
        <v>0.199682531671093</v>
      </c>
      <c r="K290" s="1159"/>
      <c r="L290" s="1158"/>
      <c r="M290" s="1082" t="n">
        <v>0</v>
      </c>
      <c r="N290" s="1110" t="n">
        <f aca="false">M290</f>
        <v>0</v>
      </c>
      <c r="O290" s="1174" t="n">
        <f aca="false">N290</f>
        <v>0</v>
      </c>
      <c r="P290" s="1175" t="n">
        <f aca="false">M290</f>
        <v>0</v>
      </c>
      <c r="Q290" s="1110" t="n">
        <f aca="false">P290</f>
        <v>0</v>
      </c>
      <c r="R290" s="1174" t="n">
        <f aca="false">Q290</f>
        <v>0</v>
      </c>
      <c r="S290" s="1110" t="n">
        <f aca="false">R290</f>
        <v>0</v>
      </c>
      <c r="T290" s="1110" t="n">
        <f aca="false">S290</f>
        <v>0</v>
      </c>
      <c r="U290" s="1110" t="n">
        <f aca="false">T290</f>
        <v>0</v>
      </c>
      <c r="V290" s="1175" t="n">
        <f aca="false">U290</f>
        <v>0</v>
      </c>
      <c r="W290" s="1110" t="n">
        <f aca="false">V290</f>
        <v>0</v>
      </c>
      <c r="X290" s="1176" t="n">
        <f aca="false">W290</f>
        <v>0</v>
      </c>
      <c r="Y290" s="1086" t="n">
        <v>0</v>
      </c>
      <c r="Z290" s="1086" t="n">
        <v>0</v>
      </c>
      <c r="AA290" s="1087" t="n">
        <v>0</v>
      </c>
      <c r="AB290" s="1086" t="n">
        <v>0</v>
      </c>
      <c r="AC290" s="1086" t="n">
        <v>0</v>
      </c>
      <c r="AD290" s="1087" t="n">
        <v>0</v>
      </c>
      <c r="AE290" s="1086" t="n">
        <v>0</v>
      </c>
      <c r="AF290" s="1086" t="n">
        <v>0</v>
      </c>
      <c r="AG290" s="1087" t="n">
        <v>0</v>
      </c>
      <c r="AH290" s="1086" t="n">
        <v>0</v>
      </c>
      <c r="AI290" s="1086" t="n">
        <v>0</v>
      </c>
      <c r="AJ290" s="1087" t="n">
        <v>0</v>
      </c>
      <c r="AK290" s="1086" t="n">
        <v>0</v>
      </c>
      <c r="AL290" s="1086" t="n">
        <v>0</v>
      </c>
      <c r="AM290" s="1087" t="n">
        <v>0</v>
      </c>
      <c r="AN290" s="1086" t="n">
        <v>0</v>
      </c>
      <c r="AO290" s="1086" t="n">
        <v>0</v>
      </c>
      <c r="AP290" s="1087" t="n">
        <v>0</v>
      </c>
      <c r="AQ290" s="1086" t="n">
        <v>0</v>
      </c>
      <c r="AR290" s="1086" t="n">
        <v>0</v>
      </c>
      <c r="AS290" s="1087" t="n">
        <v>0</v>
      </c>
      <c r="AT290" s="1086" t="n">
        <v>0</v>
      </c>
      <c r="AU290" s="1086" t="n">
        <v>0</v>
      </c>
      <c r="AV290" s="1086" t="n">
        <v>0</v>
      </c>
      <c r="AW290" s="1172" t="n">
        <v>0</v>
      </c>
      <c r="AX290" s="807" t="n">
        <f aca="false">BB290-SUM(AY290:BA290)</f>
        <v>21</v>
      </c>
      <c r="AY290" s="807" t="n">
        <f aca="false">IF(AND($E290=MONTH(Summary!$E$24),$D290=YEAR(Summary!$E$24)),Summary!$E$25,1)*IF(G290="",0,INT((H290-MOD(H290,7)-G290)/7)+1-IF(BA290,IF(WEEKDAY(F290)=7,1,0),0))</f>
        <v>5</v>
      </c>
      <c r="AZ290" s="807" t="n">
        <f aca="false">IF(AND($E290=MONTH(Summary!$E$24),$D290=YEAR(Summary!$E$24)),Summary!$E$25,1)*IF(G290="",0,INT((H290-MOD(H290-1,7)-G290)/7)+1-IF(BA290,IF(WEEKDAY(F290)=1,1,0),0))</f>
        <v>5</v>
      </c>
      <c r="BA290" s="807" t="n">
        <v>0</v>
      </c>
      <c r="BB290" s="807" t="n">
        <f aca="false">IF(AND($E290=MONTH(Summary!$E$24),$D290=YEAR(Summary!$E$24)),Summary!$E$25,1)*IF(G290="",0,H290-G290+1)</f>
        <v>31</v>
      </c>
      <c r="BC290" s="1089" t="n">
        <f aca="false">Summary!$E$19</f>
        <v>0.015</v>
      </c>
      <c r="BD290" s="1090" t="n">
        <v>14893.2</v>
      </c>
      <c r="BE290" s="1091" t="n">
        <v>3546</v>
      </c>
      <c r="BF290" s="1091" t="n">
        <v>3546</v>
      </c>
      <c r="BG290" s="842"/>
      <c r="BH290" s="1092" t="n">
        <v>1</v>
      </c>
      <c r="BI290" s="1092" t="n">
        <v>1</v>
      </c>
      <c r="BJ290" s="1092" t="n">
        <v>1</v>
      </c>
      <c r="BK290" s="1092" t="n">
        <v>1</v>
      </c>
      <c r="BL290" s="1093" t="n">
        <v>2978.64</v>
      </c>
      <c r="BM290" s="1091" t="n">
        <v>709.2</v>
      </c>
      <c r="BN290" s="1091" t="n">
        <v>709.2</v>
      </c>
      <c r="BO290" s="842"/>
      <c r="BP290" s="1092" t="n">
        <v>1</v>
      </c>
      <c r="BQ290" s="1094" t="n">
        <v>1</v>
      </c>
      <c r="BR290" s="1094" t="n">
        <v>1</v>
      </c>
      <c r="BS290" s="1095" t="n">
        <v>1</v>
      </c>
      <c r="BT290" s="1093" t="n">
        <f aca="false">SUM(BD290:BF290)</f>
        <v>21985.2</v>
      </c>
      <c r="BU290" s="1098" t="n">
        <f aca="false">SUM(BD290:BG290)</f>
        <v>21985.2</v>
      </c>
      <c r="BV290" s="1090" t="n">
        <f aca="false">SUM(BL290:BN290)</f>
        <v>4397.04</v>
      </c>
      <c r="BW290" s="1098" t="n">
        <f aca="false">SUM(BL290:BO290)</f>
        <v>4397.04</v>
      </c>
      <c r="BX290" s="852" t="n">
        <v>22.7953456536619</v>
      </c>
      <c r="BY290" s="1099" t="n">
        <v>0</v>
      </c>
      <c r="BZ290" s="852" t="n">
        <v>0</v>
      </c>
      <c r="CA290" s="852" t="n">
        <v>0</v>
      </c>
      <c r="CB290" s="852" t="n">
        <v>0</v>
      </c>
      <c r="CC290" s="852" t="n">
        <v>0</v>
      </c>
      <c r="CD290" s="852" t="n">
        <v>0</v>
      </c>
      <c r="CE290" s="1100" t="n">
        <v>0</v>
      </c>
      <c r="CF290" s="852" t="n">
        <v>0</v>
      </c>
      <c r="CG290" s="852" t="n">
        <v>0</v>
      </c>
      <c r="CH290" s="852" t="n">
        <v>0</v>
      </c>
      <c r="CI290" s="852" t="n">
        <v>0</v>
      </c>
      <c r="CJ290" s="1101" t="n">
        <v>0</v>
      </c>
      <c r="CK290" s="852" t="n">
        <v>0</v>
      </c>
      <c r="CL290" s="852" t="n">
        <v>0</v>
      </c>
      <c r="CM290" s="852" t="n">
        <v>0</v>
      </c>
      <c r="CN290" s="852" t="n">
        <v>0</v>
      </c>
      <c r="CO290" s="852" t="n">
        <v>0</v>
      </c>
      <c r="CP290" s="852" t="n">
        <v>0</v>
      </c>
      <c r="CQ290" s="1102" t="n">
        <v>0</v>
      </c>
      <c r="CR290" s="1103" t="n">
        <v>0</v>
      </c>
      <c r="CS290" s="1103" t="n">
        <v>0</v>
      </c>
      <c r="CT290" s="1103" t="n">
        <v>0</v>
      </c>
      <c r="CU290" s="1103" t="n">
        <v>0</v>
      </c>
      <c r="CV290" s="1103" t="n">
        <v>0</v>
      </c>
      <c r="CW290" s="1103" t="n">
        <v>0</v>
      </c>
      <c r="CX290" s="1104" t="n">
        <v>0</v>
      </c>
      <c r="CY290" s="1105" t="n">
        <v>7830.53872</v>
      </c>
      <c r="CZ290" s="1099" t="n">
        <v>0</v>
      </c>
      <c r="DA290" s="852" t="n">
        <v>0</v>
      </c>
      <c r="DB290" s="852" t="n">
        <v>0</v>
      </c>
      <c r="DC290" s="852" t="n">
        <v>0</v>
      </c>
      <c r="DD290" s="852" t="n">
        <v>0</v>
      </c>
      <c r="DE290" s="1113" t="n">
        <v>0</v>
      </c>
      <c r="DF290" s="1109" t="n">
        <v>0</v>
      </c>
      <c r="DG290" s="1110" t="n">
        <v>0</v>
      </c>
      <c r="DH290" s="1111" t="n">
        <v>0</v>
      </c>
      <c r="DI290" s="1112" t="n">
        <v>0</v>
      </c>
      <c r="DJ290" s="1112" t="n">
        <v>0</v>
      </c>
      <c r="DK290" s="1112" t="n">
        <v>0</v>
      </c>
      <c r="DL290" s="1113" t="n">
        <v>0</v>
      </c>
      <c r="DM290" s="1114" t="n">
        <v>0</v>
      </c>
      <c r="DN290" s="1114" t="n">
        <v>0</v>
      </c>
      <c r="DO290" s="1114" t="n">
        <v>0</v>
      </c>
      <c r="DP290" s="1114" t="n">
        <v>0</v>
      </c>
      <c r="DQ290" s="1114" t="n">
        <v>0</v>
      </c>
      <c r="DR290" s="1109" t="n">
        <v>0</v>
      </c>
      <c r="DS290" s="852" t="n">
        <v>0</v>
      </c>
      <c r="DT290" s="852" t="n">
        <v>0</v>
      </c>
      <c r="DU290" s="852" t="n">
        <v>0</v>
      </c>
      <c r="DV290" s="852" t="n">
        <v>0</v>
      </c>
      <c r="DW290" s="852" t="n">
        <v>0</v>
      </c>
      <c r="DX290" s="852" t="n">
        <v>0</v>
      </c>
      <c r="DY290" s="852" t="n">
        <v>0</v>
      </c>
      <c r="DZ290" s="852" t="n">
        <v>0</v>
      </c>
      <c r="EA290" s="852" t="n">
        <v>0</v>
      </c>
      <c r="EB290" s="1113" t="n">
        <v>0</v>
      </c>
      <c r="EC290" s="1115" t="n">
        <f aca="false">DS290*BD290</f>
        <v>0</v>
      </c>
      <c r="ED290" s="1115" t="n">
        <f aca="false">DT290*BE290</f>
        <v>0</v>
      </c>
      <c r="EE290" s="1115" t="n">
        <f aca="false">DU290*BF290</f>
        <v>0</v>
      </c>
      <c r="EF290" s="1115" t="n">
        <f aca="false">DV290*BG290</f>
        <v>0</v>
      </c>
      <c r="EG290" s="1115" t="n">
        <f aca="false">DS290*BD290+DT290*BE290+DU290*BF290+DV290*BG290</f>
        <v>0</v>
      </c>
      <c r="EH290" s="1116" t="n">
        <v>0</v>
      </c>
      <c r="EI290" s="1117" t="n">
        <v>0</v>
      </c>
      <c r="EJ290" s="1117" t="n">
        <v>0</v>
      </c>
      <c r="EK290" s="1117" t="n">
        <v>0</v>
      </c>
      <c r="EL290" s="1118" t="n">
        <f aca="false">IF(C290&gt;=Summary!$E$26,MAX(0,SUM(EH290:EK290)),0)</f>
        <v>0</v>
      </c>
      <c r="EM290" s="1115" t="n">
        <f aca="false">IF(C290&gt;=Summary!$E$26,DX290*BL290,0)</f>
        <v>0</v>
      </c>
      <c r="EN290" s="1115" t="n">
        <f aca="false">IF(C290&gt;=Summary!$E$26,DY290*BM290,0)</f>
        <v>0</v>
      </c>
      <c r="EO290" s="1115" t="n">
        <f aca="false">IF(C290&gt;=Summary!$E$26,DZ290*BN290,0)</f>
        <v>0</v>
      </c>
      <c r="EP290" s="1115" t="n">
        <f aca="false">IF(C290&gt;=Summary!$E$26,EA290*BO290,0)</f>
        <v>0</v>
      </c>
      <c r="EQ290" s="1115" t="n">
        <f aca="false">IF(C290&gt;=Summary!$E$26,DX290*BL290+DY290*BM290+DZ290*BN290+EA290*BO290,0)</f>
        <v>0</v>
      </c>
      <c r="ER290" s="1119" t="n">
        <v>0</v>
      </c>
      <c r="ES290" s="1120" t="n">
        <v>0</v>
      </c>
      <c r="ET290" s="1120" t="n">
        <v>0</v>
      </c>
      <c r="EU290" s="1120" t="n">
        <v>0</v>
      </c>
      <c r="EV290" s="1143" t="n">
        <f aca="false">IF(C290&gt;=Summary!$E$26,MAX(0,SUM(ER290:EU290)),0)</f>
        <v>0</v>
      </c>
      <c r="EW290" s="1115"/>
      <c r="EX290" s="1165" t="n">
        <f aca="false">(EQ290-EV290)+IF(EZ290="Yes",(EG290-EL290),0)</f>
        <v>0</v>
      </c>
      <c r="EY290" s="1166" t="str">
        <f aca="false">IF(EX290,EX290/EQ290,"")</f>
        <v/>
      </c>
      <c r="EZ290" s="1122" t="s">
        <v>37</v>
      </c>
      <c r="FA290" s="1096" t="n">
        <f aca="false">FA289</f>
        <v>45</v>
      </c>
      <c r="FB290" s="1167" t="n">
        <f aca="false">IF(EZ290="No",IF((OR(MONTH(C290)=5,MONTH(C290)=6,MONTH(C290)=7,MONTH(C290)=8,MONTH(C290)=9)),$FA290*12*AX290*(1-$BC290),$FA290*10*AX290*(1-$BC290)),0)</f>
        <v>9308.25</v>
      </c>
      <c r="FC290" s="1129" t="n">
        <f aca="false">IF(EZ290="No",IF((OR(MONTH(C290)=5,MONTH(C290)=6,MONTH(C290)=7,MONTH(C290)=8,MONTH(C290)=9)),0,$FA290*3*AX290*(1-$BC290)),0)</f>
        <v>2792.475</v>
      </c>
      <c r="FD290" s="1129" t="n">
        <f aca="false">IF(EZ290="No",IF((OR(MONTH(C290)=5,MONTH(C290)=6,MONTH(C290)=7,MONTH(C290)=8,MONTH(C290)=9)),$FA290*12*AY290*(1-$BC290),$FA290*10*AY290*(1-$BC290)),0)</f>
        <v>2216.25</v>
      </c>
      <c r="FE290" s="1129" t="n">
        <f aca="false">IF(EZ290="No",IF((OR(MONTH(C290)=5,MONTH(C290)=6,MONTH(C290)=7,MONTH(C290)=8,MONTH(C290)=9)),0,$FA290*3*AY290*(1-$BC290)),0)</f>
        <v>664.875</v>
      </c>
      <c r="FF290" s="1129" t="n">
        <f aca="false">IF(EZ290="No",IF((OR(MONTH(C290)=5,MONTH(C290)=6,MONTH(C290)=7,MONTH(C290)=8,MONTH(C290)=9)),$FA290*12*(AZ290+BA290)*(1-$BC290),$FA290*10*(AZ290+BA290)*(1-$BC290)),0)</f>
        <v>2216.25</v>
      </c>
      <c r="FG290" s="1129" t="n">
        <f aca="false">IF(EZ290="No",IF((OR(MONTH(C290)=5,MONTH(C290)=6,MONTH(C290)=7,MONTH(C290)=8,MONTH(C290)=9)),0,$FA290*3*(AZ290+BA290)*(1-$BC290)),0)</f>
        <v>664.875</v>
      </c>
      <c r="FH290" s="1170" t="n">
        <f aca="false">IF(EZ290="No",IF((OR(MONTH(C290)=5,MONTH(C290)=6,MONTH(C290)=7,MONTH(C290)=8,MONTH(C290)=9)),Summary!$O$15*12*(AX290+AY290+AZ290+BA290)*(1-$BC290),Summary!$O$15*13*(AX290+AY290+AZ290+BA290)*(1-$BC290)+IF(Summary!$O$16="Yes",(CALC!FA290+Summary!$O$15)*6*(AX290+AY290+AZ290+BA290)*(1-$BC290),0)),0)</f>
        <v>0</v>
      </c>
      <c r="FI290" s="1126" t="n">
        <f aca="false">IF(MONTH(C290)=5,FI289*(IF(Summary!$E$70="no",(1+(Summary!$E$71*0.8)),1+HLOOKUP(YEAR(C290)-1,CCFMODEL!$I$127:$AF$128,2)*0.8)),+FI289)</f>
        <v>45.9010556937194</v>
      </c>
      <c r="FJ290" s="1127" t="n">
        <f aca="false">IF(MONTH(C290)=5,FJ289*(IF(Summary!$E$70="no",(1+(Summary!$E$71*0.8)),1+HLOOKUP(YEAR(CALC!C290)-1,CCFMODEL!$I$127:$AF$128,2)*0.8)),FJ289)</f>
        <v>40.1182455275815</v>
      </c>
      <c r="FK290" s="1128" t="n">
        <f aca="false">SUM(FB290:FG290)*FI290+FH290*FJ290</f>
        <v>819929.410330517</v>
      </c>
      <c r="FL290" s="1126" t="n">
        <f aca="false">IF(MONTH(C290)=5,FL289*(IF(Summary!$E$70="no",(1+(Summary!$E$71*0.8)),1+HLOOKUP(YEAR(CALC!C290)-1,CCFMODEL!$I$127:$AF$128,2)*0.8)),+FL289)</f>
        <v>96.5350661365099</v>
      </c>
      <c r="FM290" s="1127" t="n">
        <f aca="false">IF(MONTH(C290)=5,FM289*(IF(Summary!$E$70="no",(1+(Summary!$E$71*0.8)),1+HLOOKUP(YEAR(CALC!C290)-1,CCFMODEL!$I$127:$AF$128,2)*0.8)),+FM289)</f>
        <v>46.0731631391402</v>
      </c>
      <c r="FN290" s="1128" t="n">
        <f aca="false">IF((OR(MONTH(C290)=5,MONTH(C290)=6,MONTH(C290)=7,MONTH(C290)=8,MONTH(C290)=9)),SUM(FB290:FG290)/(1-BC290)*FL290,SUM(FB290:FG290)/(1-BC290)*FM290)</f>
        <v>835536.813528307</v>
      </c>
      <c r="FO290" s="1129" t="n">
        <f aca="false">FK290+FN290</f>
        <v>1655466.22385882</v>
      </c>
      <c r="FP290" s="1169" t="n">
        <f aca="false">FB290</f>
        <v>9308.25</v>
      </c>
      <c r="FQ290" s="1129" t="n">
        <f aca="false">FC290</f>
        <v>2792.475</v>
      </c>
      <c r="FR290" s="1129" t="n">
        <f aca="false">FD290</f>
        <v>2216.25</v>
      </c>
      <c r="FS290" s="1129" t="n">
        <f aca="false">FE290</f>
        <v>664.875</v>
      </c>
      <c r="FT290" s="1129" t="n">
        <f aca="false">FF290</f>
        <v>2216.25</v>
      </c>
      <c r="FU290" s="1129" t="n">
        <f aca="false">FG290</f>
        <v>664.875</v>
      </c>
      <c r="FV290" s="1170" t="n">
        <f aca="false">FH290</f>
        <v>0</v>
      </c>
      <c r="FW290" s="1115" t="n">
        <f aca="false">IF(ER290&gt;0,MIN(FB290-FP290,BL290),0)</f>
        <v>0</v>
      </c>
      <c r="FX290" s="1115" t="n">
        <f aca="false">IF(ES290&gt;0,MIN(FD290-FR290,BM290),0)</f>
        <v>0</v>
      </c>
      <c r="FY290" s="1115" t="n">
        <f aca="false">IF(ET290&gt;0,MIN(FF290-FT290,BN290),0)</f>
        <v>0</v>
      </c>
      <c r="FZ290" s="1143" t="n">
        <f aca="false">IF(EU290&gt;0,MIN(FH290-FV290,BO290),0)</f>
        <v>0</v>
      </c>
      <c r="GA290" s="1132" t="n">
        <f aca="false">(SUM(FP290:FV290)+SUM(GU290:HB290)/(1-Summary!$O$25))*CY290/1000</f>
        <v>238866.394315385</v>
      </c>
      <c r="GB290" s="1133" t="n">
        <f aca="false">IF($C290&lt;Summary!$M$81,+Summary!$O$81,VLOOKUP(C290,GasTable,19))</f>
        <v>4.621</v>
      </c>
      <c r="GC290" s="1134" t="n">
        <f aca="false">IF(H290&lt;=Summary!$N$84,MIN(GA290,Summary!$O$75*(H290-G290+1)),0)</f>
        <v>0</v>
      </c>
      <c r="GD290" s="1135" t="n">
        <f aca="false">IF(C290&lt;Summary!$N$84,IF(Summary!$O$75*(H290-G290+1)*0.8&gt;GC290,1,0),0)</f>
        <v>0</v>
      </c>
      <c r="GE290" s="1136" t="n">
        <v>0</v>
      </c>
      <c r="GF290" s="1134" t="n">
        <f aca="false">ABS(MIN(0,GC290-$GA290))</f>
        <v>238866.394315385</v>
      </c>
      <c r="GG290" s="1135" t="n">
        <f aca="false">GF290*(IF(Summary!$O$74=1,VLOOKUP($C290,GasTable,16)+Summary!$O$92+Summary!$O$93,VLOOKUP($C290,GasTable,19)+Summary!$O$92+Summary!$O$93))</f>
        <v>1116246.54727523</v>
      </c>
      <c r="GH290" s="1137" t="n">
        <v>7162.55</v>
      </c>
      <c r="GI290" s="1138" t="n">
        <v>0</v>
      </c>
      <c r="GJ290" s="1139" t="n">
        <f aca="false">+GB290*GC290+GE290+GG290+GH290-GI290</f>
        <v>1123409.09727523</v>
      </c>
      <c r="GK290" s="1115" t="n">
        <f aca="false">SUM(FP290:FV290,GU290:GX290,GY290:HB290)</f>
        <v>30062.01285</v>
      </c>
      <c r="GL290" s="1140" t="n">
        <v>0.52464609424</v>
      </c>
      <c r="GM290" s="1141" t="n">
        <f aca="false">IF(GK290&gt;GC290/(CY290/1000),GC290/(CY290/1000),+GK290)*GL290</f>
        <v>0</v>
      </c>
      <c r="GN290" s="1115" t="n">
        <f aca="false">IF(SUM(GU290:HB290)=0,0,IF(Summary!$O$16="Yes",SUM(GX290:HB290),IF(Summary!$O$17="Yes",SUM(GY290:HB290),SUM(GU290:HB290))))</f>
        <v>12199.03785</v>
      </c>
      <c r="GO290" s="1142" t="n">
        <v>4.55941701293117</v>
      </c>
      <c r="GP290" s="1143" t="n">
        <f aca="false">GN290*GO290</f>
        <v>55620.5007146813</v>
      </c>
      <c r="GQ290" s="1115"/>
      <c r="GR290" s="1115"/>
      <c r="GS290" s="1115"/>
      <c r="GT290" s="1115"/>
      <c r="GU290" s="1150" t="n">
        <v>5389.47675</v>
      </c>
      <c r="GV290" s="1115" t="n">
        <v>1283.20875</v>
      </c>
      <c r="GW290" s="1115" t="n">
        <v>1283.20875</v>
      </c>
      <c r="GX290" s="1115"/>
      <c r="GY290" s="1151" t="n">
        <v>2874.3876</v>
      </c>
      <c r="GZ290" s="1115" t="n">
        <v>684.378</v>
      </c>
      <c r="HA290" s="1115" t="n">
        <v>684.378</v>
      </c>
      <c r="HB290" s="1141"/>
      <c r="HC290" s="1115" t="n">
        <v>12199.03785</v>
      </c>
      <c r="HD290" s="1115"/>
      <c r="HE290" s="1115" t="n">
        <v>14320.60965</v>
      </c>
      <c r="HF290" s="1115" t="n">
        <v>618621.2595</v>
      </c>
      <c r="HG290" s="1115"/>
      <c r="HH290" s="1142" t="n">
        <v>50.7106598984772</v>
      </c>
      <c r="HI290" s="1115" t="n">
        <v>726207.5655</v>
      </c>
      <c r="HJ290" s="1150" t="n">
        <f aca="false">MAX(FB290-FP290-FW290,0)</f>
        <v>0</v>
      </c>
      <c r="HK290" s="1115" t="n">
        <f aca="false">MAX(FD290-FR290-FX290,0)</f>
        <v>0</v>
      </c>
      <c r="HL290" s="1115" t="n">
        <f aca="false">MAX(FF290-FT290-FY290,0)</f>
        <v>0</v>
      </c>
      <c r="HM290" s="1141" t="n">
        <f aca="false">MAX(FH290-FV290-FZ290,0)</f>
        <v>0</v>
      </c>
      <c r="HN290" s="1115" t="n">
        <f aca="false">SUM(HJ290:HM290)</f>
        <v>0</v>
      </c>
      <c r="HO290" s="1142" t="n">
        <f aca="false">IF(ISERROR(+HP290/HN290),0,+HP290/HN290)</f>
        <v>0</v>
      </c>
      <c r="HP290" s="1143" t="n">
        <f aca="false">(HJ290*CE290+HK290*CF290+HL290*CG290+HM290*CH290)</f>
        <v>0</v>
      </c>
      <c r="HQ290" s="1142"/>
      <c r="HR290" s="1142"/>
      <c r="HS290" s="1142"/>
      <c r="HT290" s="1142"/>
      <c r="HU290" s="1142"/>
      <c r="HV290" s="1142"/>
      <c r="HW290" s="1142"/>
      <c r="HX290" s="1142"/>
      <c r="HY290" s="1142"/>
      <c r="HZ290" s="1142"/>
      <c r="IA290" s="1142"/>
      <c r="IB290" s="1142"/>
      <c r="IC290" s="1142"/>
      <c r="ID290" s="1142"/>
      <c r="IE290" s="1142"/>
      <c r="IF290" s="1142"/>
      <c r="IG290" s="1142"/>
      <c r="IH290" s="1142"/>
      <c r="II290" s="1142"/>
      <c r="IJ290" s="1142"/>
      <c r="IK290" s="1142"/>
      <c r="IL290" s="1190"/>
      <c r="IM290" s="222"/>
      <c r="IN290" s="222"/>
      <c r="IR290" s="844"/>
    </row>
    <row r="291" customFormat="false" ht="13.5" hidden="false" customHeight="false" outlineLevel="0" collapsed="false">
      <c r="A291" s="0" t="str">
        <f aca="false">+D291&amp;"Q"&amp;ROUNDUP(E291/3,0)</f>
        <v>2022Q4</v>
      </c>
      <c r="B291" s="0" t="n">
        <f aca="false">YEAR(C291)</f>
        <v>2022</v>
      </c>
      <c r="C291" s="1153" t="n">
        <f aca="false">EOMONTH(C290,0)+1</f>
        <v>44866</v>
      </c>
      <c r="D291" s="841" t="n">
        <f aca="false">+YEAR(C291)</f>
        <v>2022</v>
      </c>
      <c r="E291" s="807" t="n">
        <f aca="false">MONTH(C291)</f>
        <v>11</v>
      </c>
      <c r="F291" s="1154" t="e">
        <f aca="false">IF(G291="","",Holiday(D291,E291))</f>
        <v>#VALUE!</v>
      </c>
      <c r="G291" s="1155" t="n">
        <v>44866</v>
      </c>
      <c r="H291" s="1156" t="n">
        <v>44895</v>
      </c>
      <c r="I291" s="1157" t="n">
        <f aca="false">I290</f>
        <v>0.0715</v>
      </c>
      <c r="J291" s="1158" t="n">
        <f aca="false">(1+I291/2)^(-2*(DATE(D292,E292,20)-$H$7)/365.25)</f>
        <v>0.198533650852915</v>
      </c>
      <c r="K291" s="1159"/>
      <c r="L291" s="1158"/>
      <c r="M291" s="1082" t="n">
        <v>0</v>
      </c>
      <c r="N291" s="1110" t="n">
        <f aca="false">M291</f>
        <v>0</v>
      </c>
      <c r="O291" s="1174" t="n">
        <f aca="false">N291</f>
        <v>0</v>
      </c>
      <c r="P291" s="1175" t="n">
        <f aca="false">M291</f>
        <v>0</v>
      </c>
      <c r="Q291" s="1110" t="n">
        <f aca="false">P291</f>
        <v>0</v>
      </c>
      <c r="R291" s="1174" t="n">
        <f aca="false">Q291</f>
        <v>0</v>
      </c>
      <c r="S291" s="1110" t="n">
        <f aca="false">R291</f>
        <v>0</v>
      </c>
      <c r="T291" s="1110" t="n">
        <f aca="false">S291</f>
        <v>0</v>
      </c>
      <c r="U291" s="1110" t="n">
        <f aca="false">T291</f>
        <v>0</v>
      </c>
      <c r="V291" s="1175" t="n">
        <f aca="false">U291</f>
        <v>0</v>
      </c>
      <c r="W291" s="1110" t="n">
        <f aca="false">V291</f>
        <v>0</v>
      </c>
      <c r="X291" s="1176" t="n">
        <f aca="false">W291</f>
        <v>0</v>
      </c>
      <c r="Y291" s="1086" t="n">
        <v>0</v>
      </c>
      <c r="Z291" s="1086" t="n">
        <v>0</v>
      </c>
      <c r="AA291" s="1087" t="n">
        <v>0</v>
      </c>
      <c r="AB291" s="1086" t="n">
        <v>0</v>
      </c>
      <c r="AC291" s="1086" t="n">
        <v>0</v>
      </c>
      <c r="AD291" s="1087" t="n">
        <v>0</v>
      </c>
      <c r="AE291" s="1086" t="n">
        <v>0</v>
      </c>
      <c r="AF291" s="1086" t="n">
        <v>0</v>
      </c>
      <c r="AG291" s="1087" t="n">
        <v>0</v>
      </c>
      <c r="AH291" s="1086" t="n">
        <v>0</v>
      </c>
      <c r="AI291" s="1086" t="n">
        <v>0</v>
      </c>
      <c r="AJ291" s="1087" t="n">
        <v>0</v>
      </c>
      <c r="AK291" s="1086" t="n">
        <v>0</v>
      </c>
      <c r="AL291" s="1086" t="n">
        <v>0</v>
      </c>
      <c r="AM291" s="1087" t="n">
        <v>0</v>
      </c>
      <c r="AN291" s="1086" t="n">
        <v>0</v>
      </c>
      <c r="AO291" s="1086" t="n">
        <v>0</v>
      </c>
      <c r="AP291" s="1087" t="n">
        <v>0</v>
      </c>
      <c r="AQ291" s="1086" t="n">
        <v>0</v>
      </c>
      <c r="AR291" s="1086" t="n">
        <v>0</v>
      </c>
      <c r="AS291" s="1087" t="n">
        <v>0</v>
      </c>
      <c r="AT291" s="1086" t="n">
        <v>0</v>
      </c>
      <c r="AU291" s="1086" t="n">
        <v>0</v>
      </c>
      <c r="AV291" s="1086" t="n">
        <v>0</v>
      </c>
      <c r="AW291" s="1172" t="n">
        <v>0</v>
      </c>
      <c r="AX291" s="807" t="e">
        <f aca="false">BB291-SUM(AY291:BA291)</f>
        <v>#VALUE!</v>
      </c>
      <c r="AY291" s="807" t="e">
        <f aca="false">IF(AND($E291=MONTH(Summary!$E$24),$D291=YEAR(Summary!$E$24)),Summary!$E$25,1)*IF(G291="",0,INT((H291-MOD(H291,7)-G291)/7)+1-IF(BA291,IF(WEEKDAY(F291)=7,1,0),0))</f>
        <v>#VALUE!</v>
      </c>
      <c r="AZ291" s="807" t="e">
        <f aca="false">IF(AND($E291=MONTH(Summary!$E$24),$D291=YEAR(Summary!$E$24)),Summary!$E$25,1)*IF(G291="",0,INT((H291-MOD(H291-1,7)-G291)/7)+1-IF(BA291,IF(WEEKDAY(F291)=1,1,0),0))</f>
        <v>#VALUE!</v>
      </c>
      <c r="BA291" s="807" t="n">
        <v>1</v>
      </c>
      <c r="BB291" s="807" t="n">
        <f aca="false">IF(AND($E291=MONTH(Summary!$E$24),$D291=YEAR(Summary!$E$24)),Summary!$E$25,1)*IF(G291="",0,H291-G291+1)</f>
        <v>30</v>
      </c>
      <c r="BC291" s="1089" t="n">
        <f aca="false">Summary!$E$19</f>
        <v>0.015</v>
      </c>
      <c r="BD291" s="1090" t="n">
        <v>14893.2</v>
      </c>
      <c r="BE291" s="1091" t="n">
        <v>2836.8</v>
      </c>
      <c r="BF291" s="1091" t="n">
        <v>3546</v>
      </c>
      <c r="BG291" s="842"/>
      <c r="BH291" s="1092" t="n">
        <v>1</v>
      </c>
      <c r="BI291" s="1092" t="n">
        <v>1</v>
      </c>
      <c r="BJ291" s="1092" t="n">
        <v>1</v>
      </c>
      <c r="BK291" s="1092" t="n">
        <v>1</v>
      </c>
      <c r="BL291" s="1093" t="n">
        <v>2978.64</v>
      </c>
      <c r="BM291" s="1091" t="n">
        <v>567.36</v>
      </c>
      <c r="BN291" s="1091" t="n">
        <v>709.2</v>
      </c>
      <c r="BO291" s="842"/>
      <c r="BP291" s="1092" t="n">
        <v>1</v>
      </c>
      <c r="BQ291" s="1094" t="n">
        <v>1</v>
      </c>
      <c r="BR291" s="1094" t="n">
        <v>1</v>
      </c>
      <c r="BS291" s="1095" t="n">
        <v>1</v>
      </c>
      <c r="BT291" s="1093" t="n">
        <f aca="false">SUM(BD291:BF291)</f>
        <v>21276</v>
      </c>
      <c r="BU291" s="1098" t="n">
        <f aca="false">SUM(BD291:BG291)</f>
        <v>21276</v>
      </c>
      <c r="BV291" s="1090" t="n">
        <f aca="false">SUM(BL291:BN291)</f>
        <v>4255.2</v>
      </c>
      <c r="BW291" s="1098" t="n">
        <f aca="false">SUM(BL291:BO291)</f>
        <v>4255.2</v>
      </c>
      <c r="BX291" s="852" t="n">
        <v>22.880219028063</v>
      </c>
      <c r="BY291" s="1099" t="n">
        <v>0</v>
      </c>
      <c r="BZ291" s="852" t="n">
        <v>0</v>
      </c>
      <c r="CA291" s="852" t="n">
        <v>0</v>
      </c>
      <c r="CB291" s="852" t="n">
        <v>0</v>
      </c>
      <c r="CC291" s="852" t="n">
        <v>0</v>
      </c>
      <c r="CD291" s="852" t="n">
        <v>0</v>
      </c>
      <c r="CE291" s="1100" t="n">
        <v>0</v>
      </c>
      <c r="CF291" s="852" t="n">
        <v>0</v>
      </c>
      <c r="CG291" s="852" t="n">
        <v>0</v>
      </c>
      <c r="CH291" s="852" t="n">
        <v>0</v>
      </c>
      <c r="CI291" s="852" t="n">
        <v>0</v>
      </c>
      <c r="CJ291" s="1101" t="n">
        <v>0</v>
      </c>
      <c r="CK291" s="852" t="n">
        <v>0</v>
      </c>
      <c r="CL291" s="852" t="n">
        <v>0</v>
      </c>
      <c r="CM291" s="852" t="n">
        <v>0</v>
      </c>
      <c r="CN291" s="852" t="n">
        <v>0</v>
      </c>
      <c r="CO291" s="852" t="n">
        <v>0</v>
      </c>
      <c r="CP291" s="852" t="n">
        <v>0</v>
      </c>
      <c r="CQ291" s="1102" t="n">
        <v>0</v>
      </c>
      <c r="CR291" s="1103" t="n">
        <v>0</v>
      </c>
      <c r="CS291" s="1103" t="n">
        <v>0</v>
      </c>
      <c r="CT291" s="1103" t="n">
        <v>0</v>
      </c>
      <c r="CU291" s="1103" t="n">
        <v>0</v>
      </c>
      <c r="CV291" s="1103" t="n">
        <v>0</v>
      </c>
      <c r="CW291" s="1103" t="n">
        <v>0</v>
      </c>
      <c r="CX291" s="1104" t="n">
        <v>0</v>
      </c>
      <c r="CY291" s="1105" t="n">
        <v>7832.56968</v>
      </c>
      <c r="CZ291" s="1099" t="n">
        <v>0</v>
      </c>
      <c r="DA291" s="852" t="n">
        <v>0</v>
      </c>
      <c r="DB291" s="852" t="n">
        <v>0</v>
      </c>
      <c r="DC291" s="852" t="n">
        <v>0</v>
      </c>
      <c r="DD291" s="852" t="n">
        <v>0</v>
      </c>
      <c r="DE291" s="1113" t="n">
        <v>0</v>
      </c>
      <c r="DF291" s="1109" t="n">
        <v>0</v>
      </c>
      <c r="DG291" s="1110" t="n">
        <v>0</v>
      </c>
      <c r="DH291" s="1111" t="n">
        <v>0</v>
      </c>
      <c r="DI291" s="1112" t="n">
        <v>0</v>
      </c>
      <c r="DJ291" s="1112" t="n">
        <v>0</v>
      </c>
      <c r="DK291" s="1112" t="n">
        <v>0</v>
      </c>
      <c r="DL291" s="1113" t="n">
        <v>0</v>
      </c>
      <c r="DM291" s="1114" t="n">
        <v>0</v>
      </c>
      <c r="DN291" s="1114" t="n">
        <v>0</v>
      </c>
      <c r="DO291" s="1114" t="n">
        <v>0</v>
      </c>
      <c r="DP291" s="1114" t="n">
        <v>0</v>
      </c>
      <c r="DQ291" s="1114" t="n">
        <v>0</v>
      </c>
      <c r="DR291" s="1109" t="n">
        <v>0</v>
      </c>
      <c r="DS291" s="852" t="n">
        <v>0</v>
      </c>
      <c r="DT291" s="852" t="n">
        <v>0</v>
      </c>
      <c r="DU291" s="852" t="n">
        <v>0</v>
      </c>
      <c r="DV291" s="852" t="n">
        <v>0</v>
      </c>
      <c r="DW291" s="852" t="n">
        <v>0</v>
      </c>
      <c r="DX291" s="852" t="n">
        <v>0</v>
      </c>
      <c r="DY291" s="852" t="n">
        <v>0</v>
      </c>
      <c r="DZ291" s="852" t="n">
        <v>0</v>
      </c>
      <c r="EA291" s="852" t="n">
        <v>0</v>
      </c>
      <c r="EB291" s="1113" t="n">
        <v>0</v>
      </c>
      <c r="EC291" s="1115" t="n">
        <f aca="false">DS291*BD291</f>
        <v>0</v>
      </c>
      <c r="ED291" s="1115" t="n">
        <f aca="false">DT291*BE291</f>
        <v>0</v>
      </c>
      <c r="EE291" s="1115" t="n">
        <f aca="false">DU291*BF291</f>
        <v>0</v>
      </c>
      <c r="EF291" s="1115" t="n">
        <f aca="false">DV291*BG291</f>
        <v>0</v>
      </c>
      <c r="EG291" s="1115" t="n">
        <f aca="false">DS291*BD291+DT291*BE291+DU291*BF291+DV291*BG291</f>
        <v>0</v>
      </c>
      <c r="EH291" s="1116" t="n">
        <v>0</v>
      </c>
      <c r="EI291" s="1117" t="n">
        <v>0</v>
      </c>
      <c r="EJ291" s="1117" t="n">
        <v>0</v>
      </c>
      <c r="EK291" s="1117" t="n">
        <v>0</v>
      </c>
      <c r="EL291" s="1118" t="n">
        <f aca="false">IF(C291&gt;=Summary!$E$26,MAX(0,SUM(EH291:EK291)),0)</f>
        <v>0</v>
      </c>
      <c r="EM291" s="1115" t="n">
        <f aca="false">IF(C291&gt;=Summary!$E$26,DX291*BL291,0)</f>
        <v>0</v>
      </c>
      <c r="EN291" s="1115" t="n">
        <f aca="false">IF(C291&gt;=Summary!$E$26,DY291*BM291,0)</f>
        <v>0</v>
      </c>
      <c r="EO291" s="1115" t="n">
        <f aca="false">IF(C291&gt;=Summary!$E$26,DZ291*BN291,0)</f>
        <v>0</v>
      </c>
      <c r="EP291" s="1115" t="n">
        <f aca="false">IF(C291&gt;=Summary!$E$26,EA291*BO291,0)</f>
        <v>0</v>
      </c>
      <c r="EQ291" s="1115" t="n">
        <f aca="false">IF(C291&gt;=Summary!$E$26,DX291*BL291+DY291*BM291+DZ291*BN291+EA291*BO291,0)</f>
        <v>0</v>
      </c>
      <c r="ER291" s="1119" t="n">
        <v>0</v>
      </c>
      <c r="ES291" s="1120" t="n">
        <v>0</v>
      </c>
      <c r="ET291" s="1120" t="n">
        <v>0</v>
      </c>
      <c r="EU291" s="1120" t="n">
        <v>0</v>
      </c>
      <c r="EV291" s="1143" t="n">
        <f aca="false">IF(C291&gt;=Summary!$E$26,MAX(0,SUM(ER291:EU291)),0)</f>
        <v>0</v>
      </c>
      <c r="EW291" s="1115"/>
      <c r="EX291" s="1165" t="n">
        <f aca="false">(EQ291-EV291)+IF(EZ291="Yes",(EG291-EL291),0)</f>
        <v>0</v>
      </c>
      <c r="EY291" s="1166" t="str">
        <f aca="false">IF(EX291,EX291/EQ291,"")</f>
        <v/>
      </c>
      <c r="EZ291" s="1122" t="s">
        <v>37</v>
      </c>
      <c r="FA291" s="1096" t="n">
        <f aca="false">FA290</f>
        <v>45</v>
      </c>
      <c r="FB291" s="1167" t="e">
        <f aca="false">IF(EZ291="No",IF((OR(MONTH(C291)=5,MONTH(C291)=6,MONTH(C291)=7,MONTH(C291)=8,MONTH(C291)=9)),$FA291*12*AX291*(1-$BC291),$FA291*10*AX291*(1-$BC291)),0)</f>
        <v>#VALUE!</v>
      </c>
      <c r="FC291" s="1129" t="e">
        <f aca="false">IF(EZ291="No",IF((OR(MONTH(C291)=5,MONTH(C291)=6,MONTH(C291)=7,MONTH(C291)=8,MONTH(C291)=9)),0,$FA291*3*AX291*(1-$BC291)),0)</f>
        <v>#VALUE!</v>
      </c>
      <c r="FD291" s="1129" t="e">
        <f aca="false">IF(EZ291="No",IF((OR(MONTH(C291)=5,MONTH(C291)=6,MONTH(C291)=7,MONTH(C291)=8,MONTH(C291)=9)),$FA291*12*AY291*(1-$BC291),$FA291*10*AY291*(1-$BC291)),0)</f>
        <v>#VALUE!</v>
      </c>
      <c r="FE291" s="1129" t="e">
        <f aca="false">IF(EZ291="No",IF((OR(MONTH(C291)=5,MONTH(C291)=6,MONTH(C291)=7,MONTH(C291)=8,MONTH(C291)=9)),0,$FA291*3*AY291*(1-$BC291)),0)</f>
        <v>#VALUE!</v>
      </c>
      <c r="FF291" s="1129" t="e">
        <f aca="false">IF(EZ291="No",IF((OR(MONTH(C291)=5,MONTH(C291)=6,MONTH(C291)=7,MONTH(C291)=8,MONTH(C291)=9)),$FA291*12*(AZ291+BA291)*(1-$BC291),$FA291*10*(AZ291+BA291)*(1-$BC291)),0)</f>
        <v>#VALUE!</v>
      </c>
      <c r="FG291" s="1129" t="e">
        <f aca="false">IF(EZ291="No",IF((OR(MONTH(C291)=5,MONTH(C291)=6,MONTH(C291)=7,MONTH(C291)=8,MONTH(C291)=9)),0,$FA291*3*(AZ291+BA291)*(1-$BC291)),0)</f>
        <v>#VALUE!</v>
      </c>
      <c r="FH291" s="1170" t="e">
        <f aca="false">IF(EZ291="No",IF((OR(MONTH(C291)=5,MONTH(C291)=6,MONTH(C291)=7,MONTH(C291)=8,MONTH(C291)=9)),Summary!$O$15*12*(AX291+AY291+AZ291+BA291)*(1-$BC291),Summary!$O$15*13*(AX291+AY291+AZ291+BA291)*(1-$BC291)+IF(Summary!$O$16="Yes",(CALC!FA291+Summary!$O$15)*6*(AX291+AY291+AZ291+BA291)*(1-$BC291),0)),0)</f>
        <v>#VALUE!</v>
      </c>
      <c r="FI291" s="1126" t="n">
        <f aca="false">IF(MONTH(C291)=5,FI290*(IF(Summary!$E$70="no",(1+(Summary!$E$71*0.8)),1+HLOOKUP(YEAR(C291)-1,CCFMODEL!$I$127:$AF$128,2)*0.8)),+FI290)</f>
        <v>45.9010556937194</v>
      </c>
      <c r="FJ291" s="1127" t="n">
        <f aca="false">IF(MONTH(C291)=5,FJ290*(IF(Summary!$E$70="no",(1+(Summary!$E$71*0.8)),1+HLOOKUP(YEAR(CALC!C291)-1,CCFMODEL!$I$127:$AF$128,2)*0.8)),FJ290)</f>
        <v>40.1182455275815</v>
      </c>
      <c r="FK291" s="1128" t="e">
        <f aca="false">SUM(FB291:FG291)*FI291+FH291*FJ291</f>
        <v>#VALUE!</v>
      </c>
      <c r="FL291" s="1126" t="n">
        <f aca="false">IF(MONTH(C291)=5,FL290*(IF(Summary!$E$70="no",(1+(Summary!$E$71*0.8)),1+HLOOKUP(YEAR(CALC!C291)-1,CCFMODEL!$I$127:$AF$128,2)*0.8)),+FL290)</f>
        <v>96.5350661365099</v>
      </c>
      <c r="FM291" s="1127" t="n">
        <f aca="false">IF(MONTH(C291)=5,FM290*(IF(Summary!$E$70="no",(1+(Summary!$E$71*0.8)),1+HLOOKUP(YEAR(CALC!C291)-1,CCFMODEL!$I$127:$AF$128,2)*0.8)),+FM290)</f>
        <v>46.0731631391402</v>
      </c>
      <c r="FN291" s="1128" t="e">
        <f aca="false">IF((OR(MONTH(C291)=5,MONTH(C291)=6,MONTH(C291)=7,MONTH(C291)=8,MONTH(C291)=9)),SUM(FB291:FG291)/(1-BC291)*FL291,SUM(FB291:FG291)/(1-BC291)*FM291)</f>
        <v>#VALUE!</v>
      </c>
      <c r="FO291" s="1129" t="e">
        <f aca="false">FK291+FN291</f>
        <v>#VALUE!</v>
      </c>
      <c r="FP291" s="1169" t="e">
        <f aca="false">FB291</f>
        <v>#VALUE!</v>
      </c>
      <c r="FQ291" s="1129" t="e">
        <f aca="false">FC291</f>
        <v>#VALUE!</v>
      </c>
      <c r="FR291" s="1129" t="e">
        <f aca="false">FD291</f>
        <v>#VALUE!</v>
      </c>
      <c r="FS291" s="1129" t="e">
        <f aca="false">FE291</f>
        <v>#VALUE!</v>
      </c>
      <c r="FT291" s="1129" t="e">
        <f aca="false">FF291</f>
        <v>#VALUE!</v>
      </c>
      <c r="FU291" s="1129" t="e">
        <f aca="false">FG291</f>
        <v>#VALUE!</v>
      </c>
      <c r="FV291" s="1170" t="e">
        <f aca="false">FH291</f>
        <v>#VALUE!</v>
      </c>
      <c r="FW291" s="1115" t="n">
        <f aca="false">IF(ER291&gt;0,MIN(FB291-FP291,BL291),0)</f>
        <v>0</v>
      </c>
      <c r="FX291" s="1115" t="n">
        <f aca="false">IF(ES291&gt;0,MIN(FD291-FR291,BM291),0)</f>
        <v>0</v>
      </c>
      <c r="FY291" s="1115" t="n">
        <f aca="false">IF(ET291&gt;0,MIN(FF291-FT291,BN291),0)</f>
        <v>0</v>
      </c>
      <c r="FZ291" s="1143" t="n">
        <f aca="false">IF(EU291&gt;0,MIN(FH291-FV291,BO291),0)</f>
        <v>0</v>
      </c>
      <c r="GA291" s="1132" t="e">
        <f aca="false">(SUM(FP291:FV291)+SUM(GU291:HB291)/(1-Summary!$O$25))*CY291/1000</f>
        <v>#VALUE!</v>
      </c>
      <c r="GB291" s="1133" t="n">
        <f aca="false">IF($C291&lt;Summary!$M$81,+Summary!$O$81,VLOOKUP(C291,GasTable,19))</f>
        <v>4.638</v>
      </c>
      <c r="GC291" s="1134" t="n">
        <f aca="false">IF(H291&lt;=Summary!$N$84,MIN(GA291,Summary!$O$75*(H291-G291+1)),0)</f>
        <v>0</v>
      </c>
      <c r="GD291" s="1135" t="n">
        <f aca="false">IF(C291&lt;Summary!$N$84,IF(Summary!$O$75*(H291-G291+1)*0.8&gt;GC291,1,0),0)</f>
        <v>0</v>
      </c>
      <c r="GE291" s="1136" t="n">
        <v>0</v>
      </c>
      <c r="GF291" s="1134" t="e">
        <f aca="false">ABS(MIN(0,GC291-$GA291))</f>
        <v>#VALUE!</v>
      </c>
      <c r="GG291" s="1135" t="e">
        <f aca="false">GF291*(IF(Summary!$O$74=1,VLOOKUP($C291,GasTable,16)+Summary!$O$92+Summary!$O$93,VLOOKUP($C291,GasTable,19)+Summary!$O$92+Summary!$O$93))</f>
        <v>#VALUE!</v>
      </c>
      <c r="GH291" s="1137" t="n">
        <v>6957</v>
      </c>
      <c r="GI291" s="1138" t="n">
        <v>0</v>
      </c>
      <c r="GJ291" s="1139" t="e">
        <f aca="false">+GB291*GC291+GE291+GG291+GH291-GI291</f>
        <v>#VALUE!</v>
      </c>
      <c r="GK291" s="1115" t="e">
        <f aca="false">SUM(FP291:FV291,GU291:GX291,GY291:HB291)</f>
        <v>#VALUE!</v>
      </c>
      <c r="GL291" s="1140" t="n">
        <v>0.52478216856</v>
      </c>
      <c r="GM291" s="1141" t="e">
        <f aca="false">IF(GK291&gt;GC291/(CY291/1000),GC291/(CY291/1000),+GK291)*GL291</f>
        <v>#VALUE!</v>
      </c>
      <c r="GN291" s="1115" t="n">
        <f aca="false">IF(SUM(GU291:HB291)=0,0,IF(Summary!$O$16="Yes",SUM(GX291:HB291),IF(Summary!$O$17="Yes",SUM(GY291:HB291),SUM(GU291:HB291))))</f>
        <v>0</v>
      </c>
      <c r="GO291" s="1142" t="n">
        <v>4.55941701293117</v>
      </c>
      <c r="GP291" s="1143" t="n">
        <f aca="false">GN291*GO291</f>
        <v>0</v>
      </c>
      <c r="GQ291" s="1115"/>
      <c r="GR291" s="1115"/>
      <c r="GS291" s="1115"/>
      <c r="GT291" s="1115"/>
      <c r="GU291" s="1150" t="n">
        <v>0</v>
      </c>
      <c r="GV291" s="1115" t="n">
        <v>0</v>
      </c>
      <c r="GW291" s="1115" t="n">
        <v>0</v>
      </c>
      <c r="GX291" s="1115"/>
      <c r="GY291" s="1151" t="n">
        <v>0</v>
      </c>
      <c r="GZ291" s="1115" t="n">
        <v>0</v>
      </c>
      <c r="HA291" s="1115" t="n">
        <v>0</v>
      </c>
      <c r="HB291" s="1141"/>
      <c r="HC291" s="1115" t="n">
        <v>0</v>
      </c>
      <c r="HD291" s="1115"/>
      <c r="HE291" s="1115" t="n">
        <v>0</v>
      </c>
      <c r="HF291" s="1115" t="n">
        <v>0</v>
      </c>
      <c r="HG291" s="1115"/>
      <c r="HH291" s="1142" t="n">
        <v>0</v>
      </c>
      <c r="HI291" s="1115" t="n">
        <v>0</v>
      </c>
      <c r="HJ291" s="1150" t="e">
        <f aca="false">MAX(FB291-FP291-FW291,0)</f>
        <v>#VALUE!</v>
      </c>
      <c r="HK291" s="1115" t="e">
        <f aca="false">MAX(FD291-FR291-FX291,0)</f>
        <v>#VALUE!</v>
      </c>
      <c r="HL291" s="1115" t="e">
        <f aca="false">MAX(FF291-FT291-FY291,0)</f>
        <v>#VALUE!</v>
      </c>
      <c r="HM291" s="1141" t="e">
        <f aca="false">MAX(FH291-FV291-FZ291,0)</f>
        <v>#VALUE!</v>
      </c>
      <c r="HN291" s="1115" t="e">
        <f aca="false">SUM(HJ291:HM291)</f>
        <v>#VALUE!</v>
      </c>
      <c r="HO291" s="1142" t="n">
        <f aca="false">IF(ISERROR(+HP291/HN291),0,+HP291/HN291)</f>
        <v>0</v>
      </c>
      <c r="HP291" s="1143" t="e">
        <f aca="false">(HJ291*CE291+HK291*CF291+HL291*CG291+HM291*CH291)</f>
        <v>#VALUE!</v>
      </c>
      <c r="HQ291" s="1142"/>
      <c r="HR291" s="1142"/>
      <c r="HS291" s="1142"/>
      <c r="HT291" s="1142"/>
      <c r="HU291" s="1142"/>
      <c r="HV291" s="1142"/>
      <c r="HW291" s="1142"/>
      <c r="HX291" s="1142"/>
      <c r="HY291" s="1142"/>
      <c r="HZ291" s="1142"/>
      <c r="IA291" s="1142"/>
      <c r="IB291" s="1142"/>
      <c r="IC291" s="1142"/>
      <c r="ID291" s="1142"/>
      <c r="IE291" s="1142"/>
      <c r="IF291" s="1142"/>
      <c r="IG291" s="1142"/>
      <c r="IH291" s="1142"/>
      <c r="II291" s="1142"/>
      <c r="IJ291" s="1142"/>
      <c r="IK291" s="1142"/>
      <c r="IL291" s="1190"/>
      <c r="IM291" s="222"/>
      <c r="IN291" s="222"/>
      <c r="IR291" s="844"/>
    </row>
    <row r="292" customFormat="false" ht="13.5" hidden="false" customHeight="false" outlineLevel="0" collapsed="false">
      <c r="A292" s="0" t="str">
        <f aca="false">+D292&amp;"Q"&amp;ROUNDUP(E292/3,0)</f>
        <v>2022Q4</v>
      </c>
      <c r="B292" s="0" t="n">
        <f aca="false">YEAR(C292)</f>
        <v>2022</v>
      </c>
      <c r="C292" s="1193" t="n">
        <f aca="false">EOMONTH(C291,0)+1</f>
        <v>44896</v>
      </c>
      <c r="D292" s="846" t="n">
        <f aca="false">+YEAR(C292)</f>
        <v>2022</v>
      </c>
      <c r="E292" s="847" t="n">
        <f aca="false">MONTH(C292)</f>
        <v>12</v>
      </c>
      <c r="F292" s="1201" t="e">
        <f aca="false">IF(G292="","",Holiday(D292,E292))</f>
        <v>#VALUE!</v>
      </c>
      <c r="G292" s="1194" t="n">
        <v>44896</v>
      </c>
      <c r="H292" s="1195" t="n">
        <v>44926</v>
      </c>
      <c r="I292" s="1202" t="n">
        <f aca="false">I291</f>
        <v>0.0715</v>
      </c>
      <c r="J292" s="1203" t="n">
        <f aca="false">(1+I292/2)^(-2*(DATE(D293,E293,20)-$H$7)/365.25)</f>
        <v>0.197353417869816</v>
      </c>
      <c r="K292" s="1204"/>
      <c r="L292" s="1203"/>
      <c r="M292" s="1082" t="n">
        <v>0</v>
      </c>
      <c r="N292" s="1110" t="n">
        <f aca="false">M292</f>
        <v>0</v>
      </c>
      <c r="O292" s="1174" t="n">
        <f aca="false">N292</f>
        <v>0</v>
      </c>
      <c r="P292" s="1175" t="n">
        <f aca="false">M292</f>
        <v>0</v>
      </c>
      <c r="Q292" s="1110" t="n">
        <f aca="false">P292</f>
        <v>0</v>
      </c>
      <c r="R292" s="1174" t="n">
        <f aca="false">Q292</f>
        <v>0</v>
      </c>
      <c r="S292" s="1110" t="n">
        <f aca="false">R292</f>
        <v>0</v>
      </c>
      <c r="T292" s="1110" t="n">
        <f aca="false">S292</f>
        <v>0</v>
      </c>
      <c r="U292" s="1110" t="n">
        <f aca="false">T292</f>
        <v>0</v>
      </c>
      <c r="V292" s="1175" t="n">
        <f aca="false">U292</f>
        <v>0</v>
      </c>
      <c r="W292" s="1110" t="n">
        <f aca="false">V292</f>
        <v>0</v>
      </c>
      <c r="X292" s="1176" t="n">
        <f aca="false">W292</f>
        <v>0</v>
      </c>
      <c r="Y292" s="1086" t="n">
        <v>0</v>
      </c>
      <c r="Z292" s="1086" t="n">
        <v>0</v>
      </c>
      <c r="AA292" s="1087" t="n">
        <v>0</v>
      </c>
      <c r="AB292" s="1086" t="n">
        <v>0</v>
      </c>
      <c r="AC292" s="1086" t="n">
        <v>0</v>
      </c>
      <c r="AD292" s="1087" t="n">
        <v>0</v>
      </c>
      <c r="AE292" s="1086" t="n">
        <v>0</v>
      </c>
      <c r="AF292" s="1086" t="n">
        <v>0</v>
      </c>
      <c r="AG292" s="1087" t="n">
        <v>0</v>
      </c>
      <c r="AH292" s="1086" t="n">
        <v>0</v>
      </c>
      <c r="AI292" s="1086" t="n">
        <v>0</v>
      </c>
      <c r="AJ292" s="1087" t="n">
        <v>0</v>
      </c>
      <c r="AK292" s="1086" t="n">
        <v>0</v>
      </c>
      <c r="AL292" s="1086" t="n">
        <v>0</v>
      </c>
      <c r="AM292" s="1087" t="n">
        <v>0</v>
      </c>
      <c r="AN292" s="1086" t="n">
        <v>0</v>
      </c>
      <c r="AO292" s="1086" t="n">
        <v>0</v>
      </c>
      <c r="AP292" s="1087" t="n">
        <v>0</v>
      </c>
      <c r="AQ292" s="1086" t="n">
        <v>0</v>
      </c>
      <c r="AR292" s="1086" t="n">
        <v>0</v>
      </c>
      <c r="AS292" s="1087" t="n">
        <v>0</v>
      </c>
      <c r="AT292" s="1086" t="n">
        <v>0</v>
      </c>
      <c r="AU292" s="1086" t="n">
        <v>0</v>
      </c>
      <c r="AV292" s="1086" t="n">
        <v>0</v>
      </c>
      <c r="AW292" s="1205" t="n">
        <v>0</v>
      </c>
      <c r="AX292" s="847" t="e">
        <f aca="false">BB292-SUM(AY292:BA292)</f>
        <v>#VALUE!</v>
      </c>
      <c r="AY292" s="847" t="e">
        <f aca="false">IF(AND($E292=MONTH(Summary!$E$24),$D292=YEAR(Summary!$E$24)),Summary!$E$25,1)*IF(G292="",0,INT((H292-MOD(H292,7)-G292)/7)+1-IF(BA292,IF(WEEKDAY(F292)=7,1,0),0))</f>
        <v>#VALUE!</v>
      </c>
      <c r="AZ292" s="847" t="e">
        <f aca="false">IF(AND($E292=MONTH(Summary!$E$24),$D292=YEAR(Summary!$E$24)),Summary!$E$25,1)*IF(G292="",0,INT((H292-MOD(H292-1,7)-G292)/7)+1-IF(BA292,IF(WEEKDAY(F292)=1,1,0),0))</f>
        <v>#VALUE!</v>
      </c>
      <c r="BA292" s="847" t="n">
        <v>1</v>
      </c>
      <c r="BB292" s="847" t="n">
        <f aca="false">IF(AND($E292=MONTH(Summary!$E$24),$D292=YEAR(Summary!$E$24)),Summary!$E$25,1)*IF(G292="",0,H292-G292+1)</f>
        <v>31</v>
      </c>
      <c r="BC292" s="1089" t="n">
        <f aca="false">Summary!$E$19</f>
        <v>0.015</v>
      </c>
      <c r="BD292" s="1206" t="n">
        <v>14893.2</v>
      </c>
      <c r="BE292" s="1207" t="n">
        <v>3546</v>
      </c>
      <c r="BF292" s="1207" t="n">
        <v>3546</v>
      </c>
      <c r="BG292" s="1208"/>
      <c r="BH292" s="1092" t="n">
        <v>1</v>
      </c>
      <c r="BI292" s="1092" t="n">
        <v>1</v>
      </c>
      <c r="BJ292" s="1092" t="n">
        <v>1</v>
      </c>
      <c r="BK292" s="1092" t="n">
        <v>1</v>
      </c>
      <c r="BL292" s="1209" t="n">
        <v>2978.64</v>
      </c>
      <c r="BM292" s="1207" t="n">
        <v>709.2</v>
      </c>
      <c r="BN292" s="1207" t="n">
        <v>709.2</v>
      </c>
      <c r="BO292" s="1208"/>
      <c r="BP292" s="1092" t="n">
        <v>1</v>
      </c>
      <c r="BQ292" s="1094" t="n">
        <v>1</v>
      </c>
      <c r="BR292" s="1094" t="n">
        <v>1</v>
      </c>
      <c r="BS292" s="1095" t="n">
        <v>1</v>
      </c>
      <c r="BT292" s="1209" t="n">
        <f aca="false">SUM(BD292:BF292)</f>
        <v>21985.2</v>
      </c>
      <c r="BU292" s="1210" t="n">
        <f aca="false">SUM(BD292:BG292)</f>
        <v>21985.2</v>
      </c>
      <c r="BV292" s="1206" t="n">
        <f aca="false">SUM(BL292:BN292)</f>
        <v>4397.04</v>
      </c>
      <c r="BW292" s="1210" t="n">
        <f aca="false">SUM(BL292:BO292)</f>
        <v>4397.04</v>
      </c>
      <c r="BX292" s="1211" t="n">
        <v>22.9623545516769</v>
      </c>
      <c r="BY292" s="1099" t="n">
        <v>0</v>
      </c>
      <c r="BZ292" s="852" t="n">
        <v>0</v>
      </c>
      <c r="CA292" s="852" t="n">
        <v>0</v>
      </c>
      <c r="CB292" s="852" t="n">
        <v>0</v>
      </c>
      <c r="CC292" s="852" t="n">
        <v>0</v>
      </c>
      <c r="CD292" s="852" t="n">
        <v>0</v>
      </c>
      <c r="CE292" s="1100" t="n">
        <v>0</v>
      </c>
      <c r="CF292" s="852" t="n">
        <v>0</v>
      </c>
      <c r="CG292" s="852" t="n">
        <v>0</v>
      </c>
      <c r="CH292" s="852" t="n">
        <v>0</v>
      </c>
      <c r="CI292" s="852" t="n">
        <v>0</v>
      </c>
      <c r="CJ292" s="1101" t="n">
        <v>0</v>
      </c>
      <c r="CK292" s="852" t="n">
        <v>0</v>
      </c>
      <c r="CL292" s="852" t="n">
        <v>0</v>
      </c>
      <c r="CM292" s="852" t="n">
        <v>0</v>
      </c>
      <c r="CN292" s="852" t="n">
        <v>0</v>
      </c>
      <c r="CO292" s="852" t="n">
        <v>0</v>
      </c>
      <c r="CP292" s="852" t="n">
        <v>0</v>
      </c>
      <c r="CQ292" s="1102" t="n">
        <v>0</v>
      </c>
      <c r="CR292" s="1103" t="n">
        <v>0</v>
      </c>
      <c r="CS292" s="1103" t="n">
        <v>0</v>
      </c>
      <c r="CT292" s="1103" t="n">
        <v>0</v>
      </c>
      <c r="CU292" s="1103" t="n">
        <v>0</v>
      </c>
      <c r="CV292" s="1103" t="n">
        <v>0</v>
      </c>
      <c r="CW292" s="1103" t="n">
        <v>0</v>
      </c>
      <c r="CX292" s="1104" t="n">
        <v>0</v>
      </c>
      <c r="CY292" s="1212" t="n">
        <v>7834.60064</v>
      </c>
      <c r="CZ292" s="1099" t="n">
        <v>0</v>
      </c>
      <c r="DA292" s="852" t="n">
        <v>0</v>
      </c>
      <c r="DB292" s="852" t="n">
        <v>0</v>
      </c>
      <c r="DC292" s="852" t="n">
        <v>0</v>
      </c>
      <c r="DD292" s="852" t="n">
        <v>0</v>
      </c>
      <c r="DE292" s="1113" t="n">
        <v>0</v>
      </c>
      <c r="DF292" s="1109" t="n">
        <v>0</v>
      </c>
      <c r="DG292" s="1110" t="n">
        <v>0</v>
      </c>
      <c r="DH292" s="1111" t="n">
        <v>0</v>
      </c>
      <c r="DI292" s="1112" t="n">
        <v>0</v>
      </c>
      <c r="DJ292" s="1112" t="n">
        <v>0</v>
      </c>
      <c r="DK292" s="1112" t="n">
        <v>0</v>
      </c>
      <c r="DL292" s="1113" t="n">
        <v>0</v>
      </c>
      <c r="DM292" s="1114" t="n">
        <v>0</v>
      </c>
      <c r="DN292" s="1114" t="n">
        <v>0</v>
      </c>
      <c r="DO292" s="1114" t="n">
        <v>0</v>
      </c>
      <c r="DP292" s="1114" t="n">
        <v>0</v>
      </c>
      <c r="DQ292" s="1114" t="n">
        <v>0</v>
      </c>
      <c r="DR292" s="1109" t="n">
        <v>0</v>
      </c>
      <c r="DS292" s="852" t="n">
        <v>0</v>
      </c>
      <c r="DT292" s="852" t="n">
        <v>0</v>
      </c>
      <c r="DU292" s="852" t="n">
        <v>0</v>
      </c>
      <c r="DV292" s="852" t="n">
        <v>0</v>
      </c>
      <c r="DW292" s="852" t="n">
        <v>0</v>
      </c>
      <c r="DX292" s="852" t="n">
        <v>0</v>
      </c>
      <c r="DY292" s="852" t="n">
        <v>0</v>
      </c>
      <c r="DZ292" s="852" t="n">
        <v>0</v>
      </c>
      <c r="EA292" s="852" t="n">
        <v>0</v>
      </c>
      <c r="EB292" s="1113" t="n">
        <v>0</v>
      </c>
      <c r="EC292" s="1186" t="n">
        <f aca="false">DS292*BD292</f>
        <v>0</v>
      </c>
      <c r="ED292" s="1186" t="n">
        <f aca="false">DT292*BE292</f>
        <v>0</v>
      </c>
      <c r="EE292" s="1186" t="n">
        <f aca="false">DU292*BF292</f>
        <v>0</v>
      </c>
      <c r="EF292" s="1186" t="n">
        <f aca="false">DV292*BG292</f>
        <v>0</v>
      </c>
      <c r="EG292" s="1186" t="n">
        <f aca="false">DS292*BD292+DT292*BE292+DU292*BF292+DV292*BG292</f>
        <v>0</v>
      </c>
      <c r="EH292" s="1116" t="n">
        <v>0</v>
      </c>
      <c r="EI292" s="1117" t="n">
        <v>0</v>
      </c>
      <c r="EJ292" s="1117" t="n">
        <v>0</v>
      </c>
      <c r="EK292" s="1117" t="n">
        <v>0</v>
      </c>
      <c r="EL292" s="1213" t="n">
        <f aca="false">IF(C292&gt;=Summary!$E$26,MAX(0,SUM(EH292:EK292)),0)</f>
        <v>0</v>
      </c>
      <c r="EM292" s="1186" t="n">
        <f aca="false">IF(C292&gt;=Summary!$E$26,DX292*BL292,0)</f>
        <v>0</v>
      </c>
      <c r="EN292" s="1186" t="n">
        <f aca="false">IF(C292&gt;=Summary!$E$26,DY292*BM292,0)</f>
        <v>0</v>
      </c>
      <c r="EO292" s="1186" t="n">
        <f aca="false">IF(C292&gt;=Summary!$E$26,DZ292*BN292,0)</f>
        <v>0</v>
      </c>
      <c r="EP292" s="1186" t="n">
        <f aca="false">IF(C292&gt;=Summary!$E$26,EA292*BO292,0)</f>
        <v>0</v>
      </c>
      <c r="EQ292" s="1186" t="n">
        <f aca="false">IF(C292&gt;=Summary!$E$26,DX292*BL292+DY292*BM292+DZ292*BN292+EA292*BO292,0)</f>
        <v>0</v>
      </c>
      <c r="ER292" s="1119" t="n">
        <v>0</v>
      </c>
      <c r="ES292" s="1120" t="n">
        <v>0</v>
      </c>
      <c r="ET292" s="1120" t="n">
        <v>0</v>
      </c>
      <c r="EU292" s="1120" t="n">
        <v>0</v>
      </c>
      <c r="EV292" s="1214" t="n">
        <f aca="false">IF(C292&gt;=Summary!$E$26,MAX(0,SUM(ER292:EU292)),0)</f>
        <v>0</v>
      </c>
      <c r="EW292" s="1186"/>
      <c r="EX292" s="1215" t="n">
        <f aca="false">(EQ292-EV292)+IF(EZ292="Yes",(EG292-EL292),0)</f>
        <v>0</v>
      </c>
      <c r="EY292" s="1216" t="str">
        <f aca="false">IF(EX292,EX292/EQ292,"")</f>
        <v/>
      </c>
      <c r="EZ292" s="1122" t="s">
        <v>37</v>
      </c>
      <c r="FA292" s="1096" t="n">
        <f aca="false">FA291</f>
        <v>45</v>
      </c>
      <c r="FB292" s="1217" t="e">
        <f aca="false">IF(EZ292="No",IF((OR(MONTH(C292)=5,MONTH(C292)=6,MONTH(C292)=7,MONTH(C292)=8,MONTH(C292)=9)),$FA292*12*AX292*(1-$BC292),$FA292*10*AX292*(1-$BC292)),0)</f>
        <v>#VALUE!</v>
      </c>
      <c r="FC292" s="1218" t="e">
        <f aca="false">IF(EZ292="No",IF((OR(MONTH(C292)=5,MONTH(C292)=6,MONTH(C292)=7,MONTH(C292)=8,MONTH(C292)=9)),0,$FA292*3*AX292*(1-$BC292)),0)</f>
        <v>#VALUE!</v>
      </c>
      <c r="FD292" s="1218" t="e">
        <f aca="false">IF(EZ292="No",IF((OR(MONTH(C292)=5,MONTH(C292)=6,MONTH(C292)=7,MONTH(C292)=8,MONTH(C292)=9)),$FA292*12*AY292*(1-$BC292),$FA292*10*AY292*(1-$BC292)),0)</f>
        <v>#VALUE!</v>
      </c>
      <c r="FE292" s="1218" t="e">
        <f aca="false">IF(EZ292="No",IF((OR(MONTH(C292)=5,MONTH(C292)=6,MONTH(C292)=7,MONTH(C292)=8,MONTH(C292)=9)),0,$FA292*3*AY292*(1-$BC292)),0)</f>
        <v>#VALUE!</v>
      </c>
      <c r="FF292" s="1218" t="e">
        <f aca="false">IF(EZ292="No",IF((OR(MONTH(C292)=5,MONTH(C292)=6,MONTH(C292)=7,MONTH(C292)=8,MONTH(C292)=9)),$FA292*12*(AZ292+BA292)*(1-$BC292),$FA292*10*(AZ292+BA292)*(1-$BC292)),0)</f>
        <v>#VALUE!</v>
      </c>
      <c r="FG292" s="1218" t="e">
        <f aca="false">IF(EZ292="No",IF((OR(MONTH(C292)=5,MONTH(C292)=6,MONTH(C292)=7,MONTH(C292)=8,MONTH(C292)=9)),0,$FA292*3*(AZ292+BA292)*(1-$BC292)),0)</f>
        <v>#VALUE!</v>
      </c>
      <c r="FH292" s="1219" t="e">
        <f aca="false">IF(EZ292="No",IF((OR(MONTH(C292)=5,MONTH(C292)=6,MONTH(C292)=7,MONTH(C292)=8,MONTH(C292)=9)),Summary!$O$15*12*(AX292+AY292+AZ292+BA292)*(1-$BC292),Summary!$O$15*13*(AX292+AY292+AZ292+BA292)*(1-$BC292)+IF(Summary!$O$16="Yes",(CALC!FA292+Summary!$O$15)*6*(AX292+AY292+AZ292+BA292)*(1-$BC292),0)),0)</f>
        <v>#VALUE!</v>
      </c>
      <c r="FI292" s="1220" t="n">
        <f aca="false">IF(MONTH(C292)=5,FI291*(IF(Summary!$E$70="no",(1+(Summary!$E$71*0.8)),1+HLOOKUP(YEAR(C292)-1,CCFMODEL!$I$127:$AF$128,2)*0.8)),+FI291)</f>
        <v>45.9010556937194</v>
      </c>
      <c r="FJ292" s="1221" t="n">
        <f aca="false">IF(MONTH(C292)=5,FJ291*(IF(Summary!$E$70="no",(1+(Summary!$E$71*0.8)),1+HLOOKUP(YEAR(CALC!C292)-1,CCFMODEL!$I$127:$AF$128,2)*0.8)),FJ291)</f>
        <v>40.1182455275815</v>
      </c>
      <c r="FK292" s="1222" t="e">
        <f aca="false">SUM(FB292:FG292)*FI292+FH292*FJ292</f>
        <v>#VALUE!</v>
      </c>
      <c r="FL292" s="1220" t="n">
        <f aca="false">IF(MONTH(C292)=5,FL291*(IF(Summary!$E$70="no",(1+(Summary!$E$71*0.8)),1+HLOOKUP(YEAR(CALC!C292)-1,CCFMODEL!$I$127:$AF$128,2)*0.8)),+FL291)</f>
        <v>96.5350661365099</v>
      </c>
      <c r="FM292" s="1221" t="n">
        <f aca="false">IF(MONTH(C292)=5,FM291*(IF(Summary!$E$70="no",(1+(Summary!$E$71*0.8)),1+HLOOKUP(YEAR(CALC!C292)-1,CCFMODEL!$I$127:$AF$128,2)*0.8)),+FM291)</f>
        <v>46.0731631391402</v>
      </c>
      <c r="FN292" s="1222" t="e">
        <f aca="false">IF((OR(MONTH(C292)=5,MONTH(C292)=6,MONTH(C292)=7,MONTH(C292)=8,MONTH(C292)=9)),SUM(FB292:FG292)/(1-BC292)*FL292,SUM(FB292:FG292)/(1-BC292)*FM292)</f>
        <v>#VALUE!</v>
      </c>
      <c r="FO292" s="1218" t="e">
        <f aca="false">FK292+FN292</f>
        <v>#VALUE!</v>
      </c>
      <c r="FP292" s="1223" t="e">
        <f aca="false">FB292</f>
        <v>#VALUE!</v>
      </c>
      <c r="FQ292" s="1218" t="e">
        <f aca="false">FC292</f>
        <v>#VALUE!</v>
      </c>
      <c r="FR292" s="1218" t="e">
        <f aca="false">FD292</f>
        <v>#VALUE!</v>
      </c>
      <c r="FS292" s="1218" t="e">
        <f aca="false">FE292</f>
        <v>#VALUE!</v>
      </c>
      <c r="FT292" s="1218" t="e">
        <f aca="false">FF292</f>
        <v>#VALUE!</v>
      </c>
      <c r="FU292" s="1218" t="e">
        <f aca="false">FG292</f>
        <v>#VALUE!</v>
      </c>
      <c r="FV292" s="1219" t="e">
        <f aca="false">FH292</f>
        <v>#VALUE!</v>
      </c>
      <c r="FW292" s="1186" t="n">
        <f aca="false">IF(ER292&gt;0,MIN(FB292-FP292,BL292),0)</f>
        <v>0</v>
      </c>
      <c r="FX292" s="1186" t="n">
        <f aca="false">IF(ES292&gt;0,MIN(FD292-FR292,BM292),0)</f>
        <v>0</v>
      </c>
      <c r="FY292" s="1186" t="n">
        <f aca="false">IF(ET292&gt;0,MIN(FF292-FT292,BN292),0)</f>
        <v>0</v>
      </c>
      <c r="FZ292" s="1214" t="n">
        <f aca="false">IF(EU292&gt;0,MIN(FH292-FV292,BO292),0)</f>
        <v>0</v>
      </c>
      <c r="GA292" s="1224" t="e">
        <f aca="false">(SUM(FP292:FV292)+SUM(GU292:HB292)/(1-Summary!$O$25))*CY292/1000</f>
        <v>#VALUE!</v>
      </c>
      <c r="GB292" s="1225" t="n">
        <f aca="false">IF($C292&lt;Summary!$M$81,+Summary!$O$81,VLOOKUP(C292,GasTable,19))</f>
        <v>4.69</v>
      </c>
      <c r="GC292" s="1134" t="n">
        <f aca="false">IF(H292&lt;=Summary!$N$84,MIN(GA292,Summary!$O$75*(H292-G292+1)),0)</f>
        <v>0</v>
      </c>
      <c r="GD292" s="1135" t="n">
        <f aca="false">IF(C292&lt;Summary!$N$84,IF(Summary!$O$75*(H292-G292+1)*0.8&gt;GC292,1,0),0)</f>
        <v>0</v>
      </c>
      <c r="GE292" s="1136" t="n">
        <v>0</v>
      </c>
      <c r="GF292" s="1226" t="e">
        <f aca="false">ABS(MIN(0,GC292-$GA292))</f>
        <v>#VALUE!</v>
      </c>
      <c r="GG292" s="1135" t="e">
        <f aca="false">GF292*(IF(Summary!$O$74=1,VLOOKUP($C292,GasTable,16)+Summary!$O$92+Summary!$O$93,VLOOKUP($C292,GasTable,19)+Summary!$O$92+Summary!$O$93))</f>
        <v>#VALUE!</v>
      </c>
      <c r="GH292" s="1137" t="n">
        <v>7269.5</v>
      </c>
      <c r="GI292" s="1138" t="n">
        <v>0</v>
      </c>
      <c r="GJ292" s="1139" t="e">
        <f aca="false">+GB292*GC292+GE292+GG292+GH292-GI292</f>
        <v>#VALUE!</v>
      </c>
      <c r="GK292" s="1186" t="e">
        <f aca="false">SUM(FP292:FV292,GU292:GX292,GY292:HB292)</f>
        <v>#VALUE!</v>
      </c>
      <c r="GL292" s="1140" t="n">
        <v>0.52491824288</v>
      </c>
      <c r="GM292" s="1227" t="e">
        <f aca="false">IF(GK292&gt;GC292/(CY292/1000),GC292/(CY292/1000),+GK292)*GL292</f>
        <v>#VALUE!</v>
      </c>
      <c r="GN292" s="1186" t="n">
        <f aca="false">IF(SUM(GU292:HB292)=0,0,IF(Summary!$O$16="Yes",SUM(GX292:HB292),IF(Summary!$O$17="Yes",SUM(GY292:HB292),SUM(GU292:HB292))))</f>
        <v>0</v>
      </c>
      <c r="GO292" s="1142" t="n">
        <v>4.55941701293117</v>
      </c>
      <c r="GP292" s="1214" t="n">
        <f aca="false">GN292*GO292</f>
        <v>0</v>
      </c>
      <c r="GQ292" s="1186"/>
      <c r="GR292" s="1186"/>
      <c r="GS292" s="1186"/>
      <c r="GT292" s="1186"/>
      <c r="GU292" s="1228" t="n">
        <v>0</v>
      </c>
      <c r="GV292" s="1186" t="n">
        <v>0</v>
      </c>
      <c r="GW292" s="1186" t="n">
        <v>0</v>
      </c>
      <c r="GX292" s="1186"/>
      <c r="GY292" s="1229" t="n">
        <v>0</v>
      </c>
      <c r="GZ292" s="1186" t="n">
        <v>0</v>
      </c>
      <c r="HA292" s="1186" t="n">
        <v>0</v>
      </c>
      <c r="HB292" s="1227"/>
      <c r="HC292" s="1186" t="n">
        <v>0</v>
      </c>
      <c r="HD292" s="1186"/>
      <c r="HE292" s="1186" t="n">
        <v>0</v>
      </c>
      <c r="HF292" s="1186" t="n">
        <v>0</v>
      </c>
      <c r="HG292" s="1186"/>
      <c r="HH292" s="1187" t="n">
        <v>0</v>
      </c>
      <c r="HI292" s="1186" t="n">
        <v>0</v>
      </c>
      <c r="HJ292" s="1228" t="e">
        <f aca="false">MAX(FB292-FP292-FW292,0)</f>
        <v>#VALUE!</v>
      </c>
      <c r="HK292" s="1186" t="e">
        <f aca="false">MAX(FD292-FR292-FX292,0)</f>
        <v>#VALUE!</v>
      </c>
      <c r="HL292" s="1186" t="e">
        <f aca="false">MAX(FF292-FT292-FY292,0)</f>
        <v>#VALUE!</v>
      </c>
      <c r="HM292" s="1227" t="e">
        <f aca="false">MAX(FH292-FV292-FZ292,0)</f>
        <v>#VALUE!</v>
      </c>
      <c r="HN292" s="1186" t="e">
        <f aca="false">SUM(HJ292:HM292)</f>
        <v>#VALUE!</v>
      </c>
      <c r="HO292" s="1187" t="n">
        <f aca="false">IF(ISERROR(+HP292/HN292),0,+HP292/HN292)</f>
        <v>0</v>
      </c>
      <c r="HP292" s="1214" t="e">
        <f aca="false">(HJ292*CE292+HK292*CF292+HL292*CG292+HM292*CH292)</f>
        <v>#VALUE!</v>
      </c>
      <c r="HQ292" s="1142"/>
      <c r="HR292" s="1142"/>
      <c r="HS292" s="1142"/>
      <c r="HT292" s="1142"/>
      <c r="HU292" s="1142"/>
      <c r="HV292" s="1142"/>
      <c r="HW292" s="1142"/>
      <c r="HX292" s="1142"/>
      <c r="HY292" s="1142"/>
      <c r="HZ292" s="1142"/>
      <c r="IA292" s="1142"/>
      <c r="IB292" s="1142"/>
      <c r="IC292" s="1142"/>
      <c r="ID292" s="1142"/>
      <c r="IE292" s="1142"/>
      <c r="IF292" s="1142"/>
      <c r="IG292" s="1142"/>
      <c r="IH292" s="1142"/>
      <c r="II292" s="1142"/>
      <c r="IJ292" s="1142"/>
      <c r="IK292" s="1142"/>
      <c r="IL292" s="1190"/>
      <c r="IM292" s="222"/>
      <c r="IN292" s="222"/>
      <c r="IR292" s="844"/>
    </row>
    <row r="293" customFormat="false" ht="13.5" hidden="false" customHeight="false" outlineLevel="0" collapsed="false">
      <c r="C293" s="1193" t="n">
        <f aca="false">EOMONTH(C292,0)+1</f>
        <v>44927</v>
      </c>
      <c r="D293" s="846" t="n">
        <f aca="false">+YEAR(C293)</f>
        <v>2023</v>
      </c>
      <c r="E293" s="1230" t="n">
        <f aca="false">MONTH(C293)</f>
        <v>1</v>
      </c>
      <c r="F293" s="220"/>
      <c r="G293" s="220"/>
      <c r="H293" s="220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CK293" s="852"/>
      <c r="CY293" s="1105"/>
      <c r="FA293" s="807"/>
      <c r="FB293" s="807"/>
      <c r="FC293" s="807"/>
      <c r="FD293" s="807"/>
      <c r="FE293" s="807"/>
      <c r="FF293" s="807"/>
      <c r="FG293" s="807"/>
      <c r="FH293" s="807"/>
      <c r="FI293" s="807"/>
      <c r="FJ293" s="807"/>
      <c r="FK293" s="807"/>
      <c r="FL293" s="807"/>
      <c r="FM293" s="807"/>
      <c r="FN293" s="807"/>
      <c r="FO293" s="807"/>
      <c r="GI293" s="222" t="s">
        <v>0</v>
      </c>
      <c r="IL293" s="1190"/>
      <c r="IM293" s="222"/>
      <c r="IN293" s="222"/>
    </row>
    <row r="294" customFormat="false" ht="12.75" hidden="false" customHeight="false" outlineLevel="0" collapsed="false">
      <c r="E294" s="1231"/>
      <c r="F294" s="220"/>
      <c r="G294" s="220"/>
      <c r="H294" s="220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CK294" s="852"/>
      <c r="CL294" s="852"/>
      <c r="CM294" s="852"/>
      <c r="CN294" s="852"/>
      <c r="CO294" s="852"/>
      <c r="DR294" s="837" t="s">
        <v>947</v>
      </c>
      <c r="DS294" s="852" t="n">
        <f aca="false">IF($C294&gt;=Summary!$E$26,MAX(0,BY294-(CZ294+DH294)),0)</f>
        <v>0</v>
      </c>
      <c r="DT294" s="852" t="n">
        <f aca="false">IF($C294&gt;=Summary!$E$26,MAX(0,BZ294-(DA294+DI294)),0)</f>
        <v>0</v>
      </c>
      <c r="DU294" s="852" t="n">
        <f aca="false">IF($C294&gt;=Summary!$E$26,MAX(0,CA294-(DB294+DJ294)),0)</f>
        <v>0</v>
      </c>
      <c r="DV294" s="852" t="n">
        <f aca="false">IF($C294&gt;=Summary!$E$26,MAX(0,CB294-(DC294+DK294)),0)</f>
        <v>0</v>
      </c>
      <c r="DW294" s="852" t="n">
        <f aca="false">IF($C294&gt;=Summary!$E$26,(DS294*BD294+DT294*BE294+DU294*BF294+DV294*BG294)/SUM(BD294:BG294),0)</f>
        <v>0</v>
      </c>
      <c r="DX294" s="0" t="n">
        <f aca="false">IF($C294&gt;=Summary!$E$26,MAX(0,CE294-(CZ294+DH294)),0)</f>
        <v>0</v>
      </c>
      <c r="DY294" s="0" t="n">
        <f aca="false">IF($C294&gt;=Summary!$E$26,MAX(0,CF294-(DA294+DI294)),0)</f>
        <v>0</v>
      </c>
      <c r="DZ294" s="0" t="n">
        <f aca="false">IF($C294&gt;=Summary!$E$26,MAX(0,CG294-(DB294+DJ294)),0)</f>
        <v>0</v>
      </c>
      <c r="EA294" s="0" t="n">
        <f aca="false">IF($C294&gt;=Summary!$E$26,MAX(0,CH294-(DC294+DK294)),0)</f>
        <v>0</v>
      </c>
      <c r="EB294" s="0" t="n">
        <f aca="false">IF(C294&gt;=Summary!$E$26,(DX294*BL294+DY294*BM294+DZ294*BN294+EA294*BO294)/SUM(BL294:BO294),0)</f>
        <v>0</v>
      </c>
      <c r="IS294" s="222"/>
    </row>
    <row r="295" customFormat="false" ht="12.75" hidden="false" customHeight="false" outlineLevel="0" collapsed="false">
      <c r="E295" s="1231"/>
      <c r="F295" s="220"/>
      <c r="G295" s="220"/>
      <c r="H295" s="220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CK295" s="852"/>
      <c r="CL295" s="852"/>
      <c r="CM295" s="852"/>
      <c r="CN295" s="852"/>
      <c r="CO295" s="852"/>
      <c r="DR295" s="837" t="s">
        <v>948</v>
      </c>
      <c r="DS295" s="852" t="n">
        <v>0</v>
      </c>
      <c r="DT295" s="852" t="n">
        <v>0</v>
      </c>
      <c r="DU295" s="852" t="n">
        <v>0</v>
      </c>
      <c r="DV295" s="852" t="n">
        <v>0</v>
      </c>
      <c r="DW295" s="852" t="n">
        <v>0</v>
      </c>
      <c r="DX295" s="0" t="n">
        <v>0</v>
      </c>
      <c r="DY295" s="0" t="n">
        <v>0</v>
      </c>
      <c r="DZ295" s="0" t="n">
        <v>0</v>
      </c>
      <c r="EA295" s="0" t="n">
        <v>0</v>
      </c>
      <c r="EB295" s="0" t="n">
        <v>0</v>
      </c>
      <c r="FI295" s="112"/>
    </row>
    <row r="296" customFormat="false" ht="12.75" hidden="false" customHeight="false" outlineLevel="0" collapsed="false">
      <c r="E296" s="1231"/>
      <c r="F296" s="220"/>
      <c r="G296" s="220"/>
      <c r="H296" s="220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</row>
    <row r="297" customFormat="false" ht="12.75" hidden="false" customHeight="false" outlineLevel="0" collapsed="false">
      <c r="E297" s="1231"/>
      <c r="F297" s="220"/>
      <c r="G297" s="220"/>
      <c r="H297" s="220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</row>
    <row r="298" customFormat="false" ht="12.75" hidden="false" customHeight="false" outlineLevel="0" collapsed="false">
      <c r="E298" s="1231"/>
      <c r="F298" s="220"/>
      <c r="G298" s="220"/>
      <c r="H298" s="220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</row>
    <row r="299" customFormat="false" ht="12.75" hidden="false" customHeight="false" outlineLevel="0" collapsed="false">
      <c r="E299" s="1231"/>
      <c r="F299" s="220"/>
      <c r="G299" s="220"/>
      <c r="H299" s="220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</row>
    <row r="300" customFormat="false" ht="12.75" hidden="false" customHeight="false" outlineLevel="0" collapsed="false">
      <c r="E300" s="1231"/>
      <c r="F300" s="220"/>
      <c r="G300" s="220"/>
      <c r="H300" s="220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</row>
    <row r="301" customFormat="false" ht="12.75" hidden="false" customHeight="false" outlineLevel="0" collapsed="false">
      <c r="E301" s="1231"/>
      <c r="F301" s="220"/>
      <c r="G301" s="220"/>
      <c r="H301" s="220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</row>
    <row r="302" customFormat="false" ht="12.75" hidden="false" customHeight="false" outlineLevel="0" collapsed="false">
      <c r="E302" s="1231"/>
      <c r="F302" s="220"/>
      <c r="G302" s="220"/>
      <c r="H302" s="220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</row>
    <row r="303" customFormat="false" ht="12.75" hidden="false" customHeight="false" outlineLevel="0" collapsed="false">
      <c r="E303" s="1231"/>
      <c r="F303" s="220"/>
      <c r="G303" s="220"/>
      <c r="H303" s="220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</row>
    <row r="304" customFormat="false" ht="12.75" hidden="false" customHeight="false" outlineLevel="0" collapsed="false">
      <c r="E304" s="1231"/>
      <c r="F304" s="220"/>
      <c r="G304" s="220"/>
      <c r="H304" s="220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</row>
    <row r="305" customFormat="false" ht="12.75" hidden="false" customHeight="false" outlineLevel="0" collapsed="false">
      <c r="E305" s="1231"/>
      <c r="F305" s="220"/>
      <c r="G305" s="220"/>
      <c r="H305" s="220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IN305" s="1166"/>
    </row>
    <row r="306" customFormat="false" ht="12.75" hidden="false" customHeight="false" outlineLevel="0" collapsed="false">
      <c r="E306" s="1231"/>
      <c r="F306" s="220"/>
      <c r="G306" s="220"/>
      <c r="H306" s="220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IN306" s="1166"/>
    </row>
    <row r="307" customFormat="false" ht="12.75" hidden="false" customHeight="false" outlineLevel="0" collapsed="false">
      <c r="E307" s="1231"/>
      <c r="F307" s="220"/>
      <c r="G307" s="220"/>
      <c r="H307" s="220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IN307" s="1166"/>
    </row>
    <row r="308" customFormat="false" ht="12.75" hidden="false" customHeight="false" outlineLevel="0" collapsed="false">
      <c r="E308" s="1231"/>
      <c r="F308" s="220"/>
      <c r="G308" s="220"/>
      <c r="H308" s="220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IN308" s="1166"/>
    </row>
    <row r="309" customFormat="false" ht="12.75" hidden="false" customHeight="false" outlineLevel="0" collapsed="false">
      <c r="E309" s="1231"/>
      <c r="F309" s="220"/>
      <c r="G309" s="220"/>
      <c r="H309" s="220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IN309" s="1166"/>
    </row>
    <row r="310" customFormat="false" ht="12.75" hidden="false" customHeight="false" outlineLevel="0" collapsed="false">
      <c r="E310" s="1231"/>
      <c r="F310" s="220"/>
      <c r="G310" s="220"/>
      <c r="H310" s="220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IN310" s="1166"/>
    </row>
    <row r="311" customFormat="false" ht="12.75" hidden="false" customHeight="false" outlineLevel="0" collapsed="false">
      <c r="E311" s="1231"/>
      <c r="F311" s="220"/>
      <c r="G311" s="220"/>
      <c r="H311" s="220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IN311" s="1166"/>
    </row>
    <row r="312" customFormat="false" ht="12.75" hidden="false" customHeight="false" outlineLevel="0" collapsed="false">
      <c r="E312" s="1231"/>
      <c r="F312" s="220"/>
      <c r="G312" s="220"/>
      <c r="H312" s="220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IN312" s="1166"/>
    </row>
    <row r="313" customFormat="false" ht="12.75" hidden="false" customHeight="false" outlineLevel="0" collapsed="false">
      <c r="E313" s="1231"/>
      <c r="F313" s="220"/>
      <c r="G313" s="220"/>
      <c r="H313" s="220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IN313" s="1166"/>
    </row>
    <row r="314" customFormat="false" ht="12.75" hidden="false" customHeight="false" outlineLevel="0" collapsed="false">
      <c r="E314" s="1231"/>
      <c r="F314" s="220"/>
      <c r="G314" s="220"/>
      <c r="H314" s="220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IN314" s="1166"/>
    </row>
    <row r="315" customFormat="false" ht="12.75" hidden="false" customHeight="false" outlineLevel="0" collapsed="false">
      <c r="E315" s="1231"/>
      <c r="F315" s="220"/>
      <c r="G315" s="220"/>
      <c r="H315" s="220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IN315" s="1166"/>
    </row>
    <row r="316" customFormat="false" ht="12.75" hidden="false" customHeight="false" outlineLevel="0" collapsed="false">
      <c r="E316" s="1231"/>
      <c r="F316" s="220"/>
      <c r="G316" s="220"/>
      <c r="H316" s="220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IN316" s="1166"/>
    </row>
    <row r="317" customFormat="false" ht="12.75" hidden="false" customHeight="false" outlineLevel="0" collapsed="false">
      <c r="IN317" s="1166"/>
    </row>
    <row r="318" customFormat="false" ht="12.75" hidden="false" customHeight="false" outlineLevel="0" collapsed="false">
      <c r="IN318" s="1166"/>
    </row>
    <row r="319" customFormat="false" ht="12.75" hidden="false" customHeight="false" outlineLevel="0" collapsed="false">
      <c r="IN319" s="1166"/>
    </row>
    <row r="320" customFormat="false" ht="12.75" hidden="false" customHeight="false" outlineLevel="0" collapsed="false">
      <c r="IN320" s="1166"/>
    </row>
    <row r="321" customFormat="false" ht="12.75" hidden="false" customHeight="false" outlineLevel="0" collapsed="false">
      <c r="IN321" s="1166"/>
    </row>
    <row r="322" customFormat="false" ht="12.75" hidden="false" customHeight="false" outlineLevel="0" collapsed="false">
      <c r="IN322" s="1166"/>
    </row>
    <row r="323" customFormat="false" ht="12.75" hidden="false" customHeight="false" outlineLevel="0" collapsed="false">
      <c r="IN323" s="1166"/>
    </row>
    <row r="324" customFormat="false" ht="12.75" hidden="false" customHeight="false" outlineLevel="0" collapsed="false">
      <c r="IN324" s="1166"/>
    </row>
    <row r="325" customFormat="false" ht="12.75" hidden="false" customHeight="false" outlineLevel="0" collapsed="false">
      <c r="IN325" s="1166"/>
    </row>
    <row r="326" customFormat="false" ht="12.75" hidden="false" customHeight="false" outlineLevel="0" collapsed="false">
      <c r="IN326" s="1166"/>
    </row>
    <row r="327" customFormat="false" ht="12.75" hidden="false" customHeight="false" outlineLevel="0" collapsed="false">
      <c r="IN327" s="1166"/>
    </row>
    <row r="328" customFormat="false" ht="12.75" hidden="false" customHeight="false" outlineLevel="0" collapsed="false">
      <c r="IN328" s="1166"/>
    </row>
    <row r="329" customFormat="false" ht="12.75" hidden="false" customHeight="false" outlineLevel="0" collapsed="false">
      <c r="IN329" s="1166"/>
    </row>
    <row r="330" customFormat="false" ht="12.75" hidden="false" customHeight="false" outlineLevel="0" collapsed="false">
      <c r="IN330" s="1166"/>
    </row>
    <row r="331" customFormat="false" ht="12.75" hidden="false" customHeight="false" outlineLevel="0" collapsed="false">
      <c r="IN331" s="1166"/>
    </row>
    <row r="332" customFormat="false" ht="12.75" hidden="false" customHeight="false" outlineLevel="0" collapsed="false">
      <c r="IN332" s="1166"/>
    </row>
    <row r="333" customFormat="false" ht="12.75" hidden="false" customHeight="false" outlineLevel="0" collapsed="false">
      <c r="IN333" s="1166"/>
    </row>
    <row r="334" customFormat="false" ht="12.75" hidden="false" customHeight="false" outlineLevel="0" collapsed="false">
      <c r="IN334" s="1166"/>
    </row>
    <row r="335" customFormat="false" ht="12.75" hidden="false" customHeight="false" outlineLevel="0" collapsed="false">
      <c r="IN335" s="1166"/>
    </row>
    <row r="336" customFormat="false" ht="12.75" hidden="false" customHeight="false" outlineLevel="0" collapsed="false">
      <c r="IN336" s="1166"/>
    </row>
    <row r="337" customFormat="false" ht="12.75" hidden="false" customHeight="false" outlineLevel="0" collapsed="false">
      <c r="IN337" s="1166"/>
    </row>
    <row r="338" customFormat="false" ht="12.75" hidden="false" customHeight="false" outlineLevel="0" collapsed="false">
      <c r="IN338" s="1166"/>
    </row>
    <row r="339" customFormat="false" ht="12.75" hidden="false" customHeight="false" outlineLevel="0" collapsed="false">
      <c r="IN339" s="1166"/>
    </row>
    <row r="340" customFormat="false" ht="12.75" hidden="false" customHeight="false" outlineLevel="0" collapsed="false">
      <c r="IN340" s="1166"/>
    </row>
    <row r="341" customFormat="false" ht="12.75" hidden="false" customHeight="false" outlineLevel="0" collapsed="false">
      <c r="IN341" s="1166"/>
    </row>
    <row r="342" customFormat="false" ht="12.75" hidden="false" customHeight="false" outlineLevel="0" collapsed="false">
      <c r="IN342" s="1166"/>
    </row>
  </sheetData>
  <mergeCells count="68">
    <mergeCell ref="ER7:EX7"/>
    <mergeCell ref="C12:H12"/>
    <mergeCell ref="I12:L12"/>
    <mergeCell ref="M12:X12"/>
    <mergeCell ref="Y12:AV12"/>
    <mergeCell ref="BD12:BK12"/>
    <mergeCell ref="BL12:BS12"/>
    <mergeCell ref="M13:O13"/>
    <mergeCell ref="P13:R13"/>
    <mergeCell ref="Y13:AA13"/>
    <mergeCell ref="AB13:AD13"/>
    <mergeCell ref="AE13:AG13"/>
    <mergeCell ref="AH13:AJ13"/>
    <mergeCell ref="AK13:AM13"/>
    <mergeCell ref="AN13:AP13"/>
    <mergeCell ref="AQ13:AS13"/>
    <mergeCell ref="AT13:AV13"/>
    <mergeCell ref="BD13:BG13"/>
    <mergeCell ref="BH13:BK13"/>
    <mergeCell ref="BL13:BO13"/>
    <mergeCell ref="BP13:BS13"/>
    <mergeCell ref="CK13:CP13"/>
    <mergeCell ref="CQ13:CX13"/>
    <mergeCell ref="DH13:DL13"/>
    <mergeCell ref="DM13:DR13"/>
    <mergeCell ref="DS13:EB13"/>
    <mergeCell ref="EC13:EG13"/>
    <mergeCell ref="EH13:EL13"/>
    <mergeCell ref="EM13:EQ13"/>
    <mergeCell ref="ER13:EV13"/>
    <mergeCell ref="EX13:EY13"/>
    <mergeCell ref="GA13:GJ13"/>
    <mergeCell ref="GK13:GP13"/>
    <mergeCell ref="GQ13:GT13"/>
    <mergeCell ref="M14:O14"/>
    <mergeCell ref="P14:R14"/>
    <mergeCell ref="S14:U14"/>
    <mergeCell ref="Y14:AA14"/>
    <mergeCell ref="AB14:AD14"/>
    <mergeCell ref="AE14:AG14"/>
    <mergeCell ref="AH14:AJ14"/>
    <mergeCell ref="AK14:AM14"/>
    <mergeCell ref="AN14:AP14"/>
    <mergeCell ref="AQ14:AS14"/>
    <mergeCell ref="AT14:AV14"/>
    <mergeCell ref="BD14:BG14"/>
    <mergeCell ref="BH14:BK14"/>
    <mergeCell ref="BL14:BO14"/>
    <mergeCell ref="BP14:BS14"/>
    <mergeCell ref="CQ14:CX14"/>
    <mergeCell ref="GC14:GJ14"/>
    <mergeCell ref="GN14:GP14"/>
    <mergeCell ref="HC14:HE14"/>
    <mergeCell ref="HF14:HI14"/>
    <mergeCell ref="M15:O15"/>
    <mergeCell ref="P15:R15"/>
    <mergeCell ref="S15:U15"/>
    <mergeCell ref="V15:X15"/>
    <mergeCell ref="Y15:AA15"/>
    <mergeCell ref="AB15:AD15"/>
    <mergeCell ref="AE15:AG15"/>
    <mergeCell ref="AH15:AJ15"/>
    <mergeCell ref="AK15:AM15"/>
    <mergeCell ref="AN15:AP15"/>
    <mergeCell ref="AQ15:AS15"/>
    <mergeCell ref="AT15:AV15"/>
    <mergeCell ref="IF15:IH15"/>
    <mergeCell ref="IN81:IQ81"/>
  </mergeCells>
  <printOptions headings="false" gridLines="false" gridLinesSet="true" horizontalCentered="false" verticalCentered="false"/>
  <pageMargins left="0.1" right="0.1" top="0.984027777777778" bottom="0.984027777777778" header="0.5" footer="0.5"/>
  <pageSetup paperSize="5" scale="100" fitToWidth="7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rowBreaks count="1" manualBreakCount="1">
    <brk id="122" man="true" max="16383" min="0"/>
  </rowBreaks>
  <colBreaks count="4" manualBreakCount="4">
    <brk id="170" man="true" max="65535" min="0"/>
    <brk id="171" man="true" max="65535" min="0"/>
    <brk id="216" man="true" max="65535" min="0"/>
    <brk id="223" man="true" max="65535" min="0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14617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5" name="Button 18565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6" name="Button 18575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7" name="Button 18580">
              <controlPr defaultSize="0" print="false" autoFill="0" autoPict="0" macro="Module6.Print_Op">
                <anchor moveWithCells="true" sizeWithCells="false">
                  <from>
                    <xdr:col>164</xdr:col>
                    <xdr:colOff>291600</xdr:colOff>
                    <xdr:row>7</xdr:row>
                    <xdr:rowOff>9720</xdr:rowOff>
                  </from>
                  <to>
                    <xdr:col>165</xdr:col>
                    <xdr:colOff>433440</xdr:colOff>
                    <xdr:row>8</xdr:row>
                    <xdr:rowOff>105120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N506"/>
  <sheetViews>
    <sheetView showFormulas="false" showGridLines="fals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H11" activeCellId="0" sqref="H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232" width="6.7"/>
    <col collapsed="false" customWidth="true" hidden="false" outlineLevel="0" max="2" min="2" style="1232" width="9.14"/>
    <col collapsed="false" customWidth="true" hidden="false" outlineLevel="0" max="3" min="3" style="1233" width="9.7"/>
    <col collapsed="false" customWidth="true" hidden="false" outlineLevel="0" max="5" min="4" style="1233" width="8.7"/>
    <col collapsed="false" customWidth="true" hidden="false" outlineLevel="0" max="6" min="6" style="1233" width="8.41"/>
    <col collapsed="false" customWidth="true" hidden="false" outlineLevel="0" max="9" min="7" style="1233" width="9.14"/>
    <col collapsed="false" customWidth="true" hidden="false" outlineLevel="0" max="10" min="10" style="1233" width="2.7"/>
    <col collapsed="false" customWidth="true" hidden="false" outlineLevel="0" max="11" min="11" style="1233" width="9.56"/>
    <col collapsed="false" customWidth="true" hidden="false" outlineLevel="0" max="13" min="12" style="1233" width="8.7"/>
    <col collapsed="false" customWidth="true" hidden="false" outlineLevel="0" max="14" min="14" style="1233" width="5.85"/>
    <col collapsed="false" customWidth="true" hidden="false" outlineLevel="0" max="20" min="15" style="1233" width="7.7"/>
    <col collapsed="false" customWidth="true" hidden="false" outlineLevel="0" max="21" min="21" style="1233" width="9.41"/>
    <col collapsed="false" customWidth="true" hidden="false" outlineLevel="0" max="28" min="22" style="1233" width="7.7"/>
    <col collapsed="false" customWidth="true" hidden="false" outlineLevel="0" max="29" min="29" style="1233" width="4.41"/>
    <col collapsed="false" customWidth="true" hidden="false" outlineLevel="0" max="30" min="30" style="1233" width="7.28"/>
    <col collapsed="false" customWidth="true" hidden="false" outlineLevel="0" max="31" min="31" style="1233" width="8.7"/>
    <col collapsed="false" customWidth="true" hidden="false" outlineLevel="0" max="32" min="32" style="1233" width="9.99"/>
    <col collapsed="false" customWidth="true" hidden="false" outlineLevel="0" max="33" min="33" style="1233" width="8.7"/>
    <col collapsed="false" customWidth="true" hidden="false" outlineLevel="0" max="34" min="34" style="1233" width="8.56"/>
    <col collapsed="false" customWidth="true" hidden="false" outlineLevel="0" max="35" min="35" style="1233" width="9.7"/>
    <col collapsed="false" customWidth="true" hidden="false" outlineLevel="0" max="37" min="36" style="1233" width="8.85"/>
    <col collapsed="false" customWidth="true" hidden="false" outlineLevel="0" max="38" min="38" style="1233" width="8.99"/>
    <col collapsed="false" customWidth="true" hidden="false" outlineLevel="0" max="39" min="39" style="1233" width="9.14"/>
    <col collapsed="false" customWidth="true" hidden="false" outlineLevel="0" max="40" min="40" style="1233" width="9.28"/>
    <col collapsed="false" customWidth="true" hidden="false" outlineLevel="0" max="41" min="41" style="1233" width="9.14"/>
    <col collapsed="false" customWidth="true" hidden="false" outlineLevel="0" max="42" min="42" style="1233" width="8.99"/>
    <col collapsed="false" customWidth="true" hidden="false" outlineLevel="0" max="44" min="43" style="1232" width="9.14"/>
    <col collapsed="false" customWidth="true" hidden="false" outlineLevel="0" max="45" min="45" style="1232" width="9.41"/>
    <col collapsed="false" customWidth="true" hidden="false" outlineLevel="0" max="48" min="46" style="1232" width="9.14"/>
    <col collapsed="false" customWidth="true" hidden="false" outlineLevel="0" max="58" min="49" style="0" width="10.28"/>
    <col collapsed="false" customWidth="true" hidden="false" outlineLevel="0" max="59" min="59" style="0" width="10.85"/>
    <col collapsed="false" customWidth="true" hidden="false" outlineLevel="0" max="60" min="60" style="0" width="7.85"/>
    <col collapsed="false" customWidth="true" hidden="false" outlineLevel="0" max="61" min="61" style="5" width="9.99"/>
    <col collapsed="false" customWidth="true" hidden="false" outlineLevel="0" max="66" min="62" style="0" width="11.7"/>
    <col collapsed="false" customWidth="true" hidden="false" outlineLevel="0" max="67" min="67" style="0" width="10.99"/>
    <col collapsed="false" customWidth="true" hidden="false" outlineLevel="0" max="68" min="68" style="0" width="12.14"/>
    <col collapsed="false" customWidth="true" hidden="false" outlineLevel="0" max="70" min="69" style="0" width="10.99"/>
    <col collapsed="false" customWidth="true" hidden="false" outlineLevel="0" max="71" min="71" style="112" width="10.99"/>
    <col collapsed="false" customWidth="true" hidden="false" outlineLevel="0" max="72" min="72" style="0" width="10.99"/>
    <col collapsed="false" customWidth="true" hidden="false" outlineLevel="0" max="75" min="73" style="0" width="8.85"/>
    <col collapsed="false" customWidth="true" hidden="false" outlineLevel="0" max="76" min="76" style="0" width="2.99"/>
    <col collapsed="false" customWidth="true" hidden="false" outlineLevel="0" max="78" min="77" style="0" width="8.85"/>
    <col collapsed="false" customWidth="true" hidden="false" outlineLevel="0" max="82" min="79" style="0" width="10.99"/>
    <col collapsed="false" customWidth="true" hidden="false" outlineLevel="0" max="87" min="83" style="0" width="10.28"/>
  </cols>
  <sheetData>
    <row r="1" customFormat="false" ht="24" hidden="false" customHeight="false" outlineLevel="0" collapsed="false">
      <c r="A1" s="807"/>
      <c r="B1" s="1234" t="s">
        <v>0</v>
      </c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6"/>
      <c r="Q1" s="1236"/>
      <c r="R1" s="1236"/>
      <c r="S1" s="1236"/>
      <c r="T1" s="1236"/>
      <c r="U1" s="1236"/>
      <c r="V1" s="1236"/>
      <c r="W1" s="1236"/>
      <c r="X1" s="1236"/>
      <c r="Y1" s="1236"/>
      <c r="Z1" s="1236"/>
      <c r="AA1" s="1236"/>
      <c r="AB1" s="1236"/>
      <c r="AC1" s="1236"/>
      <c r="AD1" s="1236"/>
      <c r="AE1" s="1236"/>
      <c r="AF1" s="1236"/>
      <c r="AG1" s="1236"/>
      <c r="AH1" s="1236"/>
      <c r="AI1" s="1236"/>
      <c r="AJ1" s="1236"/>
      <c r="AK1" s="1236"/>
      <c r="AL1" s="1236"/>
      <c r="AM1" s="1236"/>
      <c r="AN1" s="1236"/>
      <c r="AO1" s="1236"/>
      <c r="AP1" s="1236"/>
      <c r="AW1" s="1234" t="s">
        <v>949</v>
      </c>
      <c r="BH1" s="0" t="s">
        <v>0</v>
      </c>
      <c r="BI1" s="0"/>
      <c r="BJ1" s="112" t="s">
        <v>0</v>
      </c>
      <c r="BK1" s="0" t="s">
        <v>0</v>
      </c>
    </row>
    <row r="2" customFormat="false" ht="27" hidden="false" customHeight="true" outlineLevel="0" collapsed="false">
      <c r="A2" s="1237"/>
      <c r="B2" s="1238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5"/>
      <c r="N2" s="1236"/>
      <c r="O2" s="1236"/>
      <c r="P2" s="1236"/>
      <c r="Q2" s="1239" t="s">
        <v>950</v>
      </c>
      <c r="R2" s="1240"/>
      <c r="S2" s="1240"/>
      <c r="T2" s="1241"/>
      <c r="U2" s="1242" t="n">
        <f aca="false">MAX(O10:O29)</f>
        <v>0</v>
      </c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W2" s="1243" t="s">
        <v>0</v>
      </c>
      <c r="AX2" s="1244"/>
      <c r="AY2" s="1244"/>
      <c r="AZ2" s="1244"/>
      <c r="BA2" s="1244"/>
      <c r="BB2" s="1244"/>
      <c r="BC2" s="1244"/>
      <c r="BD2" s="1244"/>
      <c r="BE2" s="1244"/>
      <c r="BF2" s="1244"/>
      <c r="BG2" s="1244"/>
      <c r="BH2" s="1244"/>
      <c r="BI2" s="1244"/>
      <c r="BJ2" s="1244" t="s">
        <v>0</v>
      </c>
      <c r="BK2" s="1244" t="s">
        <v>0</v>
      </c>
      <c r="BM2" s="1244"/>
      <c r="BN2" s="1244"/>
      <c r="BO2" s="1244"/>
      <c r="BP2" s="1244"/>
      <c r="BQ2" s="1244"/>
      <c r="BR2" s="1244"/>
      <c r="BS2" s="1245"/>
      <c r="BT2" s="1244"/>
      <c r="BU2" s="1244"/>
      <c r="BV2" s="1244"/>
      <c r="BW2" s="1244"/>
      <c r="BX2" s="1244"/>
      <c r="BY2" s="1244"/>
      <c r="BZ2" s="1244"/>
      <c r="CA2" s="1244"/>
      <c r="CB2" s="1244"/>
      <c r="CC2" s="1244"/>
      <c r="CD2" s="1244"/>
      <c r="CE2" s="1244"/>
      <c r="CF2" s="1244"/>
      <c r="CG2" s="1244"/>
      <c r="CH2" s="1244"/>
      <c r="CI2" s="1244"/>
      <c r="CJ2" s="1244"/>
      <c r="CK2" s="1244"/>
      <c r="CL2" s="1244"/>
      <c r="CM2" s="1244"/>
    </row>
    <row r="3" customFormat="false" ht="12.75" hidden="false" customHeight="false" outlineLevel="0" collapsed="false">
      <c r="A3" s="1246"/>
      <c r="B3" s="1247" t="s">
        <v>951</v>
      </c>
      <c r="C3" s="1248" t="s">
        <v>952</v>
      </c>
      <c r="D3" s="1249"/>
      <c r="E3" s="1250" t="n">
        <v>36508</v>
      </c>
      <c r="F3" s="1251"/>
      <c r="G3" s="1252"/>
      <c r="H3" s="1252"/>
      <c r="I3" s="1252"/>
      <c r="J3" s="1253"/>
      <c r="K3" s="1254"/>
      <c r="L3" s="1252"/>
      <c r="M3" s="1252"/>
      <c r="N3" s="1252"/>
      <c r="O3" s="1252"/>
      <c r="P3" s="1252"/>
      <c r="Q3" s="1252"/>
      <c r="R3" s="1252"/>
      <c r="S3" s="1252"/>
      <c r="T3" s="1252"/>
      <c r="U3" s="1252"/>
      <c r="V3" s="1252"/>
      <c r="W3" s="1252"/>
      <c r="X3" s="1252"/>
      <c r="Y3" s="1252"/>
      <c r="Z3" s="1252"/>
      <c r="AA3" s="1252"/>
      <c r="AB3" s="1252"/>
      <c r="AC3" s="1252"/>
      <c r="AD3" s="1252"/>
      <c r="AE3" s="1252"/>
      <c r="AF3" s="1252"/>
      <c r="AG3" s="1252"/>
      <c r="AH3" s="1252"/>
      <c r="AI3" s="1252"/>
      <c r="AJ3" s="1252"/>
      <c r="AK3" s="1252"/>
      <c r="AL3" s="1252"/>
      <c r="AM3" s="1252"/>
      <c r="AN3" s="1252"/>
      <c r="AO3" s="1252"/>
      <c r="AP3" s="1252"/>
      <c r="AW3" s="1255"/>
      <c r="AX3" s="871" t="s">
        <v>243</v>
      </c>
      <c r="AY3" s="871"/>
      <c r="AZ3" s="871"/>
      <c r="BA3" s="871"/>
      <c r="BB3" s="871"/>
      <c r="BC3" s="871"/>
      <c r="BD3" s="1256" t="s">
        <v>953</v>
      </c>
      <c r="BE3" s="1256"/>
      <c r="BF3" s="1256"/>
      <c r="BG3" s="1257" t="s">
        <v>954</v>
      </c>
      <c r="BH3" s="1258"/>
      <c r="BI3" s="1258" t="s">
        <v>955</v>
      </c>
      <c r="BJ3" s="1258" t="s">
        <v>956</v>
      </c>
      <c r="BK3" s="1258" t="s">
        <v>0</v>
      </c>
      <c r="BL3" s="1259" t="s">
        <v>957</v>
      </c>
      <c r="BM3" s="1258"/>
      <c r="BN3" s="1260"/>
      <c r="BO3" s="1258" t="s">
        <v>845</v>
      </c>
      <c r="BP3" s="1258" t="s">
        <v>958</v>
      </c>
      <c r="BQ3" s="1258"/>
      <c r="BR3" s="1258"/>
      <c r="BS3" s="1261"/>
      <c r="BT3" s="1262"/>
      <c r="BU3" s="1262"/>
      <c r="BV3" s="1262"/>
      <c r="BW3" s="1262"/>
      <c r="BX3" s="1262"/>
      <c r="BY3" s="1262"/>
      <c r="BZ3" s="1262"/>
      <c r="CA3" s="1262"/>
      <c r="CB3" s="1262"/>
      <c r="CC3" s="1262"/>
      <c r="CD3" s="1262"/>
      <c r="CE3" s="1262"/>
      <c r="CF3" s="1262"/>
      <c r="CG3" s="1262"/>
      <c r="CH3" s="1262"/>
      <c r="CI3" s="1262"/>
      <c r="CJ3" s="1262"/>
      <c r="CK3" s="1262"/>
      <c r="CL3" s="1262"/>
      <c r="CM3" s="1262"/>
      <c r="CN3" s="1263"/>
    </row>
    <row r="4" customFormat="false" ht="12.75" hidden="false" customHeight="false" outlineLevel="0" collapsed="false">
      <c r="A4" s="1246"/>
      <c r="B4" s="1264"/>
      <c r="C4" s="1249"/>
      <c r="D4" s="1249"/>
      <c r="E4" s="1249"/>
      <c r="F4" s="1253"/>
      <c r="G4" s="1252"/>
      <c r="H4" s="1252"/>
      <c r="I4" s="1252"/>
      <c r="J4" s="1253"/>
      <c r="K4" s="1254"/>
      <c r="L4" s="1252"/>
      <c r="M4" s="1252"/>
      <c r="N4" s="1252"/>
      <c r="O4" s="1252"/>
      <c r="P4" s="1252"/>
      <c r="Q4" s="1252"/>
      <c r="R4" s="1252"/>
      <c r="S4" s="1252"/>
      <c r="T4" s="1252"/>
      <c r="U4" s="1252"/>
      <c r="V4" s="1252"/>
      <c r="W4" s="1252"/>
      <c r="X4" s="1252" t="s">
        <v>959</v>
      </c>
      <c r="Y4" s="1252"/>
      <c r="Z4" s="1252"/>
      <c r="AA4" s="1252"/>
      <c r="AB4" s="1252"/>
      <c r="AC4" s="1252"/>
      <c r="AD4" s="1252"/>
      <c r="AE4" s="1252"/>
      <c r="AF4" s="1252" t="s">
        <v>960</v>
      </c>
      <c r="AG4" s="1252"/>
      <c r="AH4" s="1252"/>
      <c r="AI4" s="1252"/>
      <c r="AJ4" s="1252"/>
      <c r="AK4" s="1252"/>
      <c r="AL4" s="1252"/>
      <c r="AM4" s="1252"/>
      <c r="AN4" s="1252"/>
      <c r="AO4" s="1252"/>
      <c r="AP4" s="1252"/>
      <c r="AQ4" s="0"/>
      <c r="AR4" s="0"/>
      <c r="AS4" s="0"/>
      <c r="AT4" s="0"/>
      <c r="AU4" s="0"/>
      <c r="AV4" s="0"/>
      <c r="AW4" s="1265" t="s">
        <v>259</v>
      </c>
      <c r="AX4" s="1266" t="s">
        <v>249</v>
      </c>
      <c r="AY4" s="1266" t="s">
        <v>249</v>
      </c>
      <c r="AZ4" s="1266" t="s">
        <v>249</v>
      </c>
      <c r="BA4" s="1267" t="s">
        <v>961</v>
      </c>
      <c r="BB4" s="1267"/>
      <c r="BC4" s="1267"/>
      <c r="BD4" s="1268" t="n">
        <v>0.07</v>
      </c>
      <c r="BE4" s="1269" t="s">
        <v>962</v>
      </c>
      <c r="BF4" s="1270" t="n">
        <v>0.07</v>
      </c>
      <c r="BG4" s="1271" t="s">
        <v>963</v>
      </c>
      <c r="BH4" s="1272" t="s">
        <v>964</v>
      </c>
      <c r="BI4" s="1272" t="s">
        <v>965</v>
      </c>
      <c r="BJ4" s="1272" t="s">
        <v>243</v>
      </c>
      <c r="BK4" s="1272" t="s">
        <v>966</v>
      </c>
      <c r="BL4" s="1273" t="s">
        <v>967</v>
      </c>
      <c r="BM4" s="1272" t="s">
        <v>968</v>
      </c>
      <c r="BN4" s="1274"/>
      <c r="BO4" s="1272" t="s">
        <v>969</v>
      </c>
      <c r="BP4" s="1272" t="s">
        <v>970</v>
      </c>
      <c r="BQ4" s="1272" t="s">
        <v>971</v>
      </c>
      <c r="BR4" s="1272" t="s">
        <v>971</v>
      </c>
      <c r="BS4" s="1275" t="s">
        <v>972</v>
      </c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</row>
    <row r="5" customFormat="false" ht="13.5" hidden="false" customHeight="false" outlineLevel="0" collapsed="false">
      <c r="A5" s="1246"/>
      <c r="B5" s="1253"/>
      <c r="C5" s="1253"/>
      <c r="D5" s="1253" t="s">
        <v>973</v>
      </c>
      <c r="E5" s="1253"/>
      <c r="F5" s="1253"/>
      <c r="G5" s="1253"/>
      <c r="H5" s="1253" t="s">
        <v>0</v>
      </c>
      <c r="I5" s="1253"/>
      <c r="J5" s="1253"/>
      <c r="K5" s="1254"/>
      <c r="L5" s="1253"/>
      <c r="M5" s="1253" t="s">
        <v>792</v>
      </c>
      <c r="N5" s="1253"/>
      <c r="O5" s="1253"/>
      <c r="P5" s="1253"/>
      <c r="Q5" s="1253" t="s">
        <v>793</v>
      </c>
      <c r="R5" s="1253"/>
      <c r="S5" s="1253"/>
      <c r="T5" s="1253"/>
      <c r="U5" s="1253" t="s">
        <v>841</v>
      </c>
      <c r="V5" s="1253"/>
      <c r="W5" s="1252"/>
      <c r="X5" s="1253"/>
      <c r="Y5" s="1253" t="s">
        <v>20</v>
      </c>
      <c r="Z5" s="1253"/>
      <c r="AA5" s="1252"/>
      <c r="AB5" s="1253"/>
      <c r="AC5" s="1253" t="s">
        <v>974</v>
      </c>
      <c r="AD5" s="1253"/>
      <c r="AE5" s="1252"/>
      <c r="AF5" s="1253"/>
      <c r="AG5" s="1253" t="s">
        <v>20</v>
      </c>
      <c r="AH5" s="1253"/>
      <c r="AI5" s="1252"/>
      <c r="AJ5" s="1253"/>
      <c r="AK5" s="1253" t="s">
        <v>974</v>
      </c>
      <c r="AL5" s="1253"/>
      <c r="AM5" s="1252"/>
      <c r="AN5" s="1253" t="s">
        <v>975</v>
      </c>
      <c r="AO5" s="1253" t="s">
        <v>976</v>
      </c>
      <c r="AP5" s="1252"/>
      <c r="AQ5" s="0"/>
      <c r="AR5" s="0"/>
      <c r="AS5" s="0"/>
      <c r="AT5" s="0"/>
      <c r="AU5" s="0"/>
      <c r="AV5" s="0"/>
      <c r="AW5" s="1276"/>
      <c r="AX5" s="1277" t="s">
        <v>0</v>
      </c>
      <c r="AY5" s="1277" t="s">
        <v>0</v>
      </c>
      <c r="AZ5" s="1277" t="s">
        <v>0</v>
      </c>
      <c r="BA5" s="1278" t="s">
        <v>0</v>
      </c>
      <c r="BB5" s="1278" t="s">
        <v>0</v>
      </c>
      <c r="BC5" s="1279" t="s">
        <v>0</v>
      </c>
      <c r="BD5" s="1277" t="s">
        <v>0</v>
      </c>
      <c r="BE5" s="1278" t="s">
        <v>0</v>
      </c>
      <c r="BF5" s="1279" t="s">
        <v>0</v>
      </c>
      <c r="BG5" s="1280" t="s">
        <v>977</v>
      </c>
      <c r="BH5" s="1281"/>
      <c r="BI5" s="1281" t="s">
        <v>243</v>
      </c>
      <c r="BJ5" s="1281" t="s">
        <v>249</v>
      </c>
      <c r="BK5" s="1281" t="s">
        <v>978</v>
      </c>
      <c r="BL5" s="1282" t="s">
        <v>249</v>
      </c>
      <c r="BM5" s="1281" t="s">
        <v>979</v>
      </c>
      <c r="BN5" s="1283"/>
      <c r="BO5" s="1281" t="s">
        <v>263</v>
      </c>
      <c r="BP5" s="1281" t="s">
        <v>980</v>
      </c>
      <c r="BQ5" s="1281" t="s">
        <v>966</v>
      </c>
      <c r="BR5" s="1281" t="s">
        <v>981</v>
      </c>
      <c r="BS5" s="1284" t="s">
        <v>979</v>
      </c>
      <c r="BT5" s="1238"/>
      <c r="BU5" s="1238"/>
      <c r="BV5" s="1238"/>
      <c r="BW5" s="1238"/>
      <c r="BX5" s="1238"/>
      <c r="BY5" s="1238"/>
      <c r="BZ5" s="1238"/>
      <c r="CA5" s="1238"/>
      <c r="CB5" s="1238"/>
      <c r="CC5" s="1238"/>
      <c r="CD5" s="1238"/>
      <c r="CE5" s="1238"/>
      <c r="CF5" s="1238"/>
      <c r="CG5" s="1238"/>
      <c r="CH5" s="1238"/>
      <c r="CI5" s="1238"/>
    </row>
    <row r="6" customFormat="false" ht="13.5" hidden="false" customHeight="false" outlineLevel="0" collapsed="false">
      <c r="A6" s="1246"/>
      <c r="B6" s="1285"/>
      <c r="C6" s="1286" t="s">
        <v>0</v>
      </c>
      <c r="D6" s="1286" t="s">
        <v>0</v>
      </c>
      <c r="E6" s="1287" t="s">
        <v>0</v>
      </c>
      <c r="F6" s="1288" t="s">
        <v>0</v>
      </c>
      <c r="G6" s="1249" t="s">
        <v>0</v>
      </c>
      <c r="H6" s="1249" t="s">
        <v>0</v>
      </c>
      <c r="I6" s="1249" t="s">
        <v>0</v>
      </c>
      <c r="J6" s="1253"/>
      <c r="K6" s="1254"/>
      <c r="L6" s="1286" t="s">
        <v>887</v>
      </c>
      <c r="M6" s="1286" t="s">
        <v>888</v>
      </c>
      <c r="N6" s="1287" t="s">
        <v>889</v>
      </c>
      <c r="O6" s="1287"/>
      <c r="P6" s="1286" t="s">
        <v>887</v>
      </c>
      <c r="Q6" s="1286" t="s">
        <v>888</v>
      </c>
      <c r="R6" s="1287" t="s">
        <v>889</v>
      </c>
      <c r="S6" s="1287"/>
      <c r="T6" s="1286" t="s">
        <v>887</v>
      </c>
      <c r="U6" s="1286" t="s">
        <v>888</v>
      </c>
      <c r="V6" s="1287" t="s">
        <v>889</v>
      </c>
      <c r="W6" s="1252"/>
      <c r="X6" s="1286" t="s">
        <v>887</v>
      </c>
      <c r="Y6" s="1286" t="s">
        <v>888</v>
      </c>
      <c r="Z6" s="1287" t="s">
        <v>889</v>
      </c>
      <c r="AA6" s="1252"/>
      <c r="AB6" s="1286" t="s">
        <v>887</v>
      </c>
      <c r="AC6" s="1286" t="s">
        <v>888</v>
      </c>
      <c r="AD6" s="1287" t="s">
        <v>889</v>
      </c>
      <c r="AE6" s="1252"/>
      <c r="AF6" s="1286" t="s">
        <v>887</v>
      </c>
      <c r="AG6" s="1286" t="s">
        <v>888</v>
      </c>
      <c r="AH6" s="1287" t="s">
        <v>889</v>
      </c>
      <c r="AI6" s="1252"/>
      <c r="AJ6" s="1286" t="s">
        <v>887</v>
      </c>
      <c r="AK6" s="1286" t="s">
        <v>888</v>
      </c>
      <c r="AL6" s="1287" t="s">
        <v>889</v>
      </c>
      <c r="AM6" s="1252"/>
      <c r="AN6" s="1253" t="s">
        <v>982</v>
      </c>
      <c r="AO6" s="1253" t="s">
        <v>859</v>
      </c>
      <c r="AP6" s="1252"/>
      <c r="AQ6" s="0"/>
      <c r="AR6" s="0"/>
      <c r="AS6" s="0" t="s">
        <v>983</v>
      </c>
      <c r="AT6" s="0"/>
      <c r="AU6" s="0" t="str">
        <f aca="false">AV6&amp;"Q"&amp;ROUNDUP(MONTH(AW6)/3,0)</f>
        <v>2000Q1</v>
      </c>
      <c r="AV6" s="0" t="n">
        <f aca="false">YEAR(GasFirstMonth)</f>
        <v>2000</v>
      </c>
      <c r="AW6" s="1289" t="n">
        <v>36526</v>
      </c>
      <c r="AX6" s="112" t="n">
        <v>0</v>
      </c>
      <c r="AY6" s="112" t="n">
        <v>0</v>
      </c>
      <c r="AZ6" s="112" t="n">
        <v>0</v>
      </c>
      <c r="BA6" s="163" t="n">
        <v>1</v>
      </c>
      <c r="BB6" s="163" t="n">
        <v>1</v>
      </c>
      <c r="BC6" s="163" t="n">
        <v>1</v>
      </c>
      <c r="BD6" s="163" t="n">
        <v>0</v>
      </c>
      <c r="BE6" s="163"/>
      <c r="BF6" s="163" t="n">
        <v>0</v>
      </c>
      <c r="BG6" s="1290" t="n">
        <v>0</v>
      </c>
      <c r="BH6" s="1291"/>
      <c r="BI6" s="1292"/>
      <c r="BJ6" s="1262"/>
      <c r="BK6" s="1293" t="n">
        <v>0</v>
      </c>
      <c r="BL6" s="1294" t="n">
        <f aca="false">+AY6+BK6</f>
        <v>0</v>
      </c>
      <c r="BM6" s="1295" t="n">
        <f aca="false">AY6</f>
        <v>0</v>
      </c>
      <c r="BN6" s="1262"/>
      <c r="BO6" s="1296" t="n">
        <v>2.4</v>
      </c>
      <c r="BP6" s="1297"/>
      <c r="BQ6" s="1298" t="n">
        <f aca="false">VLOOKUP($AW6,$BU$8:$BZ$291,5,FALSE())</f>
        <v>2.61341059450379</v>
      </c>
      <c r="BR6" s="1299" t="n">
        <f aca="false">VLOOKUP($AW6,$BU$8:$BZ$291,6,FALSE())</f>
        <v>2.11469092598269</v>
      </c>
      <c r="BS6" s="1262" t="n">
        <v>0</v>
      </c>
      <c r="BT6" s="1297"/>
      <c r="BU6" s="1300"/>
      <c r="BV6" s="1301"/>
      <c r="BW6" s="1301"/>
      <c r="BX6" s="1301"/>
      <c r="BY6" s="1302" t="s">
        <v>984</v>
      </c>
      <c r="BZ6" s="1302"/>
      <c r="CA6" s="1297"/>
      <c r="CB6" s="1297"/>
      <c r="CC6" s="1297"/>
      <c r="CD6" s="1297"/>
      <c r="CE6" s="1297"/>
      <c r="CF6" s="1297"/>
      <c r="CG6" s="1297"/>
      <c r="CH6" s="1297"/>
      <c r="CI6" s="1297"/>
    </row>
    <row r="7" customFormat="false" ht="12.75" hidden="false" customHeight="false" outlineLevel="0" collapsed="false">
      <c r="A7" s="1246"/>
      <c r="B7" s="1253"/>
      <c r="C7" s="1253" t="s">
        <v>902</v>
      </c>
      <c r="D7" s="1253" t="s">
        <v>902</v>
      </c>
      <c r="E7" s="1253" t="s">
        <v>902</v>
      </c>
      <c r="F7" s="1288"/>
      <c r="G7" s="1288" t="s">
        <v>902</v>
      </c>
      <c r="H7" s="1288" t="s">
        <v>902</v>
      </c>
      <c r="I7" s="1288" t="s">
        <v>902</v>
      </c>
      <c r="J7" s="1253"/>
      <c r="K7" s="1254"/>
      <c r="L7" s="1253" t="s">
        <v>902</v>
      </c>
      <c r="M7" s="1253" t="s">
        <v>902</v>
      </c>
      <c r="N7" s="1253" t="s">
        <v>902</v>
      </c>
      <c r="O7" s="1253"/>
      <c r="P7" s="1253" t="s">
        <v>902</v>
      </c>
      <c r="Q7" s="1253" t="s">
        <v>902</v>
      </c>
      <c r="R7" s="1253" t="s">
        <v>902</v>
      </c>
      <c r="S7" s="1253"/>
      <c r="T7" s="1253" t="s">
        <v>902</v>
      </c>
      <c r="U7" s="1253" t="s">
        <v>902</v>
      </c>
      <c r="V7" s="1253" t="s">
        <v>902</v>
      </c>
      <c r="W7" s="1252"/>
      <c r="X7" s="1253"/>
      <c r="Y7" s="1253"/>
      <c r="Z7" s="1253"/>
      <c r="AA7" s="1252"/>
      <c r="AB7" s="1253"/>
      <c r="AC7" s="1253"/>
      <c r="AD7" s="1253"/>
      <c r="AE7" s="1252"/>
      <c r="AF7" s="1253"/>
      <c r="AG7" s="1253"/>
      <c r="AH7" s="1253"/>
      <c r="AI7" s="1252"/>
      <c r="AJ7" s="1253"/>
      <c r="AK7" s="1253"/>
      <c r="AL7" s="1253"/>
      <c r="AM7" s="1252"/>
      <c r="AN7" s="1252"/>
      <c r="AO7" s="1252"/>
      <c r="AP7" s="1252"/>
      <c r="AQ7" s="0"/>
      <c r="AR7" s="0" t="s">
        <v>985</v>
      </c>
      <c r="AS7" s="1303" t="n">
        <v>2.68</v>
      </c>
      <c r="AT7" s="0" t="n">
        <v>1</v>
      </c>
      <c r="AU7" s="0" t="str">
        <f aca="false">AV7&amp;"Q"&amp;ROUNDUP(MONTH(AW7)/3,0)</f>
        <v>2000Q1</v>
      </c>
      <c r="AV7" s="0" t="n">
        <f aca="false">YEAR(AW7)</f>
        <v>2000</v>
      </c>
      <c r="AW7" s="1304" t="n">
        <f aca="false">EOMONTH(AW6,0)+1</f>
        <v>36557</v>
      </c>
      <c r="AX7" s="112" t="n">
        <v>0</v>
      </c>
      <c r="AY7" s="112" t="n">
        <v>0</v>
      </c>
      <c r="AZ7" s="112" t="n">
        <v>0</v>
      </c>
      <c r="BA7" s="163" t="n">
        <v>1</v>
      </c>
      <c r="BB7" s="163" t="n">
        <v>1</v>
      </c>
      <c r="BC7" s="163" t="n">
        <v>1</v>
      </c>
      <c r="BD7" s="163" t="n">
        <v>0</v>
      </c>
      <c r="BE7" s="163"/>
      <c r="BF7" s="163" t="n">
        <v>0</v>
      </c>
      <c r="BG7" s="1290" t="n">
        <v>0</v>
      </c>
      <c r="BH7" s="1291"/>
      <c r="BI7" s="1292"/>
      <c r="BJ7" s="1262"/>
      <c r="BK7" s="1293" t="n">
        <v>0</v>
      </c>
      <c r="BL7" s="1294" t="n">
        <f aca="false">+AY7+BK7</f>
        <v>0</v>
      </c>
      <c r="BM7" s="1295" t="n">
        <f aca="false">AY7</f>
        <v>0</v>
      </c>
      <c r="BN7" s="1262"/>
      <c r="BO7" s="1296" t="n">
        <v>2.4</v>
      </c>
      <c r="BP7" s="1232"/>
      <c r="BQ7" s="1299" t="n">
        <f aca="false">VLOOKUP($AW7,$BU$8:$BZ$291,5,FALSE())</f>
        <v>2.41621691524591</v>
      </c>
      <c r="BR7" s="1299" t="n">
        <f aca="false">VLOOKUP($AW7,$BU$8:$BZ$291,6,FALSE())</f>
        <v>1.96970763180471</v>
      </c>
      <c r="BS7" s="1262" t="n">
        <v>0</v>
      </c>
      <c r="BT7" s="1232"/>
      <c r="BU7" s="1305"/>
      <c r="BV7" s="1306" t="s">
        <v>966</v>
      </c>
      <c r="BW7" s="1306" t="s">
        <v>981</v>
      </c>
      <c r="BX7" s="1306"/>
      <c r="BY7" s="1306" t="s">
        <v>966</v>
      </c>
      <c r="BZ7" s="1307" t="s">
        <v>981</v>
      </c>
      <c r="CA7" s="1232"/>
      <c r="CB7" s="1232"/>
      <c r="CC7" s="1232"/>
      <c r="CD7" s="1232"/>
      <c r="CE7" s="1232"/>
      <c r="CF7" s="1232"/>
      <c r="CG7" s="1232"/>
      <c r="CH7" s="1232"/>
      <c r="CI7" s="1232"/>
    </row>
    <row r="8" customFormat="false" ht="12.75" hidden="false" customHeight="false" outlineLevel="0" collapsed="false">
      <c r="A8" s="1246"/>
      <c r="B8" s="1249" t="s">
        <v>259</v>
      </c>
      <c r="C8" s="1249"/>
      <c r="D8" s="1249"/>
      <c r="E8" s="1249"/>
      <c r="F8" s="1287"/>
      <c r="G8" s="1249"/>
      <c r="H8" s="1287"/>
      <c r="I8" s="1287"/>
      <c r="J8" s="1253"/>
      <c r="K8" s="1254" t="s">
        <v>259</v>
      </c>
      <c r="L8" s="1252"/>
      <c r="M8" s="1252"/>
      <c r="N8" s="1252"/>
      <c r="O8" s="1252"/>
      <c r="P8" s="1252"/>
      <c r="Q8" s="1252"/>
      <c r="R8" s="1252"/>
      <c r="S8" s="1252"/>
      <c r="T8" s="1252"/>
      <c r="U8" s="1252"/>
      <c r="V8" s="1252"/>
      <c r="W8" s="1252"/>
      <c r="X8" s="1252"/>
      <c r="Y8" s="1252"/>
      <c r="Z8" s="1252"/>
      <c r="AA8" s="1252"/>
      <c r="AB8" s="1252"/>
      <c r="AC8" s="1252"/>
      <c r="AD8" s="1252"/>
      <c r="AE8" s="1252"/>
      <c r="AF8" s="1252"/>
      <c r="AG8" s="1252"/>
      <c r="AH8" s="1252"/>
      <c r="AI8" s="1252"/>
      <c r="AJ8" s="1252"/>
      <c r="AK8" s="1252"/>
      <c r="AL8" s="1252"/>
      <c r="AM8" s="1252"/>
      <c r="AN8" s="1252"/>
      <c r="AO8" s="1252"/>
      <c r="AP8" s="1252"/>
      <c r="AQ8" s="0"/>
      <c r="AR8" s="0" t="s">
        <v>964</v>
      </c>
      <c r="AS8" s="1308" t="n">
        <f aca="false">+Summary!O82</f>
        <v>-0.28</v>
      </c>
      <c r="AT8" s="0" t="n">
        <v>1</v>
      </c>
      <c r="AU8" s="0" t="str">
        <f aca="false">AV8&amp;"Q"&amp;ROUNDUP(MONTH(AW8)/3,0)</f>
        <v>2000Q1</v>
      </c>
      <c r="AV8" s="0" t="n">
        <f aca="false">YEAR(AW8)</f>
        <v>2000</v>
      </c>
      <c r="AW8" s="1304" t="n">
        <f aca="false">EOMONTH(AW7,0)+1</f>
        <v>36586</v>
      </c>
      <c r="AX8" s="112" t="n">
        <v>0</v>
      </c>
      <c r="AY8" s="112" t="n">
        <v>0</v>
      </c>
      <c r="AZ8" s="112" t="n">
        <v>0</v>
      </c>
      <c r="BA8" s="163" t="n">
        <v>1</v>
      </c>
      <c r="BB8" s="163" t="n">
        <v>1</v>
      </c>
      <c r="BC8" s="163" t="n">
        <v>1</v>
      </c>
      <c r="BD8" s="163" t="n">
        <v>0</v>
      </c>
      <c r="BE8" s="163"/>
      <c r="BF8" s="163" t="n">
        <v>0</v>
      </c>
      <c r="BG8" s="1290" t="n">
        <v>0</v>
      </c>
      <c r="BH8" s="1291"/>
      <c r="BI8" s="1292"/>
      <c r="BJ8" s="1262"/>
      <c r="BK8" s="1293" t="n">
        <v>0</v>
      </c>
      <c r="BL8" s="1294" t="n">
        <f aca="false">+AY8+BK8</f>
        <v>0</v>
      </c>
      <c r="BM8" s="1295" t="n">
        <f aca="false">AY8</f>
        <v>0</v>
      </c>
      <c r="BN8" s="1262"/>
      <c r="BO8" s="1296" t="n">
        <v>2.4</v>
      </c>
      <c r="BP8" s="1232"/>
      <c r="BQ8" s="1299" t="n">
        <f aca="false">VLOOKUP($AW8,$BU$8:$BZ$291,5,FALSE())</f>
        <v>2.34447503898695</v>
      </c>
      <c r="BR8" s="1299" t="n">
        <f aca="false">VLOOKUP($AW8,$BU$8:$BZ$291,6,FALSE())</f>
        <v>1.87192820084746</v>
      </c>
      <c r="BS8" s="1262" t="n">
        <v>0</v>
      </c>
      <c r="BT8" s="1232"/>
      <c r="BU8" s="1309" t="n">
        <v>36161</v>
      </c>
      <c r="BV8" s="1310" t="n">
        <v>2.47954600068769</v>
      </c>
      <c r="BW8" s="1310" t="n">
        <v>1.95658272566151</v>
      </c>
      <c r="BX8" s="1310"/>
      <c r="BY8" s="1310" t="n">
        <v>2.52913692070145</v>
      </c>
      <c r="BZ8" s="1311" t="n">
        <v>1.99571438017474</v>
      </c>
      <c r="CA8" s="1232"/>
      <c r="CB8" s="1232"/>
      <c r="CC8" s="1232"/>
      <c r="CD8" s="1232"/>
      <c r="CE8" s="1232"/>
      <c r="CF8" s="1232"/>
      <c r="CG8" s="1232"/>
      <c r="CH8" s="1232"/>
      <c r="CI8" s="1232"/>
    </row>
    <row r="9" customFormat="false" ht="12.75" hidden="false" customHeight="false" outlineLevel="0" collapsed="false">
      <c r="A9" s="1246"/>
      <c r="B9" s="1312" t="n">
        <v>36509</v>
      </c>
      <c r="C9" s="1313" t="n">
        <v>0</v>
      </c>
      <c r="D9" s="1313" t="n">
        <v>0</v>
      </c>
      <c r="E9" s="1313" t="n">
        <v>0</v>
      </c>
      <c r="F9" s="1287"/>
      <c r="G9" s="1313" t="n">
        <v>0</v>
      </c>
      <c r="H9" s="1313" t="n">
        <v>0</v>
      </c>
      <c r="I9" s="1313" t="n">
        <v>0</v>
      </c>
      <c r="J9" s="1253"/>
      <c r="K9" s="1254" t="n">
        <v>36465</v>
      </c>
      <c r="L9" s="1314" t="n">
        <v>0</v>
      </c>
      <c r="M9" s="1314" t="n">
        <v>0</v>
      </c>
      <c r="N9" s="1314" t="n">
        <v>0</v>
      </c>
      <c r="O9" s="1252"/>
      <c r="P9" s="1314" t="n">
        <v>0</v>
      </c>
      <c r="Q9" s="1314" t="n">
        <v>0</v>
      </c>
      <c r="R9" s="1314" t="n">
        <v>0</v>
      </c>
      <c r="S9" s="1252"/>
      <c r="T9" s="1314" t="n">
        <v>0</v>
      </c>
      <c r="U9" s="1314" t="n">
        <v>0</v>
      </c>
      <c r="V9" s="1314" t="n">
        <v>0</v>
      </c>
      <c r="W9" s="1252"/>
      <c r="X9" s="1314" t="n">
        <v>0</v>
      </c>
      <c r="Y9" s="1314" t="n">
        <v>0</v>
      </c>
      <c r="Z9" s="1314" t="n">
        <v>0</v>
      </c>
      <c r="AA9" s="1252" t="n">
        <v>0</v>
      </c>
      <c r="AB9" s="1314" t="n">
        <v>0</v>
      </c>
      <c r="AC9" s="1314" t="n">
        <v>0</v>
      </c>
      <c r="AD9" s="1314" t="n">
        <v>0</v>
      </c>
      <c r="AE9" s="1252"/>
      <c r="AF9" s="1314" t="n">
        <v>0</v>
      </c>
      <c r="AG9" s="1314" t="n">
        <v>0</v>
      </c>
      <c r="AH9" s="1314" t="n">
        <v>0</v>
      </c>
      <c r="AI9" s="1252"/>
      <c r="AJ9" s="1314" t="n">
        <v>0</v>
      </c>
      <c r="AK9" s="1314" t="n">
        <v>0</v>
      </c>
      <c r="AL9" s="1314" t="n">
        <v>0</v>
      </c>
      <c r="AM9" s="1252"/>
      <c r="AN9" s="1315" t="n">
        <v>1</v>
      </c>
      <c r="AO9" s="1316" t="n">
        <v>0</v>
      </c>
      <c r="AP9" s="1252"/>
      <c r="AQ9" s="0"/>
      <c r="AR9" s="0"/>
      <c r="AS9" s="1317" t="n">
        <f aca="false">SUM(AS7:AS8)</f>
        <v>2.4</v>
      </c>
      <c r="AT9" s="0" t="n">
        <v>1</v>
      </c>
      <c r="AU9" s="0" t="str">
        <f aca="false">AV9&amp;"Q"&amp;ROUNDUP(MONTH(AW9)/3,0)</f>
        <v>2000Q2</v>
      </c>
      <c r="AV9" s="0" t="n">
        <f aca="false">YEAR(AW9)</f>
        <v>2000</v>
      </c>
      <c r="AW9" s="1304" t="n">
        <f aca="false">EOMONTH(AW8,0)+1</f>
        <v>36617</v>
      </c>
      <c r="AX9" s="112" t="n">
        <v>0</v>
      </c>
      <c r="AY9" s="112" t="n">
        <v>0</v>
      </c>
      <c r="AZ9" s="112" t="n">
        <v>0</v>
      </c>
      <c r="BA9" s="163" t="n">
        <v>1</v>
      </c>
      <c r="BB9" s="163" t="n">
        <v>1</v>
      </c>
      <c r="BC9" s="163" t="n">
        <v>1</v>
      </c>
      <c r="BD9" s="163" t="n">
        <v>0</v>
      </c>
      <c r="BE9" s="163"/>
      <c r="BF9" s="163" t="n">
        <v>0</v>
      </c>
      <c r="BG9" s="1290" t="n">
        <v>0</v>
      </c>
      <c r="BH9" s="1291"/>
      <c r="BI9" s="1292"/>
      <c r="BJ9" s="1262"/>
      <c r="BK9" s="1293" t="n">
        <v>0</v>
      </c>
      <c r="BL9" s="1294" t="n">
        <f aca="false">+AY9+BK9</f>
        <v>0</v>
      </c>
      <c r="BM9" s="1295" t="n">
        <f aca="false">AY9</f>
        <v>0</v>
      </c>
      <c r="BN9" s="1262"/>
      <c r="BO9" s="1296" t="n">
        <v>2.4</v>
      </c>
      <c r="BP9" s="1232"/>
      <c r="BQ9" s="1299" t="n">
        <f aca="false">VLOOKUP($AW9,$BU$8:$BZ$291,5,FALSE())</f>
        <v>2.29796651230872</v>
      </c>
      <c r="BR9" s="1299" t="n">
        <f aca="false">VLOOKUP($AW9,$BU$8:$BZ$291,6,FALSE())</f>
        <v>1.81503068714389</v>
      </c>
      <c r="BS9" s="1262" t="n">
        <v>0</v>
      </c>
      <c r="BT9" s="1232"/>
      <c r="BU9" s="1309" t="n">
        <f aca="false">EDATE(BU8,1)</f>
        <v>36192</v>
      </c>
      <c r="BV9" s="1310" t="n">
        <v>2.29245301201111</v>
      </c>
      <c r="BW9" s="1310" t="n">
        <v>1.82243933599982</v>
      </c>
      <c r="BX9" s="1310"/>
      <c r="BY9" s="1310" t="n">
        <v>2.33830207225133</v>
      </c>
      <c r="BZ9" s="1311" t="n">
        <v>1.85888812271981</v>
      </c>
      <c r="CA9" s="1232"/>
      <c r="CB9" s="1232"/>
      <c r="CC9" s="1232"/>
      <c r="CD9" s="1232"/>
      <c r="CE9" s="1232"/>
      <c r="CF9" s="1232"/>
      <c r="CG9" s="1232"/>
      <c r="CH9" s="1232"/>
      <c r="CI9" s="1232"/>
    </row>
    <row r="10" customFormat="false" ht="12.75" hidden="false" customHeight="false" outlineLevel="0" collapsed="false">
      <c r="A10" s="1246"/>
      <c r="B10" s="1312" t="n">
        <v>36510</v>
      </c>
      <c r="C10" s="1313" t="n">
        <v>0</v>
      </c>
      <c r="D10" s="1313" t="n">
        <v>0</v>
      </c>
      <c r="E10" s="1313" t="n">
        <v>0</v>
      </c>
      <c r="F10" s="1287"/>
      <c r="G10" s="1313" t="n">
        <v>0</v>
      </c>
      <c r="H10" s="1313" t="n">
        <v>0</v>
      </c>
      <c r="I10" s="1313" t="n">
        <v>0</v>
      </c>
      <c r="J10" s="1253"/>
      <c r="K10" s="1254" t="n">
        <v>36495</v>
      </c>
      <c r="L10" s="1314" t="n">
        <v>0</v>
      </c>
      <c r="M10" s="1314" t="n">
        <v>0</v>
      </c>
      <c r="N10" s="1314" t="n">
        <v>0</v>
      </c>
      <c r="O10" s="1252"/>
      <c r="P10" s="1314" t="n">
        <v>0</v>
      </c>
      <c r="Q10" s="1314" t="n">
        <v>0</v>
      </c>
      <c r="R10" s="1314" t="n">
        <v>0</v>
      </c>
      <c r="S10" s="1252"/>
      <c r="T10" s="1314" t="n">
        <v>0</v>
      </c>
      <c r="U10" s="1314" t="n">
        <v>0</v>
      </c>
      <c r="V10" s="1314" t="n">
        <v>0</v>
      </c>
      <c r="W10" s="1252"/>
      <c r="X10" s="1314" t="n">
        <v>0</v>
      </c>
      <c r="Y10" s="1314" t="n">
        <v>0</v>
      </c>
      <c r="Z10" s="1314" t="n">
        <v>0</v>
      </c>
      <c r="AA10" s="1252" t="n">
        <v>0</v>
      </c>
      <c r="AB10" s="1314" t="n">
        <v>0</v>
      </c>
      <c r="AC10" s="1314" t="n">
        <v>0</v>
      </c>
      <c r="AD10" s="1314" t="n">
        <v>0</v>
      </c>
      <c r="AE10" s="1252"/>
      <c r="AF10" s="1314" t="n">
        <v>0</v>
      </c>
      <c r="AG10" s="1314" t="n">
        <v>0</v>
      </c>
      <c r="AH10" s="1314" t="n">
        <v>0</v>
      </c>
      <c r="AI10" s="1252"/>
      <c r="AJ10" s="1314" t="n">
        <v>0</v>
      </c>
      <c r="AK10" s="1314" t="n">
        <v>0</v>
      </c>
      <c r="AL10" s="1314" t="n">
        <v>0</v>
      </c>
      <c r="AM10" s="1252"/>
      <c r="AN10" s="1253" t="n">
        <v>1</v>
      </c>
      <c r="AO10" s="1316" t="n">
        <v>0</v>
      </c>
      <c r="AP10" s="1252"/>
      <c r="AQ10" s="0"/>
      <c r="AR10" s="0"/>
      <c r="AS10" s="0"/>
      <c r="AT10" s="0" t="n">
        <v>1</v>
      </c>
      <c r="AU10" s="0" t="str">
        <f aca="false">AV10&amp;"Q"&amp;ROUNDUP(MONTH(AW10)/3,0)</f>
        <v>2000Q2</v>
      </c>
      <c r="AV10" s="0" t="n">
        <f aca="false">YEAR(AW10)</f>
        <v>2000</v>
      </c>
      <c r="AW10" s="1304" t="n">
        <f aca="false">EOMONTH(AW9,0)+1</f>
        <v>36647</v>
      </c>
      <c r="AX10" s="112" t="n">
        <v>0</v>
      </c>
      <c r="AY10" s="112" t="n">
        <v>0</v>
      </c>
      <c r="AZ10" s="112" t="n">
        <v>0</v>
      </c>
      <c r="BA10" s="163" t="n">
        <v>1</v>
      </c>
      <c r="BB10" s="163" t="n">
        <v>1</v>
      </c>
      <c r="BC10" s="163" t="n">
        <v>1</v>
      </c>
      <c r="BD10" s="163" t="n">
        <v>0</v>
      </c>
      <c r="BE10" s="163"/>
      <c r="BF10" s="163" t="n">
        <v>0</v>
      </c>
      <c r="BG10" s="1290" t="n">
        <v>0</v>
      </c>
      <c r="BH10" s="1291"/>
      <c r="BI10" s="1292"/>
      <c r="BJ10" s="1262"/>
      <c r="BK10" s="1293" t="n">
        <v>0</v>
      </c>
      <c r="BL10" s="1294" t="n">
        <f aca="false">+AY10+BK10</f>
        <v>0</v>
      </c>
      <c r="BM10" s="1295" t="n">
        <f aca="false">AY10</f>
        <v>0</v>
      </c>
      <c r="BN10" s="1262"/>
      <c r="BO10" s="1296" t="n">
        <v>2.4</v>
      </c>
      <c r="BP10" s="1297"/>
      <c r="BQ10" s="1298" t="n">
        <f aca="false">VLOOKUP($AW10,$BU$8:$BZ$291,5,FALSE())</f>
        <v>2.27669133521124</v>
      </c>
      <c r="BR10" s="1298" t="n">
        <f aca="false">VLOOKUP($AW10,$BU$8:$BZ$291,6,FALSE())</f>
        <v>1.79269314472693</v>
      </c>
      <c r="BS10" s="1262" t="n">
        <v>0</v>
      </c>
      <c r="BT10" s="203"/>
      <c r="BU10" s="1309" t="n">
        <f aca="false">EDATE(BU9,1)</f>
        <v>36220</v>
      </c>
      <c r="BV10" s="1310" t="n">
        <v>2.22438591121422</v>
      </c>
      <c r="BW10" s="1310" t="n">
        <v>1.731970538321</v>
      </c>
      <c r="BX10" s="1310"/>
      <c r="BY10" s="1310" t="n">
        <v>2.26887362943851</v>
      </c>
      <c r="BZ10" s="1311" t="n">
        <v>1.76660994908742</v>
      </c>
      <c r="CA10" s="1297"/>
      <c r="CB10" s="1297"/>
      <c r="CC10" s="1297"/>
      <c r="CD10" s="1297"/>
      <c r="CE10" s="1297"/>
      <c r="CF10" s="1297"/>
      <c r="CG10" s="1297"/>
      <c r="CH10" s="1297"/>
      <c r="CI10" s="1297"/>
    </row>
    <row r="11" customFormat="false" ht="12.75" hidden="false" customHeight="false" outlineLevel="0" collapsed="false">
      <c r="A11" s="1246"/>
      <c r="B11" s="1312" t="n">
        <v>36511</v>
      </c>
      <c r="C11" s="1313" t="n">
        <v>0</v>
      </c>
      <c r="D11" s="1313" t="n">
        <v>0</v>
      </c>
      <c r="E11" s="1313" t="n">
        <v>0</v>
      </c>
      <c r="F11" s="1287"/>
      <c r="G11" s="1313" t="n">
        <v>0</v>
      </c>
      <c r="H11" s="1313" t="n">
        <v>0</v>
      </c>
      <c r="I11" s="1313" t="n">
        <v>0</v>
      </c>
      <c r="J11" s="1253"/>
      <c r="K11" s="1254" t="n">
        <v>36526</v>
      </c>
      <c r="L11" s="1314" t="n">
        <v>0</v>
      </c>
      <c r="M11" s="1314" t="n">
        <v>0</v>
      </c>
      <c r="N11" s="1314" t="n">
        <v>0</v>
      </c>
      <c r="O11" s="1252"/>
      <c r="P11" s="1314" t="n">
        <v>0</v>
      </c>
      <c r="Q11" s="1314" t="n">
        <v>0</v>
      </c>
      <c r="R11" s="1314" t="n">
        <v>0</v>
      </c>
      <c r="S11" s="1252"/>
      <c r="T11" s="1314" t="n">
        <v>0</v>
      </c>
      <c r="U11" s="1314" t="n">
        <v>0</v>
      </c>
      <c r="V11" s="1314" t="n">
        <v>0</v>
      </c>
      <c r="W11" s="1252"/>
      <c r="X11" s="1314" t="n">
        <v>0</v>
      </c>
      <c r="Y11" s="1314" t="n">
        <v>0</v>
      </c>
      <c r="Z11" s="1314" t="n">
        <v>0</v>
      </c>
      <c r="AA11" s="1252" t="n">
        <v>0</v>
      </c>
      <c r="AB11" s="1314" t="n">
        <v>0</v>
      </c>
      <c r="AC11" s="1314" t="n">
        <v>0</v>
      </c>
      <c r="AD11" s="1314" t="n">
        <v>0</v>
      </c>
      <c r="AE11" s="1252"/>
      <c r="AF11" s="1314" t="n">
        <v>0</v>
      </c>
      <c r="AG11" s="1314" t="n">
        <v>0</v>
      </c>
      <c r="AH11" s="1314" t="n">
        <v>0</v>
      </c>
      <c r="AI11" s="1252"/>
      <c r="AJ11" s="1314" t="n">
        <v>0</v>
      </c>
      <c r="AK11" s="1314" t="n">
        <v>0</v>
      </c>
      <c r="AL11" s="1314" t="n">
        <v>0</v>
      </c>
      <c r="AM11" s="1252"/>
      <c r="AN11" s="1253" t="n">
        <v>1</v>
      </c>
      <c r="AO11" s="1316" t="n">
        <v>0.1</v>
      </c>
      <c r="AP11" s="1252"/>
      <c r="AQ11" s="0"/>
      <c r="AR11" s="0"/>
      <c r="AS11" s="0"/>
      <c r="AT11" s="0" t="n">
        <v>1</v>
      </c>
      <c r="AU11" s="0" t="str">
        <f aca="false">AV11&amp;"Q"&amp;ROUNDUP(MONTH(AW11)/3,0)</f>
        <v>2000Q2</v>
      </c>
      <c r="AV11" s="0" t="n">
        <f aca="false">YEAR(AW11)</f>
        <v>2000</v>
      </c>
      <c r="AW11" s="1304" t="n">
        <f aca="false">EOMONTH(AW10,0)+1</f>
        <v>36678</v>
      </c>
      <c r="AX11" s="112" t="n">
        <v>0</v>
      </c>
      <c r="AY11" s="112" t="n">
        <v>0</v>
      </c>
      <c r="AZ11" s="112" t="n">
        <v>0</v>
      </c>
      <c r="BA11" s="163" t="n">
        <v>1</v>
      </c>
      <c r="BB11" s="163" t="n">
        <v>1</v>
      </c>
      <c r="BC11" s="163" t="n">
        <v>1</v>
      </c>
      <c r="BD11" s="163" t="n">
        <v>0</v>
      </c>
      <c r="BE11" s="163"/>
      <c r="BF11" s="163" t="n">
        <v>0</v>
      </c>
      <c r="BG11" s="1290" t="n">
        <v>0</v>
      </c>
      <c r="BH11" s="1291"/>
      <c r="BI11" s="1292"/>
      <c r="BJ11" s="1262"/>
      <c r="BK11" s="1293" t="n">
        <v>0</v>
      </c>
      <c r="BL11" s="1294" t="n">
        <f aca="false">+AY11+BK11</f>
        <v>0</v>
      </c>
      <c r="BM11" s="1295" t="n">
        <f aca="false">AY11</f>
        <v>0</v>
      </c>
      <c r="BN11" s="1262"/>
      <c r="BO11" s="1296" t="n">
        <v>2.4</v>
      </c>
      <c r="BP11" s="1232"/>
      <c r="BQ11" s="1299" t="n">
        <f aca="false">VLOOKUP($AW11,$BU$8:$BZ$291,5,FALSE())</f>
        <v>2.28064950769449</v>
      </c>
      <c r="BR11" s="1299" t="n">
        <f aca="false">VLOOKUP($AW11,$BU$8:$BZ$291,6,FALSE())</f>
        <v>1.79859362762952</v>
      </c>
      <c r="BS11" s="1262" t="n">
        <v>0</v>
      </c>
      <c r="BT11" s="127"/>
      <c r="BU11" s="1309" t="n">
        <f aca="false">EDATE(BU10,1)</f>
        <v>36251</v>
      </c>
      <c r="BV11" s="1310" t="n">
        <v>2.18025965276658</v>
      </c>
      <c r="BW11" s="1310" t="n">
        <v>1.67932705691306</v>
      </c>
      <c r="BX11" s="1310"/>
      <c r="BY11" s="1310" t="n">
        <v>2.22386484582191</v>
      </c>
      <c r="BZ11" s="1311" t="n">
        <v>1.71291359805133</v>
      </c>
      <c r="CA11" s="1232"/>
      <c r="CB11" s="1232"/>
      <c r="CC11" s="1232"/>
      <c r="CD11" s="1232"/>
      <c r="CE11" s="1232"/>
      <c r="CF11" s="1232"/>
      <c r="CG11" s="1232"/>
      <c r="CH11" s="1232"/>
      <c r="CI11" s="1232"/>
    </row>
    <row r="12" customFormat="false" ht="12.75" hidden="false" customHeight="false" outlineLevel="0" collapsed="false">
      <c r="A12" s="1246"/>
      <c r="B12" s="1312" t="n">
        <v>36512</v>
      </c>
      <c r="C12" s="1313" t="n">
        <v>0</v>
      </c>
      <c r="D12" s="1313" t="n">
        <v>0</v>
      </c>
      <c r="E12" s="1313" t="n">
        <v>0</v>
      </c>
      <c r="F12" s="1287"/>
      <c r="G12" s="1313" t="n">
        <v>0</v>
      </c>
      <c r="H12" s="1313" t="n">
        <v>0</v>
      </c>
      <c r="I12" s="1313" t="n">
        <v>0</v>
      </c>
      <c r="J12" s="1253"/>
      <c r="K12" s="1254" t="n">
        <v>36557</v>
      </c>
      <c r="L12" s="1314" t="n">
        <v>0</v>
      </c>
      <c r="M12" s="1314" t="n">
        <v>0</v>
      </c>
      <c r="N12" s="1314" t="n">
        <v>0</v>
      </c>
      <c r="O12" s="1252"/>
      <c r="P12" s="1314" t="n">
        <v>0</v>
      </c>
      <c r="Q12" s="1314" t="n">
        <v>0</v>
      </c>
      <c r="R12" s="1314" t="n">
        <v>0</v>
      </c>
      <c r="S12" s="1252"/>
      <c r="T12" s="1314" t="n">
        <v>0</v>
      </c>
      <c r="U12" s="1314" t="n">
        <v>0</v>
      </c>
      <c r="V12" s="1314" t="n">
        <v>0</v>
      </c>
      <c r="W12" s="1252"/>
      <c r="X12" s="1314" t="n">
        <v>0</v>
      </c>
      <c r="Y12" s="1314" t="n">
        <v>0</v>
      </c>
      <c r="Z12" s="1314" t="n">
        <v>0</v>
      </c>
      <c r="AA12" s="1252" t="n">
        <v>0</v>
      </c>
      <c r="AB12" s="1314" t="n">
        <v>0</v>
      </c>
      <c r="AC12" s="1314" t="n">
        <v>0</v>
      </c>
      <c r="AD12" s="1314" t="n">
        <v>0</v>
      </c>
      <c r="AE12" s="1252"/>
      <c r="AF12" s="1314" t="n">
        <v>0</v>
      </c>
      <c r="AG12" s="1314" t="n">
        <v>0</v>
      </c>
      <c r="AH12" s="1314" t="n">
        <v>0</v>
      </c>
      <c r="AI12" s="1252"/>
      <c r="AJ12" s="1314" t="n">
        <v>0</v>
      </c>
      <c r="AK12" s="1314" t="n">
        <v>0</v>
      </c>
      <c r="AL12" s="1314" t="n">
        <v>0</v>
      </c>
      <c r="AM12" s="1252"/>
      <c r="AN12" s="1253" t="n">
        <v>1</v>
      </c>
      <c r="AO12" s="1316" t="n">
        <v>0.1</v>
      </c>
      <c r="AP12" s="1252"/>
      <c r="AQ12" s="0"/>
      <c r="AR12" s="0"/>
      <c r="AS12" s="0"/>
      <c r="AT12" s="0" t="n">
        <v>1</v>
      </c>
      <c r="AU12" s="0" t="str">
        <f aca="false">AV12&amp;"Q"&amp;ROUNDUP(MONTH(AW12)/3,0)</f>
        <v>2000Q3</v>
      </c>
      <c r="AV12" s="0" t="n">
        <f aca="false">YEAR(AW12)</f>
        <v>2000</v>
      </c>
      <c r="AW12" s="1304" t="n">
        <f aca="false">EOMONTH(AW11,0)+1</f>
        <v>36708</v>
      </c>
      <c r="AX12" s="112" t="n">
        <v>0</v>
      </c>
      <c r="AY12" s="112" t="n">
        <v>0</v>
      </c>
      <c r="AZ12" s="112" t="n">
        <v>0</v>
      </c>
      <c r="BA12" s="163" t="n">
        <v>1</v>
      </c>
      <c r="BB12" s="163" t="n">
        <v>1</v>
      </c>
      <c r="BC12" s="163" t="n">
        <v>1</v>
      </c>
      <c r="BD12" s="163" t="n">
        <v>0</v>
      </c>
      <c r="BE12" s="163"/>
      <c r="BF12" s="163" t="n">
        <v>0</v>
      </c>
      <c r="BG12" s="1290" t="n">
        <v>0</v>
      </c>
      <c r="BH12" s="1291"/>
      <c r="BI12" s="1292"/>
      <c r="BJ12" s="1262"/>
      <c r="BK12" s="1293" t="n">
        <v>0</v>
      </c>
      <c r="BL12" s="1294" t="n">
        <f aca="false">+AY12+BK12</f>
        <v>0</v>
      </c>
      <c r="BM12" s="1295" t="n">
        <f aca="false">AY12</f>
        <v>0</v>
      </c>
      <c r="BN12" s="1262"/>
      <c r="BO12" s="1296" t="n">
        <v>2.4</v>
      </c>
      <c r="BP12" s="1297"/>
      <c r="BQ12" s="1299" t="n">
        <f aca="false">VLOOKUP($AW12,$BU$8:$BZ$291,5,FALSE())</f>
        <v>2.30984102975848</v>
      </c>
      <c r="BR12" s="1299" t="n">
        <f aca="false">VLOOKUP($AW12,$BU$8:$BZ$291,6,FALSE())</f>
        <v>1.8264101898846</v>
      </c>
      <c r="BS12" s="1262" t="n">
        <v>0</v>
      </c>
      <c r="BU12" s="1309" t="n">
        <f aca="false">EDATE(BU11,1)</f>
        <v>36281</v>
      </c>
      <c r="BV12" s="1310" t="n">
        <v>2.16007423666819</v>
      </c>
      <c r="BW12" s="1310" t="n">
        <v>1.65865961606402</v>
      </c>
      <c r="BX12" s="1310"/>
      <c r="BY12" s="1310" t="n">
        <v>2.20327572140156</v>
      </c>
      <c r="BZ12" s="1311" t="n">
        <v>1.69183280838531</v>
      </c>
      <c r="CA12" s="1297"/>
      <c r="CB12" s="1297"/>
      <c r="CC12" s="1297"/>
      <c r="CD12" s="1297"/>
      <c r="CE12" s="1297"/>
      <c r="CF12" s="1297"/>
      <c r="CG12" s="1297"/>
      <c r="CH12" s="1297"/>
      <c r="CI12" s="1297"/>
    </row>
    <row r="13" customFormat="false" ht="12.75" hidden="false" customHeight="false" outlineLevel="0" collapsed="false">
      <c r="A13" s="1246"/>
      <c r="B13" s="1312" t="n">
        <v>36513</v>
      </c>
      <c r="C13" s="1313" t="n">
        <v>0</v>
      </c>
      <c r="D13" s="1313" t="n">
        <v>0</v>
      </c>
      <c r="E13" s="1313" t="n">
        <v>0</v>
      </c>
      <c r="F13" s="1287"/>
      <c r="G13" s="1313" t="n">
        <v>0</v>
      </c>
      <c r="H13" s="1313" t="n">
        <v>0</v>
      </c>
      <c r="I13" s="1313" t="n">
        <v>0</v>
      </c>
      <c r="J13" s="1253"/>
      <c r="K13" s="1254" t="n">
        <v>36586</v>
      </c>
      <c r="L13" s="1314" t="n">
        <v>0</v>
      </c>
      <c r="M13" s="1314" t="n">
        <v>0</v>
      </c>
      <c r="N13" s="1314" t="n">
        <v>0</v>
      </c>
      <c r="O13" s="1252"/>
      <c r="P13" s="1314" t="n">
        <v>0</v>
      </c>
      <c r="Q13" s="1314" t="n">
        <v>0</v>
      </c>
      <c r="R13" s="1314" t="n">
        <v>0</v>
      </c>
      <c r="S13" s="1252"/>
      <c r="T13" s="1314" t="n">
        <v>0</v>
      </c>
      <c r="U13" s="1314" t="n">
        <v>0</v>
      </c>
      <c r="V13" s="1314" t="n">
        <v>0</v>
      </c>
      <c r="W13" s="1252"/>
      <c r="X13" s="1314" t="n">
        <v>0</v>
      </c>
      <c r="Y13" s="1314" t="n">
        <v>0</v>
      </c>
      <c r="Z13" s="1314" t="n">
        <v>0</v>
      </c>
      <c r="AA13" s="1252" t="n">
        <v>0</v>
      </c>
      <c r="AB13" s="1314" t="n">
        <v>0</v>
      </c>
      <c r="AC13" s="1314" t="n">
        <v>0</v>
      </c>
      <c r="AD13" s="1314" t="n">
        <v>0</v>
      </c>
      <c r="AE13" s="1252"/>
      <c r="AF13" s="1314" t="n">
        <v>0</v>
      </c>
      <c r="AG13" s="1314" t="n">
        <v>0</v>
      </c>
      <c r="AH13" s="1314" t="n">
        <v>0</v>
      </c>
      <c r="AI13" s="1252"/>
      <c r="AJ13" s="1314" t="n">
        <v>0</v>
      </c>
      <c r="AK13" s="1314" t="n">
        <v>0</v>
      </c>
      <c r="AL13" s="1314" t="n">
        <v>0</v>
      </c>
      <c r="AM13" s="1252"/>
      <c r="AN13" s="1253" t="n">
        <v>2</v>
      </c>
      <c r="AO13" s="1316" t="n">
        <v>0.1</v>
      </c>
      <c r="AP13" s="1252"/>
      <c r="AQ13" s="0"/>
      <c r="AR13" s="0"/>
      <c r="AS13" s="0"/>
      <c r="AT13" s="0" t="n">
        <v>1</v>
      </c>
      <c r="AU13" s="0" t="str">
        <f aca="false">AV13&amp;"Q"&amp;ROUNDUP(MONTH(AW13)/3,0)</f>
        <v>2000Q3</v>
      </c>
      <c r="AV13" s="0" t="n">
        <f aca="false">YEAR(AW13)</f>
        <v>2000</v>
      </c>
      <c r="AW13" s="1304" t="n">
        <f aca="false">EOMONTH(AW12,0)+1</f>
        <v>36739</v>
      </c>
      <c r="AX13" s="112" t="n">
        <v>0</v>
      </c>
      <c r="AY13" s="112" t="n">
        <v>0</v>
      </c>
      <c r="AZ13" s="112" t="n">
        <v>0</v>
      </c>
      <c r="BA13" s="163" t="n">
        <v>1</v>
      </c>
      <c r="BB13" s="163" t="n">
        <v>1</v>
      </c>
      <c r="BC13" s="163" t="n">
        <v>1</v>
      </c>
      <c r="BD13" s="163" t="n">
        <v>0</v>
      </c>
      <c r="BE13" s="163"/>
      <c r="BF13" s="163" t="n">
        <v>0</v>
      </c>
      <c r="BG13" s="1290" t="n">
        <v>0</v>
      </c>
      <c r="BH13" s="1291"/>
      <c r="BI13" s="1292"/>
      <c r="BJ13" s="1262"/>
      <c r="BK13" s="1293" t="n">
        <v>0</v>
      </c>
      <c r="BL13" s="1294" t="n">
        <f aca="false">+AY13+BK13</f>
        <v>0</v>
      </c>
      <c r="BM13" s="1295" t="n">
        <f aca="false">AY13</f>
        <v>0</v>
      </c>
      <c r="BN13" s="1262"/>
      <c r="BO13" s="1296" t="n">
        <v>2.4</v>
      </c>
      <c r="BQ13" s="1299" t="n">
        <f aca="false">VLOOKUP($AW13,$BU$8:$BZ$291,5,FALSE())</f>
        <v>2.36426590140321</v>
      </c>
      <c r="BR13" s="1299" t="n">
        <f aca="false">VLOOKUP($AW13,$BU$8:$BZ$291,6,FALSE())</f>
        <v>1.8698208855251</v>
      </c>
      <c r="BS13" s="1262" t="n">
        <v>0</v>
      </c>
      <c r="BT13" s="1318"/>
      <c r="BU13" s="1309" t="n">
        <f aca="false">EDATE(BU12,1)</f>
        <v>36312</v>
      </c>
      <c r="BV13" s="1310" t="n">
        <v>2.16382966291906</v>
      </c>
      <c r="BW13" s="1310" t="n">
        <v>1.66411894006188</v>
      </c>
      <c r="BX13" s="1310"/>
      <c r="BY13" s="1310" t="n">
        <v>2.20710625617744</v>
      </c>
      <c r="BZ13" s="1311" t="n">
        <v>1.69740131886312</v>
      </c>
      <c r="CA13" s="1232"/>
      <c r="CB13" s="1232"/>
      <c r="CC13" s="1232"/>
      <c r="CD13" s="1232"/>
      <c r="CE13" s="1232"/>
      <c r="CF13" s="1232"/>
      <c r="CG13" s="1232"/>
      <c r="CH13" s="1232"/>
      <c r="CI13" s="1232"/>
    </row>
    <row r="14" customFormat="false" ht="12.75" hidden="false" customHeight="false" outlineLevel="0" collapsed="false">
      <c r="A14" s="1246"/>
      <c r="B14" s="1312" t="n">
        <v>36514</v>
      </c>
      <c r="C14" s="1313" t="n">
        <v>0</v>
      </c>
      <c r="D14" s="1313" t="n">
        <v>0</v>
      </c>
      <c r="E14" s="1313" t="n">
        <v>0</v>
      </c>
      <c r="F14" s="1287"/>
      <c r="G14" s="1313" t="n">
        <v>0</v>
      </c>
      <c r="H14" s="1313" t="n">
        <v>0</v>
      </c>
      <c r="I14" s="1313" t="n">
        <v>0</v>
      </c>
      <c r="J14" s="1253"/>
      <c r="K14" s="1254" t="n">
        <v>36617</v>
      </c>
      <c r="L14" s="1314" t="n">
        <v>0</v>
      </c>
      <c r="M14" s="1314" t="n">
        <v>0</v>
      </c>
      <c r="N14" s="1314" t="n">
        <v>0</v>
      </c>
      <c r="O14" s="1252"/>
      <c r="P14" s="1314" t="n">
        <v>0</v>
      </c>
      <c r="Q14" s="1314" t="n">
        <v>0</v>
      </c>
      <c r="R14" s="1314" t="n">
        <v>0</v>
      </c>
      <c r="S14" s="1252"/>
      <c r="T14" s="1314" t="n">
        <v>0</v>
      </c>
      <c r="U14" s="1314" t="n">
        <v>0</v>
      </c>
      <c r="V14" s="1314" t="n">
        <v>0</v>
      </c>
      <c r="W14" s="1252"/>
      <c r="X14" s="1314" t="n">
        <v>0</v>
      </c>
      <c r="Y14" s="1314" t="n">
        <v>0</v>
      </c>
      <c r="Z14" s="1314" t="n">
        <v>0</v>
      </c>
      <c r="AA14" s="1252" t="n">
        <v>0</v>
      </c>
      <c r="AB14" s="1314" t="n">
        <v>0</v>
      </c>
      <c r="AC14" s="1314" t="n">
        <v>0</v>
      </c>
      <c r="AD14" s="1314" t="n">
        <v>0</v>
      </c>
      <c r="AE14" s="1252"/>
      <c r="AF14" s="1314" t="n">
        <v>0</v>
      </c>
      <c r="AG14" s="1314" t="n">
        <v>0</v>
      </c>
      <c r="AH14" s="1314" t="n">
        <v>0</v>
      </c>
      <c r="AI14" s="1252"/>
      <c r="AJ14" s="1314" t="n">
        <v>0</v>
      </c>
      <c r="AK14" s="1314" t="n">
        <v>0</v>
      </c>
      <c r="AL14" s="1314" t="n">
        <v>0</v>
      </c>
      <c r="AM14" s="1252"/>
      <c r="AN14" s="1253" t="n">
        <v>2</v>
      </c>
      <c r="AO14" s="1316" t="n">
        <v>0.1</v>
      </c>
      <c r="AP14" s="1252"/>
      <c r="AQ14" s="0"/>
      <c r="AR14" s="0"/>
      <c r="AS14" s="0"/>
      <c r="AT14" s="0" t="n">
        <v>1</v>
      </c>
      <c r="AU14" s="0" t="str">
        <f aca="false">AV14&amp;"Q"&amp;ROUNDUP(MONTH(AW14)/3,0)</f>
        <v>2000Q3</v>
      </c>
      <c r="AV14" s="0" t="n">
        <f aca="false">YEAR(AW14)</f>
        <v>2000</v>
      </c>
      <c r="AW14" s="1304" t="n">
        <f aca="false">EOMONTH(AW13,0)+1</f>
        <v>36770</v>
      </c>
      <c r="AX14" s="112" t="n">
        <v>0</v>
      </c>
      <c r="AY14" s="112" t="n">
        <v>0</v>
      </c>
      <c r="AZ14" s="112" t="n">
        <v>0</v>
      </c>
      <c r="BA14" s="163" t="n">
        <v>1</v>
      </c>
      <c r="BB14" s="163" t="n">
        <v>1</v>
      </c>
      <c r="BC14" s="163" t="n">
        <v>1</v>
      </c>
      <c r="BD14" s="163" t="n">
        <v>0</v>
      </c>
      <c r="BE14" s="163"/>
      <c r="BF14" s="163" t="n">
        <v>0</v>
      </c>
      <c r="BG14" s="1290" t="n">
        <v>0</v>
      </c>
      <c r="BH14" s="1291"/>
      <c r="BI14" s="1292"/>
      <c r="BJ14" s="1262"/>
      <c r="BK14" s="1293" t="n">
        <v>0</v>
      </c>
      <c r="BL14" s="1319" t="n">
        <f aca="false">+AY14+BK14</f>
        <v>0</v>
      </c>
      <c r="BM14" s="1295" t="n">
        <f aca="false">AY14</f>
        <v>0</v>
      </c>
      <c r="BN14" s="1262"/>
      <c r="BO14" s="1296" t="n">
        <v>2.4</v>
      </c>
      <c r="BQ14" s="1299" t="n">
        <f aca="false">VLOOKUP($AW14,$BU$8:$BZ$291,5,FALSE())</f>
        <v>2.44392412262869</v>
      </c>
      <c r="BR14" s="1299" t="n">
        <f aca="false">VLOOKUP($AW14,$BU$8:$BZ$291,6,FALSE())</f>
        <v>1.92250376858397</v>
      </c>
      <c r="BS14" s="1262" t="n">
        <v>0</v>
      </c>
      <c r="BT14" s="1318"/>
      <c r="BU14" s="1309" t="n">
        <f aca="false">EDATE(BU13,1)</f>
        <v>36342</v>
      </c>
      <c r="BV14" s="1310" t="n">
        <v>2.19152593151917</v>
      </c>
      <c r="BW14" s="1310" t="n">
        <v>1.68985575319465</v>
      </c>
      <c r="BX14" s="1310"/>
      <c r="BY14" s="1310" t="n">
        <v>2.23535645014956</v>
      </c>
      <c r="BZ14" s="1311" t="n">
        <v>1.72365286825854</v>
      </c>
      <c r="CA14" s="1297"/>
      <c r="CB14" s="1297"/>
      <c r="CC14" s="1297"/>
      <c r="CD14" s="1297"/>
      <c r="CE14" s="1297"/>
      <c r="CF14" s="1297"/>
      <c r="CG14" s="1297"/>
      <c r="CH14" s="1297"/>
      <c r="CI14" s="1297"/>
    </row>
    <row r="15" customFormat="false" ht="12.75" hidden="false" customHeight="false" outlineLevel="0" collapsed="false">
      <c r="A15" s="1246"/>
      <c r="B15" s="1312" t="n">
        <v>36515</v>
      </c>
      <c r="C15" s="1313" t="n">
        <v>0</v>
      </c>
      <c r="D15" s="1313" t="n">
        <v>0</v>
      </c>
      <c r="E15" s="1313" t="n">
        <v>0</v>
      </c>
      <c r="F15" s="1287"/>
      <c r="G15" s="1313" t="n">
        <v>0</v>
      </c>
      <c r="H15" s="1313" t="n">
        <v>0</v>
      </c>
      <c r="I15" s="1313" t="n">
        <v>0</v>
      </c>
      <c r="J15" s="1253"/>
      <c r="K15" s="1254" t="n">
        <v>36647</v>
      </c>
      <c r="L15" s="1314" t="n">
        <v>0</v>
      </c>
      <c r="M15" s="1314" t="n">
        <v>0</v>
      </c>
      <c r="N15" s="1314" t="n">
        <v>0</v>
      </c>
      <c r="O15" s="1252"/>
      <c r="P15" s="1314" t="n">
        <v>0</v>
      </c>
      <c r="Q15" s="1314" t="n">
        <v>0</v>
      </c>
      <c r="R15" s="1314" t="n">
        <v>0</v>
      </c>
      <c r="S15" s="1252"/>
      <c r="T15" s="1314" t="n">
        <v>0</v>
      </c>
      <c r="U15" s="1314" t="n">
        <v>0</v>
      </c>
      <c r="V15" s="1314" t="n">
        <v>0</v>
      </c>
      <c r="W15" s="1252"/>
      <c r="X15" s="1314" t="n">
        <v>0</v>
      </c>
      <c r="Y15" s="1314" t="n">
        <v>0</v>
      </c>
      <c r="Z15" s="1314" t="n">
        <v>0</v>
      </c>
      <c r="AA15" s="1252" t="n">
        <v>0</v>
      </c>
      <c r="AB15" s="1314" t="n">
        <v>0</v>
      </c>
      <c r="AC15" s="1314" t="n">
        <v>0</v>
      </c>
      <c r="AD15" s="1314" t="n">
        <v>0</v>
      </c>
      <c r="AE15" s="1252"/>
      <c r="AF15" s="1314" t="n">
        <v>0</v>
      </c>
      <c r="AG15" s="1314" t="n">
        <v>0</v>
      </c>
      <c r="AH15" s="1314" t="n">
        <v>0</v>
      </c>
      <c r="AI15" s="1252"/>
      <c r="AJ15" s="1314" t="n">
        <v>0</v>
      </c>
      <c r="AK15" s="1314" t="n">
        <v>0</v>
      </c>
      <c r="AL15" s="1314" t="n">
        <v>0</v>
      </c>
      <c r="AM15" s="1252"/>
      <c r="AN15" s="1253" t="n">
        <v>2</v>
      </c>
      <c r="AO15" s="1316" t="n">
        <v>0.1</v>
      </c>
      <c r="AP15" s="1252"/>
      <c r="AQ15" s="0"/>
      <c r="AR15" s="0"/>
      <c r="AS15" s="0"/>
      <c r="AT15" s="0" t="n">
        <v>1</v>
      </c>
      <c r="AU15" s="0" t="str">
        <f aca="false">AV15&amp;"Q"&amp;ROUNDUP(MONTH(AW15)/3,0)</f>
        <v>2000Q4</v>
      </c>
      <c r="AV15" s="0" t="n">
        <f aca="false">YEAR(AW15)</f>
        <v>2000</v>
      </c>
      <c r="AW15" s="1304" t="n">
        <f aca="false">EOMONTH(AW14,0)+1</f>
        <v>36800</v>
      </c>
      <c r="AX15" s="112" t="n">
        <v>0</v>
      </c>
      <c r="AY15" s="112" t="n">
        <v>0</v>
      </c>
      <c r="AZ15" s="112" t="n">
        <v>0</v>
      </c>
      <c r="BA15" s="163" t="n">
        <v>1</v>
      </c>
      <c r="BB15" s="163" t="n">
        <v>1</v>
      </c>
      <c r="BC15" s="163" t="n">
        <v>1</v>
      </c>
      <c r="BD15" s="163" t="n">
        <v>0</v>
      </c>
      <c r="BE15" s="163"/>
      <c r="BF15" s="163" t="n">
        <v>0</v>
      </c>
      <c r="BG15" s="1290" t="n">
        <v>0</v>
      </c>
      <c r="BH15" s="1291"/>
      <c r="BI15" s="1292"/>
      <c r="BJ15" s="1262"/>
      <c r="BK15" s="1293" t="n">
        <v>0</v>
      </c>
      <c r="BL15" s="1294" t="n">
        <f aca="false">+AY15+BK15</f>
        <v>0</v>
      </c>
      <c r="BM15" s="1295" t="n">
        <f aca="false">AY15</f>
        <v>0</v>
      </c>
      <c r="BN15" s="1262"/>
      <c r="BO15" s="1296" t="n">
        <v>2.4</v>
      </c>
      <c r="BQ15" s="1299" t="n">
        <f aca="false">VLOOKUP($AW15,$BU$8:$BZ$291,5,FALSE())</f>
        <v>2.5488156934349</v>
      </c>
      <c r="BR15" s="1299" t="n">
        <f aca="false">VLOOKUP($AW15,$BU$8:$BZ$291,6,FALSE())</f>
        <v>1.97813689309412</v>
      </c>
      <c r="BS15" s="1262" t="n">
        <v>0</v>
      </c>
      <c r="BT15" s="1318"/>
      <c r="BU15" s="1309" t="n">
        <f aca="false">EDATE(BU14,1)</f>
        <v>36373</v>
      </c>
      <c r="BV15" s="1310" t="n">
        <v>2.24316304246854</v>
      </c>
      <c r="BW15" s="1310" t="n">
        <v>1.73002077975033</v>
      </c>
      <c r="BX15" s="1310"/>
      <c r="BY15" s="1310" t="n">
        <v>2.28802630331791</v>
      </c>
      <c r="BZ15" s="1311" t="n">
        <v>1.76462119534534</v>
      </c>
      <c r="CA15" s="1232"/>
      <c r="CB15" s="1232"/>
      <c r="CC15" s="1232"/>
      <c r="CD15" s="1232"/>
      <c r="CE15" s="1232"/>
      <c r="CF15" s="1232"/>
      <c r="CG15" s="1232"/>
      <c r="CH15" s="1232"/>
      <c r="CI15" s="1232"/>
    </row>
    <row r="16" customFormat="false" ht="12.75" hidden="false" customHeight="false" outlineLevel="0" collapsed="false">
      <c r="A16" s="1246"/>
      <c r="B16" s="1312" t="n">
        <v>36516</v>
      </c>
      <c r="C16" s="1313" t="n">
        <v>0</v>
      </c>
      <c r="D16" s="1313" t="n">
        <v>0</v>
      </c>
      <c r="E16" s="1313" t="n">
        <v>0</v>
      </c>
      <c r="F16" s="1287"/>
      <c r="G16" s="1313" t="n">
        <v>0</v>
      </c>
      <c r="H16" s="1313" t="n">
        <v>0</v>
      </c>
      <c r="I16" s="1313" t="n">
        <v>0</v>
      </c>
      <c r="J16" s="1253"/>
      <c r="K16" s="1320" t="n">
        <v>36678</v>
      </c>
      <c r="L16" s="1314" t="n">
        <v>0</v>
      </c>
      <c r="M16" s="1314" t="n">
        <v>0</v>
      </c>
      <c r="N16" s="1314" t="n">
        <v>0</v>
      </c>
      <c r="O16" s="1252"/>
      <c r="P16" s="1314" t="n">
        <v>0</v>
      </c>
      <c r="Q16" s="1314" t="n">
        <v>0</v>
      </c>
      <c r="R16" s="1314" t="n">
        <v>0</v>
      </c>
      <c r="S16" s="1252"/>
      <c r="T16" s="1321" t="n">
        <v>0</v>
      </c>
      <c r="U16" s="1321" t="n">
        <v>0</v>
      </c>
      <c r="V16" s="1321" t="n">
        <v>0</v>
      </c>
      <c r="W16" s="1322"/>
      <c r="X16" s="1314" t="n">
        <v>0</v>
      </c>
      <c r="Y16" s="1314" t="n">
        <v>0</v>
      </c>
      <c r="Z16" s="1314" t="n">
        <v>0</v>
      </c>
      <c r="AA16" s="1252" t="n">
        <v>0</v>
      </c>
      <c r="AB16" s="1314" t="n">
        <v>0</v>
      </c>
      <c r="AC16" s="1314" t="n">
        <v>0</v>
      </c>
      <c r="AD16" s="1314" t="n">
        <v>0</v>
      </c>
      <c r="AE16" s="1252"/>
      <c r="AF16" s="1314" t="n">
        <v>0</v>
      </c>
      <c r="AG16" s="1314" t="n">
        <v>0</v>
      </c>
      <c r="AH16" s="1314" t="n">
        <v>0</v>
      </c>
      <c r="AI16" s="1252"/>
      <c r="AJ16" s="1314" t="n">
        <v>0</v>
      </c>
      <c r="AK16" s="1314" t="n">
        <v>0</v>
      </c>
      <c r="AL16" s="1314" t="n">
        <v>0</v>
      </c>
      <c r="AM16" s="1166"/>
      <c r="AN16" s="1253" t="n">
        <v>3</v>
      </c>
      <c r="AO16" s="1316" t="n">
        <v>0.1</v>
      </c>
      <c r="AP16" s="1252"/>
      <c r="AQ16" s="0"/>
      <c r="AR16" s="0"/>
      <c r="AS16" s="0"/>
      <c r="AT16" s="0" t="n">
        <v>1</v>
      </c>
      <c r="AU16" s="0" t="str">
        <f aca="false">AV16&amp;"Q"&amp;ROUNDUP(MONTH(AW16)/3,0)</f>
        <v>2000Q4</v>
      </c>
      <c r="AV16" s="0" t="n">
        <f aca="false">YEAR(AW16)</f>
        <v>2000</v>
      </c>
      <c r="AW16" s="1304" t="n">
        <f aca="false">EOMONTH(AW15,0)+1</f>
        <v>36831</v>
      </c>
      <c r="AX16" s="112" t="n">
        <v>0</v>
      </c>
      <c r="AY16" s="112" t="n">
        <v>0</v>
      </c>
      <c r="AZ16" s="112" t="n">
        <v>0</v>
      </c>
      <c r="BA16" s="163" t="n">
        <v>1</v>
      </c>
      <c r="BB16" s="163" t="n">
        <v>1</v>
      </c>
      <c r="BC16" s="163" t="n">
        <v>1</v>
      </c>
      <c r="BD16" s="163" t="n">
        <v>0</v>
      </c>
      <c r="BE16" s="163"/>
      <c r="BF16" s="163" t="n">
        <v>0</v>
      </c>
      <c r="BG16" s="1290" t="n">
        <v>0</v>
      </c>
      <c r="BH16" s="1291"/>
      <c r="BI16" s="1292"/>
      <c r="BJ16" s="1262"/>
      <c r="BK16" s="1293" t="n">
        <v>0</v>
      </c>
      <c r="BL16" s="1294" t="n">
        <f aca="false">+AY16+BK16</f>
        <v>0</v>
      </c>
      <c r="BM16" s="1295" t="n">
        <f aca="false">AY16</f>
        <v>0</v>
      </c>
      <c r="BN16" s="1262"/>
      <c r="BO16" s="1296" t="n">
        <v>2.4</v>
      </c>
      <c r="BQ16" s="1299" t="n">
        <f aca="false">VLOOKUP($AW16,$BU$8:$BZ$291,5,FALSE())</f>
        <v>2.67894061382185</v>
      </c>
      <c r="BR16" s="1299" t="n">
        <f aca="false">VLOOKUP($AW16,$BU$8:$BZ$291,6,FALSE())</f>
        <v>2.03039831308851</v>
      </c>
      <c r="BS16" s="1262" t="n">
        <v>0</v>
      </c>
      <c r="BT16" s="1318"/>
      <c r="BU16" s="1309" t="n">
        <f aca="false">EDATE(BU15,1)</f>
        <v>36404</v>
      </c>
      <c r="BV16" s="1310" t="n">
        <v>2.31874099576715</v>
      </c>
      <c r="BW16" s="1310" t="n">
        <v>1.77876474401694</v>
      </c>
      <c r="BX16" s="1310"/>
      <c r="BY16" s="1310" t="n">
        <v>2.36511581568249</v>
      </c>
      <c r="BZ16" s="1311" t="n">
        <v>1.81434003889728</v>
      </c>
      <c r="CA16" s="1297"/>
      <c r="CB16" s="1297"/>
      <c r="CC16" s="1297"/>
      <c r="CD16" s="1297"/>
      <c r="CE16" s="1297"/>
      <c r="CF16" s="1297"/>
      <c r="CG16" s="1297"/>
      <c r="CH16" s="1297"/>
      <c r="CI16" s="1297"/>
    </row>
    <row r="17" customFormat="false" ht="12.75" hidden="false" customHeight="false" outlineLevel="0" collapsed="false">
      <c r="A17" s="1246"/>
      <c r="B17" s="1312" t="n">
        <v>36517</v>
      </c>
      <c r="C17" s="1313" t="n">
        <v>0</v>
      </c>
      <c r="D17" s="1313" t="n">
        <v>0</v>
      </c>
      <c r="E17" s="1313" t="n">
        <v>0</v>
      </c>
      <c r="F17" s="1287"/>
      <c r="G17" s="1313" t="n">
        <v>0</v>
      </c>
      <c r="H17" s="1313" t="n">
        <v>0</v>
      </c>
      <c r="I17" s="1313" t="n">
        <v>0</v>
      </c>
      <c r="J17" s="1253"/>
      <c r="K17" s="1254" t="n">
        <v>36708</v>
      </c>
      <c r="L17" s="1314" t="n">
        <v>0</v>
      </c>
      <c r="M17" s="1314" t="n">
        <v>0</v>
      </c>
      <c r="N17" s="1314" t="n">
        <v>0</v>
      </c>
      <c r="O17" s="1252"/>
      <c r="P17" s="1314" t="n">
        <v>0</v>
      </c>
      <c r="Q17" s="1314" t="n">
        <v>0</v>
      </c>
      <c r="R17" s="1314" t="n">
        <v>0</v>
      </c>
      <c r="S17" s="1252"/>
      <c r="T17" s="1314" t="n">
        <v>0</v>
      </c>
      <c r="U17" s="1314" t="n">
        <v>0</v>
      </c>
      <c r="V17" s="1314" t="n">
        <v>0</v>
      </c>
      <c r="W17" s="1252"/>
      <c r="X17" s="1314" t="n">
        <v>0</v>
      </c>
      <c r="Y17" s="1314" t="n">
        <v>0</v>
      </c>
      <c r="Z17" s="1314" t="n">
        <v>0</v>
      </c>
      <c r="AA17" s="1252" t="n">
        <v>0</v>
      </c>
      <c r="AB17" s="1314" t="n">
        <v>0</v>
      </c>
      <c r="AC17" s="1314" t="n">
        <v>0</v>
      </c>
      <c r="AD17" s="1314" t="n">
        <v>0</v>
      </c>
      <c r="AE17" s="1252"/>
      <c r="AF17" s="1314" t="n">
        <v>0</v>
      </c>
      <c r="AG17" s="1314" t="n">
        <v>0</v>
      </c>
      <c r="AH17" s="1314" t="n">
        <v>0</v>
      </c>
      <c r="AI17" s="1252"/>
      <c r="AJ17" s="1314" t="n">
        <v>0</v>
      </c>
      <c r="AK17" s="1314" t="n">
        <v>0</v>
      </c>
      <c r="AL17" s="1314" t="n">
        <v>0</v>
      </c>
      <c r="AM17" s="1166"/>
      <c r="AN17" s="1253" t="n">
        <v>3</v>
      </c>
      <c r="AO17" s="1316" t="n">
        <v>0.1</v>
      </c>
      <c r="AP17" s="1252"/>
      <c r="AQ17" s="0"/>
      <c r="AR17" s="0"/>
      <c r="AS17" s="0"/>
      <c r="AT17" s="0" t="n">
        <v>1</v>
      </c>
      <c r="AU17" s="0" t="str">
        <f aca="false">AV17&amp;"Q"&amp;ROUNDUP(MONTH(AW17)/3,0)</f>
        <v>2000Q4</v>
      </c>
      <c r="AV17" s="0" t="n">
        <f aca="false">YEAR(AW17)</f>
        <v>2000</v>
      </c>
      <c r="AW17" s="1304" t="n">
        <f aca="false">EOMONTH(AW16,0)+1</f>
        <v>36861</v>
      </c>
      <c r="AX17" s="112" t="n">
        <v>0</v>
      </c>
      <c r="AY17" s="112" t="n">
        <v>0</v>
      </c>
      <c r="AZ17" s="112" t="n">
        <v>0</v>
      </c>
      <c r="BA17" s="163" t="n">
        <v>1</v>
      </c>
      <c r="BB17" s="163" t="n">
        <v>1</v>
      </c>
      <c r="BC17" s="163" t="n">
        <v>1</v>
      </c>
      <c r="BD17" s="163" t="n">
        <v>0</v>
      </c>
      <c r="BE17" s="163"/>
      <c r="BF17" s="163" t="n">
        <v>0</v>
      </c>
      <c r="BG17" s="1290" t="n">
        <v>0</v>
      </c>
      <c r="BH17" s="1291"/>
      <c r="BI17" s="1292"/>
      <c r="BJ17" s="1262"/>
      <c r="BK17" s="1293" t="n">
        <v>0</v>
      </c>
      <c r="BL17" s="1294" t="n">
        <f aca="false">+AY17+BK17</f>
        <v>0</v>
      </c>
      <c r="BM17" s="1295" t="n">
        <f aca="false">AY17</f>
        <v>0</v>
      </c>
      <c r="BN17" s="1262"/>
      <c r="BO17" s="1296" t="n">
        <v>2.4</v>
      </c>
      <c r="BQ17" s="1299" t="n">
        <f aca="false">VLOOKUP($AW17,$BU$8:$BZ$291,5,FALSE())</f>
        <v>2.73553258490116</v>
      </c>
      <c r="BR17" s="1299" t="n">
        <f aca="false">VLOOKUP($AW17,$BU$8:$BZ$291,6,FALSE())</f>
        <v>2.07296608260007</v>
      </c>
      <c r="BS17" s="1262" t="n">
        <v>0</v>
      </c>
      <c r="BT17" s="1318"/>
      <c r="BU17" s="1309" t="n">
        <f aca="false">EDATE(BU16,1)</f>
        <v>36434</v>
      </c>
      <c r="BV17" s="1310" t="n">
        <v>2.41825979141502</v>
      </c>
      <c r="BW17" s="1310" t="n">
        <v>1.83023837028247</v>
      </c>
      <c r="BX17" s="1310"/>
      <c r="BY17" s="1310" t="n">
        <v>2.46662498724332</v>
      </c>
      <c r="BZ17" s="1311" t="n">
        <v>1.86684313768812</v>
      </c>
      <c r="CA17" s="1297"/>
      <c r="CB17" s="1297"/>
      <c r="CC17" s="1297"/>
      <c r="CD17" s="1297"/>
      <c r="CE17" s="1297"/>
      <c r="CF17" s="1297"/>
      <c r="CG17" s="1297"/>
      <c r="CH17" s="1297"/>
      <c r="CI17" s="1297"/>
    </row>
    <row r="18" customFormat="false" ht="12.75" hidden="false" customHeight="false" outlineLevel="0" collapsed="false">
      <c r="A18" s="1246"/>
      <c r="B18" s="1312" t="n">
        <v>36518</v>
      </c>
      <c r="C18" s="1313" t="n">
        <v>0</v>
      </c>
      <c r="D18" s="1313" t="n">
        <v>0</v>
      </c>
      <c r="E18" s="1313" t="n">
        <v>0</v>
      </c>
      <c r="F18" s="1287"/>
      <c r="G18" s="1313" t="n">
        <v>0</v>
      </c>
      <c r="H18" s="1313" t="n">
        <v>0</v>
      </c>
      <c r="I18" s="1313" t="n">
        <v>0</v>
      </c>
      <c r="J18" s="1253"/>
      <c r="K18" s="1254" t="n">
        <v>36739</v>
      </c>
      <c r="L18" s="1314" t="n">
        <v>0</v>
      </c>
      <c r="M18" s="1314" t="n">
        <v>0</v>
      </c>
      <c r="N18" s="1314" t="n">
        <v>0</v>
      </c>
      <c r="O18" s="1252"/>
      <c r="P18" s="1314" t="n">
        <v>0</v>
      </c>
      <c r="Q18" s="1314" t="n">
        <v>0</v>
      </c>
      <c r="R18" s="1314" t="n">
        <v>0</v>
      </c>
      <c r="S18" s="1252"/>
      <c r="T18" s="1314" t="n">
        <v>0</v>
      </c>
      <c r="U18" s="1314" t="n">
        <v>0</v>
      </c>
      <c r="V18" s="1314" t="n">
        <v>0</v>
      </c>
      <c r="W18" s="1252"/>
      <c r="X18" s="1314" t="n">
        <v>0</v>
      </c>
      <c r="Y18" s="1314" t="n">
        <v>0</v>
      </c>
      <c r="Z18" s="1314" t="n">
        <v>0</v>
      </c>
      <c r="AA18" s="1252" t="n">
        <v>0</v>
      </c>
      <c r="AB18" s="1314" t="n">
        <v>0</v>
      </c>
      <c r="AC18" s="1314" t="n">
        <v>0</v>
      </c>
      <c r="AD18" s="1314" t="n">
        <v>0</v>
      </c>
      <c r="AE18" s="1252"/>
      <c r="AF18" s="1314" t="n">
        <v>0</v>
      </c>
      <c r="AG18" s="1314" t="n">
        <v>0</v>
      </c>
      <c r="AH18" s="1314" t="n">
        <v>0</v>
      </c>
      <c r="AI18" s="1252"/>
      <c r="AJ18" s="1314" t="n">
        <v>0</v>
      </c>
      <c r="AK18" s="1314" t="n">
        <v>0</v>
      </c>
      <c r="AL18" s="1314" t="n">
        <v>0</v>
      </c>
      <c r="AM18" s="1166"/>
      <c r="AN18" s="1253" t="n">
        <v>3</v>
      </c>
      <c r="AO18" s="1316" t="n">
        <v>0.1</v>
      </c>
      <c r="AP18" s="1252"/>
      <c r="AQ18" s="0"/>
      <c r="AR18" s="0"/>
      <c r="AS18" s="0"/>
      <c r="AT18" s="0" t="n">
        <v>1</v>
      </c>
      <c r="AU18" s="0" t="str">
        <f aca="false">AV18&amp;"Q"&amp;ROUNDUP(MONTH(AW18)/3,0)</f>
        <v>2001Q1</v>
      </c>
      <c r="AV18" s="0" t="n">
        <f aca="false">YEAR(AW18)</f>
        <v>2001</v>
      </c>
      <c r="AW18" s="1304" t="n">
        <f aca="false">EOMONTH(AW17,0)+1</f>
        <v>36892</v>
      </c>
      <c r="AX18" s="112" t="n">
        <f aca="false">AY18</f>
        <v>3.20581339378985</v>
      </c>
      <c r="AY18" s="1323" t="n">
        <v>3.20581339378985</v>
      </c>
      <c r="AZ18" s="112" t="n">
        <f aca="false">AY18</f>
        <v>3.20581339378985</v>
      </c>
      <c r="BA18" s="163" t="n">
        <v>1</v>
      </c>
      <c r="BB18" s="163" t="n">
        <v>1</v>
      </c>
      <c r="BC18" s="163" t="n">
        <v>1</v>
      </c>
      <c r="BD18" s="163" t="n">
        <v>0</v>
      </c>
      <c r="BE18" s="163"/>
      <c r="BF18" s="163" t="n">
        <v>0</v>
      </c>
      <c r="BG18" s="1290" t="n">
        <v>0</v>
      </c>
      <c r="BH18" s="1291"/>
      <c r="BI18" s="1292"/>
      <c r="BJ18" s="1262"/>
      <c r="BK18" s="1293" t="n">
        <v>0</v>
      </c>
      <c r="BL18" s="1294" t="n">
        <f aca="false">+AY18</f>
        <v>3.20581339378985</v>
      </c>
      <c r="BM18" s="1295" t="n">
        <f aca="false">AY18</f>
        <v>3.20581339378985</v>
      </c>
      <c r="BN18" s="1324" t="e">
        <f aca="false">+BM18/BM6-1</f>
        <v>#DIV/0!</v>
      </c>
      <c r="BO18" s="1296" t="n">
        <v>2.4</v>
      </c>
      <c r="BQ18" s="1299" t="n">
        <f aca="false">VLOOKUP($AW18,$BU$8:$BZ$291,5,FALSE())</f>
        <v>2.68955216378529</v>
      </c>
      <c r="BR18" s="1299" t="n">
        <f aca="false">VLOOKUP($AW18,$BU$8:$BZ$291,6,FALSE())</f>
        <v>2.2251185375857</v>
      </c>
      <c r="BS18" s="1262" t="n">
        <v>0</v>
      </c>
      <c r="BT18" s="1318"/>
      <c r="BU18" s="1309" t="n">
        <f aca="false">EDATE(BU17,1)</f>
        <v>36465</v>
      </c>
      <c r="BV18" s="1310" t="n">
        <v>2.54171942941214</v>
      </c>
      <c r="BW18" s="1310" t="n">
        <v>1.87859238283495</v>
      </c>
      <c r="BX18" s="1310"/>
      <c r="BY18" s="1310" t="n">
        <v>2.59255381800038</v>
      </c>
      <c r="BZ18" s="1311" t="n">
        <v>1.91616423049164</v>
      </c>
    </row>
    <row r="19" customFormat="false" ht="12.75" hidden="false" customHeight="false" outlineLevel="0" collapsed="false">
      <c r="A19" s="1246"/>
      <c r="B19" s="1312" t="n">
        <v>36519</v>
      </c>
      <c r="C19" s="1313" t="n">
        <v>0</v>
      </c>
      <c r="D19" s="1313" t="n">
        <v>0</v>
      </c>
      <c r="E19" s="1313" t="n">
        <v>0</v>
      </c>
      <c r="F19" s="1287"/>
      <c r="G19" s="1313" t="n">
        <v>0</v>
      </c>
      <c r="H19" s="1313" t="n">
        <v>0</v>
      </c>
      <c r="I19" s="1313" t="n">
        <v>0</v>
      </c>
      <c r="J19" s="1253"/>
      <c r="K19" s="1254" t="n">
        <v>36770</v>
      </c>
      <c r="L19" s="1314" t="n">
        <v>0</v>
      </c>
      <c r="M19" s="1314" t="n">
        <v>0</v>
      </c>
      <c r="N19" s="1314" t="n">
        <v>0</v>
      </c>
      <c r="O19" s="1252"/>
      <c r="P19" s="1314" t="n">
        <v>0</v>
      </c>
      <c r="Q19" s="1314" t="n">
        <v>0</v>
      </c>
      <c r="R19" s="1314" t="n">
        <v>0</v>
      </c>
      <c r="S19" s="1252"/>
      <c r="T19" s="1314" t="n">
        <v>0</v>
      </c>
      <c r="U19" s="1314" t="n">
        <v>0</v>
      </c>
      <c r="V19" s="1314" t="n">
        <v>0</v>
      </c>
      <c r="W19" s="1252"/>
      <c r="X19" s="1314" t="n">
        <v>0</v>
      </c>
      <c r="Y19" s="1314" t="n">
        <v>0</v>
      </c>
      <c r="Z19" s="1314" t="n">
        <v>0</v>
      </c>
      <c r="AA19" s="1252" t="n">
        <v>0</v>
      </c>
      <c r="AB19" s="1314" t="n">
        <v>0</v>
      </c>
      <c r="AC19" s="1314" t="n">
        <v>0</v>
      </c>
      <c r="AD19" s="1314" t="n">
        <v>0</v>
      </c>
      <c r="AE19" s="1252"/>
      <c r="AF19" s="1314" t="n">
        <v>0</v>
      </c>
      <c r="AG19" s="1314" t="n">
        <v>0</v>
      </c>
      <c r="AH19" s="1314" t="n">
        <v>0</v>
      </c>
      <c r="AI19" s="1252"/>
      <c r="AJ19" s="1314" t="n">
        <v>0</v>
      </c>
      <c r="AK19" s="1314" t="n">
        <v>0</v>
      </c>
      <c r="AL19" s="1314" t="n">
        <v>0</v>
      </c>
      <c r="AM19" s="1166"/>
      <c r="AN19" s="1253" t="n">
        <v>4</v>
      </c>
      <c r="AO19" s="1316" t="n">
        <v>0.1</v>
      </c>
      <c r="AP19" s="1252"/>
      <c r="AQ19" s="0"/>
      <c r="AR19" s="0"/>
      <c r="AS19" s="0"/>
      <c r="AT19" s="0" t="n">
        <v>1</v>
      </c>
      <c r="AU19" s="0" t="str">
        <f aca="false">AV19&amp;"Q"&amp;ROUNDUP(MONTH(AW19)/3,0)</f>
        <v>2001Q1</v>
      </c>
      <c r="AV19" s="0" t="n">
        <f aca="false">YEAR(AW19)</f>
        <v>2001</v>
      </c>
      <c r="AW19" s="1304" t="n">
        <f aca="false">EOMONTH(AW18,0)+1</f>
        <v>36923</v>
      </c>
      <c r="AX19" s="112" t="n">
        <f aca="false">AY19</f>
        <v>3.04095954179077</v>
      </c>
      <c r="AY19" s="1323" t="n">
        <v>3.04095954179077</v>
      </c>
      <c r="AZ19" s="112" t="n">
        <f aca="false">AY19</f>
        <v>3.04095954179077</v>
      </c>
      <c r="BA19" s="163" t="n">
        <v>1</v>
      </c>
      <c r="BB19" s="163" t="n">
        <v>1</v>
      </c>
      <c r="BC19" s="163" t="n">
        <v>1</v>
      </c>
      <c r="BD19" s="163" t="n">
        <v>0</v>
      </c>
      <c r="BE19" s="163"/>
      <c r="BF19" s="163" t="n">
        <v>0</v>
      </c>
      <c r="BG19" s="1290" t="n">
        <v>0</v>
      </c>
      <c r="BH19" s="1291"/>
      <c r="BI19" s="1292"/>
      <c r="BJ19" s="1262"/>
      <c r="BK19" s="1293" t="n">
        <v>0</v>
      </c>
      <c r="BL19" s="1294" t="n">
        <f aca="false">+AY19</f>
        <v>3.04095954179077</v>
      </c>
      <c r="BM19" s="1295" t="n">
        <f aca="false">AY19</f>
        <v>3.04095954179077</v>
      </c>
      <c r="BN19" s="1324" t="e">
        <f aca="false">+BM19/BM7-1</f>
        <v>#DIV/0!</v>
      </c>
      <c r="BO19" s="1296" t="n">
        <v>2.4</v>
      </c>
      <c r="BQ19" s="1299" t="n">
        <f aca="false">VLOOKUP($AW19,$BU$8:$BZ$291,5,FALSE())</f>
        <v>2.48661325787889</v>
      </c>
      <c r="BR19" s="1299" t="n">
        <f aca="false">VLOOKUP($AW19,$BU$8:$BZ$291,6,FALSE())</f>
        <v>2.07256432195451</v>
      </c>
      <c r="BS19" s="1262" t="n">
        <v>0</v>
      </c>
      <c r="BT19" s="1318"/>
      <c r="BU19" s="1309" t="n">
        <f aca="false">EDATE(BU18,1)</f>
        <v>36495</v>
      </c>
      <c r="BV19" s="1310" t="n">
        <v>2.59541263623385</v>
      </c>
      <c r="BW19" s="1310" t="n">
        <v>1.91797750596236</v>
      </c>
      <c r="BX19" s="1310"/>
      <c r="BY19" s="1310" t="n">
        <v>2.64732088895852</v>
      </c>
      <c r="BZ19" s="1311" t="n">
        <v>1.95633705608161</v>
      </c>
    </row>
    <row r="20" customFormat="false" ht="12.75" hidden="false" customHeight="false" outlineLevel="0" collapsed="false">
      <c r="A20" s="1246"/>
      <c r="B20" s="1312" t="n">
        <v>36520</v>
      </c>
      <c r="C20" s="1313" t="n">
        <v>0</v>
      </c>
      <c r="D20" s="1313" t="n">
        <v>0</v>
      </c>
      <c r="E20" s="1313" t="n">
        <v>0</v>
      </c>
      <c r="F20" s="1287"/>
      <c r="G20" s="1313" t="n">
        <v>0</v>
      </c>
      <c r="H20" s="1313" t="n">
        <v>0</v>
      </c>
      <c r="I20" s="1313" t="n">
        <v>0</v>
      </c>
      <c r="J20" s="1253"/>
      <c r="K20" s="1254" t="n">
        <v>36800</v>
      </c>
      <c r="L20" s="1314" t="n">
        <v>0</v>
      </c>
      <c r="M20" s="1314" t="n">
        <v>0</v>
      </c>
      <c r="N20" s="1314" t="n">
        <v>0</v>
      </c>
      <c r="O20" s="1252"/>
      <c r="P20" s="1314" t="n">
        <v>0</v>
      </c>
      <c r="Q20" s="1314" t="n">
        <v>0</v>
      </c>
      <c r="R20" s="1314" t="n">
        <v>0</v>
      </c>
      <c r="S20" s="1252"/>
      <c r="T20" s="1314" t="n">
        <v>0</v>
      </c>
      <c r="U20" s="1314" t="n">
        <v>0</v>
      </c>
      <c r="V20" s="1314" t="n">
        <v>0</v>
      </c>
      <c r="W20" s="1252"/>
      <c r="X20" s="1314" t="n">
        <v>0</v>
      </c>
      <c r="Y20" s="1314" t="n">
        <v>0</v>
      </c>
      <c r="Z20" s="1314" t="n">
        <v>0</v>
      </c>
      <c r="AA20" s="1252" t="n">
        <v>0</v>
      </c>
      <c r="AB20" s="1314" t="n">
        <v>0</v>
      </c>
      <c r="AC20" s="1314" t="n">
        <v>0</v>
      </c>
      <c r="AD20" s="1314" t="n">
        <v>0</v>
      </c>
      <c r="AE20" s="1252"/>
      <c r="AF20" s="1314" t="n">
        <v>0</v>
      </c>
      <c r="AG20" s="1314" t="n">
        <v>0</v>
      </c>
      <c r="AH20" s="1314" t="n">
        <v>0</v>
      </c>
      <c r="AI20" s="1252"/>
      <c r="AJ20" s="1314" t="n">
        <v>0</v>
      </c>
      <c r="AK20" s="1314" t="n">
        <v>0</v>
      </c>
      <c r="AL20" s="1314" t="n">
        <v>0</v>
      </c>
      <c r="AM20" s="1166"/>
      <c r="AN20" s="1253" t="n">
        <v>4</v>
      </c>
      <c r="AO20" s="1316" t="n">
        <v>0.1</v>
      </c>
      <c r="AP20" s="1252"/>
      <c r="AQ20" s="0"/>
      <c r="AR20" s="0"/>
      <c r="AS20" s="0"/>
      <c r="AT20" s="0" t="n">
        <v>1</v>
      </c>
      <c r="AU20" s="0" t="str">
        <f aca="false">AV20&amp;"Q"&amp;ROUNDUP(MONTH(AW20)/3,0)</f>
        <v>2001Q1</v>
      </c>
      <c r="AV20" s="0" t="n">
        <f aca="false">YEAR(AW20)</f>
        <v>2001</v>
      </c>
      <c r="AW20" s="1304" t="n">
        <f aca="false">EOMONTH(AW19,0)+1</f>
        <v>36951</v>
      </c>
      <c r="AX20" s="112" t="n">
        <f aca="false">AY20</f>
        <v>2.89841729733504</v>
      </c>
      <c r="AY20" s="1323" t="n">
        <v>2.89841729733504</v>
      </c>
      <c r="AZ20" s="112" t="n">
        <f aca="false">AY20</f>
        <v>2.89841729733504</v>
      </c>
      <c r="BA20" s="163" t="n">
        <v>1</v>
      </c>
      <c r="BB20" s="163" t="n">
        <v>1</v>
      </c>
      <c r="BC20" s="163" t="n">
        <v>1</v>
      </c>
      <c r="BD20" s="163" t="n">
        <v>0</v>
      </c>
      <c r="BE20" s="163"/>
      <c r="BF20" s="163" t="n">
        <v>0</v>
      </c>
      <c r="BG20" s="1290" t="n">
        <v>0</v>
      </c>
      <c r="BH20" s="1291"/>
      <c r="BI20" s="1292"/>
      <c r="BJ20" s="1262"/>
      <c r="BK20" s="1293" t="n">
        <v>0</v>
      </c>
      <c r="BL20" s="1294" t="n">
        <f aca="false">+AY20</f>
        <v>2.89841729733504</v>
      </c>
      <c r="BM20" s="1295" t="n">
        <f aca="false">AY20</f>
        <v>2.89841729733504</v>
      </c>
      <c r="BN20" s="1324" t="e">
        <f aca="false">+BM20/BM8-1</f>
        <v>#DIV/0!</v>
      </c>
      <c r="BO20" s="1296" t="n">
        <v>2.4</v>
      </c>
      <c r="BQ20" s="1299" t="n">
        <f aca="false">VLOOKUP($AW20,$BU$8:$BZ$291,5,FALSE())</f>
        <v>2.41278118612862</v>
      </c>
      <c r="BR20" s="1299" t="n">
        <f aca="false">VLOOKUP($AW20,$BU$8:$BZ$291,6,FALSE())</f>
        <v>1.96967892071487</v>
      </c>
      <c r="BS20" s="1262" t="n">
        <v>0</v>
      </c>
      <c r="BT20" s="1318"/>
      <c r="BU20" s="1309" t="n">
        <f aca="false">EDATE(BU19,1)</f>
        <v>36526</v>
      </c>
      <c r="BV20" s="1310" t="n">
        <v>2.51192867599365</v>
      </c>
      <c r="BW20" s="1310" t="n">
        <v>2.03257490002181</v>
      </c>
      <c r="BX20" s="1310"/>
      <c r="BY20" s="1310" t="n">
        <v>2.61341059450379</v>
      </c>
      <c r="BZ20" s="1311" t="n">
        <v>2.11469092598269</v>
      </c>
    </row>
    <row r="21" customFormat="false" ht="12.75" hidden="false" customHeight="false" outlineLevel="0" collapsed="false">
      <c r="A21" s="1246"/>
      <c r="B21" s="1312" t="n">
        <v>36521</v>
      </c>
      <c r="C21" s="1313" t="n">
        <v>0</v>
      </c>
      <c r="D21" s="1313" t="n">
        <v>0</v>
      </c>
      <c r="E21" s="1313" t="n">
        <v>0</v>
      </c>
      <c r="F21" s="1287"/>
      <c r="G21" s="1313" t="n">
        <v>0</v>
      </c>
      <c r="H21" s="1313" t="n">
        <v>0</v>
      </c>
      <c r="I21" s="1313" t="n">
        <v>0</v>
      </c>
      <c r="J21" s="1253"/>
      <c r="K21" s="1254" t="n">
        <v>36831</v>
      </c>
      <c r="L21" s="1314" t="n">
        <v>0</v>
      </c>
      <c r="M21" s="1314" t="n">
        <v>0</v>
      </c>
      <c r="N21" s="1314" t="n">
        <v>0</v>
      </c>
      <c r="O21" s="1252"/>
      <c r="P21" s="1314" t="n">
        <v>0</v>
      </c>
      <c r="Q21" s="1314" t="n">
        <v>0</v>
      </c>
      <c r="R21" s="1314" t="n">
        <v>0</v>
      </c>
      <c r="S21" s="1252"/>
      <c r="T21" s="1314" t="n">
        <v>0</v>
      </c>
      <c r="U21" s="1314" t="n">
        <v>0</v>
      </c>
      <c r="V21" s="1314" t="n">
        <v>0</v>
      </c>
      <c r="W21" s="1252"/>
      <c r="X21" s="1314" t="n">
        <v>0</v>
      </c>
      <c r="Y21" s="1314" t="n">
        <v>0</v>
      </c>
      <c r="Z21" s="1314" t="n">
        <v>0</v>
      </c>
      <c r="AA21" s="1252" t="n">
        <v>0</v>
      </c>
      <c r="AB21" s="1314" t="n">
        <v>0</v>
      </c>
      <c r="AC21" s="1314" t="n">
        <v>0</v>
      </c>
      <c r="AD21" s="1314" t="n">
        <v>0</v>
      </c>
      <c r="AE21" s="1252"/>
      <c r="AF21" s="1314" t="n">
        <v>0</v>
      </c>
      <c r="AG21" s="1314" t="n">
        <v>0</v>
      </c>
      <c r="AH21" s="1314" t="n">
        <v>0</v>
      </c>
      <c r="AI21" s="1252"/>
      <c r="AJ21" s="1314" t="n">
        <v>0</v>
      </c>
      <c r="AK21" s="1314" t="n">
        <v>0</v>
      </c>
      <c r="AL21" s="1314" t="n">
        <v>0</v>
      </c>
      <c r="AM21" s="1166"/>
      <c r="AN21" s="1253" t="n">
        <v>4</v>
      </c>
      <c r="AO21" s="1316" t="n">
        <v>0.1</v>
      </c>
      <c r="AP21" s="1252"/>
      <c r="AQ21" s="0"/>
      <c r="AR21" s="0"/>
      <c r="AS21" s="0"/>
      <c r="AT21" s="0" t="n">
        <v>1</v>
      </c>
      <c r="AU21" s="0" t="str">
        <f aca="false">AV21&amp;"Q"&amp;ROUNDUP(MONTH(AW21)/3,0)</f>
        <v>2001Q2</v>
      </c>
      <c r="AV21" s="0" t="n">
        <f aca="false">YEAR(AW21)</f>
        <v>2001</v>
      </c>
      <c r="AW21" s="1304" t="n">
        <f aca="false">EOMONTH(AW20,0)+1</f>
        <v>36982</v>
      </c>
      <c r="AX21" s="112" t="n">
        <f aca="false">AY21</f>
        <v>2.77621550494765</v>
      </c>
      <c r="AY21" s="1323" t="n">
        <v>2.77621550494765</v>
      </c>
      <c r="AZ21" s="112" t="n">
        <f aca="false">AY21</f>
        <v>2.77621550494765</v>
      </c>
      <c r="BA21" s="163" t="n">
        <v>1</v>
      </c>
      <c r="BB21" s="163" t="n">
        <v>1</v>
      </c>
      <c r="BC21" s="163" t="n">
        <v>1</v>
      </c>
      <c r="BD21" s="163" t="n">
        <v>0</v>
      </c>
      <c r="BE21" s="163"/>
      <c r="BF21" s="163" t="n">
        <v>0</v>
      </c>
      <c r="BG21" s="1290" t="n">
        <v>0</v>
      </c>
      <c r="BH21" s="1291"/>
      <c r="BI21" s="1292"/>
      <c r="BJ21" s="1262"/>
      <c r="BK21" s="1293" t="n">
        <v>0</v>
      </c>
      <c r="BL21" s="1294" t="n">
        <f aca="false">+AY21</f>
        <v>2.77621550494765</v>
      </c>
      <c r="BM21" s="1295" t="n">
        <f aca="false">AY21</f>
        <v>2.77621550494765</v>
      </c>
      <c r="BN21" s="1324" t="e">
        <f aca="false">+BM21/BM9-1</f>
        <v>#DIV/0!</v>
      </c>
      <c r="BO21" s="1296" t="n">
        <v>2.4</v>
      </c>
      <c r="BP21" s="1325"/>
      <c r="BQ21" s="1299" t="n">
        <f aca="false">VLOOKUP($AW21,$BU$8:$BZ$291,5,FALSE())</f>
        <v>2.36491763616637</v>
      </c>
      <c r="BR21" s="1299" t="n">
        <f aca="false">VLOOKUP($AW21,$BU$8:$BZ$291,6,FALSE())</f>
        <v>1.90981026051078</v>
      </c>
      <c r="BS21" s="1262" t="n">
        <v>0</v>
      </c>
      <c r="BT21" s="1318"/>
      <c r="BU21" s="1309" t="n">
        <f aca="false">EDATE(BU20,1)</f>
        <v>36557</v>
      </c>
      <c r="BV21" s="1310" t="n">
        <v>2.32239226763352</v>
      </c>
      <c r="BW21" s="1310" t="n">
        <v>1.89322148385689</v>
      </c>
      <c r="BX21" s="1310"/>
      <c r="BY21" s="1310" t="n">
        <v>2.41621691524591</v>
      </c>
      <c r="BZ21" s="1311" t="n">
        <v>1.96970763180471</v>
      </c>
    </row>
    <row r="22" customFormat="false" ht="12.75" hidden="false" customHeight="false" outlineLevel="0" collapsed="false">
      <c r="A22" s="1246"/>
      <c r="B22" s="1312" t="n">
        <v>36522</v>
      </c>
      <c r="C22" s="1313" t="n">
        <v>0</v>
      </c>
      <c r="D22" s="1313" t="n">
        <v>0</v>
      </c>
      <c r="E22" s="1313" t="n">
        <v>0</v>
      </c>
      <c r="F22" s="1287"/>
      <c r="G22" s="1313" t="n">
        <v>0</v>
      </c>
      <c r="H22" s="1313" t="n">
        <v>0</v>
      </c>
      <c r="I22" s="1313" t="n">
        <v>0</v>
      </c>
      <c r="J22" s="1253"/>
      <c r="K22" s="1254" t="n">
        <v>36861</v>
      </c>
      <c r="L22" s="1314" t="n">
        <v>0</v>
      </c>
      <c r="M22" s="1314" t="n">
        <v>0</v>
      </c>
      <c r="N22" s="1314" t="n">
        <v>0</v>
      </c>
      <c r="O22" s="1252"/>
      <c r="P22" s="1314" t="n">
        <v>0</v>
      </c>
      <c r="Q22" s="1314" t="n">
        <v>0</v>
      </c>
      <c r="R22" s="1314" t="n">
        <v>0</v>
      </c>
      <c r="S22" s="1252"/>
      <c r="T22" s="1314" t="n">
        <v>0</v>
      </c>
      <c r="U22" s="1314" t="n">
        <v>0</v>
      </c>
      <c r="V22" s="1314" t="n">
        <v>0</v>
      </c>
      <c r="W22" s="1252"/>
      <c r="X22" s="1314" t="n">
        <v>0</v>
      </c>
      <c r="Y22" s="1314" t="n">
        <v>0</v>
      </c>
      <c r="Z22" s="1314" t="n">
        <v>0</v>
      </c>
      <c r="AA22" s="1252" t="n">
        <v>0</v>
      </c>
      <c r="AB22" s="1314" t="n">
        <v>0</v>
      </c>
      <c r="AC22" s="1314" t="n">
        <v>0</v>
      </c>
      <c r="AD22" s="1314" t="n">
        <v>0</v>
      </c>
      <c r="AE22" s="1252"/>
      <c r="AF22" s="1314" t="n">
        <v>0</v>
      </c>
      <c r="AG22" s="1314" t="n">
        <v>0</v>
      </c>
      <c r="AH22" s="1314" t="n">
        <v>0</v>
      </c>
      <c r="AI22" s="1252"/>
      <c r="AJ22" s="1314" t="n">
        <v>0</v>
      </c>
      <c r="AK22" s="1314" t="n">
        <v>0</v>
      </c>
      <c r="AL22" s="1314" t="n">
        <v>0</v>
      </c>
      <c r="AM22" s="1166"/>
      <c r="AN22" s="1253" t="n">
        <v>5</v>
      </c>
      <c r="AO22" s="1316" t="n">
        <v>0.2</v>
      </c>
      <c r="AP22" s="1252"/>
      <c r="AQ22" s="0"/>
      <c r="AR22" s="0"/>
      <c r="AS22" s="0"/>
      <c r="AT22" s="0" t="n">
        <v>1</v>
      </c>
      <c r="AU22" s="0" t="str">
        <f aca="false">AV22&amp;"Q"&amp;ROUNDUP(MONTH(AW22)/3,0)</f>
        <v>2001Q2</v>
      </c>
      <c r="AV22" s="0" t="n">
        <f aca="false">YEAR(AW22)</f>
        <v>2001</v>
      </c>
      <c r="AW22" s="1304" t="n">
        <f aca="false">EOMONTH(AW21,0)+1</f>
        <v>37012</v>
      </c>
      <c r="AX22" s="112" t="n">
        <f aca="false">AY22</f>
        <v>2.73491239251911</v>
      </c>
      <c r="AY22" s="1323" t="n">
        <v>2.73491239251911</v>
      </c>
      <c r="AZ22" s="112" t="n">
        <f aca="false">AY22</f>
        <v>2.73491239251911</v>
      </c>
      <c r="BA22" s="163" t="n">
        <v>1</v>
      </c>
      <c r="BB22" s="163" t="n">
        <v>1</v>
      </c>
      <c r="BC22" s="163" t="n">
        <v>1</v>
      </c>
      <c r="BD22" s="163" t="n">
        <v>0</v>
      </c>
      <c r="BE22" s="163"/>
      <c r="BF22" s="163" t="n">
        <v>0</v>
      </c>
      <c r="BG22" s="1290" t="n">
        <v>0</v>
      </c>
      <c r="BH22" s="1291"/>
      <c r="BI22" s="1292"/>
      <c r="BJ22" s="1262"/>
      <c r="BK22" s="1293" t="n">
        <v>0</v>
      </c>
      <c r="BL22" s="1294" t="n">
        <f aca="false">+AY22</f>
        <v>2.73491239251911</v>
      </c>
      <c r="BM22" s="1295" t="n">
        <f aca="false">AY22</f>
        <v>2.73491239251911</v>
      </c>
      <c r="BN22" s="1324" t="e">
        <f aca="false">+BM22/BM10-1</f>
        <v>#DIV/0!</v>
      </c>
      <c r="BO22" s="1296" t="n">
        <v>2.4</v>
      </c>
      <c r="BQ22" s="1299" t="n">
        <f aca="false">VLOOKUP($AW22,$BU$8:$BZ$291,5,FALSE())</f>
        <v>2.34302260799216</v>
      </c>
      <c r="BR22" s="1299" t="n">
        <f aca="false">VLOOKUP($AW22,$BU$8:$BZ$291,6,FALSE())</f>
        <v>1.8863062679862</v>
      </c>
      <c r="BS22" s="1262" t="n">
        <v>0</v>
      </c>
      <c r="BT22" s="1318"/>
      <c r="BU22" s="1309" t="n">
        <f aca="false">EDATE(BU21,1)</f>
        <v>36586</v>
      </c>
      <c r="BV22" s="1310" t="n">
        <v>2.25343621586596</v>
      </c>
      <c r="BW22" s="1310" t="n">
        <v>1.79923894737357</v>
      </c>
      <c r="BX22" s="1310"/>
      <c r="BY22" s="1310" t="n">
        <v>2.34447503898695</v>
      </c>
      <c r="BZ22" s="1311" t="n">
        <v>1.87192820084746</v>
      </c>
    </row>
    <row r="23" customFormat="false" ht="12.75" hidden="false" customHeight="false" outlineLevel="0" collapsed="false">
      <c r="A23" s="1246"/>
      <c r="B23" s="1312" t="n">
        <v>36523</v>
      </c>
      <c r="C23" s="1313" t="n">
        <v>0</v>
      </c>
      <c r="D23" s="1313" t="n">
        <v>0</v>
      </c>
      <c r="E23" s="1313" t="n">
        <v>0</v>
      </c>
      <c r="F23" s="1287"/>
      <c r="G23" s="1313" t="n">
        <v>0</v>
      </c>
      <c r="H23" s="1313" t="n">
        <v>0</v>
      </c>
      <c r="I23" s="1313" t="n">
        <v>0</v>
      </c>
      <c r="J23" s="1253"/>
      <c r="K23" s="1254" t="n">
        <v>36892</v>
      </c>
      <c r="L23" s="1314" t="n">
        <v>0</v>
      </c>
      <c r="M23" s="1314" t="n">
        <v>0</v>
      </c>
      <c r="N23" s="1314" t="n">
        <v>0</v>
      </c>
      <c r="O23" s="1252"/>
      <c r="P23" s="1314" t="n">
        <v>0</v>
      </c>
      <c r="Q23" s="1314" t="n">
        <v>0</v>
      </c>
      <c r="R23" s="1314" t="n">
        <v>0</v>
      </c>
      <c r="S23" s="1252"/>
      <c r="T23" s="1314" t="n">
        <v>0</v>
      </c>
      <c r="U23" s="1314" t="n">
        <v>0</v>
      </c>
      <c r="V23" s="1314" t="n">
        <v>0</v>
      </c>
      <c r="W23" s="1252"/>
      <c r="X23" s="1314" t="n">
        <v>0</v>
      </c>
      <c r="Y23" s="1314" t="n">
        <v>0</v>
      </c>
      <c r="Z23" s="1314" t="n">
        <v>0</v>
      </c>
      <c r="AA23" s="1252" t="n">
        <v>0</v>
      </c>
      <c r="AB23" s="1314" t="n">
        <v>0</v>
      </c>
      <c r="AC23" s="1314" t="n">
        <v>0</v>
      </c>
      <c r="AD23" s="1314" t="n">
        <v>0</v>
      </c>
      <c r="AE23" s="1252"/>
      <c r="AF23" s="1314" t="n">
        <v>0</v>
      </c>
      <c r="AG23" s="1314" t="n">
        <v>0</v>
      </c>
      <c r="AH23" s="1314" t="n">
        <v>0</v>
      </c>
      <c r="AI23" s="1252"/>
      <c r="AJ23" s="1314" t="n">
        <v>0</v>
      </c>
      <c r="AK23" s="1314" t="n">
        <v>0</v>
      </c>
      <c r="AL23" s="1314" t="n">
        <v>0</v>
      </c>
      <c r="AM23" s="1166"/>
      <c r="AN23" s="1253" t="n">
        <v>5</v>
      </c>
      <c r="AO23" s="1316" t="n">
        <v>0.2</v>
      </c>
      <c r="AP23" s="1252"/>
      <c r="AQ23" s="0"/>
      <c r="AR23" s="0"/>
      <c r="AS23" s="0"/>
      <c r="AT23" s="0" t="n">
        <v>1</v>
      </c>
      <c r="AU23" s="0" t="str">
        <f aca="false">AV23&amp;"Q"&amp;ROUNDUP(MONTH(AW23)/3,0)</f>
        <v>2001Q2</v>
      </c>
      <c r="AV23" s="0" t="n">
        <f aca="false">YEAR(AW23)</f>
        <v>2001</v>
      </c>
      <c r="AW23" s="1304" t="n">
        <f aca="false">EOMONTH(AW22,0)+1</f>
        <v>37043</v>
      </c>
      <c r="AX23" s="112" t="n">
        <f aca="false">AY23</f>
        <v>2.74155284030319</v>
      </c>
      <c r="AY23" s="1323" t="n">
        <v>2.74155284030319</v>
      </c>
      <c r="AZ23" s="112" t="n">
        <f aca="false">AY23</f>
        <v>2.74155284030319</v>
      </c>
      <c r="BA23" s="163" t="n">
        <v>1</v>
      </c>
      <c r="BB23" s="163" t="n">
        <v>1</v>
      </c>
      <c r="BC23" s="163" t="n">
        <v>1</v>
      </c>
      <c r="BD23" s="163" t="n">
        <v>0</v>
      </c>
      <c r="BE23" s="163"/>
      <c r="BF23" s="163" t="n">
        <v>0</v>
      </c>
      <c r="BG23" s="1290" t="n">
        <v>0</v>
      </c>
      <c r="BH23" s="1291"/>
      <c r="BI23" s="1292"/>
      <c r="BJ23" s="1262"/>
      <c r="BK23" s="1293" t="n">
        <v>0</v>
      </c>
      <c r="BL23" s="1294" t="n">
        <f aca="false">+AY23</f>
        <v>2.74155284030319</v>
      </c>
      <c r="BM23" s="1295" t="n">
        <f aca="false">AY23</f>
        <v>2.74155284030319</v>
      </c>
      <c r="BN23" s="1324" t="e">
        <f aca="false">+BM23/BM11-1</f>
        <v>#DIV/0!</v>
      </c>
      <c r="BO23" s="1296" t="n">
        <v>2.4</v>
      </c>
      <c r="BQ23" s="1299" t="n">
        <f aca="false">VLOOKUP($AW23,$BU$8:$BZ$291,5,FALSE())</f>
        <v>2.34709610160596</v>
      </c>
      <c r="BR23" s="1299" t="n">
        <f aca="false">VLOOKUP($AW23,$BU$8:$BZ$291,6,FALSE())</f>
        <v>1.89251486978515</v>
      </c>
      <c r="BS23" s="1262" t="n">
        <v>0</v>
      </c>
      <c r="BT23" s="1318"/>
      <c r="BU23" s="1309" t="n">
        <f aca="false">EDATE(BU22,1)</f>
        <v>36617</v>
      </c>
      <c r="BV23" s="1310" t="n">
        <v>2.20873367196148</v>
      </c>
      <c r="BW23" s="1310" t="n">
        <v>1.74455083347163</v>
      </c>
      <c r="BX23" s="1310"/>
      <c r="BY23" s="1310" t="n">
        <v>2.29796651230872</v>
      </c>
      <c r="BZ23" s="1311" t="n">
        <v>1.81503068714389</v>
      </c>
    </row>
    <row r="24" customFormat="false" ht="12.75" hidden="false" customHeight="false" outlineLevel="0" collapsed="false">
      <c r="A24" s="1246"/>
      <c r="B24" s="1312" t="n">
        <v>36524</v>
      </c>
      <c r="C24" s="1313" t="n">
        <v>0</v>
      </c>
      <c r="D24" s="1313" t="n">
        <v>0</v>
      </c>
      <c r="E24" s="1313" t="n">
        <v>0</v>
      </c>
      <c r="F24" s="1287"/>
      <c r="G24" s="1313" t="n">
        <v>0</v>
      </c>
      <c r="H24" s="1313" t="n">
        <v>0</v>
      </c>
      <c r="I24" s="1313" t="n">
        <v>0</v>
      </c>
      <c r="J24" s="1253"/>
      <c r="K24" s="1254" t="n">
        <v>36923</v>
      </c>
      <c r="L24" s="1314" t="n">
        <v>0</v>
      </c>
      <c r="M24" s="1314" t="n">
        <v>0</v>
      </c>
      <c r="N24" s="1314" t="n">
        <v>0</v>
      </c>
      <c r="O24" s="1252"/>
      <c r="P24" s="1314" t="n">
        <v>0</v>
      </c>
      <c r="Q24" s="1314" t="n">
        <v>0</v>
      </c>
      <c r="R24" s="1314" t="n">
        <v>0</v>
      </c>
      <c r="S24" s="1252"/>
      <c r="T24" s="1314" t="n">
        <v>0</v>
      </c>
      <c r="U24" s="1314" t="n">
        <v>0</v>
      </c>
      <c r="V24" s="1314" t="n">
        <v>0</v>
      </c>
      <c r="W24" s="1252"/>
      <c r="X24" s="1314" t="n">
        <v>0</v>
      </c>
      <c r="Y24" s="1314" t="n">
        <v>0</v>
      </c>
      <c r="Z24" s="1314" t="n">
        <v>0</v>
      </c>
      <c r="AA24" s="1252" t="n">
        <v>0</v>
      </c>
      <c r="AB24" s="1314" t="n">
        <v>0</v>
      </c>
      <c r="AC24" s="1314" t="n">
        <v>0</v>
      </c>
      <c r="AD24" s="1314" t="n">
        <v>0</v>
      </c>
      <c r="AE24" s="1252"/>
      <c r="AF24" s="1314" t="n">
        <v>0</v>
      </c>
      <c r="AG24" s="1314" t="n">
        <v>0</v>
      </c>
      <c r="AH24" s="1314" t="n">
        <v>0</v>
      </c>
      <c r="AI24" s="1252"/>
      <c r="AJ24" s="1314" t="n">
        <v>0</v>
      </c>
      <c r="AK24" s="1314" t="n">
        <v>0</v>
      </c>
      <c r="AL24" s="1314" t="n">
        <v>0</v>
      </c>
      <c r="AM24" s="1166"/>
      <c r="AN24" s="1253" t="n">
        <v>5</v>
      </c>
      <c r="AO24" s="1316" t="n">
        <v>0.2</v>
      </c>
      <c r="AP24" s="1252"/>
      <c r="AQ24" s="0"/>
      <c r="AR24" s="0"/>
      <c r="AS24" s="0"/>
      <c r="AT24" s="0" t="n">
        <v>1</v>
      </c>
      <c r="AU24" s="0" t="str">
        <f aca="false">AV24&amp;"Q"&amp;ROUNDUP(MONTH(AW24)/3,0)</f>
        <v>2001Q3</v>
      </c>
      <c r="AV24" s="0" t="n">
        <f aca="false">YEAR(AW24)</f>
        <v>2001</v>
      </c>
      <c r="AW24" s="1304" t="n">
        <f aca="false">EOMONTH(AW23,0)+1</f>
        <v>37073</v>
      </c>
      <c r="AX24" s="112" t="n">
        <f aca="false">AY24</f>
        <v>2.75827536043266</v>
      </c>
      <c r="AY24" s="1323" t="n">
        <v>2.75827536043266</v>
      </c>
      <c r="AZ24" s="112" t="n">
        <f aca="false">AY24</f>
        <v>2.75827536043266</v>
      </c>
      <c r="BA24" s="163" t="n">
        <v>1</v>
      </c>
      <c r="BB24" s="163" t="n">
        <v>1</v>
      </c>
      <c r="BC24" s="163" t="n">
        <v>1</v>
      </c>
      <c r="BD24" s="163" t="n">
        <v>0</v>
      </c>
      <c r="BE24" s="163"/>
      <c r="BF24" s="163" t="n">
        <v>0</v>
      </c>
      <c r="BG24" s="1290" t="n">
        <v>0</v>
      </c>
      <c r="BH24" s="1291"/>
      <c r="BI24" s="1292"/>
      <c r="BJ24" s="1262"/>
      <c r="BK24" s="1293" t="n">
        <v>0</v>
      </c>
      <c r="BL24" s="1294" t="n">
        <f aca="false">+AY24</f>
        <v>2.75827536043266</v>
      </c>
      <c r="BM24" s="1295" t="n">
        <f aca="false">AY24</f>
        <v>2.75827536043266</v>
      </c>
      <c r="BN24" s="1324" t="e">
        <f aca="false">+BM24/BM12-1</f>
        <v>#DIV/0!</v>
      </c>
      <c r="BO24" s="1296" t="n">
        <v>2.4</v>
      </c>
      <c r="BQ24" s="1299" t="n">
        <f aca="false">VLOOKUP($AW24,$BU$8:$BZ$291,5,FALSE())</f>
        <v>2.3771381170078</v>
      </c>
      <c r="BR24" s="1299" t="n">
        <f aca="false">VLOOKUP($AW24,$BU$8:$BZ$291,6,FALSE())</f>
        <v>1.9217839925516</v>
      </c>
      <c r="BS24" s="1262" t="n">
        <v>0</v>
      </c>
      <c r="BT24" s="1318"/>
      <c r="BU24" s="1309" t="n">
        <f aca="false">EDATE(BU23,1)</f>
        <v>36647</v>
      </c>
      <c r="BV24" s="1310" t="n">
        <v>2.18828463592007</v>
      </c>
      <c r="BW24" s="1310" t="n">
        <v>1.72308068505088</v>
      </c>
      <c r="BX24" s="1310"/>
      <c r="BY24" s="1310" t="n">
        <v>2.27669133521124</v>
      </c>
      <c r="BZ24" s="1311" t="n">
        <v>1.79269314472693</v>
      </c>
    </row>
    <row r="25" customFormat="false" ht="12.75" hidden="false" customHeight="false" outlineLevel="0" collapsed="false">
      <c r="A25" s="1246"/>
      <c r="B25" s="1312" t="n">
        <v>36525</v>
      </c>
      <c r="C25" s="1313" t="n">
        <v>0</v>
      </c>
      <c r="D25" s="1313" t="n">
        <v>0</v>
      </c>
      <c r="E25" s="1313" t="n">
        <v>0</v>
      </c>
      <c r="F25" s="1287"/>
      <c r="G25" s="1313" t="n">
        <v>0</v>
      </c>
      <c r="H25" s="1313" t="n">
        <v>0</v>
      </c>
      <c r="I25" s="1313" t="n">
        <v>0</v>
      </c>
      <c r="J25" s="1253"/>
      <c r="K25" s="1254" t="n">
        <v>36951</v>
      </c>
      <c r="L25" s="1314" t="n">
        <v>0</v>
      </c>
      <c r="M25" s="1314" t="n">
        <v>0</v>
      </c>
      <c r="N25" s="1314" t="n">
        <v>0</v>
      </c>
      <c r="O25" s="1252"/>
      <c r="P25" s="1314" t="n">
        <v>0</v>
      </c>
      <c r="Q25" s="1314" t="n">
        <v>0</v>
      </c>
      <c r="R25" s="1314" t="n">
        <v>0</v>
      </c>
      <c r="S25" s="1252"/>
      <c r="T25" s="1314" t="n">
        <v>0</v>
      </c>
      <c r="U25" s="1314" t="n">
        <v>0</v>
      </c>
      <c r="V25" s="1314" t="n">
        <v>0</v>
      </c>
      <c r="W25" s="1252"/>
      <c r="X25" s="1314" t="n">
        <v>0</v>
      </c>
      <c r="Y25" s="1314" t="n">
        <v>0</v>
      </c>
      <c r="Z25" s="1314" t="n">
        <v>0</v>
      </c>
      <c r="AA25" s="1252" t="n">
        <v>0</v>
      </c>
      <c r="AB25" s="1314" t="n">
        <v>0</v>
      </c>
      <c r="AC25" s="1314" t="n">
        <v>0</v>
      </c>
      <c r="AD25" s="1314" t="n">
        <v>0</v>
      </c>
      <c r="AE25" s="1252"/>
      <c r="AF25" s="1314" t="n">
        <v>0</v>
      </c>
      <c r="AG25" s="1314" t="n">
        <v>0</v>
      </c>
      <c r="AH25" s="1314" t="n">
        <v>0</v>
      </c>
      <c r="AI25" s="1252"/>
      <c r="AJ25" s="1314" t="n">
        <v>0</v>
      </c>
      <c r="AK25" s="1314" t="n">
        <v>0</v>
      </c>
      <c r="AL25" s="1314" t="n">
        <v>0</v>
      </c>
      <c r="AM25" s="1166"/>
      <c r="AN25" s="1253" t="n">
        <v>6</v>
      </c>
      <c r="AO25" s="1316" t="n">
        <v>0.2</v>
      </c>
      <c r="AP25" s="1252"/>
      <c r="AQ25" s="0"/>
      <c r="AR25" s="0"/>
      <c r="AS25" s="0"/>
      <c r="AT25" s="0" t="n">
        <v>1</v>
      </c>
      <c r="AU25" s="0" t="str">
        <f aca="false">AV25&amp;"Q"&amp;ROUNDUP(MONTH(AW25)/3,0)</f>
        <v>2001Q3</v>
      </c>
      <c r="AV25" s="0" t="n">
        <f aca="false">YEAR(AW25)</f>
        <v>2001</v>
      </c>
      <c r="AW25" s="1304" t="n">
        <f aca="false">EOMONTH(AW24,0)+1</f>
        <v>37104</v>
      </c>
      <c r="AX25" s="112" t="n">
        <f aca="false">AY25</f>
        <v>2.77110205597423</v>
      </c>
      <c r="AY25" s="1323" t="n">
        <v>2.77110205597423</v>
      </c>
      <c r="AZ25" s="112" t="n">
        <f aca="false">AY25</f>
        <v>2.77110205597423</v>
      </c>
      <c r="BA25" s="163" t="n">
        <v>1</v>
      </c>
      <c r="BB25" s="163" t="n">
        <v>1</v>
      </c>
      <c r="BC25" s="163" t="n">
        <v>1</v>
      </c>
      <c r="BD25" s="163" t="n">
        <v>0</v>
      </c>
      <c r="BE25" s="163"/>
      <c r="BF25" s="163" t="n">
        <v>0</v>
      </c>
      <c r="BG25" s="1290" t="n">
        <v>0</v>
      </c>
      <c r="BH25" s="1291"/>
      <c r="BI25" s="1292"/>
      <c r="BJ25" s="1262"/>
      <c r="BK25" s="1293" t="n">
        <v>0</v>
      </c>
      <c r="BL25" s="1294" t="n">
        <f aca="false">+AY25</f>
        <v>2.77110205597423</v>
      </c>
      <c r="BM25" s="1295" t="n">
        <f aca="false">AY25</f>
        <v>2.77110205597423</v>
      </c>
      <c r="BN25" s="1324" t="e">
        <f aca="false">+BM25/BM13-1</f>
        <v>#DIV/0!</v>
      </c>
      <c r="BO25" s="1296" t="n">
        <v>2.4</v>
      </c>
      <c r="BQ25" s="1299" t="n">
        <f aca="false">VLOOKUP($AW25,$BU$8:$BZ$291,5,FALSE())</f>
        <v>2.43314865419766</v>
      </c>
      <c r="BR25" s="1299" t="n">
        <f aca="false">VLOOKUP($AW25,$BU$8:$BZ$291,6,FALSE())</f>
        <v>1.96746156292954</v>
      </c>
      <c r="BS25" s="1262" t="n">
        <v>0</v>
      </c>
      <c r="BT25" s="1318"/>
      <c r="BU25" s="1309" t="n">
        <f aca="false">EDATE(BU24,1)</f>
        <v>36678</v>
      </c>
      <c r="BV25" s="1310" t="n">
        <v>2.19208910774172</v>
      </c>
      <c r="BW25" s="1310" t="n">
        <v>1.72875204501108</v>
      </c>
      <c r="BX25" s="1310"/>
      <c r="BY25" s="1310" t="n">
        <v>2.28064950769449</v>
      </c>
      <c r="BZ25" s="1311" t="n">
        <v>1.79859362762952</v>
      </c>
    </row>
    <row r="26" customFormat="false" ht="12.75" hidden="false" customHeight="false" outlineLevel="0" collapsed="false">
      <c r="A26" s="1246"/>
      <c r="B26" s="1312" t="n">
        <v>36526</v>
      </c>
      <c r="C26" s="1313" t="n">
        <v>0</v>
      </c>
      <c r="D26" s="1313" t="n">
        <v>0</v>
      </c>
      <c r="E26" s="1313" t="n">
        <v>0</v>
      </c>
      <c r="F26" s="1287"/>
      <c r="G26" s="1313" t="n">
        <v>0</v>
      </c>
      <c r="H26" s="1313" t="n">
        <v>0</v>
      </c>
      <c r="I26" s="1313" t="n">
        <v>0</v>
      </c>
      <c r="J26" s="1253"/>
      <c r="K26" s="1254" t="n">
        <v>36982</v>
      </c>
      <c r="L26" s="1314" t="n">
        <v>0</v>
      </c>
      <c r="M26" s="1314" t="n">
        <v>0</v>
      </c>
      <c r="N26" s="1314" t="n">
        <v>0</v>
      </c>
      <c r="O26" s="1252"/>
      <c r="P26" s="1314" t="n">
        <v>0</v>
      </c>
      <c r="Q26" s="1314" t="n">
        <v>0</v>
      </c>
      <c r="R26" s="1314" t="n">
        <v>0</v>
      </c>
      <c r="S26" s="1252"/>
      <c r="T26" s="1314" t="n">
        <v>0</v>
      </c>
      <c r="U26" s="1314" t="n">
        <v>0</v>
      </c>
      <c r="V26" s="1314" t="n">
        <v>0</v>
      </c>
      <c r="W26" s="1252"/>
      <c r="X26" s="1314" t="n">
        <v>0</v>
      </c>
      <c r="Y26" s="1314" t="n">
        <v>0</v>
      </c>
      <c r="Z26" s="1314" t="n">
        <v>0</v>
      </c>
      <c r="AA26" s="1252" t="n">
        <v>0</v>
      </c>
      <c r="AB26" s="1314" t="n">
        <v>0</v>
      </c>
      <c r="AC26" s="1314" t="n">
        <v>0</v>
      </c>
      <c r="AD26" s="1314" t="n">
        <v>0</v>
      </c>
      <c r="AE26" s="1252"/>
      <c r="AF26" s="1314" t="n">
        <v>0</v>
      </c>
      <c r="AG26" s="1314" t="n">
        <v>0</v>
      </c>
      <c r="AH26" s="1314" t="n">
        <v>0</v>
      </c>
      <c r="AI26" s="1252"/>
      <c r="AJ26" s="1314" t="n">
        <v>0</v>
      </c>
      <c r="AK26" s="1314" t="n">
        <v>0</v>
      </c>
      <c r="AL26" s="1314" t="n">
        <v>0</v>
      </c>
      <c r="AM26" s="1166"/>
      <c r="AN26" s="1253" t="n">
        <v>6</v>
      </c>
      <c r="AO26" s="1316" t="n">
        <v>0.2</v>
      </c>
      <c r="AP26" s="1252"/>
      <c r="AQ26" s="0"/>
      <c r="AR26" s="0"/>
      <c r="AS26" s="0"/>
      <c r="AT26" s="0" t="n">
        <v>1</v>
      </c>
      <c r="AU26" s="0" t="str">
        <f aca="false">AV26&amp;"Q"&amp;ROUNDUP(MONTH(AW26)/3,0)</f>
        <v>2001Q3</v>
      </c>
      <c r="AV26" s="0" t="n">
        <f aca="false">YEAR(AW26)</f>
        <v>2001</v>
      </c>
      <c r="AW26" s="1304" t="n">
        <f aca="false">EOMONTH(AW25,0)+1</f>
        <v>37135</v>
      </c>
      <c r="AX26" s="112" t="n">
        <f aca="false">AY26</f>
        <v>2.78396409912876</v>
      </c>
      <c r="AY26" s="1323" t="n">
        <v>2.78396409912876</v>
      </c>
      <c r="AZ26" s="112" t="n">
        <f aca="false">AY26</f>
        <v>2.78396409912876</v>
      </c>
      <c r="BA26" s="163" t="n">
        <v>1</v>
      </c>
      <c r="BB26" s="163" t="n">
        <v>1</v>
      </c>
      <c r="BC26" s="163" t="n">
        <v>1</v>
      </c>
      <c r="BD26" s="163" t="n">
        <v>0</v>
      </c>
      <c r="BE26" s="163"/>
      <c r="BF26" s="163" t="n">
        <v>0</v>
      </c>
      <c r="BG26" s="1290" t="n">
        <v>0</v>
      </c>
      <c r="BH26" s="1291"/>
      <c r="BI26" s="1292"/>
      <c r="BJ26" s="1262"/>
      <c r="BK26" s="1293" t="n">
        <v>0</v>
      </c>
      <c r="BL26" s="1294" t="n">
        <f aca="false">+AY26</f>
        <v>2.78396409912876</v>
      </c>
      <c r="BM26" s="1295" t="n">
        <f aca="false">AY26</f>
        <v>2.78396409912876</v>
      </c>
      <c r="BN26" s="1324" t="e">
        <f aca="false">+BM26/BM14-1</f>
        <v>#DIV/0!</v>
      </c>
      <c r="BO26" s="1296" t="n">
        <v>2.4</v>
      </c>
      <c r="BQ26" s="1299" t="n">
        <f aca="false">VLOOKUP($AW26,$BU$8:$BZ$291,5,FALSE())</f>
        <v>2.51512771317554</v>
      </c>
      <c r="BR26" s="1299" t="n">
        <f aca="false">VLOOKUP($AW26,$BU$8:$BZ$291,6,FALSE())</f>
        <v>2.02289550756296</v>
      </c>
      <c r="BS26" s="1262" t="n">
        <v>0</v>
      </c>
      <c r="BT26" s="1318"/>
      <c r="BU26" s="1309" t="n">
        <f aca="false">EDATE(BU25,1)</f>
        <v>36708</v>
      </c>
      <c r="BV26" s="1310" t="n">
        <v>2.22014708742645</v>
      </c>
      <c r="BW26" s="1310" t="n">
        <v>1.75548845625202</v>
      </c>
      <c r="BX26" s="1310"/>
      <c r="BY26" s="1310" t="n">
        <v>2.30984102975848</v>
      </c>
      <c r="BZ26" s="1311" t="n">
        <v>1.8264101898846</v>
      </c>
    </row>
    <row r="27" customFormat="false" ht="12.75" hidden="false" customHeight="false" outlineLevel="0" collapsed="false">
      <c r="A27" s="1246"/>
      <c r="B27" s="1312" t="n">
        <v>36527</v>
      </c>
      <c r="C27" s="1313" t="n">
        <v>0</v>
      </c>
      <c r="D27" s="1313" t="n">
        <v>0</v>
      </c>
      <c r="E27" s="1313" t="n">
        <v>0</v>
      </c>
      <c r="F27" s="1287"/>
      <c r="G27" s="1313" t="n">
        <v>0</v>
      </c>
      <c r="H27" s="1313" t="n">
        <v>0</v>
      </c>
      <c r="I27" s="1313" t="n">
        <v>0</v>
      </c>
      <c r="J27" s="1253"/>
      <c r="K27" s="1254" t="n">
        <v>37012</v>
      </c>
      <c r="L27" s="1314" t="n">
        <v>0</v>
      </c>
      <c r="M27" s="1314" t="n">
        <v>0</v>
      </c>
      <c r="N27" s="1314" t="n">
        <v>0</v>
      </c>
      <c r="O27" s="1252"/>
      <c r="P27" s="1314" t="n">
        <v>0</v>
      </c>
      <c r="Q27" s="1314" t="n">
        <v>0</v>
      </c>
      <c r="R27" s="1314" t="n">
        <v>0</v>
      </c>
      <c r="S27" s="1252"/>
      <c r="T27" s="1314" t="n">
        <v>0</v>
      </c>
      <c r="U27" s="1314" t="n">
        <v>0</v>
      </c>
      <c r="V27" s="1314" t="n">
        <v>0</v>
      </c>
      <c r="W27" s="1252"/>
      <c r="X27" s="1314" t="n">
        <v>0</v>
      </c>
      <c r="Y27" s="1314" t="n">
        <v>0</v>
      </c>
      <c r="Z27" s="1314" t="n">
        <v>0</v>
      </c>
      <c r="AA27" s="1252" t="n">
        <v>0</v>
      </c>
      <c r="AB27" s="1314" t="n">
        <v>0</v>
      </c>
      <c r="AC27" s="1314" t="n">
        <v>0</v>
      </c>
      <c r="AD27" s="1314" t="n">
        <v>0</v>
      </c>
      <c r="AE27" s="1252"/>
      <c r="AF27" s="1314" t="n">
        <v>0</v>
      </c>
      <c r="AG27" s="1314" t="n">
        <v>0</v>
      </c>
      <c r="AH27" s="1314" t="n">
        <v>0</v>
      </c>
      <c r="AI27" s="1252"/>
      <c r="AJ27" s="1314" t="n">
        <v>0</v>
      </c>
      <c r="AK27" s="1314" t="n">
        <v>0</v>
      </c>
      <c r="AL27" s="1314" t="n">
        <v>0</v>
      </c>
      <c r="AM27" s="1166"/>
      <c r="AN27" s="1253" t="n">
        <v>6</v>
      </c>
      <c r="AO27" s="1316" t="n">
        <v>0.2</v>
      </c>
      <c r="AP27" s="1252"/>
      <c r="AQ27" s="0"/>
      <c r="AR27" s="0"/>
      <c r="AS27" s="0"/>
      <c r="AT27" s="0" t="n">
        <v>1</v>
      </c>
      <c r="AU27" s="0" t="str">
        <f aca="false">AV27&amp;"Q"&amp;ROUNDUP(MONTH(AW27)/3,0)</f>
        <v>2001Q4</v>
      </c>
      <c r="AV27" s="0" t="n">
        <f aca="false">YEAR(AW27)</f>
        <v>2001</v>
      </c>
      <c r="AW27" s="1304" t="n">
        <f aca="false">EOMONTH(AW26,0)+1</f>
        <v>37165</v>
      </c>
      <c r="AX27" s="112" t="n">
        <f aca="false">AY27</f>
        <v>2.88508723675694</v>
      </c>
      <c r="AY27" s="1323" t="n">
        <v>2.88508723675694</v>
      </c>
      <c r="AZ27" s="112" t="n">
        <f aca="false">AY27</f>
        <v>2.88508723675694</v>
      </c>
      <c r="BA27" s="163" t="n">
        <v>1</v>
      </c>
      <c r="BB27" s="163" t="n">
        <v>1</v>
      </c>
      <c r="BC27" s="163" t="n">
        <v>1</v>
      </c>
      <c r="BD27" s="163" t="n">
        <v>0</v>
      </c>
      <c r="BE27" s="163"/>
      <c r="BF27" s="163" t="n">
        <v>0</v>
      </c>
      <c r="BG27" s="1290" t="n">
        <v>0</v>
      </c>
      <c r="BH27" s="1291"/>
      <c r="BI27" s="1292"/>
      <c r="BJ27" s="1262"/>
      <c r="BK27" s="1293" t="n">
        <v>0</v>
      </c>
      <c r="BL27" s="1294" t="n">
        <f aca="false">+AY27</f>
        <v>2.88508723675694</v>
      </c>
      <c r="BM27" s="1295" t="n">
        <f aca="false">AY27</f>
        <v>2.88508723675694</v>
      </c>
      <c r="BN27" s="1324" t="e">
        <f aca="false">+BM27/BM15-1</f>
        <v>#DIV/0!</v>
      </c>
      <c r="BO27" s="1296" t="n">
        <v>2.4</v>
      </c>
      <c r="BQ27" s="1299" t="n">
        <f aca="false">VLOOKUP($AW27,$BU$8:$BZ$291,5,FALSE())</f>
        <v>2.62307529394145</v>
      </c>
      <c r="BR27" s="1299" t="n">
        <f aca="false">VLOOKUP($AW27,$BU$8:$BZ$291,6,FALSE())</f>
        <v>2.08143375309586</v>
      </c>
      <c r="BS27" s="1262" t="n">
        <v>0</v>
      </c>
      <c r="BT27" s="1318"/>
      <c r="BU27" s="1309" t="n">
        <f aca="false">EDATE(BU26,1)</f>
        <v>36739</v>
      </c>
      <c r="BV27" s="1310" t="n">
        <v>2.27245857497425</v>
      </c>
      <c r="BW27" s="1310" t="n">
        <v>1.7972134616735</v>
      </c>
      <c r="BX27" s="1310"/>
      <c r="BY27" s="1310" t="n">
        <v>2.36426590140321</v>
      </c>
      <c r="BZ27" s="1311" t="n">
        <v>1.8698208855251</v>
      </c>
    </row>
    <row r="28" customFormat="false" ht="12.75" hidden="false" customHeight="false" outlineLevel="0" collapsed="false">
      <c r="A28" s="1246"/>
      <c r="B28" s="1312" t="n">
        <v>36528</v>
      </c>
      <c r="C28" s="1313" t="n">
        <v>0</v>
      </c>
      <c r="D28" s="1313" t="n">
        <v>0</v>
      </c>
      <c r="E28" s="1313" t="n">
        <v>0</v>
      </c>
      <c r="F28" s="1287"/>
      <c r="G28" s="1313" t="n">
        <v>0</v>
      </c>
      <c r="H28" s="1313" t="n">
        <v>0</v>
      </c>
      <c r="I28" s="1313" t="n">
        <v>0</v>
      </c>
      <c r="J28" s="1253"/>
      <c r="K28" s="1254" t="n">
        <v>37043</v>
      </c>
      <c r="L28" s="1314" t="n">
        <v>0</v>
      </c>
      <c r="M28" s="1314" t="n">
        <v>0</v>
      </c>
      <c r="N28" s="1314" t="n">
        <v>0</v>
      </c>
      <c r="O28" s="1252"/>
      <c r="P28" s="1314" t="n">
        <v>0</v>
      </c>
      <c r="Q28" s="1314" t="n">
        <v>0</v>
      </c>
      <c r="R28" s="1314" t="n">
        <v>0</v>
      </c>
      <c r="S28" s="1252"/>
      <c r="T28" s="1314" t="n">
        <v>0</v>
      </c>
      <c r="U28" s="1314" t="n">
        <v>0</v>
      </c>
      <c r="V28" s="1314" t="n">
        <v>0</v>
      </c>
      <c r="W28" s="1252"/>
      <c r="X28" s="1314" t="n">
        <v>0</v>
      </c>
      <c r="Y28" s="1314" t="n">
        <v>0</v>
      </c>
      <c r="Z28" s="1314" t="n">
        <v>0</v>
      </c>
      <c r="AA28" s="1252" t="n">
        <v>0</v>
      </c>
      <c r="AB28" s="1314" t="n">
        <v>0</v>
      </c>
      <c r="AC28" s="1314" t="n">
        <v>0</v>
      </c>
      <c r="AD28" s="1314" t="n">
        <v>0</v>
      </c>
      <c r="AE28" s="1252"/>
      <c r="AF28" s="1314" t="n">
        <v>0</v>
      </c>
      <c r="AG28" s="1314" t="n">
        <v>0</v>
      </c>
      <c r="AH28" s="1314" t="n">
        <v>0</v>
      </c>
      <c r="AI28" s="1252"/>
      <c r="AJ28" s="1314" t="n">
        <v>0</v>
      </c>
      <c r="AK28" s="1314" t="n">
        <v>0</v>
      </c>
      <c r="AL28" s="1314" t="n">
        <v>0</v>
      </c>
      <c r="AM28" s="1166"/>
      <c r="AN28" s="1253" t="n">
        <v>7</v>
      </c>
      <c r="AO28" s="1316" t="n">
        <v>0.2</v>
      </c>
      <c r="AP28" s="1252"/>
      <c r="AQ28" s="0"/>
      <c r="AR28" s="0"/>
      <c r="AS28" s="0"/>
      <c r="AT28" s="0" t="n">
        <v>1</v>
      </c>
      <c r="AU28" s="0" t="str">
        <f aca="false">AV28&amp;"Q"&amp;ROUNDUP(MONTH(AW28)/3,0)</f>
        <v>2001Q4</v>
      </c>
      <c r="AV28" s="0" t="n">
        <f aca="false">YEAR(AW28)</f>
        <v>2001</v>
      </c>
      <c r="AW28" s="1304" t="n">
        <f aca="false">EOMONTH(AW27,0)+1</f>
        <v>37196</v>
      </c>
      <c r="AX28" s="112" t="n">
        <f aca="false">AY28</f>
        <v>2.9846138421767</v>
      </c>
      <c r="AY28" s="1323" t="n">
        <v>2.9846138421767</v>
      </c>
      <c r="AZ28" s="112" t="n">
        <f aca="false">AY28</f>
        <v>2.9846138421767</v>
      </c>
      <c r="BA28" s="163" t="n">
        <v>1</v>
      </c>
      <c r="BB28" s="163" t="n">
        <v>1</v>
      </c>
      <c r="BC28" s="163" t="n">
        <v>1</v>
      </c>
      <c r="BD28" s="163" t="n">
        <v>0</v>
      </c>
      <c r="BE28" s="163"/>
      <c r="BF28" s="163" t="n">
        <v>0</v>
      </c>
      <c r="BG28" s="1290" t="n">
        <v>0</v>
      </c>
      <c r="BH28" s="1291"/>
      <c r="BI28" s="1292"/>
      <c r="BJ28" s="1262"/>
      <c r="BK28" s="1293" t="n">
        <v>0</v>
      </c>
      <c r="BL28" s="1294" t="n">
        <f aca="false">+AY28</f>
        <v>2.9846138421767</v>
      </c>
      <c r="BM28" s="1295" t="n">
        <f aca="false">AY28</f>
        <v>2.9846138421767</v>
      </c>
      <c r="BN28" s="1324" t="e">
        <f aca="false">+BM28/BM16-1</f>
        <v>#DIV/0!</v>
      </c>
      <c r="BO28" s="1296" t="n">
        <v>2.4</v>
      </c>
      <c r="BQ28" s="1299" t="n">
        <f aca="false">VLOOKUP($AW28,$BU$8:$BZ$291,5,FALSE())</f>
        <v>2.75699139649539</v>
      </c>
      <c r="BR28" s="1299" t="n">
        <f aca="false">VLOOKUP($AW28,$BU$8:$BZ$291,6,FALSE())</f>
        <v>2.13642422617222</v>
      </c>
      <c r="BS28" s="1262" t="n">
        <v>0</v>
      </c>
      <c r="BT28" s="1318"/>
      <c r="BU28" s="1309" t="n">
        <f aca="false">EDATE(BU27,1)</f>
        <v>36770</v>
      </c>
      <c r="BV28" s="1310" t="n">
        <v>2.34902357038513</v>
      </c>
      <c r="BW28" s="1310" t="n">
        <v>1.84785060417528</v>
      </c>
      <c r="BX28" s="1310"/>
      <c r="BY28" s="1310" t="n">
        <v>2.44392412262869</v>
      </c>
      <c r="BZ28" s="1311" t="n">
        <v>1.92250376858397</v>
      </c>
    </row>
    <row r="29" customFormat="false" ht="12.75" hidden="false" customHeight="false" outlineLevel="0" collapsed="false">
      <c r="A29" s="1246"/>
      <c r="B29" s="1312" t="n">
        <v>36529</v>
      </c>
      <c r="C29" s="1313" t="n">
        <v>0</v>
      </c>
      <c r="D29" s="1313" t="n">
        <v>0</v>
      </c>
      <c r="E29" s="1313" t="n">
        <v>0</v>
      </c>
      <c r="F29" s="1287"/>
      <c r="G29" s="1313" t="n">
        <v>0</v>
      </c>
      <c r="H29" s="1313" t="n">
        <v>0</v>
      </c>
      <c r="I29" s="1313" t="n">
        <v>0</v>
      </c>
      <c r="J29" s="1253"/>
      <c r="K29" s="1254" t="n">
        <v>37073</v>
      </c>
      <c r="L29" s="1314" t="n">
        <v>0</v>
      </c>
      <c r="M29" s="1314" t="n">
        <v>0</v>
      </c>
      <c r="N29" s="1314" t="n">
        <v>0</v>
      </c>
      <c r="O29" s="1252"/>
      <c r="P29" s="1314" t="n">
        <v>0</v>
      </c>
      <c r="Q29" s="1314" t="n">
        <v>0</v>
      </c>
      <c r="R29" s="1314" t="n">
        <v>0</v>
      </c>
      <c r="S29" s="1252"/>
      <c r="T29" s="1314" t="n">
        <v>0</v>
      </c>
      <c r="U29" s="1314" t="n">
        <v>0</v>
      </c>
      <c r="V29" s="1314" t="n">
        <v>0</v>
      </c>
      <c r="W29" s="1252"/>
      <c r="X29" s="1314" t="n">
        <v>0</v>
      </c>
      <c r="Y29" s="1314" t="n">
        <v>0</v>
      </c>
      <c r="Z29" s="1314" t="n">
        <v>0</v>
      </c>
      <c r="AA29" s="1252" t="n">
        <v>0</v>
      </c>
      <c r="AB29" s="1314" t="n">
        <v>0</v>
      </c>
      <c r="AC29" s="1314" t="n">
        <v>0</v>
      </c>
      <c r="AD29" s="1314" t="n">
        <v>0</v>
      </c>
      <c r="AE29" s="1252"/>
      <c r="AF29" s="1314" t="n">
        <v>0</v>
      </c>
      <c r="AG29" s="1314" t="n">
        <v>0</v>
      </c>
      <c r="AH29" s="1314" t="n">
        <v>0</v>
      </c>
      <c r="AI29" s="1252"/>
      <c r="AJ29" s="1314" t="n">
        <v>0</v>
      </c>
      <c r="AK29" s="1314" t="n">
        <v>0</v>
      </c>
      <c r="AL29" s="1314" t="n">
        <v>0</v>
      </c>
      <c r="AM29" s="1166"/>
      <c r="AN29" s="1253" t="n">
        <v>7</v>
      </c>
      <c r="AO29" s="1316" t="n">
        <v>0.2</v>
      </c>
      <c r="AP29" s="1252"/>
      <c r="AQ29" s="0"/>
      <c r="AR29" s="0"/>
      <c r="AS29" s="0"/>
      <c r="AT29" s="0" t="n">
        <v>1</v>
      </c>
      <c r="AU29" s="0" t="str">
        <f aca="false">AV29&amp;"Q"&amp;ROUNDUP(MONTH(AW29)/3,0)</f>
        <v>2001Q4</v>
      </c>
      <c r="AV29" s="0" t="n">
        <f aca="false">YEAR(AW29)</f>
        <v>2001</v>
      </c>
      <c r="AW29" s="1304" t="n">
        <f aca="false">EOMONTH(AW28,0)+1</f>
        <v>37226</v>
      </c>
      <c r="AX29" s="112" t="n">
        <f aca="false">AY29</f>
        <v>3.0903582625892</v>
      </c>
      <c r="AY29" s="1323" t="n">
        <v>3.0903582625892</v>
      </c>
      <c r="AZ29" s="112" t="n">
        <f aca="false">AY29</f>
        <v>3.0903582625892</v>
      </c>
      <c r="BA29" s="163" t="n">
        <v>1</v>
      </c>
      <c r="BB29" s="163" t="n">
        <v>1</v>
      </c>
      <c r="BC29" s="163" t="n">
        <v>1</v>
      </c>
      <c r="BD29" s="163" t="n">
        <v>0</v>
      </c>
      <c r="BE29" s="163"/>
      <c r="BF29" s="163" t="n">
        <v>0</v>
      </c>
      <c r="BG29" s="1290" t="n">
        <v>0</v>
      </c>
      <c r="BH29" s="1291"/>
      <c r="BI29" s="1292"/>
      <c r="BJ29" s="1262"/>
      <c r="BK29" s="1293" t="n">
        <v>0</v>
      </c>
      <c r="BL29" s="1294" t="n">
        <f aca="false">+AY29</f>
        <v>3.0903582625892</v>
      </c>
      <c r="BM29" s="1295" t="n">
        <f aca="false">AY29</f>
        <v>3.0903582625892</v>
      </c>
      <c r="BN29" s="1324" t="e">
        <f aca="false">+BM29/BM17-1</f>
        <v>#DIV/0!</v>
      </c>
      <c r="BO29" s="1296" t="n">
        <v>2.4</v>
      </c>
      <c r="BQ29" s="1299" t="n">
        <f aca="false">VLOOKUP($AW29,$BU$8:$BZ$291,5,FALSE())</f>
        <v>2.81523217143881</v>
      </c>
      <c r="BR29" s="1299" t="n">
        <f aca="false">VLOOKUP($AW29,$BU$8:$BZ$291,6,FALSE())</f>
        <v>2.18121485343603</v>
      </c>
      <c r="BS29" s="1262" t="n">
        <v>0</v>
      </c>
      <c r="BT29" s="1318"/>
      <c r="BU29" s="1309" t="n">
        <f aca="false">EDATE(BU28,1)</f>
        <v>36800</v>
      </c>
      <c r="BV29" s="1310" t="n">
        <v>2.44984207365907</v>
      </c>
      <c r="BW29" s="1310" t="n">
        <v>1.90132342665717</v>
      </c>
      <c r="BX29" s="1310"/>
      <c r="BY29" s="1310" t="n">
        <v>2.5488156934349</v>
      </c>
      <c r="BZ29" s="1311" t="n">
        <v>1.97813689309412</v>
      </c>
    </row>
    <row r="30" customFormat="false" ht="12.75" hidden="false" customHeight="false" outlineLevel="0" collapsed="false">
      <c r="A30" s="1246"/>
      <c r="B30" s="1312" t="n">
        <v>36530</v>
      </c>
      <c r="C30" s="1313" t="n">
        <v>0</v>
      </c>
      <c r="D30" s="1313" t="n">
        <v>0</v>
      </c>
      <c r="E30" s="1313" t="n">
        <v>0</v>
      </c>
      <c r="F30" s="1287"/>
      <c r="G30" s="1313" t="n">
        <v>0</v>
      </c>
      <c r="H30" s="1313" t="n">
        <v>0</v>
      </c>
      <c r="I30" s="1313" t="n">
        <v>0</v>
      </c>
      <c r="J30" s="1253"/>
      <c r="K30" s="1254" t="n">
        <v>37104</v>
      </c>
      <c r="L30" s="1314" t="n">
        <v>0</v>
      </c>
      <c r="M30" s="1314" t="n">
        <v>0</v>
      </c>
      <c r="N30" s="1314" t="n">
        <v>0</v>
      </c>
      <c r="O30" s="1252"/>
      <c r="P30" s="1314" t="n">
        <v>0</v>
      </c>
      <c r="Q30" s="1314" t="n">
        <v>0</v>
      </c>
      <c r="R30" s="1314" t="n">
        <v>0</v>
      </c>
      <c r="S30" s="1252"/>
      <c r="T30" s="1314" t="n">
        <v>0</v>
      </c>
      <c r="U30" s="1314" t="n">
        <v>0</v>
      </c>
      <c r="V30" s="1314" t="n">
        <v>0</v>
      </c>
      <c r="W30" s="1252"/>
      <c r="X30" s="1314" t="n">
        <v>0</v>
      </c>
      <c r="Y30" s="1314" t="n">
        <v>0</v>
      </c>
      <c r="Z30" s="1314" t="n">
        <v>0</v>
      </c>
      <c r="AA30" s="1252" t="n">
        <v>0</v>
      </c>
      <c r="AB30" s="1314" t="n">
        <v>0</v>
      </c>
      <c r="AC30" s="1314" t="n">
        <v>0</v>
      </c>
      <c r="AD30" s="1314" t="n">
        <v>0</v>
      </c>
      <c r="AE30" s="1252"/>
      <c r="AF30" s="1314" t="n">
        <v>0</v>
      </c>
      <c r="AG30" s="1314" t="n">
        <v>0</v>
      </c>
      <c r="AH30" s="1314" t="n">
        <v>0</v>
      </c>
      <c r="AI30" s="1252"/>
      <c r="AJ30" s="1314" t="n">
        <v>0</v>
      </c>
      <c r="AK30" s="1314" t="n">
        <v>0</v>
      </c>
      <c r="AL30" s="1314" t="n">
        <v>0</v>
      </c>
      <c r="AM30" s="1166"/>
      <c r="AN30" s="1253" t="n">
        <v>7</v>
      </c>
      <c r="AO30" s="1316" t="n">
        <v>0.2</v>
      </c>
      <c r="AP30" s="1252"/>
      <c r="AQ30" s="0"/>
      <c r="AR30" s="0"/>
      <c r="AS30" s="0"/>
      <c r="AT30" s="0" t="n">
        <v>1</v>
      </c>
      <c r="AU30" s="0" t="str">
        <f aca="false">AV30&amp;"Q"&amp;ROUNDUP(MONTH(AW30)/3,0)</f>
        <v>2002Q1</v>
      </c>
      <c r="AV30" s="0" t="n">
        <f aca="false">YEAR(AW30)</f>
        <v>2002</v>
      </c>
      <c r="AW30" s="1304" t="n">
        <f aca="false">EOMONTH(AW29,0)+1</f>
        <v>37257</v>
      </c>
      <c r="AX30" s="112" t="n">
        <f aca="false">AY30</f>
        <v>2.96505117330743</v>
      </c>
      <c r="AY30" s="1323" t="n">
        <v>2.96505117330743</v>
      </c>
      <c r="AZ30" s="112" t="n">
        <f aca="false">AY30</f>
        <v>2.96505117330743</v>
      </c>
      <c r="BA30" s="163" t="n">
        <v>1</v>
      </c>
      <c r="BB30" s="163" t="n">
        <v>1</v>
      </c>
      <c r="BC30" s="163" t="n">
        <v>1</v>
      </c>
      <c r="BD30" s="163" t="n">
        <v>0</v>
      </c>
      <c r="BE30" s="163"/>
      <c r="BF30" s="163" t="n">
        <v>0</v>
      </c>
      <c r="BG30" s="1290" t="n">
        <v>0</v>
      </c>
      <c r="BH30" s="1291"/>
      <c r="BI30" s="1292"/>
      <c r="BJ30" s="1262"/>
      <c r="BK30" s="1293" t="n">
        <v>0</v>
      </c>
      <c r="BL30" s="1294" t="n">
        <f aca="false">+AY30</f>
        <v>2.96505117330743</v>
      </c>
      <c r="BM30" s="1295" t="n">
        <f aca="false">AY30</f>
        <v>2.96505117330743</v>
      </c>
      <c r="BN30" s="1324" t="n">
        <f aca="false">+BM30/BM18-1</f>
        <v>-0.0751017576222033</v>
      </c>
      <c r="BO30" s="1296" t="n">
        <v>2.4</v>
      </c>
      <c r="BQ30" s="1299" t="n">
        <f aca="false">VLOOKUP($AW30,$BU$8:$BZ$291,5,FALSE())</f>
        <v>2.77254739178282</v>
      </c>
      <c r="BR30" s="1299" t="n">
        <f aca="false">VLOOKUP($AW30,$BU$8:$BZ$291,6,FALSE())</f>
        <v>2.33184534693648</v>
      </c>
      <c r="BS30" s="1262" t="n">
        <v>0</v>
      </c>
      <c r="BT30" s="1318"/>
      <c r="BU30" s="1309" t="n">
        <f aca="false">EDATE(BU29,1)</f>
        <v>36831</v>
      </c>
      <c r="BV30" s="1310" t="n">
        <v>2.57491408479609</v>
      </c>
      <c r="BW30" s="1310" t="n">
        <v>1.95155547201895</v>
      </c>
      <c r="BX30" s="1310"/>
      <c r="BY30" s="1310" t="n">
        <v>2.67894061382185</v>
      </c>
      <c r="BZ30" s="1311" t="n">
        <v>2.03039831308851</v>
      </c>
    </row>
    <row r="31" customFormat="false" ht="12.75" hidden="false" customHeight="false" outlineLevel="0" collapsed="false">
      <c r="A31" s="1246"/>
      <c r="B31" s="1312" t="n">
        <v>36531</v>
      </c>
      <c r="C31" s="1313" t="n">
        <v>0</v>
      </c>
      <c r="D31" s="1313" t="n">
        <v>0</v>
      </c>
      <c r="E31" s="1313" t="n">
        <v>0</v>
      </c>
      <c r="F31" s="1287"/>
      <c r="G31" s="1313" t="n">
        <v>0</v>
      </c>
      <c r="H31" s="1313" t="n">
        <v>0</v>
      </c>
      <c r="I31" s="1313" t="n">
        <v>0</v>
      </c>
      <c r="J31" s="1253"/>
      <c r="K31" s="1254" t="n">
        <v>37135</v>
      </c>
      <c r="L31" s="1314" t="n">
        <v>0</v>
      </c>
      <c r="M31" s="1314" t="n">
        <v>0</v>
      </c>
      <c r="N31" s="1314" t="n">
        <v>0</v>
      </c>
      <c r="O31" s="1252"/>
      <c r="P31" s="1314" t="n">
        <v>0</v>
      </c>
      <c r="Q31" s="1314" t="n">
        <v>0</v>
      </c>
      <c r="R31" s="1314" t="n">
        <v>0</v>
      </c>
      <c r="S31" s="1252"/>
      <c r="T31" s="1314" t="n">
        <v>0</v>
      </c>
      <c r="U31" s="1314" t="n">
        <v>0</v>
      </c>
      <c r="V31" s="1314" t="n">
        <v>0</v>
      </c>
      <c r="W31" s="1252"/>
      <c r="X31" s="1314" t="n">
        <v>0</v>
      </c>
      <c r="Y31" s="1314" t="n">
        <v>0</v>
      </c>
      <c r="Z31" s="1314" t="n">
        <v>0</v>
      </c>
      <c r="AA31" s="1252" t="n">
        <v>0</v>
      </c>
      <c r="AB31" s="1314" t="n">
        <v>0</v>
      </c>
      <c r="AC31" s="1314" t="n">
        <v>0</v>
      </c>
      <c r="AD31" s="1314" t="n">
        <v>0</v>
      </c>
      <c r="AE31" s="1252"/>
      <c r="AF31" s="1314" t="n">
        <v>0</v>
      </c>
      <c r="AG31" s="1314" t="n">
        <v>0</v>
      </c>
      <c r="AH31" s="1314" t="n">
        <v>0</v>
      </c>
      <c r="AI31" s="1252"/>
      <c r="AJ31" s="1314" t="n">
        <v>0</v>
      </c>
      <c r="AK31" s="1314" t="n">
        <v>0</v>
      </c>
      <c r="AL31" s="1314" t="n">
        <v>0</v>
      </c>
      <c r="AM31" s="1166"/>
      <c r="AN31" s="1253" t="n">
        <v>8</v>
      </c>
      <c r="AO31" s="1316" t="n">
        <v>0.2</v>
      </c>
      <c r="AP31" s="1252"/>
      <c r="AQ31" s="0"/>
      <c r="AR31" s="0"/>
      <c r="AS31" s="0"/>
      <c r="AT31" s="0" t="n">
        <v>1</v>
      </c>
      <c r="AU31" s="0" t="str">
        <f aca="false">AV31&amp;"Q"&amp;ROUNDUP(MONTH(AW31)/3,0)</f>
        <v>2002Q1</v>
      </c>
      <c r="AV31" s="0" t="n">
        <f aca="false">YEAR(AW31)</f>
        <v>2002</v>
      </c>
      <c r="AW31" s="1304" t="n">
        <f aca="false">EOMONTH(AW30,0)+1</f>
        <v>37288</v>
      </c>
      <c r="AX31" s="112" t="n">
        <f aca="false">AY31</f>
        <v>2.74160058035552</v>
      </c>
      <c r="AY31" s="1323" t="n">
        <v>2.74160058035552</v>
      </c>
      <c r="AZ31" s="112" t="n">
        <f aca="false">AY31</f>
        <v>2.74160058035552</v>
      </c>
      <c r="BA31" s="163" t="n">
        <v>1</v>
      </c>
      <c r="BB31" s="163" t="n">
        <v>1</v>
      </c>
      <c r="BC31" s="163" t="n">
        <v>1</v>
      </c>
      <c r="BD31" s="163" t="n">
        <v>0</v>
      </c>
      <c r="BE31" s="163"/>
      <c r="BF31" s="163" t="n">
        <v>0</v>
      </c>
      <c r="BG31" s="1290" t="n">
        <v>0</v>
      </c>
      <c r="BH31" s="1291"/>
      <c r="BI31" s="1292"/>
      <c r="BJ31" s="1262"/>
      <c r="BK31" s="1293" t="n">
        <v>0</v>
      </c>
      <c r="BL31" s="1294" t="n">
        <f aca="false">+AY31</f>
        <v>2.74160058035552</v>
      </c>
      <c r="BM31" s="1295" t="n">
        <f aca="false">AY31</f>
        <v>2.74160058035552</v>
      </c>
      <c r="BN31" s="1324" t="n">
        <f aca="false">+BM31/BM19-1</f>
        <v>-0.0984422703825149</v>
      </c>
      <c r="BO31" s="1296" t="n">
        <v>2.4</v>
      </c>
      <c r="BP31" s="1325"/>
      <c r="BQ31" s="1299" t="n">
        <f aca="false">VLOOKUP($AW31,$BU$8:$BZ$291,5,FALSE())</f>
        <v>2.56334611960144</v>
      </c>
      <c r="BR31" s="1299" t="n">
        <f aca="false">VLOOKUP($AW31,$BU$8:$BZ$291,6,FALSE())</f>
        <v>2.17197393700202</v>
      </c>
      <c r="BS31" s="1262" t="n">
        <v>0</v>
      </c>
      <c r="BT31" s="1318"/>
      <c r="BU31" s="1309" t="n">
        <f aca="false">EDATE(BU30,1)</f>
        <v>36861</v>
      </c>
      <c r="BV31" s="1310" t="n">
        <v>2.62930852066625</v>
      </c>
      <c r="BW31" s="1310" t="n">
        <v>1.99247028316039</v>
      </c>
      <c r="BX31" s="1310"/>
      <c r="BY31" s="1310" t="n">
        <v>2.73553258490116</v>
      </c>
      <c r="BZ31" s="1311" t="n">
        <v>2.07296608260007</v>
      </c>
    </row>
    <row r="32" customFormat="false" ht="12.75" hidden="false" customHeight="false" outlineLevel="0" collapsed="false">
      <c r="A32" s="1246"/>
      <c r="B32" s="1312" t="n">
        <v>36532</v>
      </c>
      <c r="C32" s="1313" t="n">
        <v>0</v>
      </c>
      <c r="D32" s="1313" t="n">
        <v>0</v>
      </c>
      <c r="E32" s="1313" t="n">
        <v>0</v>
      </c>
      <c r="F32" s="1287"/>
      <c r="G32" s="1313" t="n">
        <v>0</v>
      </c>
      <c r="H32" s="1313" t="n">
        <v>0</v>
      </c>
      <c r="I32" s="1313" t="n">
        <v>0</v>
      </c>
      <c r="J32" s="1253"/>
      <c r="K32" s="1254" t="n">
        <v>37165</v>
      </c>
      <c r="L32" s="1314" t="n">
        <v>0</v>
      </c>
      <c r="M32" s="1314" t="n">
        <v>0</v>
      </c>
      <c r="N32" s="1314" t="n">
        <v>0</v>
      </c>
      <c r="O32" s="1252"/>
      <c r="P32" s="1314" t="n">
        <v>0</v>
      </c>
      <c r="Q32" s="1314" t="n">
        <v>0</v>
      </c>
      <c r="R32" s="1314" t="n">
        <v>0</v>
      </c>
      <c r="S32" s="1252"/>
      <c r="T32" s="1314" t="n">
        <v>0</v>
      </c>
      <c r="U32" s="1314" t="n">
        <v>0</v>
      </c>
      <c r="V32" s="1314" t="n">
        <v>0</v>
      </c>
      <c r="W32" s="1252"/>
      <c r="X32" s="1314" t="n">
        <v>0</v>
      </c>
      <c r="Y32" s="1314" t="n">
        <v>0</v>
      </c>
      <c r="Z32" s="1314" t="n">
        <v>0</v>
      </c>
      <c r="AA32" s="1252" t="n">
        <v>0</v>
      </c>
      <c r="AB32" s="1314" t="n">
        <v>0</v>
      </c>
      <c r="AC32" s="1314" t="n">
        <v>0</v>
      </c>
      <c r="AD32" s="1314" t="n">
        <v>0</v>
      </c>
      <c r="AE32" s="1252"/>
      <c r="AF32" s="1314" t="n">
        <v>0</v>
      </c>
      <c r="AG32" s="1314" t="n">
        <v>0</v>
      </c>
      <c r="AH32" s="1314" t="n">
        <v>0</v>
      </c>
      <c r="AI32" s="1252"/>
      <c r="AJ32" s="1314" t="n">
        <v>0</v>
      </c>
      <c r="AK32" s="1314" t="n">
        <v>0</v>
      </c>
      <c r="AL32" s="1314" t="n">
        <v>0</v>
      </c>
      <c r="AM32" s="1166"/>
      <c r="AN32" s="1253" t="n">
        <v>8</v>
      </c>
      <c r="AO32" s="1316" t="n">
        <v>0.2</v>
      </c>
      <c r="AP32" s="1252"/>
      <c r="AQ32" s="0"/>
      <c r="AR32" s="0"/>
      <c r="AS32" s="0"/>
      <c r="AT32" s="0" t="n">
        <v>1</v>
      </c>
      <c r="AU32" s="0" t="str">
        <f aca="false">AV32&amp;"Q"&amp;ROUNDUP(MONTH(AW32)/3,0)</f>
        <v>2002Q1</v>
      </c>
      <c r="AV32" s="0" t="n">
        <f aca="false">YEAR(AW32)</f>
        <v>2002</v>
      </c>
      <c r="AW32" s="1304" t="n">
        <f aca="false">EOMONTH(AW31,0)+1</f>
        <v>37316</v>
      </c>
      <c r="AX32" s="112" t="n">
        <f aca="false">AY32</f>
        <v>2.5922946557627</v>
      </c>
      <c r="AY32" s="1323" t="n">
        <v>2.5922946557627</v>
      </c>
      <c r="AZ32" s="112" t="n">
        <f aca="false">AY32</f>
        <v>2.5922946557627</v>
      </c>
      <c r="BA32" s="163" t="n">
        <v>1</v>
      </c>
      <c r="BB32" s="163" t="n">
        <v>1</v>
      </c>
      <c r="BC32" s="163" t="n">
        <v>1</v>
      </c>
      <c r="BD32" s="163" t="n">
        <v>0</v>
      </c>
      <c r="BE32" s="163"/>
      <c r="BF32" s="163" t="n">
        <v>0</v>
      </c>
      <c r="BG32" s="1290" t="n">
        <v>0</v>
      </c>
      <c r="BH32" s="1291"/>
      <c r="BI32" s="1292"/>
      <c r="BJ32" s="1262"/>
      <c r="BK32" s="1293" t="n">
        <v>0</v>
      </c>
      <c r="BL32" s="1294" t="n">
        <f aca="false">+AY32</f>
        <v>2.5922946557627</v>
      </c>
      <c r="BM32" s="1295" t="n">
        <f aca="false">AY32</f>
        <v>2.5922946557627</v>
      </c>
      <c r="BN32" s="1324" t="n">
        <f aca="false">+BM32/BM20-1</f>
        <v>-0.10561717315647</v>
      </c>
      <c r="BO32" s="1296" t="n">
        <v>2.4</v>
      </c>
      <c r="BQ32" s="1299" t="n">
        <f aca="false">VLOOKUP($AW32,$BU$8:$BZ$291,5,FALSE())</f>
        <v>2.48723570957949</v>
      </c>
      <c r="BR32" s="1299" t="n">
        <f aca="false">VLOOKUP($AW32,$BU$8:$BZ$291,6,FALSE())</f>
        <v>2.06415368379041</v>
      </c>
      <c r="BS32" s="1262" t="n">
        <v>0</v>
      </c>
      <c r="BT32" s="1318"/>
      <c r="BU32" s="1309" t="n">
        <f aca="false">EDATE(BU31,1)</f>
        <v>36892</v>
      </c>
      <c r="BV32" s="1310" t="n">
        <v>2.53442507386421</v>
      </c>
      <c r="BW32" s="1310" t="n">
        <v>2.09677889498166</v>
      </c>
      <c r="BX32" s="1310"/>
      <c r="BY32" s="1310" t="n">
        <v>2.68955216378529</v>
      </c>
      <c r="BZ32" s="1311" t="n">
        <v>2.2251185375857</v>
      </c>
    </row>
    <row r="33" customFormat="false" ht="12.75" hidden="false" customHeight="false" outlineLevel="0" collapsed="false">
      <c r="A33" s="1246"/>
      <c r="B33" s="1312" t="n">
        <v>36533</v>
      </c>
      <c r="C33" s="1313" t="n">
        <v>0</v>
      </c>
      <c r="D33" s="1313" t="n">
        <v>0</v>
      </c>
      <c r="E33" s="1313" t="n">
        <v>0</v>
      </c>
      <c r="F33" s="1287"/>
      <c r="G33" s="1313" t="n">
        <v>0</v>
      </c>
      <c r="H33" s="1313" t="n">
        <v>0</v>
      </c>
      <c r="I33" s="1313" t="n">
        <v>0</v>
      </c>
      <c r="J33" s="1253"/>
      <c r="K33" s="1254" t="n">
        <v>37196</v>
      </c>
      <c r="L33" s="1314" t="n">
        <v>0</v>
      </c>
      <c r="M33" s="1314" t="n">
        <v>0</v>
      </c>
      <c r="N33" s="1314" t="n">
        <v>0</v>
      </c>
      <c r="O33" s="1252"/>
      <c r="P33" s="1314" t="n">
        <v>0</v>
      </c>
      <c r="Q33" s="1314" t="n">
        <v>0</v>
      </c>
      <c r="R33" s="1314" t="n">
        <v>0</v>
      </c>
      <c r="S33" s="1252"/>
      <c r="T33" s="1314" t="n">
        <v>0</v>
      </c>
      <c r="U33" s="1314" t="n">
        <v>0</v>
      </c>
      <c r="V33" s="1314" t="n">
        <v>0</v>
      </c>
      <c r="W33" s="1252"/>
      <c r="X33" s="1314" t="n">
        <v>0</v>
      </c>
      <c r="Y33" s="1314" t="n">
        <v>0</v>
      </c>
      <c r="Z33" s="1314" t="n">
        <v>0</v>
      </c>
      <c r="AA33" s="1252" t="n">
        <v>0</v>
      </c>
      <c r="AB33" s="1314" t="n">
        <v>0</v>
      </c>
      <c r="AC33" s="1314" t="n">
        <v>0</v>
      </c>
      <c r="AD33" s="1314" t="n">
        <v>0</v>
      </c>
      <c r="AE33" s="1252"/>
      <c r="AF33" s="1314" t="n">
        <v>0</v>
      </c>
      <c r="AG33" s="1314" t="n">
        <v>0</v>
      </c>
      <c r="AH33" s="1314" t="n">
        <v>0</v>
      </c>
      <c r="AI33" s="1252"/>
      <c r="AJ33" s="1314" t="n">
        <v>0</v>
      </c>
      <c r="AK33" s="1314" t="n">
        <v>0</v>
      </c>
      <c r="AL33" s="1314" t="n">
        <v>0</v>
      </c>
      <c r="AM33" s="1166"/>
      <c r="AN33" s="1253" t="n">
        <v>8</v>
      </c>
      <c r="AO33" s="1316" t="n">
        <v>0.2</v>
      </c>
      <c r="AP33" s="1252"/>
      <c r="AQ33" s="0"/>
      <c r="AR33" s="0"/>
      <c r="AS33" s="0"/>
      <c r="AT33" s="0" t="n">
        <v>1</v>
      </c>
      <c r="AU33" s="0" t="str">
        <f aca="false">AV33&amp;"Q"&amp;ROUNDUP(MONTH(AW33)/3,0)</f>
        <v>2002Q2</v>
      </c>
      <c r="AV33" s="0" t="n">
        <f aca="false">YEAR(AW33)</f>
        <v>2002</v>
      </c>
      <c r="AW33" s="1304" t="n">
        <f aca="false">EOMONTH(AW32,0)+1</f>
        <v>37347</v>
      </c>
      <c r="AX33" s="112" t="n">
        <f aca="false">AY33</f>
        <v>2.50766935115245</v>
      </c>
      <c r="AY33" s="1323" t="n">
        <v>2.50766935115245</v>
      </c>
      <c r="AZ33" s="112" t="n">
        <f aca="false">AY33</f>
        <v>2.50766935115245</v>
      </c>
      <c r="BA33" s="163" t="n">
        <v>1</v>
      </c>
      <c r="BB33" s="163" t="n">
        <v>1</v>
      </c>
      <c r="BC33" s="163" t="n">
        <v>1</v>
      </c>
      <c r="BD33" s="163" t="n">
        <v>0</v>
      </c>
      <c r="BE33" s="163"/>
      <c r="BF33" s="163" t="n">
        <v>0</v>
      </c>
      <c r="BG33" s="1290" t="n">
        <v>0</v>
      </c>
      <c r="BH33" s="1291"/>
      <c r="BI33" s="1292"/>
      <c r="BJ33" s="1262"/>
      <c r="BK33" s="1293" t="n">
        <v>0</v>
      </c>
      <c r="BL33" s="1294" t="n">
        <f aca="false">+AY33</f>
        <v>2.50766935115245</v>
      </c>
      <c r="BM33" s="1295" t="n">
        <f aca="false">AY33</f>
        <v>2.50766935115245</v>
      </c>
      <c r="BN33" s="1324" t="n">
        <f aca="false">+BM33/BM21-1</f>
        <v>-0.0967310186534895</v>
      </c>
      <c r="BO33" s="1296" t="n">
        <v>2.4</v>
      </c>
      <c r="BQ33" s="1299" t="n">
        <f aca="false">VLOOKUP($AW33,$BU$8:$BZ$291,5,FALSE())</f>
        <v>2.43789516791008</v>
      </c>
      <c r="BR33" s="1299" t="n">
        <f aca="false">VLOOKUP($AW33,$BU$8:$BZ$291,6,FALSE())</f>
        <v>2.00141345024055</v>
      </c>
      <c r="BS33" s="1262" t="n">
        <v>0</v>
      </c>
      <c r="BT33" s="1318"/>
      <c r="BU33" s="1309" t="n">
        <f aca="false">EDATE(BU32,1)</f>
        <v>36923</v>
      </c>
      <c r="BV33" s="1310" t="n">
        <v>2.34319121028006</v>
      </c>
      <c r="BW33" s="1310" t="n">
        <v>1.95302365036309</v>
      </c>
      <c r="BX33" s="1310"/>
      <c r="BY33" s="1310" t="n">
        <v>2.48661325787889</v>
      </c>
      <c r="BZ33" s="1311" t="n">
        <v>2.07256432195451</v>
      </c>
    </row>
    <row r="34" customFormat="false" ht="12.75" hidden="false" customHeight="false" outlineLevel="0" collapsed="false">
      <c r="A34" s="1246"/>
      <c r="B34" s="1312" t="n">
        <v>36534</v>
      </c>
      <c r="C34" s="1313" t="n">
        <v>0</v>
      </c>
      <c r="D34" s="1313" t="n">
        <v>0</v>
      </c>
      <c r="E34" s="1313" t="n">
        <v>0</v>
      </c>
      <c r="F34" s="1287"/>
      <c r="G34" s="1313" t="n">
        <v>0</v>
      </c>
      <c r="H34" s="1313" t="n">
        <v>0</v>
      </c>
      <c r="I34" s="1313" t="n">
        <v>0</v>
      </c>
      <c r="J34" s="1253"/>
      <c r="K34" s="1254" t="n">
        <v>37226</v>
      </c>
      <c r="L34" s="1314" t="n">
        <v>0</v>
      </c>
      <c r="M34" s="1314" t="n">
        <v>0</v>
      </c>
      <c r="N34" s="1314" t="n">
        <v>0</v>
      </c>
      <c r="O34" s="1252"/>
      <c r="P34" s="1314" t="n">
        <v>0</v>
      </c>
      <c r="Q34" s="1314" t="n">
        <v>0</v>
      </c>
      <c r="R34" s="1314" t="n">
        <v>0</v>
      </c>
      <c r="S34" s="1252"/>
      <c r="T34" s="1314" t="n">
        <v>0</v>
      </c>
      <c r="U34" s="1314" t="n">
        <v>0</v>
      </c>
      <c r="V34" s="1314" t="n">
        <v>0</v>
      </c>
      <c r="W34" s="1252"/>
      <c r="X34" s="1314" t="n">
        <v>0</v>
      </c>
      <c r="Y34" s="1314" t="n">
        <v>0</v>
      </c>
      <c r="Z34" s="1314" t="n">
        <v>0</v>
      </c>
      <c r="AA34" s="1252" t="n">
        <v>0</v>
      </c>
      <c r="AB34" s="1314" t="n">
        <v>0</v>
      </c>
      <c r="AC34" s="1314" t="n">
        <v>0</v>
      </c>
      <c r="AD34" s="1314" t="n">
        <v>0</v>
      </c>
      <c r="AE34" s="1252"/>
      <c r="AF34" s="1314" t="n">
        <v>0</v>
      </c>
      <c r="AG34" s="1314" t="n">
        <v>0</v>
      </c>
      <c r="AH34" s="1314" t="n">
        <v>0</v>
      </c>
      <c r="AI34" s="1252"/>
      <c r="AJ34" s="1314" t="n">
        <v>0</v>
      </c>
      <c r="AK34" s="1314" t="n">
        <v>0</v>
      </c>
      <c r="AL34" s="1314" t="n">
        <v>0</v>
      </c>
      <c r="AM34" s="1166"/>
      <c r="AN34" s="1253" t="n">
        <v>9</v>
      </c>
      <c r="AO34" s="1316" t="n">
        <v>0.25</v>
      </c>
      <c r="AP34" s="1252"/>
      <c r="AQ34" s="0"/>
      <c r="AR34" s="0"/>
      <c r="AS34" s="0"/>
      <c r="AT34" s="0" t="n">
        <v>1</v>
      </c>
      <c r="AU34" s="0" t="str">
        <f aca="false">AV34&amp;"Q"&amp;ROUNDUP(MONTH(AW34)/3,0)</f>
        <v>2002Q2</v>
      </c>
      <c r="AV34" s="0" t="n">
        <f aca="false">YEAR(AW34)</f>
        <v>2002</v>
      </c>
      <c r="AW34" s="1304" t="n">
        <f aca="false">EOMONTH(AW33,0)+1</f>
        <v>37377</v>
      </c>
      <c r="AX34" s="112" t="n">
        <f aca="false">AY34</f>
        <v>2.47790150694725</v>
      </c>
      <c r="AY34" s="1323" t="n">
        <v>2.47790150694725</v>
      </c>
      <c r="AZ34" s="112" t="n">
        <f aca="false">AY34</f>
        <v>2.47790150694725</v>
      </c>
      <c r="BA34" s="163" t="n">
        <v>1</v>
      </c>
      <c r="BB34" s="163" t="n">
        <v>1</v>
      </c>
      <c r="BC34" s="163" t="n">
        <v>1</v>
      </c>
      <c r="BD34" s="163" t="n">
        <v>0</v>
      </c>
      <c r="BE34" s="163"/>
      <c r="BF34" s="163" t="n">
        <v>0</v>
      </c>
      <c r="BG34" s="1290" t="n">
        <v>0</v>
      </c>
      <c r="BH34" s="1291"/>
      <c r="BI34" s="1292"/>
      <c r="BJ34" s="1262"/>
      <c r="BK34" s="1293" t="n">
        <v>0</v>
      </c>
      <c r="BL34" s="1294" t="n">
        <f aca="false">+AY34</f>
        <v>2.47790150694725</v>
      </c>
      <c r="BM34" s="1295" t="n">
        <f aca="false">AY34</f>
        <v>2.47790150694725</v>
      </c>
      <c r="BN34" s="1324" t="n">
        <f aca="false">+BM34/BM22-1</f>
        <v>-0.0939740835117325</v>
      </c>
      <c r="BO34" s="1296" t="n">
        <v>2.4</v>
      </c>
      <c r="BQ34" s="1299" t="n">
        <f aca="false">VLOOKUP($AW34,$BU$8:$BZ$291,5,FALSE())</f>
        <v>2.41532449459323</v>
      </c>
      <c r="BR34" s="1299" t="n">
        <f aca="false">VLOOKUP($AW34,$BU$8:$BZ$291,6,FALSE())</f>
        <v>1.97678209929134</v>
      </c>
      <c r="BS34" s="1262" t="n">
        <v>0</v>
      </c>
      <c r="BT34" s="1318"/>
      <c r="BU34" s="1309" t="n">
        <f aca="false">EDATE(BU33,1)</f>
        <v>36951</v>
      </c>
      <c r="BV34" s="1310" t="n">
        <v>2.27361760006391</v>
      </c>
      <c r="BW34" s="1310" t="n">
        <v>1.85607243887614</v>
      </c>
      <c r="BX34" s="1310"/>
      <c r="BY34" s="1310" t="n">
        <v>2.41278118612862</v>
      </c>
      <c r="BZ34" s="1311" t="n">
        <v>1.96967892071487</v>
      </c>
    </row>
    <row r="35" customFormat="false" ht="12.75" hidden="false" customHeight="false" outlineLevel="0" collapsed="false">
      <c r="A35" s="1246"/>
      <c r="B35" s="1312" t="n">
        <v>36535</v>
      </c>
      <c r="C35" s="1313" t="n">
        <v>0</v>
      </c>
      <c r="D35" s="1313" t="n">
        <v>0</v>
      </c>
      <c r="E35" s="1313" t="n">
        <v>0</v>
      </c>
      <c r="F35" s="1287"/>
      <c r="G35" s="1313" t="n">
        <v>0</v>
      </c>
      <c r="H35" s="1313" t="n">
        <v>0</v>
      </c>
      <c r="I35" s="1313" t="n">
        <v>0</v>
      </c>
      <c r="J35" s="1253"/>
      <c r="K35" s="1254" t="n">
        <v>37257</v>
      </c>
      <c r="L35" s="1314" t="n">
        <v>0</v>
      </c>
      <c r="M35" s="1314" t="n">
        <v>0</v>
      </c>
      <c r="N35" s="1314" t="n">
        <v>0</v>
      </c>
      <c r="O35" s="1252"/>
      <c r="P35" s="1314" t="n">
        <v>0</v>
      </c>
      <c r="Q35" s="1314" t="n">
        <v>0</v>
      </c>
      <c r="R35" s="1314" t="n">
        <v>0</v>
      </c>
      <c r="S35" s="1252"/>
      <c r="T35" s="1314" t="n">
        <v>0</v>
      </c>
      <c r="U35" s="1314" t="n">
        <v>0</v>
      </c>
      <c r="V35" s="1314" t="n">
        <v>0</v>
      </c>
      <c r="W35" s="1252"/>
      <c r="X35" s="1314" t="n">
        <v>0</v>
      </c>
      <c r="Y35" s="1314" t="n">
        <v>0</v>
      </c>
      <c r="Z35" s="1314" t="n">
        <v>0</v>
      </c>
      <c r="AA35" s="1252" t="n">
        <v>0</v>
      </c>
      <c r="AB35" s="1314" t="n">
        <v>0</v>
      </c>
      <c r="AC35" s="1314" t="n">
        <v>0</v>
      </c>
      <c r="AD35" s="1314" t="n">
        <v>0</v>
      </c>
      <c r="AE35" s="1252"/>
      <c r="AF35" s="1314" t="n">
        <v>0</v>
      </c>
      <c r="AG35" s="1314" t="n">
        <v>0</v>
      </c>
      <c r="AH35" s="1314" t="n">
        <v>0</v>
      </c>
      <c r="AI35" s="1252"/>
      <c r="AJ35" s="1314" t="n">
        <v>0</v>
      </c>
      <c r="AK35" s="1314" t="n">
        <v>0</v>
      </c>
      <c r="AL35" s="1314" t="n">
        <v>0</v>
      </c>
      <c r="AM35" s="1166"/>
      <c r="AN35" s="1253" t="n">
        <v>9</v>
      </c>
      <c r="AO35" s="1316" t="n">
        <v>0.25</v>
      </c>
      <c r="AP35" s="1252"/>
      <c r="AQ35" s="0"/>
      <c r="AR35" s="0"/>
      <c r="AS35" s="0"/>
      <c r="AT35" s="0" t="n">
        <v>1</v>
      </c>
      <c r="AU35" s="0" t="str">
        <f aca="false">AV35&amp;"Q"&amp;ROUNDUP(MONTH(AW35)/3,0)</f>
        <v>2002Q2</v>
      </c>
      <c r="AV35" s="0" t="n">
        <f aca="false">YEAR(AW35)</f>
        <v>2002</v>
      </c>
      <c r="AW35" s="1304" t="n">
        <f aca="false">EOMONTH(AW34,0)+1</f>
        <v>37408</v>
      </c>
      <c r="AX35" s="112" t="n">
        <f aca="false">AY35</f>
        <v>2.49395273496496</v>
      </c>
      <c r="AY35" s="1323" t="n">
        <v>2.49395273496496</v>
      </c>
      <c r="AZ35" s="112" t="n">
        <f aca="false">AY35</f>
        <v>2.49395273496496</v>
      </c>
      <c r="BA35" s="163" t="n">
        <v>1</v>
      </c>
      <c r="BB35" s="163" t="n">
        <v>1</v>
      </c>
      <c r="BC35" s="163" t="n">
        <v>1</v>
      </c>
      <c r="BD35" s="163" t="n">
        <v>0</v>
      </c>
      <c r="BE35" s="163"/>
      <c r="BF35" s="163" t="n">
        <v>0</v>
      </c>
      <c r="BG35" s="1290" t="n">
        <v>0</v>
      </c>
      <c r="BH35" s="1291"/>
      <c r="BI35" s="1292"/>
      <c r="BJ35" s="1262"/>
      <c r="BK35" s="1293" t="n">
        <v>0</v>
      </c>
      <c r="BL35" s="1294" t="n">
        <f aca="false">+AY35</f>
        <v>2.49395273496496</v>
      </c>
      <c r="BM35" s="1295" t="n">
        <f aca="false">AY35</f>
        <v>2.49395273496496</v>
      </c>
      <c r="BN35" s="1324" t="n">
        <f aca="false">+BM35/BM23-1</f>
        <v>-0.0903138183945577</v>
      </c>
      <c r="BO35" s="1296" t="n">
        <v>2.4</v>
      </c>
      <c r="BQ35" s="1299" t="n">
        <f aca="false">VLOOKUP($AW35,$BU$8:$BZ$291,5,FALSE())</f>
        <v>2.41952368962892</v>
      </c>
      <c r="BR35" s="1299" t="n">
        <f aca="false">VLOOKUP($AW35,$BU$8:$BZ$291,6,FALSE())</f>
        <v>1.9832884938817</v>
      </c>
      <c r="BS35" s="1262" t="n">
        <v>0</v>
      </c>
      <c r="BT35" s="1318"/>
      <c r="BU35" s="1309" t="n">
        <f aca="false">EDATE(BU34,1)</f>
        <v>36982</v>
      </c>
      <c r="BV35" s="1310" t="n">
        <v>2.22851470792378</v>
      </c>
      <c r="BW35" s="1310" t="n">
        <v>1.79965686322641</v>
      </c>
      <c r="BX35" s="1310"/>
      <c r="BY35" s="1310" t="n">
        <v>2.36491763616637</v>
      </c>
      <c r="BZ35" s="1311" t="n">
        <v>1.90981026051078</v>
      </c>
    </row>
    <row r="36" customFormat="false" ht="12.75" hidden="false" customHeight="false" outlineLevel="0" collapsed="false">
      <c r="A36" s="1246"/>
      <c r="B36" s="1312" t="n">
        <v>36536</v>
      </c>
      <c r="C36" s="1313" t="n">
        <v>0</v>
      </c>
      <c r="D36" s="1313" t="n">
        <v>0</v>
      </c>
      <c r="E36" s="1313" t="n">
        <v>0</v>
      </c>
      <c r="F36" s="1287"/>
      <c r="G36" s="1313" t="n">
        <v>0</v>
      </c>
      <c r="H36" s="1313" t="n">
        <v>0</v>
      </c>
      <c r="I36" s="1313" t="n">
        <v>0</v>
      </c>
      <c r="J36" s="1253"/>
      <c r="K36" s="1254" t="n">
        <v>37288</v>
      </c>
      <c r="L36" s="1314" t="n">
        <v>0</v>
      </c>
      <c r="M36" s="1314" t="n">
        <v>0</v>
      </c>
      <c r="N36" s="1314" t="n">
        <v>0</v>
      </c>
      <c r="O36" s="1252"/>
      <c r="P36" s="1314" t="n">
        <v>0</v>
      </c>
      <c r="Q36" s="1314" t="n">
        <v>0</v>
      </c>
      <c r="R36" s="1314" t="n">
        <v>0</v>
      </c>
      <c r="S36" s="1252"/>
      <c r="T36" s="1314" t="n">
        <v>0</v>
      </c>
      <c r="U36" s="1314" t="n">
        <v>0</v>
      </c>
      <c r="V36" s="1314" t="n">
        <v>0</v>
      </c>
      <c r="W36" s="1252"/>
      <c r="X36" s="1314" t="n">
        <v>0</v>
      </c>
      <c r="Y36" s="1314" t="n">
        <v>0</v>
      </c>
      <c r="Z36" s="1314" t="n">
        <v>0</v>
      </c>
      <c r="AA36" s="1252" t="n">
        <v>0</v>
      </c>
      <c r="AB36" s="1314" t="n">
        <v>0</v>
      </c>
      <c r="AC36" s="1314" t="n">
        <v>0</v>
      </c>
      <c r="AD36" s="1314" t="n">
        <v>0</v>
      </c>
      <c r="AE36" s="1252"/>
      <c r="AF36" s="1314" t="n">
        <v>0</v>
      </c>
      <c r="AG36" s="1314" t="n">
        <v>0</v>
      </c>
      <c r="AH36" s="1314" t="n">
        <v>0</v>
      </c>
      <c r="AI36" s="1252"/>
      <c r="AJ36" s="1314" t="n">
        <v>0</v>
      </c>
      <c r="AK36" s="1314" t="n">
        <v>0</v>
      </c>
      <c r="AL36" s="1314" t="n">
        <v>0</v>
      </c>
      <c r="AM36" s="1166"/>
      <c r="AN36" s="1253" t="n">
        <v>9</v>
      </c>
      <c r="AO36" s="1316" t="n">
        <v>0.25</v>
      </c>
      <c r="AP36" s="1252"/>
      <c r="AQ36" s="0"/>
      <c r="AR36" s="0"/>
      <c r="AS36" s="0"/>
      <c r="AT36" s="0" t="n">
        <v>1</v>
      </c>
      <c r="AU36" s="0" t="str">
        <f aca="false">AV36&amp;"Q"&amp;ROUNDUP(MONTH(AW36)/3,0)</f>
        <v>2002Q3</v>
      </c>
      <c r="AV36" s="0" t="n">
        <f aca="false">YEAR(AW36)</f>
        <v>2002</v>
      </c>
      <c r="AW36" s="1304" t="n">
        <f aca="false">EOMONTH(AW35,0)+1</f>
        <v>37438</v>
      </c>
      <c r="AX36" s="112" t="n">
        <f aca="false">AY36</f>
        <v>2.54617977599528</v>
      </c>
      <c r="AY36" s="1323" t="n">
        <v>2.54617977599528</v>
      </c>
      <c r="AZ36" s="112" t="n">
        <f aca="false">AY36</f>
        <v>2.54617977599528</v>
      </c>
      <c r="BA36" s="163" t="n">
        <v>1</v>
      </c>
      <c r="BB36" s="163" t="n">
        <v>1</v>
      </c>
      <c r="BC36" s="163" t="n">
        <v>1</v>
      </c>
      <c r="BD36" s="163" t="n">
        <v>0</v>
      </c>
      <c r="BE36" s="163"/>
      <c r="BF36" s="163" t="n">
        <v>0</v>
      </c>
      <c r="BG36" s="1290" t="n">
        <v>0</v>
      </c>
      <c r="BH36" s="1291"/>
      <c r="BI36" s="1292"/>
      <c r="BJ36" s="1262"/>
      <c r="BK36" s="1293" t="n">
        <v>0</v>
      </c>
      <c r="BL36" s="1294" t="n">
        <f aca="false">+AY36</f>
        <v>2.54617977599528</v>
      </c>
      <c r="BM36" s="1295" t="n">
        <f aca="false">AY36</f>
        <v>2.54617977599528</v>
      </c>
      <c r="BN36" s="1324" t="n">
        <f aca="false">+BM36/BM24-1</f>
        <v>-0.0768942751256416</v>
      </c>
      <c r="BO36" s="1296" t="n">
        <v>2.4</v>
      </c>
      <c r="BQ36" s="1299" t="n">
        <f aca="false">VLOOKUP($AW36,$BU$8:$BZ$291,5,FALSE())</f>
        <v>2.45049275301716</v>
      </c>
      <c r="BR36" s="1299" t="n">
        <f aca="false">VLOOKUP($AW36,$BU$8:$BZ$291,6,FALSE())</f>
        <v>2.01396149695052</v>
      </c>
      <c r="BS36" s="1262" t="n">
        <v>0</v>
      </c>
      <c r="BU36" s="1309" t="n">
        <f aca="false">EDATE(BU35,1)</f>
        <v>37012</v>
      </c>
      <c r="BV36" s="1310" t="n">
        <v>2.20788253385967</v>
      </c>
      <c r="BW36" s="1310" t="n">
        <v>1.77750852611948</v>
      </c>
      <c r="BX36" s="1310"/>
      <c r="BY36" s="1310" t="n">
        <v>2.34302260799216</v>
      </c>
      <c r="BZ36" s="1311" t="n">
        <v>1.8863062679862</v>
      </c>
    </row>
    <row r="37" customFormat="false" ht="12.75" hidden="false" customHeight="false" outlineLevel="0" collapsed="false">
      <c r="A37" s="1246"/>
      <c r="B37" s="1312" t="n">
        <v>36537</v>
      </c>
      <c r="C37" s="1313" t="n">
        <v>0</v>
      </c>
      <c r="D37" s="1313" t="n">
        <v>0</v>
      </c>
      <c r="E37" s="1313" t="n">
        <v>0</v>
      </c>
      <c r="F37" s="1287"/>
      <c r="G37" s="1313" t="n">
        <v>0</v>
      </c>
      <c r="H37" s="1313" t="n">
        <v>0</v>
      </c>
      <c r="I37" s="1313" t="n">
        <v>0</v>
      </c>
      <c r="J37" s="1253"/>
      <c r="K37" s="1254" t="n">
        <v>37316</v>
      </c>
      <c r="L37" s="1314" t="n">
        <v>0</v>
      </c>
      <c r="M37" s="1314" t="n">
        <v>0</v>
      </c>
      <c r="N37" s="1314" t="n">
        <v>0</v>
      </c>
      <c r="O37" s="1252"/>
      <c r="P37" s="1314" t="n">
        <v>0</v>
      </c>
      <c r="Q37" s="1314" t="n">
        <v>0</v>
      </c>
      <c r="R37" s="1314" t="n">
        <v>0</v>
      </c>
      <c r="S37" s="1252"/>
      <c r="T37" s="1314" t="n">
        <v>0</v>
      </c>
      <c r="U37" s="1314" t="n">
        <v>0</v>
      </c>
      <c r="V37" s="1314" t="n">
        <v>0</v>
      </c>
      <c r="W37" s="1252"/>
      <c r="X37" s="1314" t="n">
        <v>0</v>
      </c>
      <c r="Y37" s="1314" t="n">
        <v>0</v>
      </c>
      <c r="Z37" s="1314" t="n">
        <v>0</v>
      </c>
      <c r="AA37" s="1252" t="n">
        <v>0</v>
      </c>
      <c r="AB37" s="1314" t="n">
        <v>0</v>
      </c>
      <c r="AC37" s="1314" t="n">
        <v>0</v>
      </c>
      <c r="AD37" s="1314" t="n">
        <v>0</v>
      </c>
      <c r="AE37" s="1252"/>
      <c r="AF37" s="1314" t="n">
        <v>0</v>
      </c>
      <c r="AG37" s="1314" t="n">
        <v>0</v>
      </c>
      <c r="AH37" s="1314" t="n">
        <v>0</v>
      </c>
      <c r="AI37" s="1252"/>
      <c r="AJ37" s="1314" t="n">
        <v>0</v>
      </c>
      <c r="AK37" s="1314" t="n">
        <v>0</v>
      </c>
      <c r="AL37" s="1314" t="n">
        <v>0</v>
      </c>
      <c r="AM37" s="1166"/>
      <c r="AN37" s="1253" t="n">
        <v>10</v>
      </c>
      <c r="AO37" s="1316" t="n">
        <v>0.25</v>
      </c>
      <c r="AP37" s="1252"/>
      <c r="AQ37" s="0"/>
      <c r="AR37" s="0"/>
      <c r="AS37" s="0"/>
      <c r="AT37" s="0" t="n">
        <v>1</v>
      </c>
      <c r="AU37" s="0" t="str">
        <f aca="false">AV37&amp;"Q"&amp;ROUNDUP(MONTH(AW37)/3,0)</f>
        <v>2002Q3</v>
      </c>
      <c r="AV37" s="0" t="n">
        <f aca="false">YEAR(AW37)</f>
        <v>2002</v>
      </c>
      <c r="AW37" s="1304" t="n">
        <f aca="false">EOMONTH(AW36,0)+1</f>
        <v>37469</v>
      </c>
      <c r="AX37" s="112" t="n">
        <f aca="false">AY37</f>
        <v>2.62542135801671</v>
      </c>
      <c r="AY37" s="1323" t="n">
        <v>2.62542135801671</v>
      </c>
      <c r="AZ37" s="112" t="n">
        <f aca="false">AY37</f>
        <v>2.62542135801671</v>
      </c>
      <c r="BA37" s="163" t="n">
        <v>1</v>
      </c>
      <c r="BB37" s="163" t="n">
        <v>1</v>
      </c>
      <c r="BC37" s="163" t="n">
        <v>1</v>
      </c>
      <c r="BD37" s="163" t="n">
        <v>0</v>
      </c>
      <c r="BE37" s="163"/>
      <c r="BF37" s="163" t="n">
        <v>0</v>
      </c>
      <c r="BG37" s="1290" t="n">
        <v>0</v>
      </c>
      <c r="BH37" s="1291"/>
      <c r="BI37" s="1292"/>
      <c r="BJ37" s="1262"/>
      <c r="BK37" s="1293" t="n">
        <v>0</v>
      </c>
      <c r="BL37" s="1294" t="n">
        <f aca="false">+AY37</f>
        <v>2.62542135801671</v>
      </c>
      <c r="BM37" s="1295" t="n">
        <f aca="false">AY37</f>
        <v>2.62542135801671</v>
      </c>
      <c r="BN37" s="1324" t="n">
        <f aca="false">+BM37/BM25-1</f>
        <v>-0.0525713939850907</v>
      </c>
      <c r="BO37" s="1296" t="n">
        <v>2.4</v>
      </c>
      <c r="BQ37" s="1298" t="n">
        <f aca="false">VLOOKUP($AW37,$BU$8:$BZ$291,5,FALSE())</f>
        <v>2.50823168475796</v>
      </c>
      <c r="BR37" s="1298" t="n">
        <f aca="false">VLOOKUP($AW37,$BU$8:$BZ$291,6,FALSE())</f>
        <v>2.06182997143671</v>
      </c>
      <c r="BS37" s="1262" t="n">
        <v>0</v>
      </c>
      <c r="BU37" s="1309" t="n">
        <f aca="false">EDATE(BU36,1)</f>
        <v>37043</v>
      </c>
      <c r="BV37" s="1310" t="n">
        <v>2.2117210778716</v>
      </c>
      <c r="BW37" s="1310" t="n">
        <v>1.78335903026094</v>
      </c>
      <c r="BX37" s="1310"/>
      <c r="BY37" s="1310" t="n">
        <v>2.34709610160596</v>
      </c>
      <c r="BZ37" s="1311" t="n">
        <v>1.89251486978515</v>
      </c>
    </row>
    <row r="38" customFormat="false" ht="12.75" hidden="false" customHeight="false" outlineLevel="0" collapsed="false">
      <c r="A38" s="1246"/>
      <c r="B38" s="1312" t="n">
        <v>36538</v>
      </c>
      <c r="C38" s="1313" t="n">
        <v>0</v>
      </c>
      <c r="D38" s="1313" t="n">
        <v>0</v>
      </c>
      <c r="E38" s="1313" t="n">
        <v>0</v>
      </c>
      <c r="F38" s="1287"/>
      <c r="G38" s="1313" t="n">
        <v>0</v>
      </c>
      <c r="H38" s="1313" t="n">
        <v>0</v>
      </c>
      <c r="I38" s="1313" t="n">
        <v>0</v>
      </c>
      <c r="J38" s="1253"/>
      <c r="K38" s="1254" t="n">
        <v>37347</v>
      </c>
      <c r="L38" s="1314" t="n">
        <v>0</v>
      </c>
      <c r="M38" s="1314" t="n">
        <v>0</v>
      </c>
      <c r="N38" s="1314" t="n">
        <v>0</v>
      </c>
      <c r="O38" s="1252"/>
      <c r="P38" s="1314" t="n">
        <v>0</v>
      </c>
      <c r="Q38" s="1314" t="n">
        <v>0</v>
      </c>
      <c r="R38" s="1314" t="n">
        <v>0</v>
      </c>
      <c r="S38" s="1252"/>
      <c r="T38" s="1314" t="n">
        <v>0</v>
      </c>
      <c r="U38" s="1314" t="n">
        <v>0</v>
      </c>
      <c r="V38" s="1314" t="n">
        <v>0</v>
      </c>
      <c r="W38" s="1252"/>
      <c r="X38" s="1314" t="n">
        <v>0</v>
      </c>
      <c r="Y38" s="1314" t="n">
        <v>0</v>
      </c>
      <c r="Z38" s="1314" t="n">
        <v>0</v>
      </c>
      <c r="AA38" s="1252" t="n">
        <v>0</v>
      </c>
      <c r="AB38" s="1314" t="n">
        <v>0</v>
      </c>
      <c r="AC38" s="1314" t="n">
        <v>0</v>
      </c>
      <c r="AD38" s="1314" t="n">
        <v>0</v>
      </c>
      <c r="AE38" s="1252"/>
      <c r="AF38" s="1314" t="n">
        <v>0</v>
      </c>
      <c r="AG38" s="1314" t="n">
        <v>0</v>
      </c>
      <c r="AH38" s="1314" t="n">
        <v>0</v>
      </c>
      <c r="AI38" s="1252"/>
      <c r="AJ38" s="1314" t="n">
        <v>0</v>
      </c>
      <c r="AK38" s="1314" t="n">
        <v>0</v>
      </c>
      <c r="AL38" s="1314" t="n">
        <v>0</v>
      </c>
      <c r="AM38" s="1166"/>
      <c r="AN38" s="1253" t="n">
        <v>10</v>
      </c>
      <c r="AO38" s="1316" t="n">
        <v>0.25</v>
      </c>
      <c r="AP38" s="1252"/>
      <c r="AQ38" s="0"/>
      <c r="AR38" s="0"/>
      <c r="AS38" s="0"/>
      <c r="AT38" s="0" t="n">
        <v>1</v>
      </c>
      <c r="AU38" s="0" t="str">
        <f aca="false">AV38&amp;"Q"&amp;ROUNDUP(MONTH(AW38)/3,0)</f>
        <v>2002Q3</v>
      </c>
      <c r="AV38" s="0" t="n">
        <f aca="false">YEAR(AW38)</f>
        <v>2002</v>
      </c>
      <c r="AW38" s="1304" t="n">
        <f aca="false">EOMONTH(AW37,0)+1</f>
        <v>37500</v>
      </c>
      <c r="AX38" s="112" t="n">
        <f aca="false">AY38</f>
        <v>2.72204562523989</v>
      </c>
      <c r="AY38" s="1323" t="n">
        <v>2.72204562523989</v>
      </c>
      <c r="AZ38" s="112" t="n">
        <f aca="false">AY38</f>
        <v>2.72204562523989</v>
      </c>
      <c r="BA38" s="163" t="n">
        <v>1</v>
      </c>
      <c r="BB38" s="163" t="n">
        <v>1</v>
      </c>
      <c r="BC38" s="163" t="n">
        <v>1</v>
      </c>
      <c r="BD38" s="163" t="n">
        <v>0</v>
      </c>
      <c r="BE38" s="163"/>
      <c r="BF38" s="163" t="n">
        <v>0</v>
      </c>
      <c r="BG38" s="1290" t="n">
        <v>0</v>
      </c>
      <c r="BH38" s="1291"/>
      <c r="BI38" s="1292"/>
      <c r="BJ38" s="1262"/>
      <c r="BK38" s="1293" t="n">
        <v>0</v>
      </c>
      <c r="BL38" s="1294" t="n">
        <f aca="false">+AY38</f>
        <v>2.72204562523989</v>
      </c>
      <c r="BM38" s="1295" t="n">
        <f aca="false">AY38</f>
        <v>2.72204562523989</v>
      </c>
      <c r="BN38" s="1324" t="n">
        <f aca="false">+BM38/BM26-1</f>
        <v>-0.0222411179469767</v>
      </c>
      <c r="BO38" s="1296" t="n">
        <v>2.4</v>
      </c>
      <c r="BQ38" s="1298" t="n">
        <f aca="false">VLOOKUP($AW38,$BU$8:$BZ$291,5,FALSE())</f>
        <v>2.5927404848513</v>
      </c>
      <c r="BR38" s="1298" t="n">
        <f aca="false">VLOOKUP($AW38,$BU$8:$BZ$291,6,FALSE())</f>
        <v>2.11992278027917</v>
      </c>
      <c r="BS38" s="1262" t="n">
        <v>0</v>
      </c>
      <c r="BU38" s="1309" t="n">
        <f aca="false">EDATE(BU37,1)</f>
        <v>37073</v>
      </c>
      <c r="BV38" s="1310" t="n">
        <v>2.24003033995955</v>
      </c>
      <c r="BW38" s="1310" t="n">
        <v>1.81093997835636</v>
      </c>
      <c r="BX38" s="1310"/>
      <c r="BY38" s="1310" t="n">
        <v>2.3771381170078</v>
      </c>
      <c r="BZ38" s="1311" t="n">
        <v>1.9217839925516</v>
      </c>
    </row>
    <row r="39" customFormat="false" ht="12.75" hidden="false" customHeight="false" outlineLevel="0" collapsed="false">
      <c r="A39" s="1246"/>
      <c r="B39" s="1312" t="n">
        <v>36539</v>
      </c>
      <c r="C39" s="1313" t="n">
        <v>0</v>
      </c>
      <c r="D39" s="1313" t="n">
        <v>0</v>
      </c>
      <c r="E39" s="1313" t="n">
        <v>0</v>
      </c>
      <c r="F39" s="1287"/>
      <c r="G39" s="1313" t="n">
        <v>0</v>
      </c>
      <c r="H39" s="1313" t="n">
        <v>0</v>
      </c>
      <c r="I39" s="1313" t="n">
        <v>0</v>
      </c>
      <c r="J39" s="1253"/>
      <c r="K39" s="1254" t="n">
        <v>37377</v>
      </c>
      <c r="L39" s="1314" t="n">
        <v>0</v>
      </c>
      <c r="M39" s="1314" t="n">
        <v>0</v>
      </c>
      <c r="N39" s="1314" t="n">
        <v>0</v>
      </c>
      <c r="O39" s="1252"/>
      <c r="P39" s="1314" t="n">
        <v>0</v>
      </c>
      <c r="Q39" s="1314" t="n">
        <v>0</v>
      </c>
      <c r="R39" s="1314" t="n">
        <v>0</v>
      </c>
      <c r="S39" s="1252"/>
      <c r="T39" s="1314" t="n">
        <v>0</v>
      </c>
      <c r="U39" s="1314" t="n">
        <v>0</v>
      </c>
      <c r="V39" s="1314" t="n">
        <v>0</v>
      </c>
      <c r="W39" s="1252"/>
      <c r="X39" s="1314" t="n">
        <v>0</v>
      </c>
      <c r="Y39" s="1314" t="n">
        <v>0</v>
      </c>
      <c r="Z39" s="1314" t="n">
        <v>0</v>
      </c>
      <c r="AA39" s="1252" t="n">
        <v>0</v>
      </c>
      <c r="AB39" s="1314" t="n">
        <v>0</v>
      </c>
      <c r="AC39" s="1314" t="n">
        <v>0</v>
      </c>
      <c r="AD39" s="1314" t="n">
        <v>0</v>
      </c>
      <c r="AE39" s="1252"/>
      <c r="AF39" s="1314" t="n">
        <v>0</v>
      </c>
      <c r="AG39" s="1314" t="n">
        <v>0</v>
      </c>
      <c r="AH39" s="1314" t="n">
        <v>0</v>
      </c>
      <c r="AI39" s="1252"/>
      <c r="AJ39" s="1314" t="n">
        <v>0</v>
      </c>
      <c r="AK39" s="1314" t="n">
        <v>0</v>
      </c>
      <c r="AL39" s="1314" t="n">
        <v>0</v>
      </c>
      <c r="AM39" s="1166"/>
      <c r="AN39" s="1253" t="n">
        <v>10</v>
      </c>
      <c r="AO39" s="1316" t="n">
        <v>0.25</v>
      </c>
      <c r="AP39" s="1252"/>
      <c r="AQ39" s="0"/>
      <c r="AR39" s="0"/>
      <c r="AS39" s="0"/>
      <c r="AT39" s="0" t="n">
        <v>1</v>
      </c>
      <c r="AU39" s="0" t="str">
        <f aca="false">AV39&amp;"Q"&amp;ROUNDUP(MONTH(AW39)/3,0)</f>
        <v>2002Q4</v>
      </c>
      <c r="AV39" s="0" t="n">
        <f aca="false">YEAR(AW39)</f>
        <v>2002</v>
      </c>
      <c r="AW39" s="1304" t="n">
        <f aca="false">EOMONTH(AW38,0)+1</f>
        <v>37530</v>
      </c>
      <c r="AX39" s="112" t="n">
        <f aca="false">AY39</f>
        <v>2.82633833953054</v>
      </c>
      <c r="AY39" s="1323" t="n">
        <v>2.82633833953054</v>
      </c>
      <c r="AZ39" s="112" t="n">
        <f aca="false">AY39</f>
        <v>2.82633833953054</v>
      </c>
      <c r="BA39" s="163" t="n">
        <v>1</v>
      </c>
      <c r="BB39" s="163" t="n">
        <v>1</v>
      </c>
      <c r="BC39" s="163" t="n">
        <v>1</v>
      </c>
      <c r="BD39" s="163" t="n">
        <v>0</v>
      </c>
      <c r="BE39" s="163"/>
      <c r="BF39" s="163" t="n">
        <v>0</v>
      </c>
      <c r="BG39" s="1290" t="n">
        <v>0</v>
      </c>
      <c r="BH39" s="1291"/>
      <c r="BI39" s="1292"/>
      <c r="BJ39" s="1262"/>
      <c r="BK39" s="1293" t="n">
        <v>0</v>
      </c>
      <c r="BL39" s="1294" t="n">
        <f aca="false">+AY39</f>
        <v>2.82633833953054</v>
      </c>
      <c r="BM39" s="1295" t="n">
        <f aca="false">AY39</f>
        <v>2.82633833953054</v>
      </c>
      <c r="BN39" s="1324" t="n">
        <f aca="false">+BM39/BM27-1</f>
        <v>-0.020362953493372</v>
      </c>
      <c r="BO39" s="1296" t="n">
        <v>2.4</v>
      </c>
      <c r="BQ39" s="1298" t="n">
        <f aca="false">VLOOKUP($AW39,$BU$8:$BZ$291,5,FALSE())</f>
        <v>2.70401915329719</v>
      </c>
      <c r="BR39" s="1298" t="n">
        <f aca="false">VLOOKUP($AW39,$BU$8:$BZ$291,6,FALSE())</f>
        <v>2.18126878641681</v>
      </c>
      <c r="BS39" s="1262" t="n">
        <v>0</v>
      </c>
      <c r="BU39" s="1309" t="n">
        <f aca="false">EDATE(BU38,1)</f>
        <v>37104</v>
      </c>
      <c r="BV39" s="1310" t="n">
        <v>2.29281032012354</v>
      </c>
      <c r="BW39" s="1310" t="n">
        <v>1.85398297311134</v>
      </c>
      <c r="BX39" s="1310"/>
      <c r="BY39" s="1310" t="n">
        <v>2.43314865419766</v>
      </c>
      <c r="BZ39" s="1311" t="n">
        <v>1.96746156292954</v>
      </c>
    </row>
    <row r="40" customFormat="false" ht="12.75" hidden="false" customHeight="false" outlineLevel="0" collapsed="false">
      <c r="A40" s="1246"/>
      <c r="B40" s="1312" t="n">
        <v>36556</v>
      </c>
      <c r="C40" s="1313"/>
      <c r="D40" s="1313"/>
      <c r="E40" s="1313"/>
      <c r="F40" s="1287"/>
      <c r="G40" s="1313"/>
      <c r="H40" s="1313"/>
      <c r="I40" s="1313"/>
      <c r="J40" s="1253"/>
      <c r="K40" s="1254" t="n">
        <v>37408</v>
      </c>
      <c r="L40" s="1314" t="n">
        <v>0</v>
      </c>
      <c r="M40" s="1314" t="n">
        <v>0</v>
      </c>
      <c r="N40" s="1314" t="n">
        <v>0</v>
      </c>
      <c r="O40" s="1252"/>
      <c r="P40" s="1314" t="n">
        <v>0</v>
      </c>
      <c r="Q40" s="1314" t="n">
        <v>0</v>
      </c>
      <c r="R40" s="1314" t="n">
        <v>0</v>
      </c>
      <c r="S40" s="1252"/>
      <c r="T40" s="1314" t="n">
        <v>0</v>
      </c>
      <c r="U40" s="1314" t="n">
        <v>0</v>
      </c>
      <c r="V40" s="1314" t="n">
        <v>0</v>
      </c>
      <c r="W40" s="1252"/>
      <c r="X40" s="1314" t="n">
        <v>0</v>
      </c>
      <c r="Y40" s="1314" t="n">
        <v>0</v>
      </c>
      <c r="Z40" s="1314" t="n">
        <v>0</v>
      </c>
      <c r="AA40" s="1252" t="n">
        <v>0</v>
      </c>
      <c r="AB40" s="1314" t="n">
        <v>0</v>
      </c>
      <c r="AC40" s="1314" t="n">
        <v>0</v>
      </c>
      <c r="AD40" s="1314" t="n">
        <v>0</v>
      </c>
      <c r="AE40" s="1252"/>
      <c r="AF40" s="1314" t="n">
        <v>0</v>
      </c>
      <c r="AG40" s="1314" t="n">
        <v>0</v>
      </c>
      <c r="AH40" s="1314" t="n">
        <v>0</v>
      </c>
      <c r="AI40" s="1252"/>
      <c r="AJ40" s="1314" t="n">
        <v>0</v>
      </c>
      <c r="AK40" s="1314" t="n">
        <v>0</v>
      </c>
      <c r="AL40" s="1314" t="n">
        <v>0</v>
      </c>
      <c r="AM40" s="1166"/>
      <c r="AN40" s="1253" t="n">
        <v>11</v>
      </c>
      <c r="AO40" s="1316" t="n">
        <v>0.25</v>
      </c>
      <c r="AP40" s="1252"/>
      <c r="AQ40" s="0"/>
      <c r="AR40" s="0"/>
      <c r="AS40" s="0"/>
      <c r="AT40" s="0" t="n">
        <v>1</v>
      </c>
      <c r="AU40" s="0" t="str">
        <f aca="false">AV40&amp;"Q"&amp;ROUNDUP(MONTH(AW40)/3,0)</f>
        <v>2002Q4</v>
      </c>
      <c r="AV40" s="0" t="n">
        <f aca="false">YEAR(AW40)</f>
        <v>2002</v>
      </c>
      <c r="AW40" s="1304" t="n">
        <f aca="false">EOMONTH(AW39,0)+1</f>
        <v>37561</v>
      </c>
      <c r="AX40" s="112" t="n">
        <f aca="false">AY40</f>
        <v>2.92897478919532</v>
      </c>
      <c r="AY40" s="1323" t="n">
        <v>2.92897478919532</v>
      </c>
      <c r="AZ40" s="112" t="n">
        <f aca="false">AY40</f>
        <v>2.92897478919532</v>
      </c>
      <c r="BA40" s="163" t="n">
        <v>1</v>
      </c>
      <c r="BB40" s="163" t="n">
        <v>1</v>
      </c>
      <c r="BC40" s="163" t="n">
        <v>1</v>
      </c>
      <c r="BD40" s="163" t="n">
        <v>0</v>
      </c>
      <c r="BE40" s="163"/>
      <c r="BF40" s="163" t="n">
        <v>0</v>
      </c>
      <c r="BG40" s="1290" t="n">
        <v>0</v>
      </c>
      <c r="BH40" s="1291"/>
      <c r="BI40" s="1292"/>
      <c r="BJ40" s="1262"/>
      <c r="BK40" s="1293" t="n">
        <v>0</v>
      </c>
      <c r="BL40" s="1294" t="n">
        <f aca="false">+AY40</f>
        <v>2.92897478919532</v>
      </c>
      <c r="BM40" s="1295" t="n">
        <f aca="false">AY40</f>
        <v>2.92897478919532</v>
      </c>
      <c r="BN40" s="1324" t="n">
        <f aca="false">+BM40/BM28-1</f>
        <v>-0.0186419603752827</v>
      </c>
      <c r="BO40" s="1296" t="n">
        <v>2.4</v>
      </c>
      <c r="BQ40" s="1298" t="n">
        <f aca="false">VLOOKUP($AW40,$BU$8:$BZ$291,5,FALSE())</f>
        <v>2.84206769009563</v>
      </c>
      <c r="BR40" s="1298" t="n">
        <f aca="false">VLOOKUP($AW40,$BU$8:$BZ$291,6,FALSE())</f>
        <v>2.23889685278854</v>
      </c>
      <c r="BS40" s="1262" t="n">
        <v>0</v>
      </c>
      <c r="BU40" s="1309" t="n">
        <f aca="false">EDATE(BU39,1)</f>
        <v>37135</v>
      </c>
      <c r="BV40" s="1310" t="n">
        <v>2.37006101836355</v>
      </c>
      <c r="BW40" s="1310" t="n">
        <v>1.90621961723146</v>
      </c>
      <c r="BX40" s="1310"/>
      <c r="BY40" s="1310" t="n">
        <v>2.51512771317554</v>
      </c>
      <c r="BZ40" s="1311" t="n">
        <v>2.02289550756296</v>
      </c>
    </row>
    <row r="41" customFormat="false" ht="12.75" hidden="false" customHeight="false" outlineLevel="0" collapsed="false">
      <c r="A41" s="1246"/>
      <c r="B41" s="1312" t="n">
        <v>36557</v>
      </c>
      <c r="C41" s="1313"/>
      <c r="D41" s="1313"/>
      <c r="E41" s="1313"/>
      <c r="F41" s="1287"/>
      <c r="G41" s="1313"/>
      <c r="H41" s="1313"/>
      <c r="I41" s="1313"/>
      <c r="J41" s="1253"/>
      <c r="K41" s="1254" t="n">
        <v>37438</v>
      </c>
      <c r="L41" s="1314" t="n">
        <v>0</v>
      </c>
      <c r="M41" s="1314" t="n">
        <v>0</v>
      </c>
      <c r="N41" s="1314" t="n">
        <v>0</v>
      </c>
      <c r="O41" s="1252"/>
      <c r="P41" s="1314" t="n">
        <v>0</v>
      </c>
      <c r="Q41" s="1314" t="n">
        <v>0</v>
      </c>
      <c r="R41" s="1314" t="n">
        <v>0</v>
      </c>
      <c r="S41" s="1252"/>
      <c r="T41" s="1314" t="n">
        <v>0</v>
      </c>
      <c r="U41" s="1314" t="n">
        <v>0</v>
      </c>
      <c r="V41" s="1314" t="n">
        <v>0</v>
      </c>
      <c r="W41" s="1252"/>
      <c r="X41" s="1314" t="n">
        <v>0</v>
      </c>
      <c r="Y41" s="1314" t="n">
        <v>0</v>
      </c>
      <c r="Z41" s="1314" t="n">
        <v>0</v>
      </c>
      <c r="AA41" s="1252" t="n">
        <v>0</v>
      </c>
      <c r="AB41" s="1314" t="n">
        <v>0</v>
      </c>
      <c r="AC41" s="1314" t="n">
        <v>0</v>
      </c>
      <c r="AD41" s="1314" t="n">
        <v>0</v>
      </c>
      <c r="AE41" s="1252"/>
      <c r="AF41" s="1314" t="n">
        <v>0</v>
      </c>
      <c r="AG41" s="1314" t="n">
        <v>0</v>
      </c>
      <c r="AH41" s="1314" t="n">
        <v>0</v>
      </c>
      <c r="AI41" s="1252"/>
      <c r="AJ41" s="1314" t="n">
        <v>0</v>
      </c>
      <c r="AK41" s="1314" t="n">
        <v>0</v>
      </c>
      <c r="AL41" s="1314" t="n">
        <v>0</v>
      </c>
      <c r="AM41" s="1166"/>
      <c r="AN41" s="1253" t="n">
        <v>11</v>
      </c>
      <c r="AO41" s="1316" t="n">
        <v>0.25</v>
      </c>
      <c r="AP41" s="1252"/>
      <c r="AQ41" s="0"/>
      <c r="AR41" s="0"/>
      <c r="AS41" s="0"/>
      <c r="AT41" s="0" t="n">
        <v>1</v>
      </c>
      <c r="AU41" s="0" t="str">
        <f aca="false">AV41&amp;"Q"&amp;ROUNDUP(MONTH(AW41)/3,0)</f>
        <v>2002Q4</v>
      </c>
      <c r="AV41" s="0" t="n">
        <f aca="false">YEAR(AW41)</f>
        <v>2002</v>
      </c>
      <c r="AW41" s="1304" t="n">
        <f aca="false">EOMONTH(AW40,0)+1</f>
        <v>37591</v>
      </c>
      <c r="AX41" s="112" t="n">
        <f aca="false">AY41</f>
        <v>3.03803824117668</v>
      </c>
      <c r="AY41" s="1323" t="n">
        <v>3.03803824117668</v>
      </c>
      <c r="AZ41" s="112" t="n">
        <f aca="false">AY41</f>
        <v>3.03803824117668</v>
      </c>
      <c r="BA41" s="163" t="n">
        <v>1</v>
      </c>
      <c r="BB41" s="163" t="n">
        <v>1</v>
      </c>
      <c r="BC41" s="163" t="n">
        <v>1</v>
      </c>
      <c r="BD41" s="163" t="n">
        <v>0</v>
      </c>
      <c r="BE41" s="163"/>
      <c r="BF41" s="163" t="n">
        <v>0</v>
      </c>
      <c r="BG41" s="1290" t="n">
        <v>0</v>
      </c>
      <c r="BH41" s="1291"/>
      <c r="BI41" s="1292"/>
      <c r="BJ41" s="1262"/>
      <c r="BK41" s="1293" t="n">
        <v>0</v>
      </c>
      <c r="BL41" s="1294" t="n">
        <f aca="false">+AY41</f>
        <v>3.03803824117668</v>
      </c>
      <c r="BM41" s="1295" t="n">
        <f aca="false">AY41</f>
        <v>3.03803824117668</v>
      </c>
      <c r="BN41" s="1324" t="n">
        <f aca="false">+BM41/BM29-1</f>
        <v>-0.0169300828469927</v>
      </c>
      <c r="BO41" s="1296" t="n">
        <v>2.4</v>
      </c>
      <c r="BQ41" s="1298" t="n">
        <f aca="false">VLOOKUP($AW41,$BU$8:$BZ$291,5,FALSE())</f>
        <v>2.90210568111846</v>
      </c>
      <c r="BR41" s="1298" t="n">
        <f aca="false">VLOOKUP($AW41,$BU$8:$BZ$291,6,FALSE())</f>
        <v>2.28583584233325</v>
      </c>
      <c r="BS41" s="1262" t="n">
        <v>0</v>
      </c>
      <c r="BU41" s="1309" t="n">
        <f aca="false">EDATE(BU40,1)</f>
        <v>37165</v>
      </c>
      <c r="BV41" s="1310" t="n">
        <v>2.47178243467958</v>
      </c>
      <c r="BW41" s="1310" t="n">
        <v>1.96138151342231</v>
      </c>
      <c r="BX41" s="1310"/>
      <c r="BY41" s="1310" t="n">
        <v>2.62307529394145</v>
      </c>
      <c r="BZ41" s="1311" t="n">
        <v>2.08143375309586</v>
      </c>
    </row>
    <row r="42" customFormat="false" ht="12.75" hidden="false" customHeight="false" outlineLevel="0" collapsed="false">
      <c r="A42" s="1246"/>
      <c r="B42" s="1312" t="n">
        <v>36586</v>
      </c>
      <c r="C42" s="1313"/>
      <c r="D42" s="1313"/>
      <c r="E42" s="1313"/>
      <c r="F42" s="1287"/>
      <c r="G42" s="1313"/>
      <c r="H42" s="1313"/>
      <c r="I42" s="1313"/>
      <c r="J42" s="1253"/>
      <c r="K42" s="1254" t="n">
        <v>37469</v>
      </c>
      <c r="L42" s="1314" t="n">
        <v>0</v>
      </c>
      <c r="M42" s="1314" t="n">
        <v>0</v>
      </c>
      <c r="N42" s="1314" t="n">
        <v>0</v>
      </c>
      <c r="O42" s="1252"/>
      <c r="P42" s="1314" t="n">
        <v>0</v>
      </c>
      <c r="Q42" s="1314" t="n">
        <v>0</v>
      </c>
      <c r="R42" s="1314" t="n">
        <v>0</v>
      </c>
      <c r="S42" s="1252"/>
      <c r="T42" s="1314" t="n">
        <v>0</v>
      </c>
      <c r="U42" s="1314" t="n">
        <v>0</v>
      </c>
      <c r="V42" s="1314" t="n">
        <v>0</v>
      </c>
      <c r="W42" s="1252"/>
      <c r="X42" s="1314" t="n">
        <v>0</v>
      </c>
      <c r="Y42" s="1314" t="n">
        <v>0</v>
      </c>
      <c r="Z42" s="1314" t="n">
        <v>0</v>
      </c>
      <c r="AA42" s="1252" t="n">
        <v>0</v>
      </c>
      <c r="AB42" s="1314" t="n">
        <v>0</v>
      </c>
      <c r="AC42" s="1314" t="n">
        <v>0</v>
      </c>
      <c r="AD42" s="1314" t="n">
        <v>0</v>
      </c>
      <c r="AE42" s="1252"/>
      <c r="AF42" s="1314" t="n">
        <v>0</v>
      </c>
      <c r="AG42" s="1314" t="n">
        <v>0</v>
      </c>
      <c r="AH42" s="1314" t="n">
        <v>0</v>
      </c>
      <c r="AI42" s="1252"/>
      <c r="AJ42" s="1314" t="n">
        <v>0</v>
      </c>
      <c r="AK42" s="1314" t="n">
        <v>0</v>
      </c>
      <c r="AL42" s="1314" t="n">
        <v>0</v>
      </c>
      <c r="AM42" s="1166"/>
      <c r="AN42" s="1253" t="n">
        <v>11</v>
      </c>
      <c r="AO42" s="1316" t="n">
        <v>0.25</v>
      </c>
      <c r="AP42" s="1252"/>
      <c r="AQ42" s="0"/>
      <c r="AR42" s="0"/>
      <c r="AS42" s="0"/>
      <c r="AT42" s="0" t="n">
        <v>1</v>
      </c>
      <c r="AU42" s="0" t="str">
        <f aca="false">AV42&amp;"Q"&amp;ROUNDUP(MONTH(AW42)/3,0)</f>
        <v>2003Q1</v>
      </c>
      <c r="AV42" s="0" t="n">
        <f aca="false">YEAR(AW42)</f>
        <v>2003</v>
      </c>
      <c r="AW42" s="1304" t="n">
        <f aca="false">EOMONTH(AW41,0)+1</f>
        <v>37622</v>
      </c>
      <c r="AX42" s="112" t="n">
        <f aca="false">AY42</f>
        <v>2.91641152152491</v>
      </c>
      <c r="AY42" s="1323" t="n">
        <v>2.91641152152491</v>
      </c>
      <c r="AZ42" s="112" t="n">
        <f aca="false">AY42</f>
        <v>2.91641152152491</v>
      </c>
      <c r="BA42" s="163" t="n">
        <v>1</v>
      </c>
      <c r="BB42" s="163" t="n">
        <v>1</v>
      </c>
      <c r="BC42" s="163" t="n">
        <v>1</v>
      </c>
      <c r="BD42" s="163" t="n">
        <v>0</v>
      </c>
      <c r="BE42" s="163"/>
      <c r="BF42" s="163" t="n">
        <v>0</v>
      </c>
      <c r="BG42" s="1290" t="n">
        <v>0</v>
      </c>
      <c r="BH42" s="1291"/>
      <c r="BI42" s="1292"/>
      <c r="BJ42" s="1262"/>
      <c r="BK42" s="1293" t="n">
        <v>0</v>
      </c>
      <c r="BL42" s="1294" t="n">
        <f aca="false">+AY42</f>
        <v>2.91641152152491</v>
      </c>
      <c r="BM42" s="1295" t="n">
        <f aca="false">AY42</f>
        <v>2.91641152152491</v>
      </c>
      <c r="BN42" s="1324" t="n">
        <f aca="false">+BM42/BM30-1</f>
        <v>-0.0164043211868968</v>
      </c>
      <c r="BO42" s="1296" t="n">
        <v>2.4</v>
      </c>
      <c r="BQ42" s="1298" t="n">
        <f aca="false">VLOOKUP($AW42,$BU$8:$BZ$291,5,FALSE())</f>
        <v>2.86289859517662</v>
      </c>
      <c r="BR42" s="1298" t="n">
        <f aca="false">VLOOKUP($AW42,$BU$8:$BZ$291,6,FALSE())</f>
        <v>2.40472329280167</v>
      </c>
      <c r="BS42" s="1262" t="n">
        <v>0</v>
      </c>
      <c r="BU42" s="1309" t="n">
        <f aca="false">EDATE(BU41,1)</f>
        <v>37196</v>
      </c>
      <c r="BV42" s="1310" t="n">
        <v>2.59797456907165</v>
      </c>
      <c r="BW42" s="1310" t="n">
        <v>2.01320026438947</v>
      </c>
      <c r="BX42" s="1310"/>
      <c r="BY42" s="1310" t="n">
        <v>2.75699139649539</v>
      </c>
      <c r="BZ42" s="1311" t="n">
        <v>2.13642422617222</v>
      </c>
    </row>
    <row r="43" customFormat="false" ht="12.75" hidden="false" customHeight="false" outlineLevel="0" collapsed="false">
      <c r="A43" s="1246"/>
      <c r="B43" s="1312" t="n">
        <v>36617</v>
      </c>
      <c r="C43" s="1313"/>
      <c r="D43" s="1313"/>
      <c r="E43" s="1313"/>
      <c r="F43" s="1287"/>
      <c r="G43" s="1313"/>
      <c r="H43" s="1313"/>
      <c r="I43" s="1313"/>
      <c r="J43" s="1253"/>
      <c r="K43" s="1254" t="n">
        <v>37500</v>
      </c>
      <c r="L43" s="1314" t="n">
        <v>0</v>
      </c>
      <c r="M43" s="1314" t="n">
        <v>0</v>
      </c>
      <c r="N43" s="1314" t="n">
        <v>0</v>
      </c>
      <c r="O43" s="1252"/>
      <c r="P43" s="1314" t="n">
        <v>0</v>
      </c>
      <c r="Q43" s="1314" t="n">
        <v>0</v>
      </c>
      <c r="R43" s="1314" t="n">
        <v>0</v>
      </c>
      <c r="S43" s="1252"/>
      <c r="T43" s="1314" t="n">
        <v>0</v>
      </c>
      <c r="U43" s="1314" t="n">
        <v>0</v>
      </c>
      <c r="V43" s="1314" t="n">
        <v>0</v>
      </c>
      <c r="W43" s="1252"/>
      <c r="X43" s="1314" t="n">
        <v>0</v>
      </c>
      <c r="Y43" s="1314" t="n">
        <v>0</v>
      </c>
      <c r="Z43" s="1314" t="n">
        <v>0</v>
      </c>
      <c r="AA43" s="1252" t="n">
        <v>0</v>
      </c>
      <c r="AB43" s="1314" t="n">
        <v>0</v>
      </c>
      <c r="AC43" s="1314" t="n">
        <v>0</v>
      </c>
      <c r="AD43" s="1314" t="n">
        <v>0</v>
      </c>
      <c r="AE43" s="1252"/>
      <c r="AF43" s="1314" t="n">
        <v>0</v>
      </c>
      <c r="AG43" s="1314" t="n">
        <v>0</v>
      </c>
      <c r="AH43" s="1314" t="n">
        <v>0</v>
      </c>
      <c r="AI43" s="1252"/>
      <c r="AJ43" s="1314" t="n">
        <v>0</v>
      </c>
      <c r="AK43" s="1314" t="n">
        <v>0</v>
      </c>
      <c r="AL43" s="1314" t="n">
        <v>0</v>
      </c>
      <c r="AM43" s="1166"/>
      <c r="AN43" s="1253" t="n">
        <v>12</v>
      </c>
      <c r="AO43" s="1316" t="n">
        <v>0.25</v>
      </c>
      <c r="AP43" s="1252"/>
      <c r="AQ43" s="0"/>
      <c r="AR43" s="0"/>
      <c r="AS43" s="0"/>
      <c r="AT43" s="0" t="n">
        <v>1</v>
      </c>
      <c r="AU43" s="0" t="str">
        <f aca="false">AV43&amp;"Q"&amp;ROUNDUP(MONTH(AW43)/3,0)</f>
        <v>2003Q1</v>
      </c>
      <c r="AV43" s="0" t="n">
        <f aca="false">YEAR(AW43)</f>
        <v>2003</v>
      </c>
      <c r="AW43" s="1304" t="n">
        <f aca="false">EOMONTH(AW42,0)+1</f>
        <v>37653</v>
      </c>
      <c r="AX43" s="112" t="n">
        <f aca="false">AY43</f>
        <v>2.685039110158</v>
      </c>
      <c r="AY43" s="1323" t="n">
        <v>2.685039110158</v>
      </c>
      <c r="AZ43" s="112" t="n">
        <f aca="false">AY43</f>
        <v>2.685039110158</v>
      </c>
      <c r="BA43" s="163" t="n">
        <v>1</v>
      </c>
      <c r="BB43" s="163" t="n">
        <v>1</v>
      </c>
      <c r="BC43" s="163" t="n">
        <v>1</v>
      </c>
      <c r="BD43" s="163" t="n">
        <v>0</v>
      </c>
      <c r="BE43" s="163"/>
      <c r="BF43" s="163" t="n">
        <v>0</v>
      </c>
      <c r="BG43" s="1290" t="n">
        <v>0</v>
      </c>
      <c r="BH43" s="1291"/>
      <c r="BI43" s="1292"/>
      <c r="BJ43" s="1262"/>
      <c r="BK43" s="1293" t="n">
        <v>0</v>
      </c>
      <c r="BL43" s="1294" t="n">
        <f aca="false">+AY43</f>
        <v>2.685039110158</v>
      </c>
      <c r="BM43" s="1295" t="n">
        <f aca="false">AY43</f>
        <v>2.685039110158</v>
      </c>
      <c r="BN43" s="1324" t="n">
        <f aca="false">+BM43/BM31-1</f>
        <v>-0.020630820770464</v>
      </c>
      <c r="BO43" s="1296" t="n">
        <v>2.4</v>
      </c>
      <c r="BQ43" s="1299" t="n">
        <f aca="false">VLOOKUP($AW43,$BU$8:$BZ$291,5,FALSE())</f>
        <v>2.64687991502266</v>
      </c>
      <c r="BR43" s="1298" t="n">
        <f aca="false">VLOOKUP($AW43,$BU$8:$BZ$291,6,FALSE())</f>
        <v>2.23985536799375</v>
      </c>
      <c r="BS43" s="1262" t="n">
        <v>0</v>
      </c>
      <c r="BU43" s="1309" t="n">
        <f aca="false">EDATE(BU42,1)</f>
        <v>37226</v>
      </c>
      <c r="BV43" s="1310" t="n">
        <v>2.65285615208216</v>
      </c>
      <c r="BW43" s="1310" t="n">
        <v>2.05540747283853</v>
      </c>
      <c r="BX43" s="1310"/>
      <c r="BY43" s="1310" t="n">
        <v>2.81523217143881</v>
      </c>
      <c r="BZ43" s="1311" t="n">
        <v>2.18121485343603</v>
      </c>
    </row>
    <row r="44" customFormat="false" ht="12.75" hidden="false" customHeight="false" outlineLevel="0" collapsed="false">
      <c r="A44" s="1246"/>
      <c r="B44" s="1312" t="n">
        <v>36647</v>
      </c>
      <c r="C44" s="1313"/>
      <c r="D44" s="1313"/>
      <c r="E44" s="1313"/>
      <c r="F44" s="1287"/>
      <c r="G44" s="1313"/>
      <c r="H44" s="1313"/>
      <c r="I44" s="1313"/>
      <c r="J44" s="1253"/>
      <c r="K44" s="1254" t="n">
        <v>37530</v>
      </c>
      <c r="L44" s="1314" t="n">
        <v>0</v>
      </c>
      <c r="M44" s="1314" t="n">
        <v>0</v>
      </c>
      <c r="N44" s="1314" t="n">
        <v>0</v>
      </c>
      <c r="O44" s="1252"/>
      <c r="P44" s="1314" t="n">
        <v>0</v>
      </c>
      <c r="Q44" s="1314" t="n">
        <v>0</v>
      </c>
      <c r="R44" s="1314" t="n">
        <v>0</v>
      </c>
      <c r="S44" s="1252"/>
      <c r="T44" s="1314" t="n">
        <v>0</v>
      </c>
      <c r="U44" s="1314" t="n">
        <v>0</v>
      </c>
      <c r="V44" s="1314" t="n">
        <v>0</v>
      </c>
      <c r="W44" s="1252"/>
      <c r="X44" s="1314" t="n">
        <v>0</v>
      </c>
      <c r="Y44" s="1314" t="n">
        <v>0</v>
      </c>
      <c r="Z44" s="1314" t="n">
        <v>0</v>
      </c>
      <c r="AA44" s="1252" t="n">
        <v>0</v>
      </c>
      <c r="AB44" s="1314" t="n">
        <v>0</v>
      </c>
      <c r="AC44" s="1314" t="n">
        <v>0</v>
      </c>
      <c r="AD44" s="1314" t="n">
        <v>0</v>
      </c>
      <c r="AE44" s="1252"/>
      <c r="AF44" s="1314" t="n">
        <v>0</v>
      </c>
      <c r="AG44" s="1314" t="n">
        <v>0</v>
      </c>
      <c r="AH44" s="1314" t="n">
        <v>0</v>
      </c>
      <c r="AI44" s="1252"/>
      <c r="AJ44" s="1314" t="n">
        <v>0</v>
      </c>
      <c r="AK44" s="1314" t="n">
        <v>0</v>
      </c>
      <c r="AL44" s="1314" t="n">
        <v>0</v>
      </c>
      <c r="AM44" s="1166"/>
      <c r="AN44" s="1253" t="n">
        <v>12</v>
      </c>
      <c r="AO44" s="1316" t="n">
        <v>0.25</v>
      </c>
      <c r="AP44" s="1252"/>
      <c r="AQ44" s="0"/>
      <c r="AR44" s="0"/>
      <c r="AS44" s="0"/>
      <c r="AT44" s="0" t="n">
        <v>1</v>
      </c>
      <c r="AU44" s="0" t="str">
        <f aca="false">AV44&amp;"Q"&amp;ROUNDUP(MONTH(AW44)/3,0)</f>
        <v>2003Q1</v>
      </c>
      <c r="AV44" s="0" t="n">
        <f aca="false">YEAR(AW44)</f>
        <v>2003</v>
      </c>
      <c r="AW44" s="1304" t="n">
        <f aca="false">EOMONTH(AW43,0)+1</f>
        <v>37681</v>
      </c>
      <c r="AX44" s="112" t="n">
        <f aca="false">AY44</f>
        <v>2.53044136898898</v>
      </c>
      <c r="AY44" s="1323" t="n">
        <v>2.53044136898898</v>
      </c>
      <c r="AZ44" s="112" t="n">
        <f aca="false">AY44</f>
        <v>2.53044136898898</v>
      </c>
      <c r="BA44" s="163" t="n">
        <v>1</v>
      </c>
      <c r="BB44" s="163" t="n">
        <v>1</v>
      </c>
      <c r="BC44" s="163" t="n">
        <v>1</v>
      </c>
      <c r="BD44" s="163" t="n">
        <v>0</v>
      </c>
      <c r="BE44" s="163"/>
      <c r="BF44" s="163" t="n">
        <v>0</v>
      </c>
      <c r="BG44" s="1290" t="n">
        <v>0</v>
      </c>
      <c r="BH44" s="1291"/>
      <c r="BI44" s="1292"/>
      <c r="BJ44" s="1262"/>
      <c r="BK44" s="1293" t="n">
        <v>0</v>
      </c>
      <c r="BL44" s="1294" t="n">
        <f aca="false">+AY44</f>
        <v>2.53044136898898</v>
      </c>
      <c r="BM44" s="1295" t="n">
        <f aca="false">AY44</f>
        <v>2.53044136898898</v>
      </c>
      <c r="BN44" s="1324" t="n">
        <f aca="false">+BM44/BM32-1</f>
        <v>-0.0238604383325864</v>
      </c>
      <c r="BO44" s="1296" t="n">
        <v>2.4</v>
      </c>
      <c r="BQ44" s="1299" t="n">
        <f aca="false">VLOOKUP($AW44,$BU$8:$BZ$291,5,FALSE())</f>
        <v>2.56828923463395</v>
      </c>
      <c r="BR44" s="1298" t="n">
        <f aca="false">VLOOKUP($AW44,$BU$8:$BZ$291,6,FALSE())</f>
        <v>2.12866537219305</v>
      </c>
      <c r="BS44" s="1262" t="n">
        <v>0</v>
      </c>
      <c r="BU44" s="1309" t="n">
        <f aca="false">EDATE(BU43,1)</f>
        <v>37257</v>
      </c>
      <c r="BV44" s="1310" t="n">
        <v>2.5614052263403</v>
      </c>
      <c r="BW44" s="1310" t="n">
        <v>2.15426465796848</v>
      </c>
      <c r="BX44" s="1310"/>
      <c r="BY44" s="1310" t="n">
        <v>2.77254739178282</v>
      </c>
      <c r="BZ44" s="1311" t="n">
        <v>2.33184534693648</v>
      </c>
    </row>
    <row r="45" customFormat="false" ht="12.75" hidden="false" customHeight="false" outlineLevel="0" collapsed="false">
      <c r="A45" s="1246"/>
      <c r="B45" s="1312" t="n">
        <v>36678</v>
      </c>
      <c r="C45" s="1313"/>
      <c r="D45" s="1313"/>
      <c r="E45" s="1313"/>
      <c r="F45" s="1287"/>
      <c r="G45" s="1313"/>
      <c r="H45" s="1313"/>
      <c r="I45" s="1313"/>
      <c r="J45" s="1253"/>
      <c r="K45" s="1254" t="n">
        <v>37561</v>
      </c>
      <c r="L45" s="1314" t="n">
        <v>0</v>
      </c>
      <c r="M45" s="1314" t="n">
        <v>0</v>
      </c>
      <c r="N45" s="1314" t="n">
        <v>0</v>
      </c>
      <c r="O45" s="1252"/>
      <c r="P45" s="1314" t="n">
        <v>0</v>
      </c>
      <c r="Q45" s="1314" t="n">
        <v>0</v>
      </c>
      <c r="R45" s="1314" t="n">
        <v>0</v>
      </c>
      <c r="S45" s="1252"/>
      <c r="T45" s="1314" t="n">
        <v>0</v>
      </c>
      <c r="U45" s="1314" t="n">
        <v>0</v>
      </c>
      <c r="V45" s="1314" t="n">
        <v>0</v>
      </c>
      <c r="W45" s="1252"/>
      <c r="X45" s="1314" t="n">
        <v>0</v>
      </c>
      <c r="Y45" s="1314" t="n">
        <v>0</v>
      </c>
      <c r="Z45" s="1314" t="n">
        <v>0</v>
      </c>
      <c r="AA45" s="1252" t="n">
        <v>0</v>
      </c>
      <c r="AB45" s="1314" t="n">
        <v>0</v>
      </c>
      <c r="AC45" s="1314" t="n">
        <v>0</v>
      </c>
      <c r="AD45" s="1314" t="n">
        <v>0</v>
      </c>
      <c r="AE45" s="1252"/>
      <c r="AF45" s="1314" t="n">
        <v>0</v>
      </c>
      <c r="AG45" s="1314" t="n">
        <v>0</v>
      </c>
      <c r="AH45" s="1314" t="n">
        <v>0</v>
      </c>
      <c r="AI45" s="1252"/>
      <c r="AJ45" s="1314" t="n">
        <v>0</v>
      </c>
      <c r="AK45" s="1314" t="n">
        <v>0</v>
      </c>
      <c r="AL45" s="1314" t="n">
        <v>0</v>
      </c>
      <c r="AM45" s="1166"/>
      <c r="AN45" s="1253" t="n">
        <v>12</v>
      </c>
      <c r="AO45" s="1316" t="n">
        <v>0.25</v>
      </c>
      <c r="AP45" s="1252"/>
      <c r="AQ45" s="0"/>
      <c r="AR45" s="0"/>
      <c r="AS45" s="0"/>
      <c r="AT45" s="0" t="n">
        <v>1</v>
      </c>
      <c r="AU45" s="0" t="str">
        <f aca="false">AV45&amp;"Q"&amp;ROUNDUP(MONTH(AW45)/3,0)</f>
        <v>2003Q2</v>
      </c>
      <c r="AV45" s="0" t="n">
        <f aca="false">YEAR(AW45)</f>
        <v>2003</v>
      </c>
      <c r="AW45" s="1304" t="n">
        <f aca="false">EOMONTH(AW44,0)+1</f>
        <v>37712</v>
      </c>
      <c r="AX45" s="112" t="n">
        <f aca="false">AY45</f>
        <v>2.44277200876375</v>
      </c>
      <c r="AY45" s="1323" t="n">
        <v>2.44277200876375</v>
      </c>
      <c r="AZ45" s="112" t="n">
        <f aca="false">AY45</f>
        <v>2.44277200876375</v>
      </c>
      <c r="BA45" s="163" t="n">
        <v>1</v>
      </c>
      <c r="BB45" s="163" t="n">
        <v>1</v>
      </c>
      <c r="BC45" s="163" t="n">
        <v>1</v>
      </c>
      <c r="BD45" s="163" t="n">
        <v>0</v>
      </c>
      <c r="BE45" s="163"/>
      <c r="BF45" s="163" t="n">
        <v>0</v>
      </c>
      <c r="BG45" s="1290" t="n">
        <v>0</v>
      </c>
      <c r="BH45" s="1291"/>
      <c r="BI45" s="1292"/>
      <c r="BJ45" s="1262"/>
      <c r="BK45" s="1293" t="n">
        <v>0</v>
      </c>
      <c r="BL45" s="1294" t="n">
        <f aca="false">+AY45</f>
        <v>2.44277200876375</v>
      </c>
      <c r="BM45" s="1295" t="n">
        <f aca="false">AY45</f>
        <v>2.44277200876375</v>
      </c>
      <c r="BN45" s="1324" t="n">
        <f aca="false">+BM45/BM33-1</f>
        <v>-0.0258795452274743</v>
      </c>
      <c r="BO45" s="1296" t="n">
        <v>2.4</v>
      </c>
      <c r="BQ45" s="1299" t="n">
        <f aca="false">VLOOKUP($AW45,$BU$8:$BZ$291,5,FALSE())</f>
        <v>2.51734079355437</v>
      </c>
      <c r="BR45" s="1298" t="n">
        <f aca="false">VLOOKUP($AW45,$BU$8:$BZ$291,6,FALSE())</f>
        <v>2.06396429705041</v>
      </c>
      <c r="BS45" s="1262" t="n">
        <v>0</v>
      </c>
      <c r="BU45" s="1309" t="n">
        <f aca="false">EDATE(BU44,1)</f>
        <v>37288</v>
      </c>
      <c r="BV45" s="1310" t="n">
        <v>2.3681355879166</v>
      </c>
      <c r="BW45" s="1310" t="n">
        <v>2.00656818714812</v>
      </c>
      <c r="BX45" s="1310"/>
      <c r="BY45" s="1310" t="n">
        <v>2.56334611960144</v>
      </c>
      <c r="BZ45" s="1311" t="n">
        <v>2.17197393700202</v>
      </c>
    </row>
    <row r="46" customFormat="false" ht="12.75" hidden="false" customHeight="false" outlineLevel="0" collapsed="false">
      <c r="A46" s="1246"/>
      <c r="B46" s="1312" t="n">
        <v>36708</v>
      </c>
      <c r="C46" s="1313"/>
      <c r="D46" s="1313"/>
      <c r="E46" s="1313"/>
      <c r="F46" s="1287"/>
      <c r="G46" s="1313"/>
      <c r="H46" s="1313"/>
      <c r="I46" s="1313"/>
      <c r="J46" s="1253"/>
      <c r="K46" s="1254" t="n">
        <v>37591</v>
      </c>
      <c r="L46" s="1314" t="n">
        <v>0</v>
      </c>
      <c r="M46" s="1314" t="n">
        <v>0</v>
      </c>
      <c r="N46" s="1314" t="n">
        <v>0</v>
      </c>
      <c r="O46" s="1252"/>
      <c r="P46" s="1314" t="n">
        <v>0</v>
      </c>
      <c r="Q46" s="1314" t="n">
        <v>0</v>
      </c>
      <c r="R46" s="1314" t="n">
        <v>0</v>
      </c>
      <c r="S46" s="1252"/>
      <c r="T46" s="1314" t="n">
        <v>0</v>
      </c>
      <c r="U46" s="1314" t="n">
        <v>0</v>
      </c>
      <c r="V46" s="1314" t="n">
        <v>0</v>
      </c>
      <c r="W46" s="1252"/>
      <c r="X46" s="1314" t="n">
        <v>0</v>
      </c>
      <c r="Y46" s="1314" t="n">
        <v>0</v>
      </c>
      <c r="Z46" s="1314" t="n">
        <v>0</v>
      </c>
      <c r="AA46" s="1252" t="n">
        <v>0</v>
      </c>
      <c r="AB46" s="1314" t="n">
        <v>0</v>
      </c>
      <c r="AC46" s="1314" t="n">
        <v>0</v>
      </c>
      <c r="AD46" s="1314" t="n">
        <v>0</v>
      </c>
      <c r="AE46" s="1252"/>
      <c r="AF46" s="1314" t="n">
        <v>0</v>
      </c>
      <c r="AG46" s="1314" t="n">
        <v>0</v>
      </c>
      <c r="AH46" s="1314" t="n">
        <v>0</v>
      </c>
      <c r="AI46" s="1252"/>
      <c r="AJ46" s="1314" t="n">
        <v>0</v>
      </c>
      <c r="AK46" s="1314" t="n">
        <v>0</v>
      </c>
      <c r="AL46" s="1314" t="n">
        <v>0</v>
      </c>
      <c r="AM46" s="1166"/>
      <c r="AN46" s="1253" t="n">
        <v>13</v>
      </c>
      <c r="AO46" s="1316" t="n">
        <v>0.35</v>
      </c>
      <c r="AP46" s="1252"/>
      <c r="AQ46" s="0"/>
      <c r="AR46" s="0"/>
      <c r="AS46" s="0"/>
      <c r="AT46" s="0" t="n">
        <v>1</v>
      </c>
      <c r="AU46" s="0" t="str">
        <f aca="false">AV46&amp;"Q"&amp;ROUNDUP(MONTH(AW46)/3,0)</f>
        <v>2003Q2</v>
      </c>
      <c r="AV46" s="0" t="n">
        <f aca="false">YEAR(AW46)</f>
        <v>2003</v>
      </c>
      <c r="AW46" s="1304" t="n">
        <f aca="false">EOMONTH(AW45,0)+1</f>
        <v>37742</v>
      </c>
      <c r="AX46" s="112" t="n">
        <f aca="false">AY46</f>
        <v>2.41189591554804</v>
      </c>
      <c r="AY46" s="1323" t="n">
        <v>2.41189591554804</v>
      </c>
      <c r="AZ46" s="112" t="n">
        <f aca="false">AY46</f>
        <v>2.41189591554804</v>
      </c>
      <c r="BA46" s="163" t="n">
        <v>1</v>
      </c>
      <c r="BB46" s="163" t="n">
        <v>1</v>
      </c>
      <c r="BC46" s="163" t="n">
        <v>1</v>
      </c>
      <c r="BD46" s="163" t="n">
        <v>0</v>
      </c>
      <c r="BE46" s="163"/>
      <c r="BF46" s="163" t="n">
        <v>0</v>
      </c>
      <c r="BG46" s="1290" t="n">
        <v>0</v>
      </c>
      <c r="BH46" s="1291"/>
      <c r="BI46" s="1292"/>
      <c r="BJ46" s="1262"/>
      <c r="BK46" s="1293" t="n">
        <v>0</v>
      </c>
      <c r="BL46" s="1294" t="n">
        <f aca="false">+AY46</f>
        <v>2.41189591554804</v>
      </c>
      <c r="BM46" s="1295" t="n">
        <f aca="false">AY46</f>
        <v>2.41189591554804</v>
      </c>
      <c r="BN46" s="1324" t="n">
        <f aca="false">+BM46/BM34-1</f>
        <v>-0.0266376977511604</v>
      </c>
      <c r="BO46" s="1296" t="n">
        <v>2.4</v>
      </c>
      <c r="BQ46" s="1299" t="n">
        <f aca="false">VLOOKUP($AW46,$BU$8:$BZ$291,5,FALSE())</f>
        <v>2.49403459178392</v>
      </c>
      <c r="BR46" s="1298" t="n">
        <f aca="false">VLOOKUP($AW46,$BU$8:$BZ$291,6,FALSE())</f>
        <v>2.03856313421663</v>
      </c>
      <c r="BS46" s="1262" t="n">
        <v>0</v>
      </c>
      <c r="BU46" s="1309" t="n">
        <f aca="false">EDATE(BU45,1)</f>
        <v>37316</v>
      </c>
      <c r="BV46" s="1310" t="n">
        <v>2.29782133374482</v>
      </c>
      <c r="BW46" s="1310" t="n">
        <v>1.90695893938555</v>
      </c>
      <c r="BX46" s="1310"/>
      <c r="BY46" s="1310" t="n">
        <v>2.48723570957949</v>
      </c>
      <c r="BZ46" s="1311" t="n">
        <v>2.06415368379041</v>
      </c>
    </row>
    <row r="47" customFormat="false" ht="12.75" hidden="false" customHeight="false" outlineLevel="0" collapsed="false">
      <c r="A47" s="1246"/>
      <c r="B47" s="1312" t="n">
        <v>36739</v>
      </c>
      <c r="C47" s="1313"/>
      <c r="D47" s="1313"/>
      <c r="E47" s="1313"/>
      <c r="F47" s="1287"/>
      <c r="G47" s="1313"/>
      <c r="H47" s="1313"/>
      <c r="I47" s="1313"/>
      <c r="J47" s="1253"/>
      <c r="K47" s="1254" t="n">
        <v>37622</v>
      </c>
      <c r="L47" s="1314" t="n">
        <v>0</v>
      </c>
      <c r="M47" s="1314" t="n">
        <v>0</v>
      </c>
      <c r="N47" s="1314" t="n">
        <v>0</v>
      </c>
      <c r="O47" s="1252"/>
      <c r="P47" s="1314" t="n">
        <v>0</v>
      </c>
      <c r="Q47" s="1314" t="n">
        <v>0</v>
      </c>
      <c r="R47" s="1314" t="n">
        <v>0</v>
      </c>
      <c r="S47" s="1252"/>
      <c r="T47" s="1314" t="n">
        <v>0</v>
      </c>
      <c r="U47" s="1314" t="n">
        <v>0</v>
      </c>
      <c r="V47" s="1314" t="n">
        <v>0</v>
      </c>
      <c r="W47" s="1252"/>
      <c r="X47" s="1314" t="n">
        <v>0</v>
      </c>
      <c r="Y47" s="1314" t="n">
        <v>0</v>
      </c>
      <c r="Z47" s="1314" t="n">
        <v>0</v>
      </c>
      <c r="AA47" s="1252" t="n">
        <v>0</v>
      </c>
      <c r="AB47" s="1314" t="n">
        <v>0</v>
      </c>
      <c r="AC47" s="1314" t="n">
        <v>0</v>
      </c>
      <c r="AD47" s="1314" t="n">
        <v>0</v>
      </c>
      <c r="AE47" s="1252"/>
      <c r="AF47" s="1314" t="n">
        <v>0</v>
      </c>
      <c r="AG47" s="1314" t="n">
        <v>0</v>
      </c>
      <c r="AH47" s="1314" t="n">
        <v>0</v>
      </c>
      <c r="AI47" s="1252"/>
      <c r="AJ47" s="1314" t="n">
        <v>0</v>
      </c>
      <c r="AK47" s="1314" t="n">
        <v>0</v>
      </c>
      <c r="AL47" s="1314" t="n">
        <v>0</v>
      </c>
      <c r="AM47" s="1166"/>
      <c r="AN47" s="1253" t="n">
        <v>13</v>
      </c>
      <c r="AO47" s="1316" t="n">
        <v>0.35</v>
      </c>
      <c r="AP47" s="1252"/>
      <c r="AQ47" s="0"/>
      <c r="AR47" s="0"/>
      <c r="AS47" s="0"/>
      <c r="AT47" s="0" t="n">
        <v>1</v>
      </c>
      <c r="AU47" s="0" t="str">
        <f aca="false">AV47&amp;"Q"&amp;ROUNDUP(MONTH(AW47)/3,0)</f>
        <v>2003Q2</v>
      </c>
      <c r="AV47" s="0" t="n">
        <f aca="false">YEAR(AW47)</f>
        <v>2003</v>
      </c>
      <c r="AW47" s="1304" t="n">
        <f aca="false">EOMONTH(AW46,0)+1</f>
        <v>37773</v>
      </c>
      <c r="AX47" s="112" t="n">
        <f aca="false">AY47</f>
        <v>2.44103022577283</v>
      </c>
      <c r="AY47" s="1323" t="n">
        <v>2.44103022577283</v>
      </c>
      <c r="AZ47" s="112" t="n">
        <f aca="false">AY47</f>
        <v>2.44103022577283</v>
      </c>
      <c r="BA47" s="163" t="n">
        <v>1</v>
      </c>
      <c r="BB47" s="163" t="n">
        <v>1</v>
      </c>
      <c r="BC47" s="163" t="n">
        <v>1</v>
      </c>
      <c r="BD47" s="163" t="n">
        <v>0</v>
      </c>
      <c r="BE47" s="163"/>
      <c r="BF47" s="163" t="n">
        <v>0</v>
      </c>
      <c r="BG47" s="1290" t="n">
        <v>0</v>
      </c>
      <c r="BH47" s="1291"/>
      <c r="BI47" s="1292"/>
      <c r="BJ47" s="1262"/>
      <c r="BK47" s="1293" t="n">
        <v>0</v>
      </c>
      <c r="BL47" s="1294" t="n">
        <f aca="false">+AY47</f>
        <v>2.44103022577283</v>
      </c>
      <c r="BM47" s="1295" t="n">
        <f aca="false">AY47</f>
        <v>2.44103022577283</v>
      </c>
      <c r="BN47" s="1324" t="n">
        <f aca="false">+BM47/BM35-1</f>
        <v>-0.0212203336695881</v>
      </c>
      <c r="BO47" s="1296" t="n">
        <v>2.4</v>
      </c>
      <c r="BQ47" s="1299" t="n">
        <f aca="false">VLOOKUP($AW47,$BU$8:$BZ$291,5,FALSE())</f>
        <v>2.49837062932261</v>
      </c>
      <c r="BR47" s="1298" t="n">
        <f aca="false">VLOOKUP($AW47,$BU$8:$BZ$291,6,FALSE())</f>
        <v>2.04527287534253</v>
      </c>
      <c r="BS47" s="1262" t="n">
        <v>0</v>
      </c>
      <c r="BU47" s="1309" t="n">
        <f aca="false">EDATE(BU46,1)</f>
        <v>37347</v>
      </c>
      <c r="BV47" s="1310" t="n">
        <v>2.25223830000587</v>
      </c>
      <c r="BW47" s="1310" t="n">
        <v>1.84899666159267</v>
      </c>
      <c r="BX47" s="1310"/>
      <c r="BY47" s="1310" t="n">
        <v>2.43789516791008</v>
      </c>
      <c r="BZ47" s="1311" t="n">
        <v>2.00141345024055</v>
      </c>
    </row>
    <row r="48" customFormat="false" ht="12.75" hidden="false" customHeight="false" outlineLevel="0" collapsed="false">
      <c r="A48" s="1246"/>
      <c r="B48" s="1312" t="n">
        <v>36770</v>
      </c>
      <c r="C48" s="1313"/>
      <c r="D48" s="1313"/>
      <c r="E48" s="1313"/>
      <c r="F48" s="1287"/>
      <c r="G48" s="1313"/>
      <c r="H48" s="1313"/>
      <c r="I48" s="1313"/>
      <c r="J48" s="1253"/>
      <c r="K48" s="1254" t="n">
        <v>37653</v>
      </c>
      <c r="L48" s="1314" t="n">
        <v>0</v>
      </c>
      <c r="M48" s="1314" t="n">
        <v>0</v>
      </c>
      <c r="N48" s="1314" t="n">
        <v>0</v>
      </c>
      <c r="O48" s="1252"/>
      <c r="P48" s="1314" t="n">
        <v>0</v>
      </c>
      <c r="Q48" s="1314" t="n">
        <v>0</v>
      </c>
      <c r="R48" s="1314" t="n">
        <v>0</v>
      </c>
      <c r="S48" s="1252"/>
      <c r="T48" s="1314" t="n">
        <v>0</v>
      </c>
      <c r="U48" s="1314" t="n">
        <v>0</v>
      </c>
      <c r="V48" s="1314" t="n">
        <v>0</v>
      </c>
      <c r="W48" s="1252"/>
      <c r="X48" s="1314" t="n">
        <v>0</v>
      </c>
      <c r="Y48" s="1314" t="n">
        <v>0</v>
      </c>
      <c r="Z48" s="1314" t="n">
        <v>0</v>
      </c>
      <c r="AA48" s="1252" t="n">
        <v>0</v>
      </c>
      <c r="AB48" s="1314" t="n">
        <v>0</v>
      </c>
      <c r="AC48" s="1314" t="n">
        <v>0</v>
      </c>
      <c r="AD48" s="1314" t="n">
        <v>0</v>
      </c>
      <c r="AE48" s="1252"/>
      <c r="AF48" s="1314" t="n">
        <v>0</v>
      </c>
      <c r="AG48" s="1314" t="n">
        <v>0</v>
      </c>
      <c r="AH48" s="1314" t="n">
        <v>0</v>
      </c>
      <c r="AI48" s="1252"/>
      <c r="AJ48" s="1314" t="n">
        <v>0</v>
      </c>
      <c r="AK48" s="1314" t="n">
        <v>0</v>
      </c>
      <c r="AL48" s="1314" t="n">
        <v>0</v>
      </c>
      <c r="AM48" s="1166"/>
      <c r="AN48" s="1253" t="n">
        <v>13</v>
      </c>
      <c r="AO48" s="1316" t="n">
        <v>0.35</v>
      </c>
      <c r="AP48" s="1252"/>
      <c r="AQ48" s="0"/>
      <c r="AR48" s="0"/>
      <c r="AS48" s="0"/>
      <c r="AT48" s="0" t="n">
        <v>1</v>
      </c>
      <c r="AU48" s="0" t="str">
        <f aca="false">AV48&amp;"Q"&amp;ROUNDUP(MONTH(AW48)/3,0)</f>
        <v>2003Q3</v>
      </c>
      <c r="AV48" s="0" t="n">
        <f aca="false">YEAR(AW48)</f>
        <v>2003</v>
      </c>
      <c r="AW48" s="1304" t="n">
        <f aca="false">EOMONTH(AW47,0)+1</f>
        <v>37803</v>
      </c>
      <c r="AX48" s="112" t="n">
        <f aca="false">AY48</f>
        <v>2.50766080743567</v>
      </c>
      <c r="AY48" s="1323" t="n">
        <v>2.50766080743567</v>
      </c>
      <c r="AZ48" s="112" t="n">
        <f aca="false">AY48</f>
        <v>2.50766080743567</v>
      </c>
      <c r="BA48" s="163" t="n">
        <v>1</v>
      </c>
      <c r="BB48" s="163" t="n">
        <v>1</v>
      </c>
      <c r="BC48" s="163" t="n">
        <v>1</v>
      </c>
      <c r="BD48" s="163" t="n">
        <v>0</v>
      </c>
      <c r="BE48" s="163"/>
      <c r="BF48" s="163" t="n">
        <v>0</v>
      </c>
      <c r="BG48" s="1290" t="n">
        <v>0</v>
      </c>
      <c r="BH48" s="1291"/>
      <c r="BI48" s="1292"/>
      <c r="BJ48" s="1262"/>
      <c r="BK48" s="1293" t="n">
        <v>0</v>
      </c>
      <c r="BL48" s="1294" t="n">
        <f aca="false">+AY48</f>
        <v>2.50766080743567</v>
      </c>
      <c r="BM48" s="1295" t="n">
        <f aca="false">AY48</f>
        <v>2.50766080743567</v>
      </c>
      <c r="BN48" s="1324" t="n">
        <f aca="false">+BM48/BM36-1</f>
        <v>-0.0151281417450381</v>
      </c>
      <c r="BO48" s="1296" t="n">
        <v>2.4</v>
      </c>
      <c r="BQ48" s="1299" t="n">
        <f aca="false">VLOOKUP($AW48,$BU$8:$BZ$291,5,FALSE())</f>
        <v>2.53034890617043</v>
      </c>
      <c r="BR48" s="1298" t="n">
        <f aca="false">VLOOKUP($AW48,$BU$8:$BZ$291,6,FALSE())</f>
        <v>2.07690451207894</v>
      </c>
      <c r="BS48" s="1262" t="n">
        <v>0</v>
      </c>
      <c r="BU48" s="1309" t="n">
        <f aca="false">EDATE(BU47,1)</f>
        <v>37377</v>
      </c>
      <c r="BV48" s="1310" t="n">
        <v>2.23138648669976</v>
      </c>
      <c r="BW48" s="1310" t="n">
        <v>1.8262411006814</v>
      </c>
      <c r="BX48" s="1310"/>
      <c r="BY48" s="1310" t="n">
        <v>2.41532449459323</v>
      </c>
      <c r="BZ48" s="1311" t="n">
        <v>1.97678209929134</v>
      </c>
    </row>
    <row r="49" customFormat="false" ht="12.75" hidden="false" customHeight="false" outlineLevel="0" collapsed="false">
      <c r="A49" s="1246"/>
      <c r="B49" s="1312" t="n">
        <v>36800</v>
      </c>
      <c r="C49" s="1313"/>
      <c r="D49" s="1313"/>
      <c r="E49" s="1313"/>
      <c r="F49" s="1287"/>
      <c r="G49" s="1313"/>
      <c r="H49" s="1313"/>
      <c r="I49" s="1313"/>
      <c r="J49" s="1253"/>
      <c r="K49" s="1254" t="n">
        <v>37681</v>
      </c>
      <c r="L49" s="1314" t="n">
        <v>0</v>
      </c>
      <c r="M49" s="1314" t="n">
        <v>0</v>
      </c>
      <c r="N49" s="1314" t="n">
        <v>0</v>
      </c>
      <c r="O49" s="1252"/>
      <c r="P49" s="1314" t="n">
        <v>0</v>
      </c>
      <c r="Q49" s="1314" t="n">
        <v>0</v>
      </c>
      <c r="R49" s="1314" t="n">
        <v>0</v>
      </c>
      <c r="S49" s="1252"/>
      <c r="T49" s="1314" t="n">
        <v>0</v>
      </c>
      <c r="U49" s="1314" t="n">
        <v>0</v>
      </c>
      <c r="V49" s="1314" t="n">
        <v>0</v>
      </c>
      <c r="W49" s="1252"/>
      <c r="X49" s="1314" t="n">
        <v>0</v>
      </c>
      <c r="Y49" s="1314" t="n">
        <v>0</v>
      </c>
      <c r="Z49" s="1314" t="n">
        <v>0</v>
      </c>
      <c r="AA49" s="1252" t="n">
        <v>0</v>
      </c>
      <c r="AB49" s="1314" t="n">
        <v>0</v>
      </c>
      <c r="AC49" s="1314" t="n">
        <v>0</v>
      </c>
      <c r="AD49" s="1314" t="n">
        <v>0</v>
      </c>
      <c r="AE49" s="1252"/>
      <c r="AF49" s="1314" t="n">
        <v>0</v>
      </c>
      <c r="AG49" s="1314" t="n">
        <v>0</v>
      </c>
      <c r="AH49" s="1314" t="n">
        <v>0</v>
      </c>
      <c r="AI49" s="1252"/>
      <c r="AJ49" s="1314" t="n">
        <v>0</v>
      </c>
      <c r="AK49" s="1314" t="n">
        <v>0</v>
      </c>
      <c r="AL49" s="1314" t="n">
        <v>0</v>
      </c>
      <c r="AM49" s="1166"/>
      <c r="AN49" s="1253" t="n">
        <v>14</v>
      </c>
      <c r="AO49" s="1316" t="n">
        <v>0.35</v>
      </c>
      <c r="AP49" s="1252"/>
      <c r="AQ49" s="0"/>
      <c r="AR49" s="0"/>
      <c r="AS49" s="0"/>
      <c r="AT49" s="0" t="n">
        <v>1</v>
      </c>
      <c r="AU49" s="0" t="str">
        <f aca="false">AV49&amp;"Q"&amp;ROUNDUP(MONTH(AW49)/3,0)</f>
        <v>2003Q3</v>
      </c>
      <c r="AV49" s="0" t="n">
        <f aca="false">YEAR(AW49)</f>
        <v>2003</v>
      </c>
      <c r="AW49" s="1304" t="n">
        <f aca="false">EOMONTH(AW48,0)+1</f>
        <v>37834</v>
      </c>
      <c r="AX49" s="112" t="n">
        <f aca="false">AY49</f>
        <v>2.60229007179516</v>
      </c>
      <c r="AY49" s="1323" t="n">
        <v>2.60229007179516</v>
      </c>
      <c r="AZ49" s="112" t="n">
        <f aca="false">AY49</f>
        <v>2.60229007179516</v>
      </c>
      <c r="BA49" s="163" t="n">
        <v>1</v>
      </c>
      <c r="BB49" s="163" t="n">
        <v>1</v>
      </c>
      <c r="BC49" s="163" t="n">
        <v>1</v>
      </c>
      <c r="BD49" s="163" t="n">
        <v>0</v>
      </c>
      <c r="BE49" s="163"/>
      <c r="BF49" s="163" t="n">
        <v>0</v>
      </c>
      <c r="BG49" s="1290" t="n">
        <v>0</v>
      </c>
      <c r="BH49" s="1291"/>
      <c r="BI49" s="1292"/>
      <c r="BJ49" s="1262"/>
      <c r="BK49" s="1293" t="n">
        <v>0</v>
      </c>
      <c r="BL49" s="1294" t="n">
        <f aca="false">+AY49</f>
        <v>2.60229007179516</v>
      </c>
      <c r="BM49" s="1295" t="n">
        <f aca="false">AY49</f>
        <v>2.60229007179516</v>
      </c>
      <c r="BN49" s="1324" t="n">
        <f aca="false">+BM49/BM37-1</f>
        <v>-0.00881050432187691</v>
      </c>
      <c r="BO49" s="1296" t="n">
        <v>2.4</v>
      </c>
      <c r="BQ49" s="1299" t="n">
        <f aca="false">VLOOKUP($AW49,$BU$8:$BZ$291,5,FALSE())</f>
        <v>2.58996942232739</v>
      </c>
      <c r="BR49" s="1298" t="n">
        <f aca="false">VLOOKUP($AW49,$BU$8:$BZ$291,6,FALSE())</f>
        <v>2.12626903607666</v>
      </c>
      <c r="BS49" s="1262" t="n">
        <v>0</v>
      </c>
      <c r="BU49" s="1309" t="n">
        <f aca="false">EDATE(BU48,1)</f>
        <v>37408</v>
      </c>
      <c r="BV49" s="1310" t="n">
        <v>2.23526589382647</v>
      </c>
      <c r="BW49" s="1310" t="n">
        <v>1.83225200356362</v>
      </c>
      <c r="BX49" s="1310"/>
      <c r="BY49" s="1310" t="n">
        <v>2.41952368962892</v>
      </c>
      <c r="BZ49" s="1311" t="n">
        <v>1.9832884938817</v>
      </c>
    </row>
    <row r="50" customFormat="false" ht="12.75" hidden="false" customHeight="false" outlineLevel="0" collapsed="false">
      <c r="A50" s="1246"/>
      <c r="B50" s="1312" t="n">
        <v>36831</v>
      </c>
      <c r="C50" s="1313"/>
      <c r="D50" s="1313"/>
      <c r="E50" s="1313"/>
      <c r="F50" s="1287"/>
      <c r="G50" s="1313"/>
      <c r="H50" s="1313"/>
      <c r="I50" s="1313"/>
      <c r="J50" s="1253"/>
      <c r="K50" s="1254" t="n">
        <v>37712</v>
      </c>
      <c r="L50" s="1314" t="n">
        <v>0</v>
      </c>
      <c r="M50" s="1314" t="n">
        <v>0</v>
      </c>
      <c r="N50" s="1314" t="n">
        <v>0</v>
      </c>
      <c r="O50" s="1252"/>
      <c r="P50" s="1314" t="n">
        <v>0</v>
      </c>
      <c r="Q50" s="1314" t="n">
        <v>0</v>
      </c>
      <c r="R50" s="1314" t="n">
        <v>0</v>
      </c>
      <c r="S50" s="1252"/>
      <c r="T50" s="1314" t="n">
        <v>0</v>
      </c>
      <c r="U50" s="1314" t="n">
        <v>0</v>
      </c>
      <c r="V50" s="1314" t="n">
        <v>0</v>
      </c>
      <c r="W50" s="1252"/>
      <c r="X50" s="1314" t="n">
        <v>0</v>
      </c>
      <c r="Y50" s="1314" t="n">
        <v>0</v>
      </c>
      <c r="Z50" s="1314" t="n">
        <v>0</v>
      </c>
      <c r="AA50" s="1252" t="n">
        <v>0</v>
      </c>
      <c r="AB50" s="1314" t="n">
        <v>0</v>
      </c>
      <c r="AC50" s="1314" t="n">
        <v>0</v>
      </c>
      <c r="AD50" s="1314" t="n">
        <v>0</v>
      </c>
      <c r="AE50" s="1252"/>
      <c r="AF50" s="1314" t="n">
        <v>0</v>
      </c>
      <c r="AG50" s="1314" t="n">
        <v>0</v>
      </c>
      <c r="AH50" s="1314" t="n">
        <v>0</v>
      </c>
      <c r="AI50" s="1252"/>
      <c r="AJ50" s="1314" t="n">
        <v>0</v>
      </c>
      <c r="AK50" s="1314" t="n">
        <v>0</v>
      </c>
      <c r="AL50" s="1314" t="n">
        <v>0</v>
      </c>
      <c r="AM50" s="1166"/>
      <c r="AN50" s="1253" t="n">
        <v>14</v>
      </c>
      <c r="AO50" s="1316" t="n">
        <v>0.35</v>
      </c>
      <c r="AP50" s="1252"/>
      <c r="AQ50" s="0"/>
      <c r="AR50" s="0"/>
      <c r="AS50" s="0"/>
      <c r="AT50" s="0" t="n">
        <v>1</v>
      </c>
      <c r="AU50" s="0" t="str">
        <f aca="false">AV50&amp;"Q"&amp;ROUNDUP(MONTH(AW50)/3,0)</f>
        <v>2003Q3</v>
      </c>
      <c r="AV50" s="0" t="n">
        <f aca="false">YEAR(AW50)</f>
        <v>2003</v>
      </c>
      <c r="AW50" s="1304" t="n">
        <f aca="false">EOMONTH(AW49,0)+1</f>
        <v>37865</v>
      </c>
      <c r="AX50" s="112" t="n">
        <f aca="false">AY50</f>
        <v>2.71495549344316</v>
      </c>
      <c r="AY50" s="1323" t="n">
        <v>2.71495549344316</v>
      </c>
      <c r="AZ50" s="112" t="n">
        <f aca="false">AY50</f>
        <v>2.71495549344316</v>
      </c>
      <c r="BA50" s="163" t="n">
        <v>1</v>
      </c>
      <c r="BB50" s="163" t="n">
        <v>1</v>
      </c>
      <c r="BC50" s="163" t="n">
        <v>1</v>
      </c>
      <c r="BD50" s="163" t="n">
        <v>0</v>
      </c>
      <c r="BE50" s="163"/>
      <c r="BF50" s="163" t="n">
        <v>0</v>
      </c>
      <c r="BG50" s="1290" t="n">
        <v>0</v>
      </c>
      <c r="BH50" s="1291"/>
      <c r="BI50" s="1292"/>
      <c r="BJ50" s="1262"/>
      <c r="BK50" s="1293" t="n">
        <v>0</v>
      </c>
      <c r="BL50" s="1294" t="n">
        <f aca="false">+AY50</f>
        <v>2.71495549344316</v>
      </c>
      <c r="BM50" s="1295" t="n">
        <f aca="false">AY50</f>
        <v>2.71495549344316</v>
      </c>
      <c r="BN50" s="1324" t="n">
        <f aca="false">+BM50/BM38-1</f>
        <v>-0.0026047071845493</v>
      </c>
      <c r="BO50" s="1296" t="n">
        <v>2.4</v>
      </c>
      <c r="BQ50" s="1299" t="n">
        <f aca="false">VLOOKUP($AW50,$BU$8:$BZ$291,5,FALSE())</f>
        <v>2.67723217779348</v>
      </c>
      <c r="BR50" s="1298" t="n">
        <f aca="false">VLOOKUP($AW50,$BU$8:$BZ$291,6,FALSE())</f>
        <v>2.18617743898652</v>
      </c>
      <c r="BS50" s="1262" t="n">
        <v>0</v>
      </c>
      <c r="BU50" s="1309" t="n">
        <f aca="false">EDATE(BU49,1)</f>
        <v>37438</v>
      </c>
      <c r="BV50" s="1310" t="n">
        <v>2.26387652138603</v>
      </c>
      <c r="BW50" s="1310" t="n">
        <v>1.86058911715125</v>
      </c>
      <c r="BX50" s="1310"/>
      <c r="BY50" s="1310" t="n">
        <v>2.45049275301716</v>
      </c>
      <c r="BZ50" s="1311" t="n">
        <v>2.01396149695052</v>
      </c>
    </row>
    <row r="51" customFormat="false" ht="12.75" hidden="false" customHeight="false" outlineLevel="0" collapsed="false">
      <c r="A51" s="1246"/>
      <c r="B51" s="1312" t="n">
        <v>36861</v>
      </c>
      <c r="C51" s="1313"/>
      <c r="D51" s="1313"/>
      <c r="E51" s="1313"/>
      <c r="F51" s="1287"/>
      <c r="G51" s="1313"/>
      <c r="H51" s="1313"/>
      <c r="I51" s="1313"/>
      <c r="J51" s="1253"/>
      <c r="K51" s="1254" t="n">
        <v>37742</v>
      </c>
      <c r="L51" s="1314" t="n">
        <v>0</v>
      </c>
      <c r="M51" s="1314" t="n">
        <v>0</v>
      </c>
      <c r="N51" s="1314" t="n">
        <v>0</v>
      </c>
      <c r="O51" s="1252"/>
      <c r="P51" s="1314" t="n">
        <v>0</v>
      </c>
      <c r="Q51" s="1314" t="n">
        <v>0</v>
      </c>
      <c r="R51" s="1314" t="n">
        <v>0</v>
      </c>
      <c r="S51" s="1252"/>
      <c r="T51" s="1314" t="n">
        <v>0</v>
      </c>
      <c r="U51" s="1314" t="n">
        <v>0</v>
      </c>
      <c r="V51" s="1314" t="n">
        <v>0</v>
      </c>
      <c r="W51" s="1252"/>
      <c r="X51" s="1314" t="n">
        <v>0</v>
      </c>
      <c r="Y51" s="1314" t="n">
        <v>0</v>
      </c>
      <c r="Z51" s="1314" t="n">
        <v>0</v>
      </c>
      <c r="AA51" s="1252" t="n">
        <v>0</v>
      </c>
      <c r="AB51" s="1314" t="n">
        <v>0</v>
      </c>
      <c r="AC51" s="1314" t="n">
        <v>0</v>
      </c>
      <c r="AD51" s="1314" t="n">
        <v>0</v>
      </c>
      <c r="AE51" s="1252"/>
      <c r="AF51" s="1314" t="n">
        <v>0</v>
      </c>
      <c r="AG51" s="1314" t="n">
        <v>0</v>
      </c>
      <c r="AH51" s="1314" t="n">
        <v>0</v>
      </c>
      <c r="AI51" s="1252"/>
      <c r="AJ51" s="1314" t="n">
        <v>0</v>
      </c>
      <c r="AK51" s="1314" t="n">
        <v>0</v>
      </c>
      <c r="AL51" s="1314" t="n">
        <v>0</v>
      </c>
      <c r="AM51" s="1166"/>
      <c r="AN51" s="1253" t="n">
        <v>14</v>
      </c>
      <c r="AO51" s="1316" t="n">
        <v>0.35</v>
      </c>
      <c r="AP51" s="1252"/>
      <c r="AQ51" s="0"/>
      <c r="AR51" s="0"/>
      <c r="AS51" s="0"/>
      <c r="AT51" s="0" t="n">
        <v>1</v>
      </c>
      <c r="AU51" s="0" t="str">
        <f aca="false">AV51&amp;"Q"&amp;ROUNDUP(MONTH(AW51)/3,0)</f>
        <v>2003Q4</v>
      </c>
      <c r="AV51" s="0" t="n">
        <f aca="false">YEAR(AW51)</f>
        <v>2003</v>
      </c>
      <c r="AW51" s="1304" t="n">
        <f aca="false">EOMONTH(AW50,0)+1</f>
        <v>37895</v>
      </c>
      <c r="AX51" s="112" t="n">
        <f aca="false">AY51</f>
        <v>2.83560653221647</v>
      </c>
      <c r="AY51" s="1323" t="n">
        <v>2.83560653221647</v>
      </c>
      <c r="AZ51" s="112" t="n">
        <f aca="false">AY51</f>
        <v>2.83560653221647</v>
      </c>
      <c r="BA51" s="163" t="n">
        <v>1</v>
      </c>
      <c r="BB51" s="163" t="n">
        <v>1</v>
      </c>
      <c r="BC51" s="163" t="n">
        <v>1</v>
      </c>
      <c r="BD51" s="163" t="n">
        <v>0</v>
      </c>
      <c r="BE51" s="163"/>
      <c r="BF51" s="163" t="n">
        <v>0</v>
      </c>
      <c r="BG51" s="1290" t="n">
        <v>0</v>
      </c>
      <c r="BH51" s="1291"/>
      <c r="BI51" s="1292"/>
      <c r="BJ51" s="1262"/>
      <c r="BK51" s="1293" t="n">
        <v>0</v>
      </c>
      <c r="BL51" s="1294" t="n">
        <f aca="false">+AY51</f>
        <v>2.83560653221647</v>
      </c>
      <c r="BM51" s="1295" t="n">
        <f aca="false">AY51</f>
        <v>2.83560653221647</v>
      </c>
      <c r="BN51" s="1324" t="n">
        <f aca="false">+BM51/BM39-1</f>
        <v>0.0032792226451801</v>
      </c>
      <c r="BO51" s="1296" t="n">
        <v>2.4</v>
      </c>
      <c r="BQ51" s="1299" t="n">
        <f aca="false">VLOOKUP($AW51,$BU$8:$BZ$291,5,FALSE())</f>
        <v>2.7921371725687</v>
      </c>
      <c r="BR51" s="1298" t="n">
        <f aca="false">VLOOKUP($AW51,$BU$8:$BZ$291,6,FALSE())</f>
        <v>2.24944071245933</v>
      </c>
      <c r="BS51" s="1262" t="n">
        <v>0</v>
      </c>
      <c r="BU51" s="1309" t="n">
        <f aca="false">EDATE(BU50,1)</f>
        <v>37469</v>
      </c>
      <c r="BV51" s="1310" t="n">
        <v>2.31721836937842</v>
      </c>
      <c r="BW51" s="1310" t="n">
        <v>1.90481218835618</v>
      </c>
      <c r="BX51" s="1310"/>
      <c r="BY51" s="1310" t="n">
        <v>2.50823168475796</v>
      </c>
      <c r="BZ51" s="1311" t="n">
        <v>2.06182997143671</v>
      </c>
    </row>
    <row r="52" customFormat="false" ht="12.75" hidden="false" customHeight="false" outlineLevel="0" collapsed="false">
      <c r="A52" s="1246"/>
      <c r="B52" s="1312" t="n">
        <v>36892</v>
      </c>
      <c r="C52" s="1313" t="n">
        <v>66.4078912625774</v>
      </c>
      <c r="D52" s="1313"/>
      <c r="E52" s="1313"/>
      <c r="F52" s="1287"/>
      <c r="G52" s="1313"/>
      <c r="H52" s="1313"/>
      <c r="I52" s="1313"/>
      <c r="J52" s="1253"/>
      <c r="K52" s="1254" t="n">
        <v>37773</v>
      </c>
      <c r="L52" s="1314" t="n">
        <v>0</v>
      </c>
      <c r="M52" s="1314" t="n">
        <v>0</v>
      </c>
      <c r="N52" s="1314" t="n">
        <v>0</v>
      </c>
      <c r="O52" s="1252"/>
      <c r="P52" s="1314" t="n">
        <v>0</v>
      </c>
      <c r="Q52" s="1314" t="n">
        <v>0</v>
      </c>
      <c r="R52" s="1314" t="n">
        <v>0</v>
      </c>
      <c r="S52" s="1252"/>
      <c r="T52" s="1314" t="n">
        <v>0</v>
      </c>
      <c r="U52" s="1314" t="n">
        <v>0</v>
      </c>
      <c r="V52" s="1314" t="n">
        <v>0</v>
      </c>
      <c r="W52" s="1252"/>
      <c r="X52" s="1314" t="n">
        <v>0</v>
      </c>
      <c r="Y52" s="1314" t="n">
        <v>0</v>
      </c>
      <c r="Z52" s="1314" t="n">
        <v>0</v>
      </c>
      <c r="AA52" s="1252" t="n">
        <v>0</v>
      </c>
      <c r="AB52" s="1314" t="n">
        <v>0</v>
      </c>
      <c r="AC52" s="1314" t="n">
        <v>0</v>
      </c>
      <c r="AD52" s="1314" t="n">
        <v>0</v>
      </c>
      <c r="AE52" s="1252"/>
      <c r="AF52" s="1314" t="n">
        <v>0</v>
      </c>
      <c r="AG52" s="1314" t="n">
        <v>0</v>
      </c>
      <c r="AH52" s="1314" t="n">
        <v>0</v>
      </c>
      <c r="AI52" s="1252"/>
      <c r="AJ52" s="1314" t="n">
        <v>0</v>
      </c>
      <c r="AK52" s="1314" t="n">
        <v>0</v>
      </c>
      <c r="AL52" s="1314" t="n">
        <v>0</v>
      </c>
      <c r="AM52" s="1166"/>
      <c r="AN52" s="1253" t="n">
        <v>15</v>
      </c>
      <c r="AO52" s="1316" t="n">
        <v>0.35</v>
      </c>
      <c r="AP52" s="1252"/>
      <c r="AQ52" s="0"/>
      <c r="AR52" s="0"/>
      <c r="AS52" s="0"/>
      <c r="AT52" s="0" t="n">
        <v>1</v>
      </c>
      <c r="AU52" s="0" t="str">
        <f aca="false">AV52&amp;"Q"&amp;ROUNDUP(MONTH(AW52)/3,0)</f>
        <v>2003Q4</v>
      </c>
      <c r="AV52" s="0" t="n">
        <f aca="false">YEAR(AW52)</f>
        <v>2003</v>
      </c>
      <c r="AW52" s="1304" t="n">
        <f aca="false">EOMONTH(AW51,0)+1</f>
        <v>37926</v>
      </c>
      <c r="AX52" s="112" t="n">
        <f aca="false">AY52</f>
        <v>2.9545805258803</v>
      </c>
      <c r="AY52" s="1323" t="n">
        <v>2.9545805258803</v>
      </c>
      <c r="AZ52" s="112" t="n">
        <f aca="false">AY52</f>
        <v>2.9545805258803</v>
      </c>
      <c r="BA52" s="163" t="n">
        <v>1</v>
      </c>
      <c r="BB52" s="163" t="n">
        <v>1</v>
      </c>
      <c r="BC52" s="163" t="n">
        <v>1</v>
      </c>
      <c r="BD52" s="163" t="n">
        <v>0</v>
      </c>
      <c r="BE52" s="163"/>
      <c r="BF52" s="163" t="n">
        <v>0</v>
      </c>
      <c r="BG52" s="1290" t="n">
        <v>0</v>
      </c>
      <c r="BH52" s="1291"/>
      <c r="BI52" s="1292"/>
      <c r="BJ52" s="1262"/>
      <c r="BK52" s="1293" t="n">
        <v>0</v>
      </c>
      <c r="BL52" s="1294" t="n">
        <f aca="false">+AY52</f>
        <v>2.9545805258803</v>
      </c>
      <c r="BM52" s="1295" t="n">
        <f aca="false">AY52</f>
        <v>2.9545805258803</v>
      </c>
      <c r="BN52" s="1324" t="n">
        <f aca="false">+BM52/BM40-1</f>
        <v>0.00874221819164589</v>
      </c>
      <c r="BO52" s="1296" t="n">
        <v>2.4</v>
      </c>
      <c r="BQ52" s="1299" t="n">
        <f aca="false">VLOOKUP($AW52,$BU$8:$BZ$291,5,FALSE())</f>
        <v>2.93468440665306</v>
      </c>
      <c r="BR52" s="1298" t="n">
        <f aca="false">VLOOKUP($AW52,$BU$8:$BZ$291,6,FALSE())</f>
        <v>2.3088698481459</v>
      </c>
      <c r="BS52" s="1262" t="n">
        <v>0</v>
      </c>
      <c r="BU52" s="1309" t="n">
        <f aca="false">EDATE(BU51,1)</f>
        <v>37500</v>
      </c>
      <c r="BV52" s="1310" t="n">
        <v>2.39529143780364</v>
      </c>
      <c r="BW52" s="1310" t="n">
        <v>1.95848096409032</v>
      </c>
      <c r="BX52" s="1310"/>
      <c r="BY52" s="1310" t="n">
        <v>2.5927404848513</v>
      </c>
      <c r="BZ52" s="1311" t="n">
        <v>2.11992278027917</v>
      </c>
    </row>
    <row r="53" customFormat="false" ht="12.75" hidden="false" customHeight="false" outlineLevel="0" collapsed="false">
      <c r="A53" s="1246"/>
      <c r="B53" s="1312" t="n">
        <v>36923</v>
      </c>
      <c r="C53" s="1313" t="n">
        <v>62.0897971017907</v>
      </c>
      <c r="D53" s="1313"/>
      <c r="E53" s="1313"/>
      <c r="F53" s="1287"/>
      <c r="G53" s="1313"/>
      <c r="H53" s="1313"/>
      <c r="I53" s="1313"/>
      <c r="J53" s="1253"/>
      <c r="K53" s="1254" t="n">
        <v>37803</v>
      </c>
      <c r="L53" s="1314" t="n">
        <v>0</v>
      </c>
      <c r="M53" s="1314" t="n">
        <v>0</v>
      </c>
      <c r="N53" s="1314" t="n">
        <v>0</v>
      </c>
      <c r="O53" s="1252"/>
      <c r="P53" s="1314" t="n">
        <v>0</v>
      </c>
      <c r="Q53" s="1314" t="n">
        <v>0</v>
      </c>
      <c r="R53" s="1314" t="n">
        <v>0</v>
      </c>
      <c r="S53" s="1252"/>
      <c r="T53" s="1314" t="n">
        <v>0</v>
      </c>
      <c r="U53" s="1314" t="n">
        <v>0</v>
      </c>
      <c r="V53" s="1314" t="n">
        <v>0</v>
      </c>
      <c r="W53" s="1252"/>
      <c r="X53" s="1314" t="n">
        <v>0</v>
      </c>
      <c r="Y53" s="1314" t="n">
        <v>0</v>
      </c>
      <c r="Z53" s="1314" t="n">
        <v>0</v>
      </c>
      <c r="AA53" s="1252" t="n">
        <v>0</v>
      </c>
      <c r="AB53" s="1314" t="n">
        <v>0</v>
      </c>
      <c r="AC53" s="1314" t="n">
        <v>0</v>
      </c>
      <c r="AD53" s="1314" t="n">
        <v>0</v>
      </c>
      <c r="AE53" s="1252"/>
      <c r="AF53" s="1314" t="n">
        <v>0</v>
      </c>
      <c r="AG53" s="1314" t="n">
        <v>0</v>
      </c>
      <c r="AH53" s="1314" t="n">
        <v>0</v>
      </c>
      <c r="AI53" s="1252"/>
      <c r="AJ53" s="1314" t="n">
        <v>0</v>
      </c>
      <c r="AK53" s="1314" t="n">
        <v>0</v>
      </c>
      <c r="AL53" s="1314" t="n">
        <v>0</v>
      </c>
      <c r="AM53" s="1166"/>
      <c r="AN53" s="1253" t="n">
        <v>15</v>
      </c>
      <c r="AO53" s="1316" t="n">
        <v>0.35</v>
      </c>
      <c r="AP53" s="1252"/>
      <c r="AQ53" s="0"/>
      <c r="AR53" s="0"/>
      <c r="AS53" s="0"/>
      <c r="AT53" s="0" t="n">
        <v>1</v>
      </c>
      <c r="AU53" s="0" t="str">
        <f aca="false">AV53&amp;"Q"&amp;ROUNDUP(MONTH(AW53)/3,0)</f>
        <v>2003Q4</v>
      </c>
      <c r="AV53" s="0" t="n">
        <f aca="false">YEAR(AW53)</f>
        <v>2003</v>
      </c>
      <c r="AW53" s="1304" t="n">
        <f aca="false">EOMONTH(AW52,0)+1</f>
        <v>37956</v>
      </c>
      <c r="AX53" s="112" t="n">
        <f aca="false">AY53</f>
        <v>3.08025390780628</v>
      </c>
      <c r="AY53" s="1323" t="n">
        <v>3.08025390780628</v>
      </c>
      <c r="AZ53" s="112" t="n">
        <f aca="false">AY53</f>
        <v>3.08025390780628</v>
      </c>
      <c r="BA53" s="163" t="n">
        <v>1</v>
      </c>
      <c r="BB53" s="163" t="n">
        <v>1</v>
      </c>
      <c r="BC53" s="163" t="n">
        <v>1</v>
      </c>
      <c r="BD53" s="163" t="n">
        <v>0</v>
      </c>
      <c r="BE53" s="163"/>
      <c r="BF53" s="163" t="n">
        <v>0</v>
      </c>
      <c r="BG53" s="1290" t="n">
        <v>0</v>
      </c>
      <c r="BH53" s="1291"/>
      <c r="BI53" s="1292"/>
      <c r="BJ53" s="1262"/>
      <c r="BK53" s="1293" t="n">
        <v>0</v>
      </c>
      <c r="BL53" s="1294" t="n">
        <f aca="false">+AY53</f>
        <v>3.08025390780628</v>
      </c>
      <c r="BM53" s="1295" t="n">
        <f aca="false">AY53</f>
        <v>3.08025390780628</v>
      </c>
      <c r="BN53" s="1324" t="n">
        <f aca="false">+BM53/BM41-1</f>
        <v>0.0138956995528967</v>
      </c>
      <c r="BO53" s="1296" t="n">
        <v>2.4</v>
      </c>
      <c r="BQ53" s="1299" t="n">
        <f aca="false">VLOOKUP($AW53,$BU$8:$BZ$291,5,FALSE())</f>
        <v>2.99667890336244</v>
      </c>
      <c r="BR53" s="1298" t="n">
        <f aca="false">VLOOKUP($AW53,$BU$8:$BZ$291,6,FALSE())</f>
        <v>2.35727583769707</v>
      </c>
      <c r="BS53" s="1262" t="n">
        <v>0</v>
      </c>
      <c r="BU53" s="1309" t="n">
        <f aca="false">EDATE(BU52,1)</f>
        <v>37530</v>
      </c>
      <c r="BV53" s="1310" t="n">
        <v>2.4980957266617</v>
      </c>
      <c r="BW53" s="1310" t="n">
        <v>2.01515519126558</v>
      </c>
      <c r="BX53" s="1310"/>
      <c r="BY53" s="1310" t="n">
        <v>2.70401915329719</v>
      </c>
      <c r="BZ53" s="1311" t="n">
        <v>2.18126878641681</v>
      </c>
    </row>
    <row r="54" customFormat="false" ht="12.75" hidden="false" customHeight="false" outlineLevel="0" collapsed="false">
      <c r="A54" s="1246"/>
      <c r="B54" s="1312" t="n">
        <v>36951</v>
      </c>
      <c r="C54" s="1313" t="n">
        <v>58.5490376484257</v>
      </c>
      <c r="D54" s="1313"/>
      <c r="E54" s="1313"/>
      <c r="F54" s="1287"/>
      <c r="G54" s="1313"/>
      <c r="H54" s="1313"/>
      <c r="I54" s="1313"/>
      <c r="J54" s="1253"/>
      <c r="K54" s="1254" t="n">
        <v>37834</v>
      </c>
      <c r="L54" s="1314" t="n">
        <v>0</v>
      </c>
      <c r="M54" s="1314" t="n">
        <v>0</v>
      </c>
      <c r="N54" s="1314" t="n">
        <v>0</v>
      </c>
      <c r="O54" s="1252"/>
      <c r="P54" s="1314" t="n">
        <v>0</v>
      </c>
      <c r="Q54" s="1314" t="n">
        <v>0</v>
      </c>
      <c r="R54" s="1314" t="n">
        <v>0</v>
      </c>
      <c r="S54" s="1252"/>
      <c r="T54" s="1314" t="n">
        <v>0</v>
      </c>
      <c r="U54" s="1314" t="n">
        <v>0</v>
      </c>
      <c r="V54" s="1314" t="n">
        <v>0</v>
      </c>
      <c r="W54" s="1252"/>
      <c r="X54" s="1314" t="n">
        <v>0</v>
      </c>
      <c r="Y54" s="1314" t="n">
        <v>0</v>
      </c>
      <c r="Z54" s="1314" t="n">
        <v>0</v>
      </c>
      <c r="AA54" s="1252" t="n">
        <v>0</v>
      </c>
      <c r="AB54" s="1314" t="n">
        <v>0</v>
      </c>
      <c r="AC54" s="1314" t="n">
        <v>0</v>
      </c>
      <c r="AD54" s="1314" t="n">
        <v>0</v>
      </c>
      <c r="AE54" s="1252"/>
      <c r="AF54" s="1314" t="n">
        <v>0</v>
      </c>
      <c r="AG54" s="1314" t="n">
        <v>0</v>
      </c>
      <c r="AH54" s="1314" t="n">
        <v>0</v>
      </c>
      <c r="AI54" s="1252"/>
      <c r="AJ54" s="1314" t="n">
        <v>0</v>
      </c>
      <c r="AK54" s="1314" t="n">
        <v>0</v>
      </c>
      <c r="AL54" s="1314" t="n">
        <v>0</v>
      </c>
      <c r="AM54" s="1166"/>
      <c r="AN54" s="1253" t="n">
        <v>15</v>
      </c>
      <c r="AO54" s="1316" t="n">
        <v>0.35</v>
      </c>
      <c r="AP54" s="1252"/>
      <c r="AQ54" s="0"/>
      <c r="AR54" s="0"/>
      <c r="AS54" s="0"/>
      <c r="AT54" s="0" t="n">
        <v>1</v>
      </c>
      <c r="AU54" s="0" t="str">
        <f aca="false">AV54&amp;"Q"&amp;ROUNDUP(MONTH(AW54)/3,0)</f>
        <v>2004Q1</v>
      </c>
      <c r="AV54" s="0" t="n">
        <f aca="false">YEAR(AW54)</f>
        <v>2004</v>
      </c>
      <c r="AW54" s="1304" t="n">
        <f aca="false">EOMONTH(AW53,0)+1</f>
        <v>37987</v>
      </c>
      <c r="AX54" s="112" t="n">
        <f aca="false">AY54</f>
        <v>2.95859668949733</v>
      </c>
      <c r="AY54" s="1323" t="n">
        <v>2.95859668949733</v>
      </c>
      <c r="AZ54" s="112" t="n">
        <f aca="false">AY54</f>
        <v>2.95859668949733</v>
      </c>
      <c r="BA54" s="163" t="n">
        <v>1</v>
      </c>
      <c r="BB54" s="163" t="n">
        <v>1</v>
      </c>
      <c r="BC54" s="163" t="n">
        <v>1</v>
      </c>
      <c r="BD54" s="163" t="n">
        <v>0</v>
      </c>
      <c r="BE54" s="163"/>
      <c r="BF54" s="163" t="n">
        <v>0</v>
      </c>
      <c r="BG54" s="1290" t="n">
        <v>0</v>
      </c>
      <c r="BH54" s="1291"/>
      <c r="BI54" s="1292"/>
      <c r="BJ54" s="1262"/>
      <c r="BK54" s="1293" t="n">
        <v>0</v>
      </c>
      <c r="BL54" s="1294" t="n">
        <f aca="false">+AY54</f>
        <v>2.95859668949733</v>
      </c>
      <c r="BM54" s="1295" t="n">
        <f aca="false">AY54</f>
        <v>2.95859668949733</v>
      </c>
      <c r="BN54" s="1324" t="n">
        <f aca="false">+BM54/BM42-1</f>
        <v>0.0144647515143421</v>
      </c>
      <c r="BO54" s="1296" t="n">
        <v>2.4</v>
      </c>
      <c r="BQ54" s="1299" t="n">
        <f aca="false">VLOOKUP($AW54,$BU$8:$BZ$291,5,FALSE())</f>
        <v>2.95277469921568</v>
      </c>
      <c r="BR54" s="1298" t="n">
        <f aca="false">VLOOKUP($AW54,$BU$8:$BZ$291,6,FALSE())</f>
        <v>2.50766951148139</v>
      </c>
      <c r="BS54" s="1262" t="n">
        <v>0</v>
      </c>
      <c r="BU54" s="1309" t="n">
        <f aca="false">EDATE(BU53,1)</f>
        <v>37561</v>
      </c>
      <c r="BV54" s="1310" t="n">
        <v>2.62563123595259</v>
      </c>
      <c r="BW54" s="1310" t="n">
        <v>2.06839461679385</v>
      </c>
      <c r="BX54" s="1310"/>
      <c r="BY54" s="1310" t="n">
        <v>2.84206769009563</v>
      </c>
      <c r="BZ54" s="1311" t="n">
        <v>2.23889685278854</v>
      </c>
    </row>
    <row r="55" customFormat="false" ht="12.75" hidden="false" customHeight="false" outlineLevel="0" collapsed="false">
      <c r="A55" s="1246"/>
      <c r="B55" s="1312" t="n">
        <v>36982</v>
      </c>
      <c r="C55" s="1313" t="n">
        <v>57.0433727597063</v>
      </c>
      <c r="D55" s="1313"/>
      <c r="E55" s="1313"/>
      <c r="F55" s="1287"/>
      <c r="G55" s="1313"/>
      <c r="H55" s="1313"/>
      <c r="I55" s="1313"/>
      <c r="J55" s="1253"/>
      <c r="K55" s="1254" t="n">
        <v>37865</v>
      </c>
      <c r="L55" s="1314" t="n">
        <v>0</v>
      </c>
      <c r="M55" s="1314" t="n">
        <v>0</v>
      </c>
      <c r="N55" s="1314" t="n">
        <v>0</v>
      </c>
      <c r="O55" s="1252"/>
      <c r="P55" s="1314" t="n">
        <v>0</v>
      </c>
      <c r="Q55" s="1314" t="n">
        <v>0</v>
      </c>
      <c r="R55" s="1314" t="n">
        <v>0</v>
      </c>
      <c r="S55" s="1252"/>
      <c r="T55" s="1314" t="n">
        <v>0</v>
      </c>
      <c r="U55" s="1314" t="n">
        <v>0</v>
      </c>
      <c r="V55" s="1314" t="n">
        <v>0</v>
      </c>
      <c r="W55" s="1252"/>
      <c r="X55" s="1314" t="n">
        <v>0</v>
      </c>
      <c r="Y55" s="1314" t="n">
        <v>0</v>
      </c>
      <c r="Z55" s="1314" t="n">
        <v>0</v>
      </c>
      <c r="AA55" s="1252" t="n">
        <v>0</v>
      </c>
      <c r="AB55" s="1314" t="n">
        <v>0</v>
      </c>
      <c r="AC55" s="1314" t="n">
        <v>0</v>
      </c>
      <c r="AD55" s="1314" t="n">
        <v>0</v>
      </c>
      <c r="AE55" s="1252"/>
      <c r="AF55" s="1314" t="n">
        <v>0</v>
      </c>
      <c r="AG55" s="1314" t="n">
        <v>0</v>
      </c>
      <c r="AH55" s="1314" t="n">
        <v>0</v>
      </c>
      <c r="AI55" s="1252"/>
      <c r="AJ55" s="1314" t="n">
        <v>0</v>
      </c>
      <c r="AK55" s="1314" t="n">
        <v>0</v>
      </c>
      <c r="AL55" s="1314" t="n">
        <v>0</v>
      </c>
      <c r="AM55" s="1166"/>
      <c r="AN55" s="1253" t="n">
        <v>16</v>
      </c>
      <c r="AO55" s="1316" t="n">
        <v>0.35</v>
      </c>
      <c r="AP55" s="1252"/>
      <c r="AQ55" s="0"/>
      <c r="AR55" s="0"/>
      <c r="AS55" s="0"/>
      <c r="AT55" s="0" t="n">
        <v>1</v>
      </c>
      <c r="AU55" s="0" t="str">
        <f aca="false">AV55&amp;"Q"&amp;ROUNDUP(MONTH(AW55)/3,0)</f>
        <v>2004Q1</v>
      </c>
      <c r="AV55" s="0" t="n">
        <f aca="false">YEAR(AW55)</f>
        <v>2004</v>
      </c>
      <c r="AW55" s="1304" t="n">
        <f aca="false">EOMONTH(AW54,0)+1</f>
        <v>38018</v>
      </c>
      <c r="AX55" s="112" t="n">
        <f aca="false">AY55</f>
        <v>2.73261088932635</v>
      </c>
      <c r="AY55" s="1323" t="n">
        <v>2.73261088932635</v>
      </c>
      <c r="AZ55" s="112" t="n">
        <f aca="false">AY55</f>
        <v>2.73261088932635</v>
      </c>
      <c r="BA55" s="163" t="n">
        <v>1</v>
      </c>
      <c r="BB55" s="163" t="n">
        <v>1</v>
      </c>
      <c r="BC55" s="163" t="n">
        <v>1</v>
      </c>
      <c r="BD55" s="163" t="n">
        <v>0</v>
      </c>
      <c r="BE55" s="163"/>
      <c r="BF55" s="163" t="n">
        <v>0</v>
      </c>
      <c r="BG55" s="1290" t="n">
        <v>0</v>
      </c>
      <c r="BH55" s="1291"/>
      <c r="BI55" s="1292"/>
      <c r="BJ55" s="1262"/>
      <c r="BK55" s="1293" t="n">
        <v>0</v>
      </c>
      <c r="BL55" s="1294" t="n">
        <f aca="false">+AY55</f>
        <v>2.73261088932635</v>
      </c>
      <c r="BM55" s="1295" t="n">
        <f aca="false">AY55</f>
        <v>2.73261088932635</v>
      </c>
      <c r="BN55" s="1324" t="n">
        <f aca="false">+BM55/BM43-1</f>
        <v>0.0177173505549237</v>
      </c>
      <c r="BO55" s="1296" t="n">
        <v>2.4</v>
      </c>
      <c r="BQ55" s="1299" t="n">
        <f aca="false">VLOOKUP($AW55,$BU$8:$BZ$291,5,FALSE())</f>
        <v>2.72997445948968</v>
      </c>
      <c r="BR55" s="1298" t="n">
        <f aca="false">VLOOKUP($AW55,$BU$8:$BZ$291,6,FALSE())</f>
        <v>2.33574358981729</v>
      </c>
      <c r="BS55" s="1262" t="n">
        <v>0</v>
      </c>
      <c r="BU55" s="1309" t="n">
        <f aca="false">EDATE(BU54,1)</f>
        <v>37591</v>
      </c>
      <c r="BV55" s="1310" t="n">
        <v>2.68109705934685</v>
      </c>
      <c r="BW55" s="1310" t="n">
        <v>2.11175898758704</v>
      </c>
      <c r="BX55" s="1310"/>
      <c r="BY55" s="1310" t="n">
        <v>2.90210568111846</v>
      </c>
      <c r="BZ55" s="1311" t="n">
        <v>2.28583584233325</v>
      </c>
    </row>
    <row r="56" customFormat="false" ht="12.75" hidden="false" customHeight="false" outlineLevel="0" collapsed="false">
      <c r="A56" s="1246"/>
      <c r="B56" s="1312" t="n">
        <v>37012</v>
      </c>
      <c r="C56" s="1313" t="n">
        <v>58.5494207792086</v>
      </c>
      <c r="D56" s="1313"/>
      <c r="E56" s="1313"/>
      <c r="F56" s="1287"/>
      <c r="G56" s="1313"/>
      <c r="H56" s="1313"/>
      <c r="I56" s="1313"/>
      <c r="J56" s="1253"/>
      <c r="K56" s="1254" t="n">
        <v>37895</v>
      </c>
      <c r="L56" s="1314" t="n">
        <v>0</v>
      </c>
      <c r="M56" s="1314" t="n">
        <v>0</v>
      </c>
      <c r="N56" s="1314" t="n">
        <v>0</v>
      </c>
      <c r="O56" s="1252"/>
      <c r="P56" s="1314" t="n">
        <v>0</v>
      </c>
      <c r="Q56" s="1314" t="n">
        <v>0</v>
      </c>
      <c r="R56" s="1314" t="n">
        <v>0</v>
      </c>
      <c r="S56" s="1252"/>
      <c r="T56" s="1314" t="n">
        <v>0</v>
      </c>
      <c r="U56" s="1314" t="n">
        <v>0</v>
      </c>
      <c r="V56" s="1314" t="n">
        <v>0</v>
      </c>
      <c r="W56" s="1252"/>
      <c r="X56" s="1314" t="n">
        <v>0</v>
      </c>
      <c r="Y56" s="1314" t="n">
        <v>0</v>
      </c>
      <c r="Z56" s="1314" t="n">
        <v>0</v>
      </c>
      <c r="AA56" s="1252" t="n">
        <v>0</v>
      </c>
      <c r="AB56" s="1314" t="n">
        <v>0</v>
      </c>
      <c r="AC56" s="1314" t="n">
        <v>0</v>
      </c>
      <c r="AD56" s="1314" t="n">
        <v>0</v>
      </c>
      <c r="AE56" s="1252"/>
      <c r="AF56" s="1314" t="n">
        <v>0</v>
      </c>
      <c r="AG56" s="1314" t="n">
        <v>0</v>
      </c>
      <c r="AH56" s="1314" t="n">
        <v>0</v>
      </c>
      <c r="AI56" s="1252"/>
      <c r="AJ56" s="1314" t="n">
        <v>0</v>
      </c>
      <c r="AK56" s="1314" t="n">
        <v>0</v>
      </c>
      <c r="AL56" s="1314" t="n">
        <v>0</v>
      </c>
      <c r="AM56" s="1166"/>
      <c r="AN56" s="1253" t="n">
        <v>16</v>
      </c>
      <c r="AO56" s="1316" t="n">
        <v>0.35</v>
      </c>
      <c r="AP56" s="1252"/>
      <c r="AQ56" s="0"/>
      <c r="AR56" s="0"/>
      <c r="AS56" s="0"/>
      <c r="AT56" s="0" t="n">
        <v>1</v>
      </c>
      <c r="AU56" s="0" t="str">
        <f aca="false">AV56&amp;"Q"&amp;ROUNDUP(MONTH(AW56)/3,0)</f>
        <v>2004Q1</v>
      </c>
      <c r="AV56" s="0" t="n">
        <f aca="false">YEAR(AW56)</f>
        <v>2004</v>
      </c>
      <c r="AW56" s="1304" t="n">
        <f aca="false">EOMONTH(AW55,0)+1</f>
        <v>38047</v>
      </c>
      <c r="AX56" s="112" t="n">
        <f aca="false">AY56</f>
        <v>2.58605513050825</v>
      </c>
      <c r="AY56" s="1323" t="n">
        <v>2.58605513050825</v>
      </c>
      <c r="AZ56" s="112" t="n">
        <f aca="false">AY56</f>
        <v>2.58605513050825</v>
      </c>
      <c r="BA56" s="163" t="n">
        <v>1</v>
      </c>
      <c r="BB56" s="163" t="n">
        <v>1</v>
      </c>
      <c r="BC56" s="163" t="n">
        <v>1</v>
      </c>
      <c r="BD56" s="163" t="n">
        <v>0</v>
      </c>
      <c r="BE56" s="163"/>
      <c r="BF56" s="163" t="n">
        <v>0</v>
      </c>
      <c r="BG56" s="1290" t="n">
        <v>0</v>
      </c>
      <c r="BH56" s="1291"/>
      <c r="BI56" s="1292"/>
      <c r="BJ56" s="1262"/>
      <c r="BK56" s="1293" t="n">
        <v>0</v>
      </c>
      <c r="BL56" s="1294" t="n">
        <f aca="false">+AY56</f>
        <v>2.58605513050825</v>
      </c>
      <c r="BM56" s="1295" t="n">
        <f aca="false">AY56</f>
        <v>2.58605513050825</v>
      </c>
      <c r="BN56" s="1324" t="n">
        <f aca="false">+BM56/BM44-1</f>
        <v>0.0219778897866716</v>
      </c>
      <c r="BO56" s="1296" t="n">
        <v>2.4</v>
      </c>
      <c r="BQ56" s="1299" t="n">
        <f aca="false">VLOOKUP($AW56,$BU$8:$BZ$291,5,FALSE())</f>
        <v>2.64891655089421</v>
      </c>
      <c r="BR56" s="1298" t="n">
        <f aca="false">VLOOKUP($AW56,$BU$8:$BZ$291,6,FALSE())</f>
        <v>2.21979354962523</v>
      </c>
      <c r="BS56" s="1262" t="n">
        <v>0</v>
      </c>
      <c r="BU56" s="1309" t="n">
        <f aca="false">EDATE(BU55,1)</f>
        <v>37622</v>
      </c>
      <c r="BV56" s="1310" t="n">
        <v>2.59301546307025</v>
      </c>
      <c r="BW56" s="1310" t="n">
        <v>2.17803197540612</v>
      </c>
      <c r="BX56" s="1310"/>
      <c r="BY56" s="1310" t="n">
        <v>2.86289859517662</v>
      </c>
      <c r="BZ56" s="1311" t="n">
        <v>2.40472329280167</v>
      </c>
    </row>
    <row r="57" customFormat="false" ht="12.75" hidden="false" customHeight="false" outlineLevel="0" collapsed="false">
      <c r="A57" s="1246"/>
      <c r="B57" s="1312" t="n">
        <v>37043</v>
      </c>
      <c r="C57" s="1313" t="n">
        <v>54.2241200032976</v>
      </c>
      <c r="D57" s="1313"/>
      <c r="E57" s="1313"/>
      <c r="F57" s="1287"/>
      <c r="G57" s="1313"/>
      <c r="H57" s="1313"/>
      <c r="I57" s="1313"/>
      <c r="J57" s="1253"/>
      <c r="K57" s="1254" t="n">
        <v>37926</v>
      </c>
      <c r="L57" s="1314" t="n">
        <v>0</v>
      </c>
      <c r="M57" s="1314" t="n">
        <v>0</v>
      </c>
      <c r="N57" s="1314" t="n">
        <v>0</v>
      </c>
      <c r="O57" s="1252"/>
      <c r="P57" s="1314" t="n">
        <v>0</v>
      </c>
      <c r="Q57" s="1314" t="n">
        <v>0</v>
      </c>
      <c r="R57" s="1314" t="n">
        <v>0</v>
      </c>
      <c r="S57" s="1252"/>
      <c r="T57" s="1314" t="n">
        <v>0</v>
      </c>
      <c r="U57" s="1314" t="n">
        <v>0</v>
      </c>
      <c r="V57" s="1314" t="n">
        <v>0</v>
      </c>
      <c r="W57" s="1252"/>
      <c r="X57" s="1314" t="n">
        <v>0</v>
      </c>
      <c r="Y57" s="1314" t="n">
        <v>0</v>
      </c>
      <c r="Z57" s="1314" t="n">
        <v>0</v>
      </c>
      <c r="AA57" s="1252" t="n">
        <v>0</v>
      </c>
      <c r="AB57" s="1314" t="n">
        <v>0</v>
      </c>
      <c r="AC57" s="1314" t="n">
        <v>0</v>
      </c>
      <c r="AD57" s="1314" t="n">
        <v>0</v>
      </c>
      <c r="AE57" s="1252"/>
      <c r="AF57" s="1314" t="n">
        <v>0</v>
      </c>
      <c r="AG57" s="1314" t="n">
        <v>0</v>
      </c>
      <c r="AH57" s="1314" t="n">
        <v>0</v>
      </c>
      <c r="AI57" s="1252"/>
      <c r="AJ57" s="1314" t="n">
        <v>0</v>
      </c>
      <c r="AK57" s="1314" t="n">
        <v>0</v>
      </c>
      <c r="AL57" s="1314" t="n">
        <v>0</v>
      </c>
      <c r="AM57" s="1166"/>
      <c r="AN57" s="1253" t="n">
        <v>16</v>
      </c>
      <c r="AO57" s="1316" t="n">
        <v>0.35</v>
      </c>
      <c r="AP57" s="1252"/>
      <c r="AQ57" s="0"/>
      <c r="AR57" s="0"/>
      <c r="AS57" s="0"/>
      <c r="AT57" s="0" t="n">
        <v>1</v>
      </c>
      <c r="AU57" s="0" t="str">
        <f aca="false">AV57&amp;"Q"&amp;ROUNDUP(MONTH(AW57)/3,0)</f>
        <v>2004Q2</v>
      </c>
      <c r="AV57" s="0" t="n">
        <f aca="false">YEAR(AW57)</f>
        <v>2004</v>
      </c>
      <c r="AW57" s="1304" t="n">
        <f aca="false">EOMONTH(AW56,0)+1</f>
        <v>38078</v>
      </c>
      <c r="AX57" s="112" t="n">
        <f aca="false">AY57</f>
        <v>2.50847163047972</v>
      </c>
      <c r="AY57" s="1323" t="n">
        <v>2.50847163047972</v>
      </c>
      <c r="AZ57" s="112" t="n">
        <f aca="false">AY57</f>
        <v>2.50847163047972</v>
      </c>
      <c r="BA57" s="163" t="n">
        <v>1</v>
      </c>
      <c r="BB57" s="163" t="n">
        <v>1</v>
      </c>
      <c r="BC57" s="163" t="n">
        <v>1</v>
      </c>
      <c r="BD57" s="163" t="n">
        <v>0</v>
      </c>
      <c r="BE57" s="163"/>
      <c r="BF57" s="163" t="n">
        <v>0</v>
      </c>
      <c r="BG57" s="1290" t="n">
        <v>0</v>
      </c>
      <c r="BH57" s="1291"/>
      <c r="BI57" s="1292"/>
      <c r="BJ57" s="1262"/>
      <c r="BK57" s="1293" t="n">
        <v>0</v>
      </c>
      <c r="BL57" s="1294" t="n">
        <f aca="false">+AY57</f>
        <v>2.50847163047972</v>
      </c>
      <c r="BM57" s="1295" t="n">
        <f aca="false">AY57</f>
        <v>2.50847163047972</v>
      </c>
      <c r="BN57" s="1324" t="n">
        <f aca="false">+BM57/BM45-1</f>
        <v>0.0268955193035874</v>
      </c>
      <c r="BO57" s="1296" t="n">
        <v>2.4</v>
      </c>
      <c r="BQ57" s="1299" t="n">
        <f aca="false">VLOOKUP($AW57,$BU$8:$BZ$291,5,FALSE())</f>
        <v>2.59636866532197</v>
      </c>
      <c r="BR57" s="1298" t="n">
        <f aca="false">VLOOKUP($AW57,$BU$8:$BZ$291,6,FALSE())</f>
        <v>2.15232262106519</v>
      </c>
      <c r="BS57" s="1262" t="n">
        <v>0</v>
      </c>
      <c r="BU57" s="1309" t="n">
        <f aca="false">EDATE(BU56,1)</f>
        <v>37653</v>
      </c>
      <c r="BV57" s="1310" t="n">
        <v>2.39736068895601</v>
      </c>
      <c r="BW57" s="1310" t="n">
        <v>2.02870601635486</v>
      </c>
      <c r="BX57" s="1310"/>
      <c r="BY57" s="1310" t="n">
        <v>2.64687991502266</v>
      </c>
      <c r="BZ57" s="1311" t="n">
        <v>2.23985536799375</v>
      </c>
    </row>
    <row r="58" customFormat="false" ht="12.75" hidden="false" customHeight="false" outlineLevel="0" collapsed="false">
      <c r="A58" s="1246"/>
      <c r="B58" s="1312" t="n">
        <v>37073</v>
      </c>
      <c r="C58" s="1313" t="n">
        <v>68.092815428714</v>
      </c>
      <c r="D58" s="1313"/>
      <c r="E58" s="1313"/>
      <c r="F58" s="1287"/>
      <c r="G58" s="1313"/>
      <c r="H58" s="1313"/>
      <c r="I58" s="1313"/>
      <c r="J58" s="1253"/>
      <c r="K58" s="1254" t="n">
        <v>37956</v>
      </c>
      <c r="L58" s="1314" t="n">
        <v>0</v>
      </c>
      <c r="M58" s="1314" t="n">
        <v>0</v>
      </c>
      <c r="N58" s="1314" t="n">
        <v>0</v>
      </c>
      <c r="O58" s="1252"/>
      <c r="P58" s="1314" t="n">
        <v>0</v>
      </c>
      <c r="Q58" s="1314" t="n">
        <v>0</v>
      </c>
      <c r="R58" s="1314" t="n">
        <v>0</v>
      </c>
      <c r="S58" s="1252"/>
      <c r="T58" s="1314" t="n">
        <v>0</v>
      </c>
      <c r="U58" s="1314" t="n">
        <v>0</v>
      </c>
      <c r="V58" s="1314" t="n">
        <v>0</v>
      </c>
      <c r="W58" s="1252"/>
      <c r="X58" s="1314" t="n">
        <v>0</v>
      </c>
      <c r="Y58" s="1314" t="n">
        <v>0</v>
      </c>
      <c r="Z58" s="1314" t="n">
        <v>0</v>
      </c>
      <c r="AA58" s="1252" t="n">
        <v>0</v>
      </c>
      <c r="AB58" s="1314" t="n">
        <v>0</v>
      </c>
      <c r="AC58" s="1314" t="n">
        <v>0</v>
      </c>
      <c r="AD58" s="1314" t="n">
        <v>0</v>
      </c>
      <c r="AE58" s="1252"/>
      <c r="AF58" s="1314" t="n">
        <v>0</v>
      </c>
      <c r="AG58" s="1314" t="n">
        <v>0</v>
      </c>
      <c r="AH58" s="1314" t="n">
        <v>0</v>
      </c>
      <c r="AI58" s="1252"/>
      <c r="AJ58" s="1314" t="n">
        <v>0</v>
      </c>
      <c r="AK58" s="1314" t="n">
        <v>0</v>
      </c>
      <c r="AL58" s="1314" t="n">
        <v>0</v>
      </c>
      <c r="AM58" s="1166"/>
      <c r="AN58" s="1253" t="n">
        <v>17</v>
      </c>
      <c r="AO58" s="1316" t="n">
        <v>0.35</v>
      </c>
      <c r="AP58" s="1252"/>
      <c r="AQ58" s="0"/>
      <c r="AR58" s="0"/>
      <c r="AS58" s="0"/>
      <c r="AT58" s="0" t="n">
        <v>1</v>
      </c>
      <c r="AU58" s="0" t="str">
        <f aca="false">AV58&amp;"Q"&amp;ROUNDUP(MONTH(AW58)/3,0)</f>
        <v>2004Q2</v>
      </c>
      <c r="AV58" s="0" t="n">
        <f aca="false">YEAR(AW58)</f>
        <v>2004</v>
      </c>
      <c r="AW58" s="1304" t="n">
        <f aca="false">EOMONTH(AW57,0)+1</f>
        <v>38108</v>
      </c>
      <c r="AX58" s="112" t="n">
        <f aca="false">AY58</f>
        <v>2.48955351339881</v>
      </c>
      <c r="AY58" s="1323" t="n">
        <v>2.48955351339881</v>
      </c>
      <c r="AZ58" s="112" t="n">
        <f aca="false">AY58</f>
        <v>2.48955351339881</v>
      </c>
      <c r="BA58" s="163" t="n">
        <v>1</v>
      </c>
      <c r="BB58" s="163" t="n">
        <v>1</v>
      </c>
      <c r="BC58" s="163" t="n">
        <v>1</v>
      </c>
      <c r="BD58" s="163" t="n">
        <v>0</v>
      </c>
      <c r="BE58" s="163"/>
      <c r="BF58" s="163" t="n">
        <v>0</v>
      </c>
      <c r="BG58" s="1290" t="n">
        <v>0</v>
      </c>
      <c r="BH58" s="1291"/>
      <c r="BI58" s="1292"/>
      <c r="BJ58" s="1262"/>
      <c r="BK58" s="1293" t="n">
        <v>0</v>
      </c>
      <c r="BL58" s="1294" t="n">
        <f aca="false">+AY58</f>
        <v>2.48955351339881</v>
      </c>
      <c r="BM58" s="1295" t="n">
        <f aca="false">AY58</f>
        <v>2.48955351339881</v>
      </c>
      <c r="BN58" s="1324" t="n">
        <f aca="false">+BM58/BM46-1</f>
        <v>0.0321977401056821</v>
      </c>
      <c r="BO58" s="1296" t="n">
        <v>2.4</v>
      </c>
      <c r="BQ58" s="1299" t="n">
        <f aca="false">VLOOKUP($AW58,$BU$8:$BZ$291,5,FALSE())</f>
        <v>2.57233080277296</v>
      </c>
      <c r="BR58" s="1298" t="n">
        <f aca="false">VLOOKUP($AW58,$BU$8:$BZ$291,6,FALSE())</f>
        <v>2.12583403429718</v>
      </c>
      <c r="BS58" s="1262" t="n">
        <v>0</v>
      </c>
      <c r="BU58" s="1309" t="n">
        <f aca="false">EDATE(BU57,1)</f>
        <v>37681</v>
      </c>
      <c r="BV58" s="1310" t="n">
        <v>2.32617868836246</v>
      </c>
      <c r="BW58" s="1310" t="n">
        <v>1.92799781141331</v>
      </c>
      <c r="BX58" s="1310"/>
      <c r="BY58" s="1310" t="n">
        <v>2.56828923463395</v>
      </c>
      <c r="BZ58" s="1311" t="n">
        <v>2.12866537219305</v>
      </c>
    </row>
    <row r="59" customFormat="false" ht="12.75" hidden="false" customHeight="false" outlineLevel="0" collapsed="false">
      <c r="A59" s="1246"/>
      <c r="B59" s="1312" t="n">
        <v>37104</v>
      </c>
      <c r="C59" s="1313" t="n">
        <v>100.080385131368</v>
      </c>
      <c r="D59" s="1313"/>
      <c r="E59" s="1313"/>
      <c r="F59" s="1287"/>
      <c r="G59" s="1313"/>
      <c r="H59" s="1313"/>
      <c r="I59" s="1313"/>
      <c r="J59" s="1253"/>
      <c r="K59" s="1254" t="n">
        <v>37987</v>
      </c>
      <c r="L59" s="1314" t="n">
        <v>0</v>
      </c>
      <c r="M59" s="1314" t="n">
        <v>0</v>
      </c>
      <c r="N59" s="1314" t="n">
        <v>0</v>
      </c>
      <c r="O59" s="1252"/>
      <c r="P59" s="1314" t="n">
        <v>0</v>
      </c>
      <c r="Q59" s="1314" t="n">
        <v>0</v>
      </c>
      <c r="R59" s="1314" t="n">
        <v>0</v>
      </c>
      <c r="S59" s="1252"/>
      <c r="T59" s="1314" t="n">
        <v>0</v>
      </c>
      <c r="U59" s="1314" t="n">
        <v>0</v>
      </c>
      <c r="V59" s="1314" t="n">
        <v>0</v>
      </c>
      <c r="W59" s="1252"/>
      <c r="X59" s="1314" t="n">
        <v>0</v>
      </c>
      <c r="Y59" s="1314" t="n">
        <v>0</v>
      </c>
      <c r="Z59" s="1314" t="n">
        <v>0</v>
      </c>
      <c r="AA59" s="1252" t="n">
        <v>0</v>
      </c>
      <c r="AB59" s="1314" t="n">
        <v>0</v>
      </c>
      <c r="AC59" s="1314" t="n">
        <v>0</v>
      </c>
      <c r="AD59" s="1314" t="n">
        <v>0</v>
      </c>
      <c r="AE59" s="1252"/>
      <c r="AF59" s="1314" t="n">
        <v>0</v>
      </c>
      <c r="AG59" s="1314" t="n">
        <v>0</v>
      </c>
      <c r="AH59" s="1314" t="n">
        <v>0</v>
      </c>
      <c r="AI59" s="1252"/>
      <c r="AJ59" s="1314" t="n">
        <v>0</v>
      </c>
      <c r="AK59" s="1314" t="n">
        <v>0</v>
      </c>
      <c r="AL59" s="1314" t="n">
        <v>0</v>
      </c>
      <c r="AM59" s="1166"/>
      <c r="AN59" s="1253" t="n">
        <v>17</v>
      </c>
      <c r="AO59" s="1316" t="n">
        <v>0.35</v>
      </c>
      <c r="AP59" s="1252"/>
      <c r="AQ59" s="0"/>
      <c r="AR59" s="0"/>
      <c r="AS59" s="0"/>
      <c r="AT59" s="0" t="n">
        <v>1</v>
      </c>
      <c r="AU59" s="0" t="str">
        <f aca="false">AV59&amp;"Q"&amp;ROUNDUP(MONTH(AW59)/3,0)</f>
        <v>2004Q2</v>
      </c>
      <c r="AV59" s="0" t="n">
        <f aca="false">YEAR(AW59)</f>
        <v>2004</v>
      </c>
      <c r="AW59" s="1304" t="n">
        <f aca="false">EOMONTH(AW58,0)+1</f>
        <v>38139</v>
      </c>
      <c r="AX59" s="112" t="n">
        <f aca="false">AY59</f>
        <v>2.51962588257237</v>
      </c>
      <c r="AY59" s="1323" t="n">
        <v>2.51962588257237</v>
      </c>
      <c r="AZ59" s="112" t="n">
        <f aca="false">AY59</f>
        <v>2.51962588257237</v>
      </c>
      <c r="BA59" s="163" t="n">
        <v>1</v>
      </c>
      <c r="BB59" s="163" t="n">
        <v>1</v>
      </c>
      <c r="BC59" s="163" t="n">
        <v>1</v>
      </c>
      <c r="BD59" s="163" t="n">
        <v>0</v>
      </c>
      <c r="BE59" s="163"/>
      <c r="BF59" s="163" t="n">
        <v>0</v>
      </c>
      <c r="BG59" s="1290" t="n">
        <v>0</v>
      </c>
      <c r="BH59" s="1291"/>
      <c r="BI59" s="1292"/>
      <c r="BJ59" s="1262"/>
      <c r="BK59" s="1293" t="n">
        <v>0</v>
      </c>
      <c r="BL59" s="1294" t="n">
        <f aca="false">+AY59</f>
        <v>2.51962588257237</v>
      </c>
      <c r="BM59" s="1295" t="n">
        <f aca="false">AY59</f>
        <v>2.51962588257237</v>
      </c>
      <c r="BN59" s="1324" t="n">
        <f aca="false">+BM59/BM47-1</f>
        <v>0.0321977401056819</v>
      </c>
      <c r="BO59" s="1296" t="n">
        <v>2.4</v>
      </c>
      <c r="BQ59" s="1299" t="n">
        <f aca="false">VLOOKUP($AW59,$BU$8:$BZ$291,5,FALSE())</f>
        <v>2.5768029632472</v>
      </c>
      <c r="BR59" s="1298" t="n">
        <f aca="false">VLOOKUP($AW59,$BU$8:$BZ$291,6,FALSE())</f>
        <v>2.13283101948118</v>
      </c>
      <c r="BS59" s="1262" t="n">
        <v>0</v>
      </c>
      <c r="BU59" s="1309" t="n">
        <f aca="false">EDATE(BU58,1)</f>
        <v>37712</v>
      </c>
      <c r="BV59" s="1310" t="n">
        <v>2.28003311556388</v>
      </c>
      <c r="BW59" s="1310" t="n">
        <v>1.8693960542275</v>
      </c>
      <c r="BX59" s="1310"/>
      <c r="BY59" s="1310" t="n">
        <v>2.51734079355437</v>
      </c>
      <c r="BZ59" s="1311" t="n">
        <v>2.06396429705041</v>
      </c>
    </row>
    <row r="60" customFormat="false" ht="12.75" hidden="false" customHeight="false" outlineLevel="0" collapsed="false">
      <c r="A60" s="1246"/>
      <c r="B60" s="1312" t="n">
        <v>37135</v>
      </c>
      <c r="C60" s="1313" t="n">
        <v>83.9080120838766</v>
      </c>
      <c r="D60" s="1313"/>
      <c r="E60" s="1313"/>
      <c r="F60" s="1287"/>
      <c r="G60" s="1313"/>
      <c r="H60" s="1313"/>
      <c r="I60" s="1313"/>
      <c r="J60" s="1253"/>
      <c r="K60" s="1254" t="n">
        <v>38018</v>
      </c>
      <c r="L60" s="1314" t="n">
        <v>0</v>
      </c>
      <c r="M60" s="1314" t="n">
        <v>0</v>
      </c>
      <c r="N60" s="1314" t="n">
        <v>0</v>
      </c>
      <c r="O60" s="1252"/>
      <c r="P60" s="1314" t="n">
        <v>0</v>
      </c>
      <c r="Q60" s="1314" t="n">
        <v>0</v>
      </c>
      <c r="R60" s="1314" t="n">
        <v>0</v>
      </c>
      <c r="S60" s="1252"/>
      <c r="T60" s="1314" t="n">
        <v>0</v>
      </c>
      <c r="U60" s="1314" t="n">
        <v>0</v>
      </c>
      <c r="V60" s="1314" t="n">
        <v>0</v>
      </c>
      <c r="W60" s="1252"/>
      <c r="X60" s="1314" t="n">
        <v>0</v>
      </c>
      <c r="Y60" s="1314" t="n">
        <v>0</v>
      </c>
      <c r="Z60" s="1314" t="n">
        <v>0</v>
      </c>
      <c r="AA60" s="1252" t="n">
        <v>0</v>
      </c>
      <c r="AB60" s="1314" t="n">
        <v>0</v>
      </c>
      <c r="AC60" s="1314" t="n">
        <v>0</v>
      </c>
      <c r="AD60" s="1314" t="n">
        <v>0</v>
      </c>
      <c r="AE60" s="1252"/>
      <c r="AF60" s="1314" t="n">
        <v>0</v>
      </c>
      <c r="AG60" s="1314" t="n">
        <v>0</v>
      </c>
      <c r="AH60" s="1314" t="n">
        <v>0</v>
      </c>
      <c r="AI60" s="1252"/>
      <c r="AJ60" s="1314" t="n">
        <v>0</v>
      </c>
      <c r="AK60" s="1314" t="n">
        <v>0</v>
      </c>
      <c r="AL60" s="1314" t="n">
        <v>0</v>
      </c>
      <c r="AM60" s="1166"/>
      <c r="AN60" s="1253" t="n">
        <v>17</v>
      </c>
      <c r="AO60" s="1316" t="n">
        <v>0.35</v>
      </c>
      <c r="AP60" s="1252"/>
      <c r="AQ60" s="0"/>
      <c r="AR60" s="0"/>
      <c r="AS60" s="0"/>
      <c r="AT60" s="0" t="n">
        <v>1</v>
      </c>
      <c r="AU60" s="0" t="str">
        <f aca="false">AV60&amp;"Q"&amp;ROUNDUP(MONTH(AW60)/3,0)</f>
        <v>2004Q3</v>
      </c>
      <c r="AV60" s="0" t="n">
        <f aca="false">YEAR(AW60)</f>
        <v>2004</v>
      </c>
      <c r="AW60" s="1304" t="n">
        <f aca="false">EOMONTH(AW59,0)+1</f>
        <v>38169</v>
      </c>
      <c r="AX60" s="112" t="n">
        <f aca="false">AY60</f>
        <v>2.58840181838669</v>
      </c>
      <c r="AY60" s="1323" t="n">
        <v>2.58840181838669</v>
      </c>
      <c r="AZ60" s="112" t="n">
        <f aca="false">AY60</f>
        <v>2.58840181838669</v>
      </c>
      <c r="BA60" s="163" t="n">
        <v>1</v>
      </c>
      <c r="BB60" s="163" t="n">
        <v>1</v>
      </c>
      <c r="BC60" s="163" t="n">
        <v>1</v>
      </c>
      <c r="BD60" s="163" t="n">
        <v>0</v>
      </c>
      <c r="BE60" s="163"/>
      <c r="BF60" s="163" t="n">
        <v>0</v>
      </c>
      <c r="BG60" s="1290" t="n">
        <v>0</v>
      </c>
      <c r="BH60" s="1291"/>
      <c r="BI60" s="1292"/>
      <c r="BJ60" s="1262"/>
      <c r="BK60" s="1293" t="n">
        <v>0</v>
      </c>
      <c r="BL60" s="1294" t="n">
        <f aca="false">+AY60</f>
        <v>2.58840181838669</v>
      </c>
      <c r="BM60" s="1295" t="n">
        <f aca="false">AY60</f>
        <v>2.58840181838669</v>
      </c>
      <c r="BN60" s="1324" t="n">
        <f aca="false">+BM60/BM48-1</f>
        <v>0.0321977401056821</v>
      </c>
      <c r="BO60" s="1296" t="n">
        <v>2.4</v>
      </c>
      <c r="BQ60" s="1299" t="n">
        <f aca="false">VLOOKUP($AW60,$BU$8:$BZ$291,5,FALSE())</f>
        <v>2.60978514674467</v>
      </c>
      <c r="BR60" s="1298" t="n">
        <f aca="false">VLOOKUP($AW60,$BU$8:$BZ$291,6,FALSE())</f>
        <v>2.1658168067772</v>
      </c>
      <c r="BS60" s="1262" t="n">
        <v>0</v>
      </c>
      <c r="BU60" s="1309" t="n">
        <f aca="false">EDATE(BU59,1)</f>
        <v>37742</v>
      </c>
      <c r="BV60" s="1310" t="n">
        <v>2.25892397056027</v>
      </c>
      <c r="BW60" s="1310" t="n">
        <v>1.84638943844344</v>
      </c>
      <c r="BX60" s="1310"/>
      <c r="BY60" s="1310" t="n">
        <v>2.49403459178392</v>
      </c>
      <c r="BZ60" s="1311" t="n">
        <v>2.03856313421663</v>
      </c>
    </row>
    <row r="61" customFormat="false" ht="12.75" hidden="false" customHeight="false" outlineLevel="0" collapsed="false">
      <c r="A61" s="1246"/>
      <c r="B61" s="1312" t="n">
        <v>37165</v>
      </c>
      <c r="C61" s="1313" t="n">
        <v>70.8981581537458</v>
      </c>
      <c r="D61" s="1313"/>
      <c r="E61" s="1313"/>
      <c r="F61" s="1287"/>
      <c r="G61" s="1313"/>
      <c r="H61" s="1313"/>
      <c r="I61" s="1313"/>
      <c r="J61" s="1253"/>
      <c r="K61" s="1254" t="n">
        <v>38047</v>
      </c>
      <c r="L61" s="1314" t="n">
        <v>0</v>
      </c>
      <c r="M61" s="1314" t="n">
        <v>0</v>
      </c>
      <c r="N61" s="1314" t="n">
        <v>0</v>
      </c>
      <c r="O61" s="1252"/>
      <c r="P61" s="1314" t="n">
        <v>0</v>
      </c>
      <c r="Q61" s="1314" t="n">
        <v>0</v>
      </c>
      <c r="R61" s="1314" t="n">
        <v>0</v>
      </c>
      <c r="S61" s="1252"/>
      <c r="T61" s="1314" t="n">
        <v>0</v>
      </c>
      <c r="U61" s="1314" t="n">
        <v>0</v>
      </c>
      <c r="V61" s="1314" t="n">
        <v>0</v>
      </c>
      <c r="W61" s="1252"/>
      <c r="X61" s="1314" t="n">
        <v>0</v>
      </c>
      <c r="Y61" s="1314" t="n">
        <v>0</v>
      </c>
      <c r="Z61" s="1314" t="n">
        <v>0</v>
      </c>
      <c r="AA61" s="1252" t="n">
        <v>0</v>
      </c>
      <c r="AB61" s="1314" t="n">
        <v>0</v>
      </c>
      <c r="AC61" s="1314" t="n">
        <v>0</v>
      </c>
      <c r="AD61" s="1314" t="n">
        <v>0</v>
      </c>
      <c r="AE61" s="1252"/>
      <c r="AF61" s="1314" t="n">
        <v>0</v>
      </c>
      <c r="AG61" s="1314" t="n">
        <v>0</v>
      </c>
      <c r="AH61" s="1314" t="n">
        <v>0</v>
      </c>
      <c r="AI61" s="1252"/>
      <c r="AJ61" s="1314" t="n">
        <v>0</v>
      </c>
      <c r="AK61" s="1314" t="n">
        <v>0</v>
      </c>
      <c r="AL61" s="1314" t="n">
        <v>0</v>
      </c>
      <c r="AM61" s="1166"/>
      <c r="AN61" s="1253" t="n">
        <v>18</v>
      </c>
      <c r="AO61" s="1316" t="n">
        <v>0.35</v>
      </c>
      <c r="AP61" s="1252"/>
      <c r="AQ61" s="0"/>
      <c r="AR61" s="0"/>
      <c r="AS61" s="0"/>
      <c r="AT61" s="0" t="n">
        <v>1</v>
      </c>
      <c r="AU61" s="0" t="str">
        <f aca="false">AV61&amp;"Q"&amp;ROUNDUP(MONTH(AW61)/3,0)</f>
        <v>2004Q3</v>
      </c>
      <c r="AV61" s="0" t="n">
        <f aca="false">YEAR(AW61)</f>
        <v>2004</v>
      </c>
      <c r="AW61" s="1304" t="n">
        <f aca="false">EOMONTH(AW60,0)+1</f>
        <v>38200</v>
      </c>
      <c r="AX61" s="112" t="n">
        <f aca="false">AY61</f>
        <v>2.68607793120641</v>
      </c>
      <c r="AY61" s="1323" t="n">
        <v>2.68607793120641</v>
      </c>
      <c r="AZ61" s="112" t="n">
        <f aca="false">AY61</f>
        <v>2.68607793120641</v>
      </c>
      <c r="BA61" s="163" t="n">
        <v>1</v>
      </c>
      <c r="BB61" s="163" t="n">
        <v>1</v>
      </c>
      <c r="BC61" s="163" t="n">
        <v>1</v>
      </c>
      <c r="BD61" s="163" t="n">
        <v>0</v>
      </c>
      <c r="BE61" s="163"/>
      <c r="BF61" s="163" t="n">
        <v>0</v>
      </c>
      <c r="BG61" s="1290" t="n">
        <v>0</v>
      </c>
      <c r="BH61" s="1291"/>
      <c r="BI61" s="1292"/>
      <c r="BJ61" s="1262"/>
      <c r="BK61" s="1293" t="n">
        <v>0</v>
      </c>
      <c r="BL61" s="1294" t="n">
        <f aca="false">+AY61</f>
        <v>2.68607793120641</v>
      </c>
      <c r="BM61" s="1295" t="n">
        <f aca="false">AY61</f>
        <v>2.68607793120641</v>
      </c>
      <c r="BN61" s="1324" t="n">
        <f aca="false">+BM61/BM49-1</f>
        <v>0.0321977401056821</v>
      </c>
      <c r="BO61" s="1296" t="n">
        <v>2.4</v>
      </c>
      <c r="BQ61" s="1299" t="n">
        <f aca="false">VLOOKUP($AW61,$BU$8:$BZ$291,5,FALSE())</f>
        <v>2.67127735326537</v>
      </c>
      <c r="BR61" s="1298" t="n">
        <f aca="false">VLOOKUP($AW61,$BU$8:$BZ$291,6,FALSE())</f>
        <v>2.21729462634523</v>
      </c>
      <c r="BS61" s="1262" t="n">
        <v>0</v>
      </c>
      <c r="BU61" s="1309" t="n">
        <f aca="false">EDATE(BU60,1)</f>
        <v>37773</v>
      </c>
      <c r="BV61" s="1310" t="n">
        <v>2.26285125335164</v>
      </c>
      <c r="BW61" s="1310" t="n">
        <v>1.85246665770715</v>
      </c>
      <c r="BX61" s="1310"/>
      <c r="BY61" s="1310" t="n">
        <v>2.49837062932261</v>
      </c>
      <c r="BZ61" s="1311" t="n">
        <v>2.04527287534253</v>
      </c>
    </row>
    <row r="62" customFormat="false" ht="12.75" hidden="false" customHeight="false" outlineLevel="0" collapsed="false">
      <c r="A62" s="1246"/>
      <c r="B62" s="1312" t="n">
        <v>37196</v>
      </c>
      <c r="C62" s="1313" t="n">
        <v>64.7366825476979</v>
      </c>
      <c r="D62" s="1313"/>
      <c r="E62" s="1313"/>
      <c r="F62" s="1287"/>
      <c r="G62" s="1313"/>
      <c r="H62" s="1313"/>
      <c r="I62" s="1313"/>
      <c r="J62" s="1253"/>
      <c r="K62" s="1254" t="n">
        <v>38078</v>
      </c>
      <c r="L62" s="1314" t="n">
        <v>0</v>
      </c>
      <c r="M62" s="1314" t="n">
        <v>0</v>
      </c>
      <c r="N62" s="1314" t="n">
        <v>0</v>
      </c>
      <c r="O62" s="1252"/>
      <c r="P62" s="1314" t="n">
        <v>0</v>
      </c>
      <c r="Q62" s="1314" t="n">
        <v>0</v>
      </c>
      <c r="R62" s="1314" t="n">
        <v>0</v>
      </c>
      <c r="S62" s="1252"/>
      <c r="T62" s="1314" t="n">
        <v>0</v>
      </c>
      <c r="U62" s="1314" t="n">
        <v>0</v>
      </c>
      <c r="V62" s="1314" t="n">
        <v>0</v>
      </c>
      <c r="W62" s="1252"/>
      <c r="X62" s="1314" t="n">
        <v>0</v>
      </c>
      <c r="Y62" s="1314" t="n">
        <v>0</v>
      </c>
      <c r="Z62" s="1314" t="n">
        <v>0</v>
      </c>
      <c r="AA62" s="1252" t="n">
        <v>0</v>
      </c>
      <c r="AB62" s="1314" t="n">
        <v>0</v>
      </c>
      <c r="AC62" s="1314" t="n">
        <v>0</v>
      </c>
      <c r="AD62" s="1314" t="n">
        <v>0</v>
      </c>
      <c r="AE62" s="1252"/>
      <c r="AF62" s="1314" t="n">
        <v>0</v>
      </c>
      <c r="AG62" s="1314" t="n">
        <v>0</v>
      </c>
      <c r="AH62" s="1314" t="n">
        <v>0</v>
      </c>
      <c r="AI62" s="1252"/>
      <c r="AJ62" s="1314" t="n">
        <v>0</v>
      </c>
      <c r="AK62" s="1314" t="n">
        <v>0</v>
      </c>
      <c r="AL62" s="1314" t="n">
        <v>0</v>
      </c>
      <c r="AM62" s="1166"/>
      <c r="AN62" s="1253" t="n">
        <v>18</v>
      </c>
      <c r="AO62" s="1316" t="n">
        <v>0.35</v>
      </c>
      <c r="AP62" s="1252"/>
      <c r="AQ62" s="0"/>
      <c r="AR62" s="0"/>
      <c r="AS62" s="0"/>
      <c r="AT62" s="0" t="n">
        <v>1</v>
      </c>
      <c r="AU62" s="0" t="str">
        <f aca="false">AV62&amp;"Q"&amp;ROUNDUP(MONTH(AW62)/3,0)</f>
        <v>2004Q3</v>
      </c>
      <c r="AV62" s="0" t="n">
        <f aca="false">YEAR(AW62)</f>
        <v>2004</v>
      </c>
      <c r="AW62" s="1304" t="n">
        <f aca="false">EOMONTH(AW61,0)+1</f>
        <v>38231</v>
      </c>
      <c r="AX62" s="112" t="n">
        <f aca="false">AY62</f>
        <v>2.80237092481953</v>
      </c>
      <c r="AY62" s="1323" t="n">
        <v>2.80237092481953</v>
      </c>
      <c r="AZ62" s="112" t="n">
        <f aca="false">AY62</f>
        <v>2.80237092481953</v>
      </c>
      <c r="BA62" s="163" t="n">
        <v>1</v>
      </c>
      <c r="BB62" s="163" t="n">
        <v>1</v>
      </c>
      <c r="BC62" s="163" t="n">
        <v>1</v>
      </c>
      <c r="BD62" s="163" t="n">
        <v>0</v>
      </c>
      <c r="BE62" s="163"/>
      <c r="BF62" s="163" t="n">
        <v>0</v>
      </c>
      <c r="BG62" s="1290" t="n">
        <v>0</v>
      </c>
      <c r="BH62" s="1291"/>
      <c r="BI62" s="1292"/>
      <c r="BJ62" s="1262"/>
      <c r="BK62" s="1293" t="n">
        <v>0</v>
      </c>
      <c r="BL62" s="1294" t="n">
        <f aca="false">+AY62</f>
        <v>2.80237092481953</v>
      </c>
      <c r="BM62" s="1295" t="n">
        <f aca="false">AY62</f>
        <v>2.80237092481953</v>
      </c>
      <c r="BN62" s="1324" t="n">
        <f aca="false">+BM62/BM50-1</f>
        <v>0.0321977401056821</v>
      </c>
      <c r="BO62" s="1296" t="n">
        <v>2.4</v>
      </c>
      <c r="BQ62" s="1299" t="n">
        <f aca="false">VLOOKUP($AW62,$BU$8:$BZ$291,5,FALSE())</f>
        <v>2.76127958280931</v>
      </c>
      <c r="BR62" s="1298" t="n">
        <f aca="false">VLOOKUP($AW62,$BU$8:$BZ$291,6,FALSE())</f>
        <v>2.27976770834526</v>
      </c>
      <c r="BS62" s="1262" t="n">
        <v>0</v>
      </c>
      <c r="BU62" s="1309" t="n">
        <f aca="false">EDATE(BU61,1)</f>
        <v>37803</v>
      </c>
      <c r="BV62" s="1310" t="n">
        <v>2.29181496393799</v>
      </c>
      <c r="BW62" s="1310" t="n">
        <v>1.88111640566466</v>
      </c>
      <c r="BX62" s="1310"/>
      <c r="BY62" s="1310" t="n">
        <v>2.53034890617043</v>
      </c>
      <c r="BZ62" s="1311" t="n">
        <v>2.07690451207894</v>
      </c>
    </row>
    <row r="63" customFormat="false" ht="12.75" hidden="false" customHeight="false" outlineLevel="0" collapsed="false">
      <c r="A63" s="1246"/>
      <c r="B63" s="1312" t="n">
        <v>37226</v>
      </c>
      <c r="C63" s="1313" t="n">
        <v>64.8312933031046</v>
      </c>
      <c r="D63" s="1313"/>
      <c r="E63" s="1313"/>
      <c r="F63" s="1287"/>
      <c r="G63" s="1313"/>
      <c r="H63" s="1313"/>
      <c r="I63" s="1313"/>
      <c r="J63" s="1253"/>
      <c r="K63" s="1254" t="n">
        <v>38108</v>
      </c>
      <c r="L63" s="1314" t="n">
        <v>0</v>
      </c>
      <c r="M63" s="1314" t="n">
        <v>0</v>
      </c>
      <c r="N63" s="1314" t="n">
        <v>0</v>
      </c>
      <c r="O63" s="1252"/>
      <c r="P63" s="1314" t="n">
        <v>0</v>
      </c>
      <c r="Q63" s="1314" t="n">
        <v>0</v>
      </c>
      <c r="R63" s="1314" t="n">
        <v>0</v>
      </c>
      <c r="S63" s="1252"/>
      <c r="T63" s="1314" t="n">
        <v>0</v>
      </c>
      <c r="U63" s="1314" t="n">
        <v>0</v>
      </c>
      <c r="V63" s="1314" t="n">
        <v>0</v>
      </c>
      <c r="W63" s="1252"/>
      <c r="X63" s="1314" t="n">
        <v>0</v>
      </c>
      <c r="Y63" s="1314" t="n">
        <v>0</v>
      </c>
      <c r="Z63" s="1314" t="n">
        <v>0</v>
      </c>
      <c r="AA63" s="1252" t="n">
        <v>0</v>
      </c>
      <c r="AB63" s="1314" t="n">
        <v>0</v>
      </c>
      <c r="AC63" s="1314" t="n">
        <v>0</v>
      </c>
      <c r="AD63" s="1314" t="n">
        <v>0</v>
      </c>
      <c r="AE63" s="1252"/>
      <c r="AF63" s="1314" t="n">
        <v>0</v>
      </c>
      <c r="AG63" s="1314" t="n">
        <v>0</v>
      </c>
      <c r="AH63" s="1314" t="n">
        <v>0</v>
      </c>
      <c r="AI63" s="1252"/>
      <c r="AJ63" s="1314" t="n">
        <v>0</v>
      </c>
      <c r="AK63" s="1314" t="n">
        <v>0</v>
      </c>
      <c r="AL63" s="1314" t="n">
        <v>0</v>
      </c>
      <c r="AM63" s="1166"/>
      <c r="AN63" s="1253" t="n">
        <v>18</v>
      </c>
      <c r="AO63" s="1316" t="n">
        <v>0.35</v>
      </c>
      <c r="AP63" s="1252"/>
      <c r="AQ63" s="0"/>
      <c r="AR63" s="0"/>
      <c r="AS63" s="0"/>
      <c r="AT63" s="0" t="n">
        <v>1</v>
      </c>
      <c r="AU63" s="0" t="str">
        <f aca="false">AV63&amp;"Q"&amp;ROUNDUP(MONTH(AW63)/3,0)</f>
        <v>2004Q4</v>
      </c>
      <c r="AV63" s="0" t="n">
        <f aca="false">YEAR(AW63)</f>
        <v>2004</v>
      </c>
      <c r="AW63" s="1304" t="n">
        <f aca="false">EOMONTH(AW62,0)+1</f>
        <v>38261</v>
      </c>
      <c r="AX63" s="112" t="n">
        <f aca="false">AY63</f>
        <v>2.92690665438275</v>
      </c>
      <c r="AY63" s="1323" t="n">
        <v>2.92690665438275</v>
      </c>
      <c r="AZ63" s="112" t="n">
        <f aca="false">AY63</f>
        <v>2.92690665438275</v>
      </c>
      <c r="BA63" s="163" t="n">
        <v>1</v>
      </c>
      <c r="BB63" s="163" t="n">
        <v>1</v>
      </c>
      <c r="BC63" s="163" t="n">
        <v>1</v>
      </c>
      <c r="BD63" s="163" t="n">
        <v>0</v>
      </c>
      <c r="BE63" s="163"/>
      <c r="BF63" s="163" t="n">
        <v>0</v>
      </c>
      <c r="BG63" s="1290" t="n">
        <v>0</v>
      </c>
      <c r="BH63" s="1291"/>
      <c r="BI63" s="1292"/>
      <c r="BJ63" s="1262"/>
      <c r="BK63" s="1293" t="n">
        <v>0</v>
      </c>
      <c r="BL63" s="1294" t="n">
        <f aca="false">+AY63</f>
        <v>2.92690665438275</v>
      </c>
      <c r="BM63" s="1295" t="n">
        <f aca="false">AY63</f>
        <v>2.92690665438275</v>
      </c>
      <c r="BN63" s="1324" t="n">
        <f aca="false">+BM63/BM51-1</f>
        <v>0.0321977401056821</v>
      </c>
      <c r="BO63" s="1296" t="n">
        <v>2.4</v>
      </c>
      <c r="BQ63" s="1299" t="n">
        <f aca="false">VLOOKUP($AW63,$BU$8:$BZ$291,5,FALSE())</f>
        <v>2.87979183537649</v>
      </c>
      <c r="BR63" s="1298" t="n">
        <f aca="false">VLOOKUP($AW63,$BU$8:$BZ$291,6,FALSE())</f>
        <v>2.3457392829373</v>
      </c>
      <c r="BS63" s="1262" t="n">
        <v>0</v>
      </c>
      <c r="BU63" s="1309" t="n">
        <f aca="false">EDATE(BU62,1)</f>
        <v>37834</v>
      </c>
      <c r="BV63" s="1310" t="n">
        <v>2.3458151023193</v>
      </c>
      <c r="BW63" s="1310" t="n">
        <v>1.92582737596199</v>
      </c>
      <c r="BX63" s="1310"/>
      <c r="BY63" s="1310" t="n">
        <v>2.58996942232739</v>
      </c>
      <c r="BZ63" s="1311" t="n">
        <v>2.12626903607666</v>
      </c>
    </row>
    <row r="64" customFormat="false" ht="12.75" hidden="false" customHeight="false" outlineLevel="0" collapsed="false">
      <c r="A64" s="1246"/>
      <c r="B64" s="1312" t="n">
        <v>37257</v>
      </c>
      <c r="C64" s="1313" t="n">
        <v>55.3750438213089</v>
      </c>
      <c r="D64" s="1313"/>
      <c r="E64" s="1313"/>
      <c r="F64" s="1287"/>
      <c r="G64" s="1313"/>
      <c r="H64" s="1313"/>
      <c r="I64" s="1313"/>
      <c r="J64" s="1253"/>
      <c r="K64" s="1254" t="n">
        <v>38139</v>
      </c>
      <c r="L64" s="1314" t="n">
        <v>0</v>
      </c>
      <c r="M64" s="1314" t="n">
        <v>0</v>
      </c>
      <c r="N64" s="1314" t="n">
        <v>0</v>
      </c>
      <c r="O64" s="1252"/>
      <c r="P64" s="1314" t="n">
        <v>0</v>
      </c>
      <c r="Q64" s="1314" t="n">
        <v>0</v>
      </c>
      <c r="R64" s="1314" t="n">
        <v>0</v>
      </c>
      <c r="S64" s="1252"/>
      <c r="T64" s="1314" t="n">
        <v>0</v>
      </c>
      <c r="U64" s="1314" t="n">
        <v>0</v>
      </c>
      <c r="V64" s="1314" t="n">
        <v>0</v>
      </c>
      <c r="W64" s="1252"/>
      <c r="X64" s="1314" t="n">
        <v>0</v>
      </c>
      <c r="Y64" s="1314" t="n">
        <v>0</v>
      </c>
      <c r="Z64" s="1314" t="n">
        <v>0</v>
      </c>
      <c r="AA64" s="1252" t="n">
        <v>0</v>
      </c>
      <c r="AB64" s="1314" t="n">
        <v>0</v>
      </c>
      <c r="AC64" s="1314" t="n">
        <v>0</v>
      </c>
      <c r="AD64" s="1314" t="n">
        <v>0</v>
      </c>
      <c r="AE64" s="1252"/>
      <c r="AF64" s="1314" t="n">
        <v>0</v>
      </c>
      <c r="AG64" s="1314" t="n">
        <v>0</v>
      </c>
      <c r="AH64" s="1314" t="n">
        <v>0</v>
      </c>
      <c r="AI64" s="1252"/>
      <c r="AJ64" s="1314" t="n">
        <v>0</v>
      </c>
      <c r="AK64" s="1314" t="n">
        <v>0</v>
      </c>
      <c r="AL64" s="1314" t="n">
        <v>0</v>
      </c>
      <c r="AM64" s="1166"/>
      <c r="AN64" s="1253" t="n">
        <v>19</v>
      </c>
      <c r="AO64" s="1316" t="n">
        <v>0.35</v>
      </c>
      <c r="AP64" s="1252"/>
      <c r="AQ64" s="0"/>
      <c r="AR64" s="0"/>
      <c r="AS64" s="0"/>
      <c r="AT64" s="0" t="n">
        <v>1</v>
      </c>
      <c r="AU64" s="0" t="str">
        <f aca="false">AV64&amp;"Q"&amp;ROUNDUP(MONTH(AW64)/3,0)</f>
        <v>2004Q4</v>
      </c>
      <c r="AV64" s="0" t="n">
        <f aca="false">YEAR(AW64)</f>
        <v>2004</v>
      </c>
      <c r="AW64" s="1304" t="n">
        <f aca="false">EOMONTH(AW63,0)+1</f>
        <v>38292</v>
      </c>
      <c r="AX64" s="112" t="n">
        <f aca="false">AY64</f>
        <v>3.0497113417739</v>
      </c>
      <c r="AY64" s="1323" t="n">
        <v>3.0497113417739</v>
      </c>
      <c r="AZ64" s="112" t="n">
        <f aca="false">AY64</f>
        <v>3.0497113417739</v>
      </c>
      <c r="BA64" s="163" t="n">
        <v>1</v>
      </c>
      <c r="BB64" s="163" t="n">
        <v>1</v>
      </c>
      <c r="BC64" s="163" t="n">
        <v>1</v>
      </c>
      <c r="BD64" s="163" t="n">
        <v>0</v>
      </c>
      <c r="BE64" s="163"/>
      <c r="BF64" s="163" t="n">
        <v>0</v>
      </c>
      <c r="BG64" s="1290" t="n">
        <v>0</v>
      </c>
      <c r="BH64" s="1291"/>
      <c r="BI64" s="1292"/>
      <c r="BJ64" s="1262"/>
      <c r="BK64" s="1293" t="n">
        <v>0</v>
      </c>
      <c r="BL64" s="1294" t="n">
        <f aca="false">+AY64</f>
        <v>3.0497113417739</v>
      </c>
      <c r="BM64" s="1295" t="n">
        <f aca="false">AY64</f>
        <v>3.0497113417739</v>
      </c>
      <c r="BN64" s="1324" t="n">
        <f aca="false">+BM64/BM52-1</f>
        <v>0.0321977401056819</v>
      </c>
      <c r="BO64" s="1296" t="n">
        <v>2.4</v>
      </c>
      <c r="BQ64" s="1299" t="n">
        <f aca="false">VLOOKUP($AW64,$BU$8:$BZ$291,5,FALSE())</f>
        <v>3.0268141109669</v>
      </c>
      <c r="BR64" s="1298" t="n">
        <f aca="false">VLOOKUP($AW64,$BU$8:$BZ$291,6,FALSE())</f>
        <v>2.40771258028134</v>
      </c>
      <c r="BS64" s="1262" t="n">
        <v>0</v>
      </c>
      <c r="BU64" s="1309" t="n">
        <f aca="false">EDATE(BU63,1)</f>
        <v>37865</v>
      </c>
      <c r="BV64" s="1310" t="n">
        <v>2.42485166849559</v>
      </c>
      <c r="BW64" s="1310" t="n">
        <v>1.98008826224515</v>
      </c>
      <c r="BX64" s="1310"/>
      <c r="BY64" s="1310" t="n">
        <v>2.67723217779348</v>
      </c>
      <c r="BZ64" s="1311" t="n">
        <v>2.18617743898652</v>
      </c>
    </row>
    <row r="65" customFormat="false" ht="12.75" hidden="false" customHeight="false" outlineLevel="0" collapsed="false">
      <c r="A65" s="1246"/>
      <c r="B65" s="1312" t="n">
        <v>37288</v>
      </c>
      <c r="C65" s="1313" t="n">
        <v>48.7455859385956</v>
      </c>
      <c r="D65" s="1313"/>
      <c r="E65" s="1313"/>
      <c r="F65" s="1287"/>
      <c r="G65" s="1313"/>
      <c r="H65" s="1313"/>
      <c r="I65" s="1313"/>
      <c r="J65" s="1253"/>
      <c r="K65" s="1254" t="n">
        <v>38169</v>
      </c>
      <c r="L65" s="1314" t="n">
        <v>0</v>
      </c>
      <c r="M65" s="1314" t="n">
        <v>0</v>
      </c>
      <c r="N65" s="1314" t="n">
        <v>0</v>
      </c>
      <c r="O65" s="1252"/>
      <c r="P65" s="1314" t="n">
        <v>0</v>
      </c>
      <c r="Q65" s="1314" t="n">
        <v>0</v>
      </c>
      <c r="R65" s="1314" t="n">
        <v>0</v>
      </c>
      <c r="S65" s="1252"/>
      <c r="T65" s="1314" t="n">
        <v>0</v>
      </c>
      <c r="U65" s="1314" t="n">
        <v>0</v>
      </c>
      <c r="V65" s="1314" t="n">
        <v>0</v>
      </c>
      <c r="W65" s="1252"/>
      <c r="X65" s="1314" t="n">
        <v>0</v>
      </c>
      <c r="Y65" s="1314" t="n">
        <v>0</v>
      </c>
      <c r="Z65" s="1314" t="n">
        <v>0</v>
      </c>
      <c r="AA65" s="1252" t="n">
        <v>0</v>
      </c>
      <c r="AB65" s="1314" t="n">
        <v>0</v>
      </c>
      <c r="AC65" s="1314" t="n">
        <v>0</v>
      </c>
      <c r="AD65" s="1314" t="n">
        <v>0</v>
      </c>
      <c r="AE65" s="1252"/>
      <c r="AF65" s="1314" t="n">
        <v>0</v>
      </c>
      <c r="AG65" s="1314" t="n">
        <v>0</v>
      </c>
      <c r="AH65" s="1314" t="n">
        <v>0</v>
      </c>
      <c r="AI65" s="1252"/>
      <c r="AJ65" s="1314" t="n">
        <v>0</v>
      </c>
      <c r="AK65" s="1314" t="n">
        <v>0</v>
      </c>
      <c r="AL65" s="1314" t="n">
        <v>0</v>
      </c>
      <c r="AM65" s="1166"/>
      <c r="AN65" s="1253" t="n">
        <v>19</v>
      </c>
      <c r="AO65" s="1316" t="n">
        <v>0.35</v>
      </c>
      <c r="AP65" s="1252"/>
      <c r="AQ65" s="0"/>
      <c r="AR65" s="0"/>
      <c r="AS65" s="0"/>
      <c r="AT65" s="0" t="n">
        <v>1</v>
      </c>
      <c r="AU65" s="0" t="str">
        <f aca="false">AV65&amp;"Q"&amp;ROUNDUP(MONTH(AW65)/3,0)</f>
        <v>2004Q4</v>
      </c>
      <c r="AV65" s="0" t="n">
        <f aca="false">YEAR(AW65)</f>
        <v>2004</v>
      </c>
      <c r="AW65" s="1304" t="n">
        <f aca="false">EOMONTH(AW64,0)+1</f>
        <v>38322</v>
      </c>
      <c r="AX65" s="112" t="n">
        <f aca="false">AY65</f>
        <v>3.17943112258934</v>
      </c>
      <c r="AY65" s="1323" t="n">
        <v>3.17943112258934</v>
      </c>
      <c r="AZ65" s="112" t="n">
        <f aca="false">AY65</f>
        <v>3.17943112258934</v>
      </c>
      <c r="BA65" s="163" t="n">
        <v>1</v>
      </c>
      <c r="BB65" s="163" t="n">
        <v>1</v>
      </c>
      <c r="BC65" s="163" t="n">
        <v>1</v>
      </c>
      <c r="BD65" s="163" t="n">
        <v>0</v>
      </c>
      <c r="BE65" s="163"/>
      <c r="BF65" s="163" t="n">
        <v>0</v>
      </c>
      <c r="BG65" s="1290" t="n">
        <v>0</v>
      </c>
      <c r="BH65" s="1291"/>
      <c r="BI65" s="1292"/>
      <c r="BJ65" s="1262"/>
      <c r="BK65" s="1293" t="n">
        <v>0</v>
      </c>
      <c r="BL65" s="1294" t="n">
        <f aca="false">+AY65</f>
        <v>3.17943112258934</v>
      </c>
      <c r="BM65" s="1295" t="n">
        <f aca="false">AY65</f>
        <v>3.17943112258934</v>
      </c>
      <c r="BN65" s="1324" t="n">
        <f aca="false">+BM65/BM53-1</f>
        <v>0.0321977401056821</v>
      </c>
      <c r="BO65" s="1296" t="n">
        <v>2.4</v>
      </c>
      <c r="BQ65" s="1299" t="n">
        <f aca="false">VLOOKUP($AW65,$BU$8:$BZ$291,5,FALSE())</f>
        <v>3.09075482534725</v>
      </c>
      <c r="BR65" s="1298" t="n">
        <f aca="false">VLOOKUP($AW65,$BU$8:$BZ$291,6,FALSE())</f>
        <v>2.45819083053736</v>
      </c>
      <c r="BS65" s="1262" t="n">
        <v>0</v>
      </c>
      <c r="BU65" s="1309" t="n">
        <f aca="false">EDATE(BU64,1)</f>
        <v>37895</v>
      </c>
      <c r="BV65" s="1310" t="n">
        <v>2.52892466246686</v>
      </c>
      <c r="BW65" s="1310" t="n">
        <v>2.03738775816017</v>
      </c>
      <c r="BX65" s="1310"/>
      <c r="BY65" s="1310" t="n">
        <v>2.7921371725687</v>
      </c>
      <c r="BZ65" s="1311" t="n">
        <v>2.24944071245933</v>
      </c>
    </row>
    <row r="66" customFormat="false" ht="12.75" hidden="false" customHeight="false" outlineLevel="0" collapsed="false">
      <c r="A66" s="1246"/>
      <c r="B66" s="1312" t="n">
        <v>37316</v>
      </c>
      <c r="C66" s="1313" t="n">
        <v>44.5383694867491</v>
      </c>
      <c r="D66" s="1313"/>
      <c r="E66" s="1313"/>
      <c r="F66" s="1287"/>
      <c r="G66" s="1313"/>
      <c r="H66" s="1313"/>
      <c r="I66" s="1313"/>
      <c r="J66" s="1253"/>
      <c r="K66" s="1254" t="n">
        <v>38200</v>
      </c>
      <c r="L66" s="1314" t="n">
        <v>0</v>
      </c>
      <c r="M66" s="1314" t="n">
        <v>0</v>
      </c>
      <c r="N66" s="1314" t="n">
        <v>0</v>
      </c>
      <c r="O66" s="1252"/>
      <c r="P66" s="1314" t="n">
        <v>0</v>
      </c>
      <c r="Q66" s="1314" t="n">
        <v>0</v>
      </c>
      <c r="R66" s="1314" t="n">
        <v>0</v>
      </c>
      <c r="S66" s="1252"/>
      <c r="T66" s="1314" t="n">
        <v>0</v>
      </c>
      <c r="U66" s="1314" t="n">
        <v>0</v>
      </c>
      <c r="V66" s="1314" t="n">
        <v>0</v>
      </c>
      <c r="W66" s="1252"/>
      <c r="X66" s="1314" t="n">
        <v>0</v>
      </c>
      <c r="Y66" s="1314" t="n">
        <v>0</v>
      </c>
      <c r="Z66" s="1314" t="n">
        <v>0</v>
      </c>
      <c r="AA66" s="1252" t="n">
        <v>0</v>
      </c>
      <c r="AB66" s="1314" t="n">
        <v>0</v>
      </c>
      <c r="AC66" s="1314" t="n">
        <v>0</v>
      </c>
      <c r="AD66" s="1314" t="n">
        <v>0</v>
      </c>
      <c r="AE66" s="1252"/>
      <c r="AF66" s="1314" t="n">
        <v>0</v>
      </c>
      <c r="AG66" s="1314" t="n">
        <v>0</v>
      </c>
      <c r="AH66" s="1314" t="n">
        <v>0</v>
      </c>
      <c r="AI66" s="1252"/>
      <c r="AJ66" s="1314" t="n">
        <v>0</v>
      </c>
      <c r="AK66" s="1314" t="n">
        <v>0</v>
      </c>
      <c r="AL66" s="1314" t="n">
        <v>0</v>
      </c>
      <c r="AM66" s="1166"/>
      <c r="AN66" s="1253" t="n">
        <v>19</v>
      </c>
      <c r="AO66" s="1316" t="n">
        <v>0.35</v>
      </c>
      <c r="AP66" s="1252"/>
      <c r="AQ66" s="0"/>
      <c r="AR66" s="0"/>
      <c r="AS66" s="0"/>
      <c r="AT66" s="0" t="n">
        <v>1</v>
      </c>
      <c r="AU66" s="0" t="str">
        <f aca="false">AV66&amp;"Q"&amp;ROUNDUP(MONTH(AW66)/3,0)</f>
        <v>2005Q1</v>
      </c>
      <c r="AV66" s="0" t="n">
        <f aca="false">YEAR(AW66)</f>
        <v>2005</v>
      </c>
      <c r="AW66" s="1304" t="n">
        <f aca="false">EOMONTH(AW65,0)+1</f>
        <v>38353</v>
      </c>
      <c r="AX66" s="112" t="n">
        <f aca="false">AY66</f>
        <v>3.04617211779335</v>
      </c>
      <c r="AY66" s="1323" t="n">
        <v>3.04617211779335</v>
      </c>
      <c r="AZ66" s="112" t="n">
        <f aca="false">AY66</f>
        <v>3.04617211779335</v>
      </c>
      <c r="BA66" s="163" t="n">
        <v>1</v>
      </c>
      <c r="BB66" s="163" t="n">
        <v>1</v>
      </c>
      <c r="BC66" s="163" t="n">
        <v>1</v>
      </c>
      <c r="BD66" s="163" t="n">
        <v>0</v>
      </c>
      <c r="BE66" s="163"/>
      <c r="BF66" s="163" t="n">
        <v>0</v>
      </c>
      <c r="BG66" s="1290" t="n">
        <v>0</v>
      </c>
      <c r="BH66" s="1262"/>
      <c r="BI66" s="1292"/>
      <c r="BJ66" s="1262"/>
      <c r="BK66" s="1293" t="n">
        <v>0</v>
      </c>
      <c r="BL66" s="1294" t="n">
        <f aca="false">+AY66</f>
        <v>3.04617211779335</v>
      </c>
      <c r="BM66" s="1295" t="n">
        <f aca="false">AY66</f>
        <v>3.04617211779335</v>
      </c>
      <c r="BN66" s="1324" t="n">
        <f aca="false">+BM66/BM54-1</f>
        <v>0.029600326603116</v>
      </c>
      <c r="BO66" s="1296" t="n">
        <v>2.4</v>
      </c>
      <c r="BQ66" s="1299" t="n">
        <f aca="false">VLOOKUP($AW66,$BU$8:$BZ$291,5,FALSE())</f>
        <v>3.04349546248465</v>
      </c>
      <c r="BR66" s="1298" t="n">
        <f aca="false">VLOOKUP($AW66,$BU$8:$BZ$291,6,FALSE())</f>
        <v>2.59708509738873</v>
      </c>
      <c r="BS66" s="1262" t="n">
        <v>0</v>
      </c>
      <c r="BU66" s="1309" t="n">
        <f aca="false">EDATE(BU65,1)</f>
        <v>37926</v>
      </c>
      <c r="BV66" s="1310" t="n">
        <v>2.6580340842331</v>
      </c>
      <c r="BW66" s="1310" t="n">
        <v>2.09121455735307</v>
      </c>
      <c r="BX66" s="1310"/>
      <c r="BY66" s="1310" t="n">
        <v>2.93468440665306</v>
      </c>
      <c r="BZ66" s="1311" t="n">
        <v>2.3088698481459</v>
      </c>
    </row>
    <row r="67" customFormat="false" ht="12.75" hidden="false" customHeight="false" outlineLevel="0" collapsed="false">
      <c r="A67" s="1246"/>
      <c r="B67" s="1312" t="n">
        <v>37347</v>
      </c>
      <c r="C67" s="1313" t="n">
        <v>43.4991695564325</v>
      </c>
      <c r="D67" s="1313"/>
      <c r="E67" s="1313"/>
      <c r="F67" s="1287"/>
      <c r="G67" s="1313"/>
      <c r="H67" s="1313"/>
      <c r="I67" s="1313"/>
      <c r="J67" s="1253"/>
      <c r="K67" s="1254" t="n">
        <v>38231</v>
      </c>
      <c r="L67" s="1314" t="n">
        <v>0</v>
      </c>
      <c r="M67" s="1314" t="n">
        <v>0</v>
      </c>
      <c r="N67" s="1314" t="n">
        <v>0</v>
      </c>
      <c r="O67" s="1252"/>
      <c r="P67" s="1314" t="n">
        <v>0</v>
      </c>
      <c r="Q67" s="1314" t="n">
        <v>0</v>
      </c>
      <c r="R67" s="1314" t="n">
        <v>0</v>
      </c>
      <c r="S67" s="1252"/>
      <c r="T67" s="1314" t="n">
        <v>0</v>
      </c>
      <c r="U67" s="1314" t="n">
        <v>0</v>
      </c>
      <c r="V67" s="1314" t="n">
        <v>0</v>
      </c>
      <c r="W67" s="1252"/>
      <c r="X67" s="1314" t="n">
        <v>0</v>
      </c>
      <c r="Y67" s="1314" t="n">
        <v>0</v>
      </c>
      <c r="Z67" s="1314" t="n">
        <v>0</v>
      </c>
      <c r="AA67" s="1252" t="n">
        <v>0</v>
      </c>
      <c r="AB67" s="1314" t="n">
        <v>0</v>
      </c>
      <c r="AC67" s="1314" t="n">
        <v>0</v>
      </c>
      <c r="AD67" s="1314" t="n">
        <v>0</v>
      </c>
      <c r="AE67" s="1252"/>
      <c r="AF67" s="1314" t="n">
        <v>0</v>
      </c>
      <c r="AG67" s="1314" t="n">
        <v>0</v>
      </c>
      <c r="AH67" s="1314" t="n">
        <v>0</v>
      </c>
      <c r="AI67" s="1252"/>
      <c r="AJ67" s="1314" t="n">
        <v>0</v>
      </c>
      <c r="AK67" s="1314" t="n">
        <v>0</v>
      </c>
      <c r="AL67" s="1314" t="n">
        <v>0</v>
      </c>
      <c r="AM67" s="1166"/>
      <c r="AN67" s="1253" t="n">
        <v>20</v>
      </c>
      <c r="AO67" s="1316" t="n">
        <v>0.35</v>
      </c>
      <c r="AP67" s="1252"/>
      <c r="AQ67" s="0"/>
      <c r="AR67" s="0"/>
      <c r="AS67" s="0"/>
      <c r="AT67" s="0" t="n">
        <v>1</v>
      </c>
      <c r="AU67" s="0" t="str">
        <f aca="false">AV67&amp;"Q"&amp;ROUNDUP(MONTH(AW67)/3,0)</f>
        <v>2005Q1</v>
      </c>
      <c r="AV67" s="0" t="n">
        <f aca="false">YEAR(AW67)</f>
        <v>2005</v>
      </c>
      <c r="AW67" s="1304" t="n">
        <f aca="false">EOMONTH(AW66,0)+1</f>
        <v>38384</v>
      </c>
      <c r="AX67" s="112" t="n">
        <f aca="false">AY67</f>
        <v>2.81349706412964</v>
      </c>
      <c r="AY67" s="1323" t="n">
        <v>2.81349706412964</v>
      </c>
      <c r="AZ67" s="112" t="n">
        <f aca="false">AY67</f>
        <v>2.81349706412964</v>
      </c>
      <c r="BA67" s="163" t="n">
        <v>1</v>
      </c>
      <c r="BB67" s="163" t="n">
        <v>1</v>
      </c>
      <c r="BC67" s="163" t="n">
        <v>1</v>
      </c>
      <c r="BD67" s="163" t="n">
        <v>0</v>
      </c>
      <c r="BE67" s="163"/>
      <c r="BF67" s="163" t="n">
        <v>0</v>
      </c>
      <c r="BG67" s="1290" t="n">
        <v>0</v>
      </c>
      <c r="BH67" s="1262"/>
      <c r="BI67" s="1292"/>
      <c r="BJ67" s="1262"/>
      <c r="BK67" s="1293" t="n">
        <v>0</v>
      </c>
      <c r="BL67" s="1294" t="n">
        <f aca="false">+AY67</f>
        <v>2.81349706412964</v>
      </c>
      <c r="BM67" s="1295" t="n">
        <f aca="false">AY67</f>
        <v>2.81349706412964</v>
      </c>
      <c r="BN67" s="1324" t="n">
        <f aca="false">+BM67/BM55-1</f>
        <v>0.0296003266031155</v>
      </c>
      <c r="BO67" s="1296" t="n">
        <v>2.4</v>
      </c>
      <c r="BQ67" s="1298" t="n">
        <f aca="false">VLOOKUP($AW67,$BU$8:$BZ$291,5,FALSE())</f>
        <v>2.81384992981781</v>
      </c>
      <c r="BR67" s="1298" t="n">
        <f aca="false">VLOOKUP($AW67,$BU$8:$BZ$291,6,FALSE())</f>
        <v>2.41902883959068</v>
      </c>
      <c r="BS67" s="1262" t="n">
        <v>0</v>
      </c>
      <c r="BU67" s="1309" t="n">
        <f aca="false">EDATE(BU66,1)</f>
        <v>37956</v>
      </c>
      <c r="BV67" s="1310" t="n">
        <v>2.71418440994269</v>
      </c>
      <c r="BW67" s="1310" t="n">
        <v>2.13505735346986</v>
      </c>
      <c r="BX67" s="1310"/>
      <c r="BY67" s="1310" t="n">
        <v>2.99667890336244</v>
      </c>
      <c r="BZ67" s="1311" t="n">
        <v>2.35727583769707</v>
      </c>
    </row>
    <row r="68" customFormat="false" ht="12.75" hidden="false" customHeight="false" outlineLevel="0" collapsed="false">
      <c r="A68" s="1246"/>
      <c r="B68" s="1312" t="n">
        <v>37377</v>
      </c>
      <c r="C68" s="1313" t="n">
        <v>44.5281001121245</v>
      </c>
      <c r="D68" s="1313"/>
      <c r="E68" s="1313"/>
      <c r="F68" s="1287"/>
      <c r="G68" s="1313"/>
      <c r="H68" s="1313"/>
      <c r="I68" s="1313"/>
      <c r="J68" s="1253"/>
      <c r="K68" s="1254" t="n">
        <v>38261</v>
      </c>
      <c r="L68" s="1314" t="n">
        <v>0</v>
      </c>
      <c r="M68" s="1314" t="n">
        <v>0</v>
      </c>
      <c r="N68" s="1314" t="n">
        <v>0</v>
      </c>
      <c r="O68" s="1252"/>
      <c r="P68" s="1314" t="n">
        <v>0</v>
      </c>
      <c r="Q68" s="1314" t="n">
        <v>0</v>
      </c>
      <c r="R68" s="1314" t="n">
        <v>0</v>
      </c>
      <c r="S68" s="1252"/>
      <c r="T68" s="1314" t="n">
        <v>0</v>
      </c>
      <c r="U68" s="1314" t="n">
        <v>0</v>
      </c>
      <c r="V68" s="1314" t="n">
        <v>0</v>
      </c>
      <c r="W68" s="1252"/>
      <c r="X68" s="1314" t="n">
        <v>0</v>
      </c>
      <c r="Y68" s="1314" t="n">
        <v>0</v>
      </c>
      <c r="Z68" s="1314" t="n">
        <v>0</v>
      </c>
      <c r="AA68" s="1252" t="n">
        <v>0</v>
      </c>
      <c r="AB68" s="1314" t="n">
        <v>0</v>
      </c>
      <c r="AC68" s="1314" t="n">
        <v>0</v>
      </c>
      <c r="AD68" s="1314" t="n">
        <v>0</v>
      </c>
      <c r="AE68" s="1252"/>
      <c r="AF68" s="1314" t="n">
        <v>0</v>
      </c>
      <c r="AG68" s="1314" t="n">
        <v>0</v>
      </c>
      <c r="AH68" s="1314" t="n">
        <v>0</v>
      </c>
      <c r="AI68" s="1252"/>
      <c r="AJ68" s="1314" t="n">
        <v>0</v>
      </c>
      <c r="AK68" s="1314" t="n">
        <v>0</v>
      </c>
      <c r="AL68" s="1314" t="n">
        <v>0</v>
      </c>
      <c r="AM68" s="1166"/>
      <c r="AN68" s="1253" t="n">
        <v>20</v>
      </c>
      <c r="AO68" s="1316" t="n">
        <v>0.35</v>
      </c>
      <c r="AP68" s="1252"/>
      <c r="AQ68" s="0"/>
      <c r="AR68" s="0"/>
      <c r="AS68" s="0"/>
      <c r="AT68" s="0" t="n">
        <v>1</v>
      </c>
      <c r="AU68" s="0" t="str">
        <f aca="false">AV68&amp;"Q"&amp;ROUNDUP(MONTH(AW68)/3,0)</f>
        <v>2005Q1</v>
      </c>
      <c r="AV68" s="0" t="n">
        <f aca="false">YEAR(AW68)</f>
        <v>2005</v>
      </c>
      <c r="AW68" s="1304" t="n">
        <f aca="false">EOMONTH(AW67,0)+1</f>
        <v>38412</v>
      </c>
      <c r="AX68" s="112" t="n">
        <f aca="false">AY68</f>
        <v>2.66245885350202</v>
      </c>
      <c r="AY68" s="1323" t="n">
        <v>2.66245885350202</v>
      </c>
      <c r="AZ68" s="112" t="n">
        <f aca="false">AY68</f>
        <v>2.66245885350202</v>
      </c>
      <c r="BA68" s="163" t="n">
        <v>1</v>
      </c>
      <c r="BB68" s="163" t="n">
        <v>1</v>
      </c>
      <c r="BC68" s="163" t="n">
        <v>1</v>
      </c>
      <c r="BD68" s="163" t="n">
        <v>0</v>
      </c>
      <c r="BE68" s="163"/>
      <c r="BF68" s="163" t="n">
        <v>0</v>
      </c>
      <c r="BG68" s="1290" t="n">
        <v>0</v>
      </c>
      <c r="BH68" s="1262"/>
      <c r="BI68" s="1292"/>
      <c r="BJ68" s="1262"/>
      <c r="BK68" s="1293" t="n">
        <v>0</v>
      </c>
      <c r="BL68" s="1294" t="n">
        <f aca="false">+AY68</f>
        <v>2.66245885350202</v>
      </c>
      <c r="BM68" s="1295" t="n">
        <f aca="false">AY68</f>
        <v>2.66245885350202</v>
      </c>
      <c r="BN68" s="1324" t="n">
        <f aca="false">+BM68/BM56-1</f>
        <v>0.0295445066473707</v>
      </c>
      <c r="BO68" s="1296" t="n">
        <v>2.4</v>
      </c>
      <c r="BQ68" s="1298" t="n">
        <f aca="false">VLOOKUP($AW68,$BU$8:$BZ$291,5,FALSE())</f>
        <v>2.73030160590595</v>
      </c>
      <c r="BR68" s="1298" t="n">
        <f aca="false">VLOOKUP($AW68,$BU$8:$BZ$291,6,FALSE())</f>
        <v>2.29894438665711</v>
      </c>
      <c r="BS68" s="1262" t="n">
        <v>0</v>
      </c>
      <c r="BU68" s="1309" t="n">
        <f aca="false">EDATE(BU67,1)</f>
        <v>37987</v>
      </c>
      <c r="BV68" s="1310" t="n">
        <v>2.62197943094696</v>
      </c>
      <c r="BW68" s="1310" t="n">
        <v>2.2267387621763</v>
      </c>
      <c r="BX68" s="1310"/>
      <c r="BY68" s="1310" t="n">
        <v>2.95277469921568</v>
      </c>
      <c r="BZ68" s="1311" t="n">
        <v>2.50766951148139</v>
      </c>
    </row>
    <row r="69" customFormat="false" ht="12.75" hidden="false" customHeight="false" outlineLevel="0" collapsed="false">
      <c r="A69" s="1246"/>
      <c r="B69" s="1312" t="n">
        <v>37408</v>
      </c>
      <c r="C69" s="1313" t="n">
        <v>41.8493951481562</v>
      </c>
      <c r="D69" s="1313"/>
      <c r="E69" s="1313"/>
      <c r="F69" s="1287"/>
      <c r="G69" s="1313"/>
      <c r="H69" s="1313"/>
      <c r="I69" s="1313"/>
      <c r="J69" s="1253"/>
      <c r="K69" s="1254" t="n">
        <v>38292</v>
      </c>
      <c r="L69" s="1314" t="n">
        <v>0</v>
      </c>
      <c r="M69" s="1314" t="n">
        <v>0</v>
      </c>
      <c r="N69" s="1314" t="n">
        <v>0</v>
      </c>
      <c r="O69" s="1252"/>
      <c r="P69" s="1314" t="n">
        <v>0</v>
      </c>
      <c r="Q69" s="1314" t="n">
        <v>0</v>
      </c>
      <c r="R69" s="1314" t="n">
        <v>0</v>
      </c>
      <c r="S69" s="1252"/>
      <c r="T69" s="1314" t="n">
        <v>0</v>
      </c>
      <c r="U69" s="1314" t="n">
        <v>0</v>
      </c>
      <c r="V69" s="1314" t="n">
        <v>0</v>
      </c>
      <c r="W69" s="1252"/>
      <c r="X69" s="1314" t="n">
        <v>0</v>
      </c>
      <c r="Y69" s="1314" t="n">
        <v>0</v>
      </c>
      <c r="Z69" s="1314" t="n">
        <v>0</v>
      </c>
      <c r="AA69" s="1252" t="n">
        <v>0</v>
      </c>
      <c r="AB69" s="1314" t="n">
        <v>0</v>
      </c>
      <c r="AC69" s="1314" t="n">
        <v>0</v>
      </c>
      <c r="AD69" s="1314" t="n">
        <v>0</v>
      </c>
      <c r="AE69" s="1252"/>
      <c r="AF69" s="1314" t="n">
        <v>0</v>
      </c>
      <c r="AG69" s="1314" t="n">
        <v>0</v>
      </c>
      <c r="AH69" s="1314" t="n">
        <v>0</v>
      </c>
      <c r="AI69" s="1252"/>
      <c r="AJ69" s="1314" t="n">
        <v>0</v>
      </c>
      <c r="AK69" s="1314" t="n">
        <v>0</v>
      </c>
      <c r="AL69" s="1314" t="n">
        <v>0</v>
      </c>
      <c r="AM69" s="1166"/>
      <c r="AN69" s="1253" t="n">
        <v>20</v>
      </c>
      <c r="AO69" s="1316" t="n">
        <v>0.35</v>
      </c>
      <c r="AP69" s="1252"/>
      <c r="AQ69" s="0"/>
      <c r="AR69" s="0"/>
      <c r="AS69" s="0"/>
      <c r="AT69" s="0" t="n">
        <v>1</v>
      </c>
      <c r="AU69" s="0" t="str">
        <f aca="false">AV69&amp;"Q"&amp;ROUNDUP(MONTH(AW69)/3,0)</f>
        <v>2005Q2</v>
      </c>
      <c r="AV69" s="0" t="n">
        <f aca="false">YEAR(AW69)</f>
        <v>2005</v>
      </c>
      <c r="AW69" s="1304" t="n">
        <f aca="false">EOMONTH(AW68,0)+1</f>
        <v>38443</v>
      </c>
      <c r="AX69" s="112" t="n">
        <f aca="false">AY69</f>
        <v>2.58258318724117</v>
      </c>
      <c r="AY69" s="1323" t="n">
        <v>2.58258318724117</v>
      </c>
      <c r="AZ69" s="112" t="n">
        <f aca="false">AY69</f>
        <v>2.58258318724117</v>
      </c>
      <c r="BA69" s="163" t="n">
        <v>1</v>
      </c>
      <c r="BB69" s="163" t="n">
        <v>1</v>
      </c>
      <c r="BC69" s="163" t="n">
        <v>1</v>
      </c>
      <c r="BD69" s="163" t="n">
        <v>0</v>
      </c>
      <c r="BE69" s="163"/>
      <c r="BF69" s="163" t="n">
        <v>0</v>
      </c>
      <c r="BG69" s="1290" t="n">
        <v>0</v>
      </c>
      <c r="BH69" s="1262"/>
      <c r="BI69" s="1292"/>
      <c r="BJ69" s="1262"/>
      <c r="BK69" s="1293" t="n">
        <v>0</v>
      </c>
      <c r="BL69" s="1294" t="n">
        <f aca="false">+AY69</f>
        <v>2.58258318724117</v>
      </c>
      <c r="BM69" s="1295" t="n">
        <f aca="false">AY69</f>
        <v>2.58258318724117</v>
      </c>
      <c r="BN69" s="1324" t="n">
        <f aca="false">+BM69/BM57-1</f>
        <v>0.0295445066473705</v>
      </c>
      <c r="BO69" s="1296" t="n">
        <v>2.4</v>
      </c>
      <c r="BQ69" s="1298" t="n">
        <f aca="false">VLOOKUP($AW69,$BU$8:$BZ$291,5,FALSE())</f>
        <v>2.67613924419757</v>
      </c>
      <c r="BR69" s="1298" t="n">
        <f aca="false">VLOOKUP($AW69,$BU$8:$BZ$291,6,FALSE())</f>
        <v>2.22906765757938</v>
      </c>
      <c r="BS69" s="1262" t="n">
        <v>0</v>
      </c>
      <c r="BU69" s="1309" t="n">
        <f aca="false">EDATE(BU68,1)</f>
        <v>38018</v>
      </c>
      <c r="BV69" s="1310" t="n">
        <v>2.42413919412605</v>
      </c>
      <c r="BW69" s="1310" t="n">
        <v>2.0740734638826</v>
      </c>
      <c r="BX69" s="1310"/>
      <c r="BY69" s="1310" t="n">
        <v>2.72997445948968</v>
      </c>
      <c r="BZ69" s="1311" t="n">
        <v>2.33574358981729</v>
      </c>
    </row>
    <row r="70" customFormat="false" ht="12.75" hidden="false" customHeight="false" outlineLevel="0" collapsed="false">
      <c r="A70" s="1246"/>
      <c r="B70" s="1312" t="n">
        <v>37438</v>
      </c>
      <c r="C70" s="1313" t="n">
        <v>55.1793300495383</v>
      </c>
      <c r="D70" s="1313"/>
      <c r="E70" s="1313"/>
      <c r="F70" s="1287"/>
      <c r="G70" s="1313"/>
      <c r="H70" s="1313"/>
      <c r="I70" s="1313"/>
      <c r="J70" s="1253"/>
      <c r="K70" s="1254" t="n">
        <v>38322</v>
      </c>
      <c r="L70" s="1314" t="n">
        <v>0</v>
      </c>
      <c r="M70" s="1314" t="n">
        <v>0</v>
      </c>
      <c r="N70" s="1314" t="n">
        <v>0</v>
      </c>
      <c r="O70" s="1252"/>
      <c r="P70" s="1314" t="n">
        <v>0</v>
      </c>
      <c r="Q70" s="1314" t="n">
        <v>0</v>
      </c>
      <c r="R70" s="1314" t="n">
        <v>0</v>
      </c>
      <c r="S70" s="1252"/>
      <c r="T70" s="1314" t="n">
        <v>0</v>
      </c>
      <c r="U70" s="1314" t="n">
        <v>0</v>
      </c>
      <c r="V70" s="1314" t="n">
        <v>0</v>
      </c>
      <c r="W70" s="1252"/>
      <c r="X70" s="1314" t="n">
        <v>0</v>
      </c>
      <c r="Y70" s="1314" t="n">
        <v>0</v>
      </c>
      <c r="Z70" s="1314" t="n">
        <v>0</v>
      </c>
      <c r="AA70" s="1252" t="n">
        <v>0</v>
      </c>
      <c r="AB70" s="1314" t="n">
        <v>0</v>
      </c>
      <c r="AC70" s="1314" t="n">
        <v>0</v>
      </c>
      <c r="AD70" s="1314" t="n">
        <v>0</v>
      </c>
      <c r="AE70" s="1252"/>
      <c r="AF70" s="1314" t="n">
        <v>0</v>
      </c>
      <c r="AG70" s="1314" t="n">
        <v>0</v>
      </c>
      <c r="AH70" s="1314" t="n">
        <v>0</v>
      </c>
      <c r="AI70" s="1252"/>
      <c r="AJ70" s="1314" t="n">
        <v>0</v>
      </c>
      <c r="AK70" s="1314" t="n">
        <v>0</v>
      </c>
      <c r="AL70" s="1314" t="n">
        <v>0</v>
      </c>
      <c r="AM70" s="1166"/>
      <c r="AN70" s="1253" t="n">
        <v>21</v>
      </c>
      <c r="AO70" s="1316" t="n">
        <v>0.35</v>
      </c>
      <c r="AP70" s="1252"/>
      <c r="AQ70" s="0"/>
      <c r="AR70" s="0"/>
      <c r="AS70" s="0"/>
      <c r="AT70" s="0" t="n">
        <v>1</v>
      </c>
      <c r="AU70" s="0" t="str">
        <f aca="false">AV70&amp;"Q"&amp;ROUNDUP(MONTH(AW70)/3,0)</f>
        <v>2005Q2</v>
      </c>
      <c r="AV70" s="0" t="n">
        <f aca="false">YEAR(AW70)</f>
        <v>2005</v>
      </c>
      <c r="AW70" s="1304" t="n">
        <f aca="false">EOMONTH(AW69,0)+1</f>
        <v>38473</v>
      </c>
      <c r="AX70" s="112" t="n">
        <f aca="false">AY70</f>
        <v>2.56310614372441</v>
      </c>
      <c r="AY70" s="1323" t="n">
        <v>2.56310614372441</v>
      </c>
      <c r="AZ70" s="112" t="n">
        <f aca="false">AY70</f>
        <v>2.56310614372441</v>
      </c>
      <c r="BA70" s="163" t="n">
        <v>1</v>
      </c>
      <c r="BB70" s="163" t="n">
        <v>1</v>
      </c>
      <c r="BC70" s="163" t="n">
        <v>1</v>
      </c>
      <c r="BD70" s="163" t="n">
        <v>0</v>
      </c>
      <c r="BE70" s="163"/>
      <c r="BF70" s="163" t="n">
        <v>0</v>
      </c>
      <c r="BG70" s="1290" t="n">
        <v>0</v>
      </c>
      <c r="BH70" s="1262"/>
      <c r="BI70" s="1292"/>
      <c r="BJ70" s="1262"/>
      <c r="BK70" s="1293" t="n">
        <v>0</v>
      </c>
      <c r="BL70" s="1294" t="n">
        <f aca="false">+AY70</f>
        <v>2.56310614372441</v>
      </c>
      <c r="BM70" s="1295" t="n">
        <f aca="false">AY70</f>
        <v>2.56310614372441</v>
      </c>
      <c r="BN70" s="1324" t="n">
        <f aca="false">+BM70/BM58-1</f>
        <v>0.0295445066473707</v>
      </c>
      <c r="BO70" s="1296" t="n">
        <v>2.4</v>
      </c>
      <c r="BQ70" s="1298" t="n">
        <f aca="false">VLOOKUP($AW70,$BU$8:$BZ$291,5,FALSE())</f>
        <v>2.65136284469267</v>
      </c>
      <c r="BR70" s="1298" t="n">
        <f aca="false">VLOOKUP($AW70,$BU$8:$BZ$291,6,FALSE())</f>
        <v>2.20163457134887</v>
      </c>
      <c r="BS70" s="1262" t="n">
        <v>0</v>
      </c>
      <c r="BU70" s="1309" t="n">
        <f aca="false">EDATE(BU69,1)</f>
        <v>38047</v>
      </c>
      <c r="BV70" s="1310" t="n">
        <v>2.35216209099341</v>
      </c>
      <c r="BW70" s="1310" t="n">
        <v>1.97111314642871</v>
      </c>
      <c r="BX70" s="1310"/>
      <c r="BY70" s="1310" t="n">
        <v>2.64891655089421</v>
      </c>
      <c r="BZ70" s="1311" t="n">
        <v>2.21979354962523</v>
      </c>
    </row>
    <row r="71" customFormat="false" ht="12.75" hidden="false" customHeight="false" outlineLevel="0" collapsed="false">
      <c r="A71" s="1246"/>
      <c r="B71" s="1312" t="n">
        <v>37469</v>
      </c>
      <c r="C71" s="1313" t="n">
        <v>72.5560325975922</v>
      </c>
      <c r="D71" s="1313"/>
      <c r="E71" s="1313"/>
      <c r="F71" s="1287"/>
      <c r="G71" s="1313"/>
      <c r="H71" s="1313"/>
      <c r="I71" s="1313"/>
      <c r="J71" s="1253"/>
      <c r="K71" s="1254" t="n">
        <v>38353</v>
      </c>
      <c r="L71" s="1314" t="n">
        <v>0</v>
      </c>
      <c r="M71" s="1314" t="n">
        <v>0</v>
      </c>
      <c r="N71" s="1314" t="n">
        <v>0</v>
      </c>
      <c r="O71" s="1252"/>
      <c r="P71" s="1314" t="n">
        <v>0</v>
      </c>
      <c r="Q71" s="1314" t="n">
        <v>0</v>
      </c>
      <c r="R71" s="1314" t="n">
        <v>0</v>
      </c>
      <c r="S71" s="1252"/>
      <c r="T71" s="1314" t="n">
        <v>0</v>
      </c>
      <c r="U71" s="1314" t="n">
        <v>0</v>
      </c>
      <c r="V71" s="1314" t="n">
        <v>0</v>
      </c>
      <c r="W71" s="1252"/>
      <c r="X71" s="1314" t="n">
        <v>0</v>
      </c>
      <c r="Y71" s="1314" t="n">
        <v>0</v>
      </c>
      <c r="Z71" s="1314" t="n">
        <v>0</v>
      </c>
      <c r="AA71" s="1252" t="n">
        <v>0</v>
      </c>
      <c r="AB71" s="1314" t="n">
        <v>0</v>
      </c>
      <c r="AC71" s="1314" t="n">
        <v>0</v>
      </c>
      <c r="AD71" s="1314" t="n">
        <v>0</v>
      </c>
      <c r="AE71" s="1252"/>
      <c r="AF71" s="1314" t="n">
        <v>0</v>
      </c>
      <c r="AG71" s="1314" t="n">
        <v>0</v>
      </c>
      <c r="AH71" s="1314" t="n">
        <v>0</v>
      </c>
      <c r="AI71" s="1252"/>
      <c r="AJ71" s="1314" t="n">
        <v>0</v>
      </c>
      <c r="AK71" s="1314" t="n">
        <v>0</v>
      </c>
      <c r="AL71" s="1314" t="n">
        <v>0</v>
      </c>
      <c r="AM71" s="1166"/>
      <c r="AN71" s="1253" t="n">
        <v>21</v>
      </c>
      <c r="AO71" s="1316" t="n">
        <v>0.35</v>
      </c>
      <c r="AP71" s="1252"/>
      <c r="AQ71" s="0"/>
      <c r="AR71" s="0"/>
      <c r="AS71" s="0"/>
      <c r="AT71" s="0" t="n">
        <v>1</v>
      </c>
      <c r="AU71" s="0" t="str">
        <f aca="false">AV71&amp;"Q"&amp;ROUNDUP(MONTH(AW71)/3,0)</f>
        <v>2005Q2</v>
      </c>
      <c r="AV71" s="0" t="n">
        <f aca="false">YEAR(AW71)</f>
        <v>2005</v>
      </c>
      <c r="AW71" s="1304" t="n">
        <f aca="false">EOMONTH(AW70,0)+1</f>
        <v>38504</v>
      </c>
      <c r="AX71" s="112" t="n">
        <f aca="false">AY71</f>
        <v>2.59406698620892</v>
      </c>
      <c r="AY71" s="1323" t="n">
        <v>2.59406698620892</v>
      </c>
      <c r="AZ71" s="112" t="n">
        <f aca="false">AY71</f>
        <v>2.59406698620892</v>
      </c>
      <c r="BA71" s="163" t="n">
        <v>1</v>
      </c>
      <c r="BB71" s="163" t="n">
        <v>1</v>
      </c>
      <c r="BC71" s="163" t="n">
        <v>1</v>
      </c>
      <c r="BD71" s="163" t="n">
        <v>0</v>
      </c>
      <c r="BE71" s="163"/>
      <c r="BF71" s="163" t="n">
        <v>0</v>
      </c>
      <c r="BG71" s="1290" t="n">
        <v>0</v>
      </c>
      <c r="BH71" s="1262"/>
      <c r="BI71" s="1292"/>
      <c r="BJ71" s="1262"/>
      <c r="BK71" s="1293" t="n">
        <v>0</v>
      </c>
      <c r="BL71" s="1294" t="n">
        <f aca="false">+AY71</f>
        <v>2.59406698620892</v>
      </c>
      <c r="BM71" s="1295" t="n">
        <f aca="false">AY71</f>
        <v>2.59406698620892</v>
      </c>
      <c r="BN71" s="1324" t="n">
        <f aca="false">+BM71/BM59-1</f>
        <v>0.0295445066473707</v>
      </c>
      <c r="BO71" s="1296" t="n">
        <v>2.4</v>
      </c>
      <c r="BQ71" s="1298" t="n">
        <f aca="false">VLOOKUP($AW71,$BU$8:$BZ$291,5,FALSE())</f>
        <v>2.65597240739125</v>
      </c>
      <c r="BR71" s="1298" t="n">
        <f aca="false">VLOOKUP($AW71,$BU$8:$BZ$291,6,FALSE())</f>
        <v>2.20888104695693</v>
      </c>
      <c r="BS71" s="1262" t="n">
        <v>0</v>
      </c>
      <c r="BU71" s="1309" t="n">
        <f aca="false">EDATE(BU70,1)</f>
        <v>38078</v>
      </c>
      <c r="BV71" s="1310" t="n">
        <v>2.30550107241087</v>
      </c>
      <c r="BW71" s="1310" t="n">
        <v>1.91120089273787</v>
      </c>
      <c r="BX71" s="1310"/>
      <c r="BY71" s="1310" t="n">
        <v>2.59636866532197</v>
      </c>
      <c r="BZ71" s="1311" t="n">
        <v>2.15232262106519</v>
      </c>
    </row>
    <row r="72" customFormat="false" ht="12.75" hidden="false" customHeight="false" outlineLevel="0" collapsed="false">
      <c r="A72" s="1246"/>
      <c r="B72" s="1312" t="n">
        <v>37500</v>
      </c>
      <c r="C72" s="1313" t="n">
        <v>61.8196564035401</v>
      </c>
      <c r="D72" s="1313"/>
      <c r="E72" s="1313"/>
      <c r="F72" s="1287"/>
      <c r="G72" s="1313"/>
      <c r="H72" s="1313"/>
      <c r="I72" s="1313"/>
      <c r="J72" s="1253"/>
      <c r="K72" s="1254" t="n">
        <v>38384</v>
      </c>
      <c r="L72" s="1314" t="n">
        <v>0</v>
      </c>
      <c r="M72" s="1314" t="n">
        <v>0</v>
      </c>
      <c r="N72" s="1314" t="n">
        <v>0</v>
      </c>
      <c r="O72" s="1252"/>
      <c r="P72" s="1314" t="n">
        <v>0</v>
      </c>
      <c r="Q72" s="1314" t="n">
        <v>0</v>
      </c>
      <c r="R72" s="1314" t="n">
        <v>0</v>
      </c>
      <c r="S72" s="1252"/>
      <c r="T72" s="1314" t="n">
        <v>0</v>
      </c>
      <c r="U72" s="1314" t="n">
        <v>0</v>
      </c>
      <c r="V72" s="1314" t="n">
        <v>0</v>
      </c>
      <c r="W72" s="1252"/>
      <c r="X72" s="1314" t="n">
        <v>0</v>
      </c>
      <c r="Y72" s="1314" t="n">
        <v>0</v>
      </c>
      <c r="Z72" s="1314" t="n">
        <v>0</v>
      </c>
      <c r="AA72" s="1252" t="n">
        <v>0</v>
      </c>
      <c r="AB72" s="1314" t="n">
        <v>0</v>
      </c>
      <c r="AC72" s="1314" t="n">
        <v>0</v>
      </c>
      <c r="AD72" s="1314" t="n">
        <v>0</v>
      </c>
      <c r="AE72" s="1252"/>
      <c r="AF72" s="1314" t="n">
        <v>0</v>
      </c>
      <c r="AG72" s="1314" t="n">
        <v>0</v>
      </c>
      <c r="AH72" s="1314" t="n">
        <v>0</v>
      </c>
      <c r="AI72" s="1252"/>
      <c r="AJ72" s="1314" t="n">
        <v>0</v>
      </c>
      <c r="AK72" s="1314" t="n">
        <v>0</v>
      </c>
      <c r="AL72" s="1314" t="n">
        <v>0</v>
      </c>
      <c r="AM72" s="1166"/>
      <c r="AN72" s="1253" t="n">
        <v>21</v>
      </c>
      <c r="AO72" s="1316" t="n">
        <v>0.35</v>
      </c>
      <c r="AP72" s="1252"/>
      <c r="AQ72" s="0"/>
      <c r="AR72" s="0"/>
      <c r="AS72" s="0"/>
      <c r="AT72" s="0" t="n">
        <v>1</v>
      </c>
      <c r="AU72" s="0" t="str">
        <f aca="false">AV72&amp;"Q"&amp;ROUNDUP(MONTH(AW72)/3,0)</f>
        <v>2005Q3</v>
      </c>
      <c r="AV72" s="0" t="n">
        <f aca="false">YEAR(AW72)</f>
        <v>2005</v>
      </c>
      <c r="AW72" s="1304" t="n">
        <f aca="false">EOMONTH(AW71,0)+1</f>
        <v>38534</v>
      </c>
      <c r="AX72" s="112" t="n">
        <f aca="false">AY72</f>
        <v>2.66487487311608</v>
      </c>
      <c r="AY72" s="1323" t="n">
        <v>2.66487487311608</v>
      </c>
      <c r="AZ72" s="112" t="n">
        <f aca="false">AY72</f>
        <v>2.66487487311608</v>
      </c>
      <c r="BA72" s="163" t="n">
        <v>1</v>
      </c>
      <c r="BB72" s="163" t="n">
        <v>1</v>
      </c>
      <c r="BC72" s="163" t="n">
        <v>1</v>
      </c>
      <c r="BD72" s="163" t="n">
        <v>0</v>
      </c>
      <c r="BE72" s="163"/>
      <c r="BF72" s="163" t="n">
        <v>0</v>
      </c>
      <c r="BG72" s="1290" t="n">
        <v>0</v>
      </c>
      <c r="BH72" s="1262"/>
      <c r="BI72" s="1292"/>
      <c r="BJ72" s="1262"/>
      <c r="BK72" s="1293" t="n">
        <v>0</v>
      </c>
      <c r="BL72" s="1294" t="n">
        <f aca="false">+AY72</f>
        <v>2.66487487311608</v>
      </c>
      <c r="BM72" s="1295" t="n">
        <f aca="false">AY72</f>
        <v>2.66487487311608</v>
      </c>
      <c r="BN72" s="1324" t="n">
        <f aca="false">+BM72/BM60-1</f>
        <v>0.0295445066473705</v>
      </c>
      <c r="BO72" s="1296" t="n">
        <v>2.4</v>
      </c>
      <c r="BQ72" s="1298" t="n">
        <f aca="false">VLOOKUP($AW72,$BU$8:$BZ$291,5,FALSE())</f>
        <v>2.68996793229332</v>
      </c>
      <c r="BR72" s="1298" t="n">
        <f aca="false">VLOOKUP($AW72,$BU$8:$BZ$291,6,FALSE())</f>
        <v>2.24304300339493</v>
      </c>
      <c r="BS72" s="1262" t="n">
        <v>0</v>
      </c>
      <c r="BU72" s="1309" t="n">
        <f aca="false">EDATE(BU71,1)</f>
        <v>38108</v>
      </c>
      <c r="BV72" s="1310" t="n">
        <v>2.28415613837843</v>
      </c>
      <c r="BW72" s="1310" t="n">
        <v>1.88767978573331</v>
      </c>
      <c r="BX72" s="1310"/>
      <c r="BY72" s="1310" t="n">
        <v>2.57233080277296</v>
      </c>
      <c r="BZ72" s="1311" t="n">
        <v>2.12583403429718</v>
      </c>
    </row>
    <row r="73" customFormat="false" ht="12.75" hidden="false" customHeight="false" outlineLevel="0" collapsed="false">
      <c r="A73" s="1246"/>
      <c r="B73" s="1312" t="n">
        <v>37530</v>
      </c>
      <c r="C73" s="1313" t="n">
        <v>56.1146971271602</v>
      </c>
      <c r="D73" s="1313"/>
      <c r="E73" s="1313"/>
      <c r="F73" s="1287"/>
      <c r="G73" s="1313"/>
      <c r="H73" s="1313"/>
      <c r="I73" s="1313"/>
      <c r="J73" s="1253"/>
      <c r="K73" s="1254" t="n">
        <v>38412</v>
      </c>
      <c r="L73" s="1314" t="n">
        <v>0</v>
      </c>
      <c r="M73" s="1314" t="n">
        <v>0</v>
      </c>
      <c r="N73" s="1314" t="n">
        <v>0</v>
      </c>
      <c r="O73" s="1252"/>
      <c r="P73" s="1314" t="n">
        <v>0</v>
      </c>
      <c r="Q73" s="1314" t="n">
        <v>0</v>
      </c>
      <c r="R73" s="1314" t="n">
        <v>0</v>
      </c>
      <c r="S73" s="1252"/>
      <c r="T73" s="1314" t="n">
        <v>0</v>
      </c>
      <c r="U73" s="1314" t="n">
        <v>0</v>
      </c>
      <c r="V73" s="1314" t="n">
        <v>0</v>
      </c>
      <c r="W73" s="1252"/>
      <c r="X73" s="1314" t="n">
        <v>0</v>
      </c>
      <c r="Y73" s="1314" t="n">
        <v>0</v>
      </c>
      <c r="Z73" s="1314" t="n">
        <v>0</v>
      </c>
      <c r="AA73" s="1252" t="n">
        <v>0</v>
      </c>
      <c r="AB73" s="1314" t="n">
        <v>0</v>
      </c>
      <c r="AC73" s="1314" t="n">
        <v>0</v>
      </c>
      <c r="AD73" s="1314" t="n">
        <v>0</v>
      </c>
      <c r="AE73" s="1252"/>
      <c r="AF73" s="1314" t="n">
        <v>0</v>
      </c>
      <c r="AG73" s="1314" t="n">
        <v>0</v>
      </c>
      <c r="AH73" s="1314" t="n">
        <v>0</v>
      </c>
      <c r="AI73" s="1252"/>
      <c r="AJ73" s="1314" t="n">
        <v>0</v>
      </c>
      <c r="AK73" s="1314" t="n">
        <v>0</v>
      </c>
      <c r="AL73" s="1314" t="n">
        <v>0</v>
      </c>
      <c r="AM73" s="1166"/>
      <c r="AN73" s="1253" t="n">
        <v>22</v>
      </c>
      <c r="AO73" s="1316" t="n">
        <v>0.35</v>
      </c>
      <c r="AP73" s="1252"/>
      <c r="AQ73" s="0"/>
      <c r="AR73" s="0"/>
      <c r="AS73" s="0"/>
      <c r="AT73" s="0" t="n">
        <v>1</v>
      </c>
      <c r="AU73" s="0" t="str">
        <f aca="false">AV73&amp;"Q"&amp;ROUNDUP(MONTH(AW73)/3,0)</f>
        <v>2005Q3</v>
      </c>
      <c r="AV73" s="0" t="n">
        <f aca="false">YEAR(AW73)</f>
        <v>2005</v>
      </c>
      <c r="AW73" s="1304" t="n">
        <f aca="false">EOMONTH(AW72,0)+1</f>
        <v>38565</v>
      </c>
      <c r="AX73" s="112" t="n">
        <f aca="false">AY73</f>
        <v>2.7654367785003</v>
      </c>
      <c r="AY73" s="1323" t="n">
        <v>2.7654367785003</v>
      </c>
      <c r="AZ73" s="112" t="n">
        <f aca="false">AY73</f>
        <v>2.7654367785003</v>
      </c>
      <c r="BA73" s="163" t="n">
        <v>1</v>
      </c>
      <c r="BB73" s="163" t="n">
        <v>1</v>
      </c>
      <c r="BC73" s="163" t="n">
        <v>1</v>
      </c>
      <c r="BD73" s="163" t="n">
        <v>0</v>
      </c>
      <c r="BE73" s="163"/>
      <c r="BF73" s="163" t="n">
        <v>0</v>
      </c>
      <c r="BG73" s="1290" t="n">
        <v>0</v>
      </c>
      <c r="BH73" s="1262"/>
      <c r="BI73" s="1292"/>
      <c r="BJ73" s="1262"/>
      <c r="BK73" s="1293" t="n">
        <v>0</v>
      </c>
      <c r="BL73" s="1294" t="n">
        <f aca="false">+AY73</f>
        <v>2.7654367785003</v>
      </c>
      <c r="BM73" s="1295" t="n">
        <f aca="false">AY73</f>
        <v>2.7654367785003</v>
      </c>
      <c r="BN73" s="1324" t="n">
        <f aca="false">+BM73/BM61-1</f>
        <v>0.0295445066473707</v>
      </c>
      <c r="BO73" s="1296" t="n">
        <v>2.4</v>
      </c>
      <c r="BQ73" s="1298" t="n">
        <f aca="false">VLOOKUP($AW73,$BU$8:$BZ$291,5,FALSE())</f>
        <v>2.75334941939887</v>
      </c>
      <c r="BR73" s="1298" t="n">
        <f aca="false">VLOOKUP($AW73,$BU$8:$BZ$291,6,FALSE())</f>
        <v>2.29635635965423</v>
      </c>
      <c r="BS73" s="1262" t="n">
        <v>0</v>
      </c>
      <c r="BU73" s="1309" t="n">
        <f aca="false">EDATE(BU72,1)</f>
        <v>38139</v>
      </c>
      <c r="BV73" s="1310" t="n">
        <v>2.28812728889609</v>
      </c>
      <c r="BW73" s="1310" t="n">
        <v>1.89389290833829</v>
      </c>
      <c r="BX73" s="1310"/>
      <c r="BY73" s="1310" t="n">
        <v>2.5768029632472</v>
      </c>
      <c r="BZ73" s="1311" t="n">
        <v>2.13283101948118</v>
      </c>
    </row>
    <row r="74" customFormat="false" ht="12.75" hidden="false" customHeight="false" outlineLevel="0" collapsed="false">
      <c r="A74" s="1246"/>
      <c r="B74" s="1312" t="n">
        <v>37561</v>
      </c>
      <c r="C74" s="1313" t="n">
        <v>47.8087118842383</v>
      </c>
      <c r="D74" s="1313"/>
      <c r="E74" s="1313"/>
      <c r="F74" s="1287"/>
      <c r="G74" s="1313"/>
      <c r="H74" s="1313"/>
      <c r="I74" s="1313"/>
      <c r="J74" s="1253"/>
      <c r="K74" s="1254" t="n">
        <v>38443</v>
      </c>
      <c r="L74" s="1314" t="n">
        <v>0</v>
      </c>
      <c r="M74" s="1314" t="n">
        <v>0</v>
      </c>
      <c r="N74" s="1314" t="n">
        <v>0</v>
      </c>
      <c r="O74" s="1252"/>
      <c r="P74" s="1314" t="n">
        <v>0</v>
      </c>
      <c r="Q74" s="1314" t="n">
        <v>0</v>
      </c>
      <c r="R74" s="1314" t="n">
        <v>0</v>
      </c>
      <c r="S74" s="1252"/>
      <c r="T74" s="1314" t="n">
        <v>0</v>
      </c>
      <c r="U74" s="1314" t="n">
        <v>0</v>
      </c>
      <c r="V74" s="1314" t="n">
        <v>0</v>
      </c>
      <c r="W74" s="1252"/>
      <c r="X74" s="1314" t="n">
        <v>0</v>
      </c>
      <c r="Y74" s="1314" t="n">
        <v>0</v>
      </c>
      <c r="Z74" s="1314" t="n">
        <v>0</v>
      </c>
      <c r="AA74" s="1252" t="n">
        <v>0</v>
      </c>
      <c r="AB74" s="1314" t="n">
        <v>0</v>
      </c>
      <c r="AC74" s="1314" t="n">
        <v>0</v>
      </c>
      <c r="AD74" s="1314" t="n">
        <v>0</v>
      </c>
      <c r="AE74" s="1252"/>
      <c r="AF74" s="1314" t="n">
        <v>0</v>
      </c>
      <c r="AG74" s="1314" t="n">
        <v>0</v>
      </c>
      <c r="AH74" s="1314" t="n">
        <v>0</v>
      </c>
      <c r="AI74" s="1252"/>
      <c r="AJ74" s="1314" t="n">
        <v>0</v>
      </c>
      <c r="AK74" s="1314" t="n">
        <v>0</v>
      </c>
      <c r="AL74" s="1314" t="n">
        <v>0</v>
      </c>
      <c r="AM74" s="1166"/>
      <c r="AN74" s="1253" t="n">
        <v>22</v>
      </c>
      <c r="AO74" s="1316" t="n">
        <v>0.35</v>
      </c>
      <c r="AP74" s="1252"/>
      <c r="AQ74" s="0"/>
      <c r="AR74" s="0"/>
      <c r="AS74" s="0"/>
      <c r="AT74" s="0" t="n">
        <v>1</v>
      </c>
      <c r="AU74" s="0" t="str">
        <f aca="false">AV74&amp;"Q"&amp;ROUNDUP(MONTH(AW74)/3,0)</f>
        <v>2005Q3</v>
      </c>
      <c r="AV74" s="0" t="n">
        <f aca="false">YEAR(AW74)</f>
        <v>2005</v>
      </c>
      <c r="AW74" s="1304" t="n">
        <f aca="false">EOMONTH(AW73,0)+1</f>
        <v>38596</v>
      </c>
      <c r="AX74" s="112" t="n">
        <f aca="false">AY74</f>
        <v>2.88516559123626</v>
      </c>
      <c r="AY74" s="1323" t="n">
        <v>2.88516559123626</v>
      </c>
      <c r="AZ74" s="112" t="n">
        <f aca="false">AY74</f>
        <v>2.88516559123626</v>
      </c>
      <c r="BA74" s="163" t="n">
        <v>1</v>
      </c>
      <c r="BB74" s="163" t="n">
        <v>1</v>
      </c>
      <c r="BC74" s="163" t="n">
        <v>1</v>
      </c>
      <c r="BD74" s="163" t="n">
        <v>0</v>
      </c>
      <c r="BE74" s="163"/>
      <c r="BF74" s="163" t="n">
        <v>0</v>
      </c>
      <c r="BG74" s="1290" t="n">
        <v>0</v>
      </c>
      <c r="BH74" s="1262"/>
      <c r="BI74" s="1292"/>
      <c r="BJ74" s="1262"/>
      <c r="BK74" s="1293" t="n">
        <v>0</v>
      </c>
      <c r="BL74" s="1294" t="n">
        <f aca="false">+AY74</f>
        <v>2.88516559123626</v>
      </c>
      <c r="BM74" s="1295" t="n">
        <f aca="false">AY74</f>
        <v>2.88516559123626</v>
      </c>
      <c r="BN74" s="1324" t="n">
        <f aca="false">+BM74/BM62-1</f>
        <v>0.0295445066473707</v>
      </c>
      <c r="BO74" s="1296" t="n">
        <v>2.4</v>
      </c>
      <c r="BQ74" s="1298" t="n">
        <f aca="false">VLOOKUP($AW74,$BU$8:$BZ$291,5,FALSE())</f>
        <v>2.84611686870791</v>
      </c>
      <c r="BR74" s="1298" t="n">
        <f aca="false">VLOOKUP($AW74,$BU$8:$BZ$291,6,FALSE())</f>
        <v>2.3610570347262</v>
      </c>
      <c r="BS74" s="1262" t="n">
        <v>0</v>
      </c>
      <c r="BU74" s="1309" t="n">
        <f aca="false">EDATE(BU73,1)</f>
        <v>38169</v>
      </c>
      <c r="BV74" s="1310" t="n">
        <v>2.31741452396386</v>
      </c>
      <c r="BW74" s="1310" t="n">
        <v>1.92318334347604</v>
      </c>
      <c r="BX74" s="1310"/>
      <c r="BY74" s="1310" t="n">
        <v>2.60978514674467</v>
      </c>
      <c r="BZ74" s="1311" t="n">
        <v>2.1658168067772</v>
      </c>
    </row>
    <row r="75" customFormat="false" ht="12.75" hidden="false" customHeight="false" outlineLevel="0" collapsed="false">
      <c r="A75" s="1246"/>
      <c r="B75" s="1312" t="n">
        <v>37591</v>
      </c>
      <c r="C75" s="1313" t="n">
        <v>46.5557185989137</v>
      </c>
      <c r="D75" s="1313"/>
      <c r="E75" s="1313"/>
      <c r="F75" s="1287"/>
      <c r="G75" s="1313"/>
      <c r="H75" s="1313"/>
      <c r="I75" s="1313"/>
      <c r="J75" s="1253"/>
      <c r="K75" s="1254" t="n">
        <v>38473</v>
      </c>
      <c r="L75" s="1314" t="n">
        <v>0</v>
      </c>
      <c r="M75" s="1314" t="n">
        <v>0</v>
      </c>
      <c r="N75" s="1314" t="n">
        <v>0</v>
      </c>
      <c r="O75" s="1252"/>
      <c r="P75" s="1314" t="n">
        <v>0</v>
      </c>
      <c r="Q75" s="1314" t="n">
        <v>0</v>
      </c>
      <c r="R75" s="1314" t="n">
        <v>0</v>
      </c>
      <c r="S75" s="1252"/>
      <c r="T75" s="1314" t="n">
        <v>0</v>
      </c>
      <c r="U75" s="1314" t="n">
        <v>0</v>
      </c>
      <c r="V75" s="1314" t="n">
        <v>0</v>
      </c>
      <c r="W75" s="1252"/>
      <c r="X75" s="1314" t="n">
        <v>0</v>
      </c>
      <c r="Y75" s="1314" t="n">
        <v>0</v>
      </c>
      <c r="Z75" s="1314" t="n">
        <v>0</v>
      </c>
      <c r="AA75" s="1252" t="n">
        <v>0</v>
      </c>
      <c r="AB75" s="1314" t="n">
        <v>0</v>
      </c>
      <c r="AC75" s="1314" t="n">
        <v>0</v>
      </c>
      <c r="AD75" s="1314" t="n">
        <v>0</v>
      </c>
      <c r="AE75" s="1252"/>
      <c r="AF75" s="1314" t="n">
        <v>0</v>
      </c>
      <c r="AG75" s="1314" t="n">
        <v>0</v>
      </c>
      <c r="AH75" s="1314" t="n">
        <v>0</v>
      </c>
      <c r="AI75" s="1252"/>
      <c r="AJ75" s="1314" t="n">
        <v>0</v>
      </c>
      <c r="AK75" s="1314" t="n">
        <v>0</v>
      </c>
      <c r="AL75" s="1314" t="n">
        <v>0</v>
      </c>
      <c r="AM75" s="1166"/>
      <c r="AN75" s="1253" t="n">
        <v>22</v>
      </c>
      <c r="AO75" s="1316" t="n">
        <v>0.35</v>
      </c>
      <c r="AP75" s="1252"/>
      <c r="AQ75" s="0"/>
      <c r="AR75" s="0"/>
      <c r="AS75" s="0"/>
      <c r="AT75" s="0" t="n">
        <v>1</v>
      </c>
      <c r="AU75" s="0" t="str">
        <f aca="false">AV75&amp;"Q"&amp;ROUNDUP(MONTH(AW75)/3,0)</f>
        <v>2005Q4</v>
      </c>
      <c r="AV75" s="0" t="n">
        <f aca="false">YEAR(AW75)</f>
        <v>2005</v>
      </c>
      <c r="AW75" s="1304" t="n">
        <f aca="false">EOMONTH(AW74,0)+1</f>
        <v>38626</v>
      </c>
      <c r="AX75" s="112" t="n">
        <f aca="false">AY75</f>
        <v>3.01338066748939</v>
      </c>
      <c r="AY75" s="1323" t="n">
        <v>3.01338066748939</v>
      </c>
      <c r="AZ75" s="112" t="n">
        <f aca="false">AY75</f>
        <v>3.01338066748939</v>
      </c>
      <c r="BA75" s="163" t="n">
        <v>1</v>
      </c>
      <c r="BB75" s="163" t="n">
        <v>1</v>
      </c>
      <c r="BC75" s="163" t="n">
        <v>1</v>
      </c>
      <c r="BD75" s="163" t="n">
        <v>0</v>
      </c>
      <c r="BE75" s="163"/>
      <c r="BF75" s="163" t="n">
        <v>0</v>
      </c>
      <c r="BG75" s="1290" t="n">
        <v>0</v>
      </c>
      <c r="BH75" s="1262"/>
      <c r="BI75" s="1292"/>
      <c r="BJ75" s="1262"/>
      <c r="BK75" s="1293" t="n">
        <v>0</v>
      </c>
      <c r="BL75" s="1294" t="n">
        <f aca="false">+AY75</f>
        <v>3.01338066748939</v>
      </c>
      <c r="BM75" s="1295" t="n">
        <f aca="false">AY75</f>
        <v>3.01338066748939</v>
      </c>
      <c r="BN75" s="1324" t="n">
        <f aca="false">+BM75/BM63-1</f>
        <v>0.0295445066473707</v>
      </c>
      <c r="BO75" s="1296" t="n">
        <v>2.4</v>
      </c>
      <c r="BQ75" s="1298" t="n">
        <f aca="false">VLOOKUP($AW75,$BU$8:$BZ$291,5,FALSE())</f>
        <v>2.96827028022043</v>
      </c>
      <c r="BR75" s="1298" t="n">
        <f aca="false">VLOOKUP($AW75,$BU$8:$BZ$291,6,FALSE())</f>
        <v>2.42938094760219</v>
      </c>
      <c r="BS75" s="1262" t="n">
        <v>0</v>
      </c>
      <c r="BU75" s="1309" t="n">
        <f aca="false">EDATE(BU74,1)</f>
        <v>38200</v>
      </c>
      <c r="BV75" s="1310" t="n">
        <v>2.37201784358172</v>
      </c>
      <c r="BW75" s="1310" t="n">
        <v>1.96889417406979</v>
      </c>
      <c r="BX75" s="1310"/>
      <c r="BY75" s="1310" t="n">
        <v>2.67127735326537</v>
      </c>
      <c r="BZ75" s="1311" t="n">
        <v>2.21729462634523</v>
      </c>
    </row>
    <row r="76" customFormat="false" ht="12.75" hidden="false" customHeight="false" outlineLevel="0" collapsed="false">
      <c r="A76" s="1246"/>
      <c r="B76" s="1312" t="n">
        <v>37622</v>
      </c>
      <c r="C76" s="1313" t="n">
        <v>43.7684692627969</v>
      </c>
      <c r="D76" s="1313"/>
      <c r="E76" s="1313"/>
      <c r="F76" s="1287"/>
      <c r="G76" s="1313"/>
      <c r="H76" s="1313"/>
      <c r="I76" s="1313"/>
      <c r="J76" s="1253"/>
      <c r="K76" s="1254" t="n">
        <v>38504</v>
      </c>
      <c r="L76" s="1314" t="n">
        <v>0</v>
      </c>
      <c r="M76" s="1314" t="n">
        <v>0</v>
      </c>
      <c r="N76" s="1314" t="n">
        <v>0</v>
      </c>
      <c r="O76" s="1252"/>
      <c r="P76" s="1314" t="n">
        <v>0</v>
      </c>
      <c r="Q76" s="1314" t="n">
        <v>0</v>
      </c>
      <c r="R76" s="1314" t="n">
        <v>0</v>
      </c>
      <c r="S76" s="1252"/>
      <c r="T76" s="1314" t="n">
        <v>0</v>
      </c>
      <c r="U76" s="1314" t="n">
        <v>0</v>
      </c>
      <c r="V76" s="1314" t="n">
        <v>0</v>
      </c>
      <c r="W76" s="1252"/>
      <c r="X76" s="1314" t="n">
        <v>0</v>
      </c>
      <c r="Y76" s="1314" t="n">
        <v>0</v>
      </c>
      <c r="Z76" s="1314" t="n">
        <v>0</v>
      </c>
      <c r="AA76" s="1252" t="n">
        <v>0</v>
      </c>
      <c r="AB76" s="1314" t="n">
        <v>0</v>
      </c>
      <c r="AC76" s="1314" t="n">
        <v>0</v>
      </c>
      <c r="AD76" s="1314" t="n">
        <v>0</v>
      </c>
      <c r="AE76" s="1252"/>
      <c r="AF76" s="1314" t="n">
        <v>0</v>
      </c>
      <c r="AG76" s="1314" t="n">
        <v>0</v>
      </c>
      <c r="AH76" s="1314" t="n">
        <v>0</v>
      </c>
      <c r="AI76" s="1252"/>
      <c r="AJ76" s="1314" t="n">
        <v>0</v>
      </c>
      <c r="AK76" s="1314" t="n">
        <v>0</v>
      </c>
      <c r="AL76" s="1314" t="n">
        <v>0</v>
      </c>
      <c r="AM76" s="1166"/>
      <c r="AN76" s="1253" t="n">
        <v>23</v>
      </c>
      <c r="AO76" s="1316" t="n">
        <v>0.35</v>
      </c>
      <c r="AP76" s="1252"/>
      <c r="AQ76" s="0"/>
      <c r="AR76" s="0"/>
      <c r="AS76" s="0"/>
      <c r="AT76" s="0" t="n">
        <v>1</v>
      </c>
      <c r="AU76" s="0" t="str">
        <f aca="false">AV76&amp;"Q"&amp;ROUNDUP(MONTH(AW76)/3,0)</f>
        <v>2005Q4</v>
      </c>
      <c r="AV76" s="0" t="n">
        <f aca="false">YEAR(AW76)</f>
        <v>2005</v>
      </c>
      <c r="AW76" s="1304" t="n">
        <f aca="false">EOMONTH(AW75,0)+1</f>
        <v>38657</v>
      </c>
      <c r="AX76" s="112" t="n">
        <f aca="false">AY76</f>
        <v>3.1398135587835</v>
      </c>
      <c r="AY76" s="1323" t="n">
        <v>3.1398135587835</v>
      </c>
      <c r="AZ76" s="112" t="n">
        <f aca="false">AY76</f>
        <v>3.1398135587835</v>
      </c>
      <c r="BA76" s="163" t="n">
        <v>1</v>
      </c>
      <c r="BB76" s="163" t="n">
        <v>1</v>
      </c>
      <c r="BC76" s="163" t="n">
        <v>1</v>
      </c>
      <c r="BD76" s="163" t="n">
        <v>0</v>
      </c>
      <c r="BE76" s="163"/>
      <c r="BF76" s="163" t="n">
        <v>0</v>
      </c>
      <c r="BG76" s="1290" t="n">
        <v>0</v>
      </c>
      <c r="BH76" s="1262"/>
      <c r="BI76" s="1292"/>
      <c r="BJ76" s="1262"/>
      <c r="BK76" s="1293" t="n">
        <v>0</v>
      </c>
      <c r="BL76" s="1294" t="n">
        <f aca="false">+AY76</f>
        <v>3.1398135587835</v>
      </c>
      <c r="BM76" s="1295" t="n">
        <f aca="false">AY76</f>
        <v>3.1398135587835</v>
      </c>
      <c r="BN76" s="1324" t="n">
        <f aca="false">+BM76/BM64-1</f>
        <v>0.0295445066473705</v>
      </c>
      <c r="BO76" s="1296" t="n">
        <v>2.4</v>
      </c>
      <c r="BQ76" s="1298" t="n">
        <f aca="false">VLOOKUP($AW76,$BU$8:$BZ$291,5,FALSE())</f>
        <v>3.11980965393643</v>
      </c>
      <c r="BR76" s="1298" t="n">
        <f aca="false">VLOOKUP($AW76,$BU$8:$BZ$291,6,FALSE())</f>
        <v>2.49356401727358</v>
      </c>
      <c r="BS76" s="1262" t="n">
        <v>0</v>
      </c>
      <c r="BU76" s="1309" t="n">
        <f aca="false">EDATE(BU75,1)</f>
        <v>38231</v>
      </c>
      <c r="BV76" s="1310" t="n">
        <v>2.4519372477497</v>
      </c>
      <c r="BW76" s="1310" t="n">
        <v>2.02436848304279</v>
      </c>
      <c r="BX76" s="1310"/>
      <c r="BY76" s="1310" t="n">
        <v>2.76127958280931</v>
      </c>
      <c r="BZ76" s="1311" t="n">
        <v>2.27976770834526</v>
      </c>
    </row>
    <row r="77" customFormat="false" ht="12.75" hidden="false" customHeight="false" outlineLevel="0" collapsed="false">
      <c r="A77" s="1246"/>
      <c r="B77" s="1312" t="n">
        <v>37653</v>
      </c>
      <c r="C77" s="1313" t="n">
        <v>36.9690332469527</v>
      </c>
      <c r="D77" s="1313"/>
      <c r="E77" s="1313"/>
      <c r="F77" s="1287"/>
      <c r="G77" s="1313"/>
      <c r="H77" s="1313"/>
      <c r="I77" s="1313"/>
      <c r="J77" s="1253"/>
      <c r="K77" s="1254" t="n">
        <v>38534</v>
      </c>
      <c r="L77" s="1314" t="n">
        <v>0</v>
      </c>
      <c r="M77" s="1314" t="n">
        <v>0</v>
      </c>
      <c r="N77" s="1314" t="n">
        <v>0</v>
      </c>
      <c r="O77" s="1252"/>
      <c r="P77" s="1314" t="n">
        <v>0</v>
      </c>
      <c r="Q77" s="1314" t="n">
        <v>0</v>
      </c>
      <c r="R77" s="1314" t="n">
        <v>0</v>
      </c>
      <c r="S77" s="1252"/>
      <c r="T77" s="1314" t="n">
        <v>0</v>
      </c>
      <c r="U77" s="1314" t="n">
        <v>0</v>
      </c>
      <c r="V77" s="1314" t="n">
        <v>0</v>
      </c>
      <c r="W77" s="1252"/>
      <c r="X77" s="1314" t="n">
        <v>0</v>
      </c>
      <c r="Y77" s="1314" t="n">
        <v>0</v>
      </c>
      <c r="Z77" s="1314" t="n">
        <v>0</v>
      </c>
      <c r="AA77" s="1252" t="n">
        <v>0</v>
      </c>
      <c r="AB77" s="1314" t="n">
        <v>0</v>
      </c>
      <c r="AC77" s="1314" t="n">
        <v>0</v>
      </c>
      <c r="AD77" s="1314" t="n">
        <v>0</v>
      </c>
      <c r="AE77" s="1252"/>
      <c r="AF77" s="1314" t="n">
        <v>0</v>
      </c>
      <c r="AG77" s="1314" t="n">
        <v>0</v>
      </c>
      <c r="AH77" s="1314" t="n">
        <v>0</v>
      </c>
      <c r="AI77" s="1252"/>
      <c r="AJ77" s="1314" t="n">
        <v>0</v>
      </c>
      <c r="AK77" s="1314" t="n">
        <v>0</v>
      </c>
      <c r="AL77" s="1314" t="n">
        <v>0</v>
      </c>
      <c r="AM77" s="1166"/>
      <c r="AN77" s="1253" t="n">
        <v>23</v>
      </c>
      <c r="AO77" s="1316" t="n">
        <v>0.35</v>
      </c>
      <c r="AP77" s="1252"/>
      <c r="AQ77" s="0"/>
      <c r="AR77" s="0"/>
      <c r="AS77" s="0"/>
      <c r="AT77" s="0" t="n">
        <v>1</v>
      </c>
      <c r="AU77" s="0" t="str">
        <f aca="false">AV77&amp;"Q"&amp;ROUNDUP(MONTH(AW77)/3,0)</f>
        <v>2005Q4</v>
      </c>
      <c r="AV77" s="0" t="n">
        <f aca="false">YEAR(AW77)</f>
        <v>2005</v>
      </c>
      <c r="AW77" s="1304" t="n">
        <f aca="false">EOMONTH(AW76,0)+1</f>
        <v>38687</v>
      </c>
      <c r="AX77" s="112" t="n">
        <f aca="false">AY77</f>
        <v>3.27336584652554</v>
      </c>
      <c r="AY77" s="1323" t="n">
        <v>3.27336584652554</v>
      </c>
      <c r="AZ77" s="112" t="n">
        <f aca="false">AY77</f>
        <v>3.27336584652554</v>
      </c>
      <c r="BA77" s="163" t="n">
        <v>1</v>
      </c>
      <c r="BB77" s="163" t="n">
        <v>1</v>
      </c>
      <c r="BC77" s="163" t="n">
        <v>1</v>
      </c>
      <c r="BD77" s="163" t="n">
        <v>0</v>
      </c>
      <c r="BE77" s="163"/>
      <c r="BF77" s="163" t="n">
        <v>0</v>
      </c>
      <c r="BG77" s="1290" t="n">
        <v>0</v>
      </c>
      <c r="BH77" s="1262"/>
      <c r="BI77" s="1292"/>
      <c r="BJ77" s="1262"/>
      <c r="BK77" s="1293" t="n">
        <v>0</v>
      </c>
      <c r="BL77" s="1294" t="n">
        <f aca="false">+AY77</f>
        <v>3.27336584652554</v>
      </c>
      <c r="BM77" s="1295" t="n">
        <f aca="false">AY77</f>
        <v>3.27336584652554</v>
      </c>
      <c r="BN77" s="1324" t="n">
        <f aca="false">+BM77/BM65-1</f>
        <v>0.0295445066473705</v>
      </c>
      <c r="BO77" s="1296" t="n">
        <v>2.4</v>
      </c>
      <c r="BQ77" s="1298" t="n">
        <f aca="false">VLOOKUP($AW77,$BU$8:$BZ$291,5,FALSE())</f>
        <v>3.18571487661945</v>
      </c>
      <c r="BR77" s="1298" t="n">
        <f aca="false">VLOOKUP($AW77,$BU$8:$BZ$291,6,FALSE())</f>
        <v>2.54584216273173</v>
      </c>
      <c r="BS77" s="1262" t="n">
        <v>0</v>
      </c>
      <c r="BU77" s="1309" t="n">
        <f aca="false">EDATE(BU76,1)</f>
        <v>38261</v>
      </c>
      <c r="BV77" s="1310" t="n">
        <v>2.55717273646777</v>
      </c>
      <c r="BW77" s="1310" t="n">
        <v>2.08294935331828</v>
      </c>
      <c r="BX77" s="1310"/>
      <c r="BY77" s="1310" t="n">
        <v>2.87979183537649</v>
      </c>
      <c r="BZ77" s="1311" t="n">
        <v>2.3457392829373</v>
      </c>
    </row>
    <row r="78" customFormat="false" ht="12.75" hidden="false" customHeight="false" outlineLevel="0" collapsed="false">
      <c r="A78" s="1246"/>
      <c r="B78" s="1312" t="n">
        <v>37681</v>
      </c>
      <c r="C78" s="1313" t="n">
        <v>33.1775585915318</v>
      </c>
      <c r="D78" s="1313"/>
      <c r="E78" s="1313"/>
      <c r="F78" s="1287"/>
      <c r="G78" s="1313"/>
      <c r="H78" s="1313"/>
      <c r="I78" s="1313"/>
      <c r="J78" s="1253"/>
      <c r="K78" s="1254" t="n">
        <v>38565</v>
      </c>
      <c r="L78" s="1314" t="n">
        <v>0</v>
      </c>
      <c r="M78" s="1314" t="n">
        <v>0</v>
      </c>
      <c r="N78" s="1314" t="n">
        <v>0</v>
      </c>
      <c r="O78" s="1252"/>
      <c r="P78" s="1314" t="n">
        <v>0</v>
      </c>
      <c r="Q78" s="1314" t="n">
        <v>0</v>
      </c>
      <c r="R78" s="1314" t="n">
        <v>0</v>
      </c>
      <c r="S78" s="1252"/>
      <c r="T78" s="1314" t="n">
        <v>0</v>
      </c>
      <c r="U78" s="1314" t="n">
        <v>0</v>
      </c>
      <c r="V78" s="1314" t="n">
        <v>0</v>
      </c>
      <c r="W78" s="1252"/>
      <c r="X78" s="1314" t="n">
        <v>0</v>
      </c>
      <c r="Y78" s="1314" t="n">
        <v>0</v>
      </c>
      <c r="Z78" s="1314" t="n">
        <v>0</v>
      </c>
      <c r="AA78" s="1252" t="n">
        <v>0</v>
      </c>
      <c r="AB78" s="1314" t="n">
        <v>0</v>
      </c>
      <c r="AC78" s="1314" t="n">
        <v>0</v>
      </c>
      <c r="AD78" s="1314" t="n">
        <v>0</v>
      </c>
      <c r="AE78" s="1252"/>
      <c r="AF78" s="1314" t="n">
        <v>0</v>
      </c>
      <c r="AG78" s="1314" t="n">
        <v>0</v>
      </c>
      <c r="AH78" s="1314" t="n">
        <v>0</v>
      </c>
      <c r="AI78" s="1252"/>
      <c r="AJ78" s="1314" t="n">
        <v>0</v>
      </c>
      <c r="AK78" s="1314" t="n">
        <v>0</v>
      </c>
      <c r="AL78" s="1314" t="n">
        <v>0</v>
      </c>
      <c r="AM78" s="1166"/>
      <c r="AN78" s="1253" t="n">
        <v>23</v>
      </c>
      <c r="AO78" s="1316" t="n">
        <v>0.35</v>
      </c>
      <c r="AP78" s="1252"/>
      <c r="AQ78" s="0"/>
      <c r="AR78" s="0"/>
      <c r="AS78" s="0"/>
      <c r="AT78" s="0" t="n">
        <v>1</v>
      </c>
      <c r="AU78" s="0" t="str">
        <f aca="false">AV78&amp;"Q"&amp;ROUNDUP(MONTH(AW78)/3,0)</f>
        <v>2006Q1</v>
      </c>
      <c r="AV78" s="0" t="n">
        <f aca="false">YEAR(AW78)</f>
        <v>2006</v>
      </c>
      <c r="AW78" s="1304" t="n">
        <f aca="false">EOMONTH(AW77,0)+1</f>
        <v>38718</v>
      </c>
      <c r="AX78" s="112" t="n">
        <f aca="false">AY78</f>
        <v>3.14774905452853</v>
      </c>
      <c r="AY78" s="1323" t="n">
        <v>3.14774905452853</v>
      </c>
      <c r="AZ78" s="112" t="n">
        <f aca="false">AY78</f>
        <v>3.14774905452853</v>
      </c>
      <c r="BA78" s="163" t="n">
        <v>1</v>
      </c>
      <c r="BB78" s="163" t="n">
        <v>1</v>
      </c>
      <c r="BC78" s="163" t="n">
        <v>1</v>
      </c>
      <c r="BD78" s="163" t="n">
        <v>0</v>
      </c>
      <c r="BE78" s="163"/>
      <c r="BF78" s="163" t="n">
        <v>0</v>
      </c>
      <c r="BG78" s="1290" t="n">
        <v>0</v>
      </c>
      <c r="BH78" s="1262"/>
      <c r="BI78" s="1292"/>
      <c r="BJ78" s="1262"/>
      <c r="BK78" s="1293" t="n">
        <v>0</v>
      </c>
      <c r="BL78" s="1294" t="n">
        <f aca="false">+AY78</f>
        <v>3.14774905452853</v>
      </c>
      <c r="BM78" s="1295" t="n">
        <f aca="false">AY78</f>
        <v>3.14774905452853</v>
      </c>
      <c r="BN78" s="1324" t="n">
        <f aca="false">+BM78/BM66-1</f>
        <v>0.0333457640629871</v>
      </c>
      <c r="BO78" s="1296" t="n">
        <v>2.4</v>
      </c>
      <c r="BQ78" s="1298" t="n">
        <f aca="false">VLOOKUP($AW78,$BU$8:$BZ$291,5,FALSE())</f>
        <v>3.14450109654783</v>
      </c>
      <c r="BR78" s="1298" t="n">
        <f aca="false">VLOOKUP($AW78,$BU$8:$BZ$291,6,FALSE())</f>
        <v>2.72384503334153</v>
      </c>
      <c r="BS78" s="1262" t="n">
        <v>0</v>
      </c>
      <c r="BU78" s="1309" t="n">
        <f aca="false">EDATE(BU77,1)</f>
        <v>38292</v>
      </c>
      <c r="BV78" s="1310" t="n">
        <v>2.68772430973595</v>
      </c>
      <c r="BW78" s="1310" t="n">
        <v>2.1379798678195</v>
      </c>
      <c r="BX78" s="1310"/>
      <c r="BY78" s="1310" t="n">
        <v>3.0268141109669</v>
      </c>
      <c r="BZ78" s="1311" t="n">
        <v>2.40771258028134</v>
      </c>
    </row>
    <row r="79" customFormat="false" ht="12.75" hidden="false" customHeight="false" outlineLevel="0" collapsed="false">
      <c r="A79" s="1246"/>
      <c r="B79" s="1312" t="n">
        <v>37712</v>
      </c>
      <c r="C79" s="1313" t="n">
        <v>31.9733206794297</v>
      </c>
      <c r="D79" s="1313"/>
      <c r="E79" s="1313"/>
      <c r="F79" s="1287"/>
      <c r="G79" s="1313"/>
      <c r="H79" s="1313"/>
      <c r="I79" s="1313"/>
      <c r="J79" s="1253"/>
      <c r="K79" s="1254" t="n">
        <v>38596</v>
      </c>
      <c r="L79" s="1314" t="n">
        <v>0</v>
      </c>
      <c r="M79" s="1314" t="n">
        <v>0</v>
      </c>
      <c r="N79" s="1314" t="n">
        <v>0</v>
      </c>
      <c r="O79" s="1252"/>
      <c r="P79" s="1314" t="n">
        <v>0</v>
      </c>
      <c r="Q79" s="1314" t="n">
        <v>0</v>
      </c>
      <c r="R79" s="1314" t="n">
        <v>0</v>
      </c>
      <c r="S79" s="1252"/>
      <c r="T79" s="1314" t="n">
        <v>0</v>
      </c>
      <c r="U79" s="1314" t="n">
        <v>0</v>
      </c>
      <c r="V79" s="1314" t="n">
        <v>0</v>
      </c>
      <c r="W79" s="1252"/>
      <c r="X79" s="1314" t="n">
        <v>0</v>
      </c>
      <c r="Y79" s="1314" t="n">
        <v>0</v>
      </c>
      <c r="Z79" s="1314" t="n">
        <v>0</v>
      </c>
      <c r="AA79" s="1252" t="n">
        <v>0</v>
      </c>
      <c r="AB79" s="1314" t="n">
        <v>0</v>
      </c>
      <c r="AC79" s="1314" t="n">
        <v>0</v>
      </c>
      <c r="AD79" s="1314" t="n">
        <v>0</v>
      </c>
      <c r="AE79" s="1252"/>
      <c r="AF79" s="1314" t="n">
        <v>0</v>
      </c>
      <c r="AG79" s="1314" t="n">
        <v>0</v>
      </c>
      <c r="AH79" s="1314" t="n">
        <v>0</v>
      </c>
      <c r="AI79" s="1252"/>
      <c r="AJ79" s="1314" t="n">
        <v>0</v>
      </c>
      <c r="AK79" s="1314" t="n">
        <v>0</v>
      </c>
      <c r="AL79" s="1314" t="n">
        <v>0</v>
      </c>
      <c r="AM79" s="1166"/>
      <c r="AN79" s="1253" t="n">
        <v>24</v>
      </c>
      <c r="AO79" s="1316" t="n">
        <v>0.35</v>
      </c>
      <c r="AP79" s="1252"/>
      <c r="AQ79" s="0"/>
      <c r="AR79" s="0"/>
      <c r="AS79" s="0"/>
      <c r="AT79" s="0" t="n">
        <v>1</v>
      </c>
      <c r="AU79" s="0" t="str">
        <f aca="false">AV79&amp;"Q"&amp;ROUNDUP(MONTH(AW79)/3,0)</f>
        <v>2006Q1</v>
      </c>
      <c r="AV79" s="0" t="n">
        <f aca="false">YEAR(AW79)</f>
        <v>2006</v>
      </c>
      <c r="AW79" s="1304" t="n">
        <f aca="false">EOMONTH(AW78,0)+1</f>
        <v>38749</v>
      </c>
      <c r="AX79" s="112" t="n">
        <f aca="false">AY79</f>
        <v>2.90731527342202</v>
      </c>
      <c r="AY79" s="1323" t="n">
        <v>2.90731527342202</v>
      </c>
      <c r="AZ79" s="112" t="n">
        <f aca="false">AY79</f>
        <v>2.90731527342202</v>
      </c>
      <c r="BA79" s="163" t="n">
        <v>1</v>
      </c>
      <c r="BB79" s="163" t="n">
        <v>1</v>
      </c>
      <c r="BC79" s="163" t="n">
        <v>1</v>
      </c>
      <c r="BD79" s="163" t="n">
        <v>0</v>
      </c>
      <c r="BE79" s="163"/>
      <c r="BF79" s="163" t="n">
        <v>0</v>
      </c>
      <c r="BG79" s="1290" t="n">
        <v>0</v>
      </c>
      <c r="BH79" s="1262"/>
      <c r="BI79" s="1292"/>
      <c r="BJ79" s="1262"/>
      <c r="BK79" s="1293" t="n">
        <v>0</v>
      </c>
      <c r="BL79" s="1294" t="n">
        <f aca="false">+AY79</f>
        <v>2.90731527342202</v>
      </c>
      <c r="BM79" s="1295" t="n">
        <f aca="false">AY79</f>
        <v>2.90731527342202</v>
      </c>
      <c r="BN79" s="1324" t="n">
        <f aca="false">+BM79/BM67-1</f>
        <v>0.0333457640629873</v>
      </c>
      <c r="BO79" s="1296" t="n">
        <v>2.4</v>
      </c>
      <c r="BQ79" s="1298" t="n">
        <f aca="false">VLOOKUP($AW79,$BU$8:$BZ$291,5,FALSE())</f>
        <v>2.90723423080436</v>
      </c>
      <c r="BR79" s="1298" t="n">
        <f aca="false">VLOOKUP($AW79,$BU$8:$BZ$291,6,FALSE())</f>
        <v>2.53709810928185</v>
      </c>
      <c r="BS79" s="1262" t="n">
        <v>0</v>
      </c>
      <c r="BU79" s="1309" t="n">
        <f aca="false">EDATE(BU78,1)</f>
        <v>38322</v>
      </c>
      <c r="BV79" s="1310" t="n">
        <v>2.74450183426224</v>
      </c>
      <c r="BW79" s="1310" t="n">
        <v>2.18280310946968</v>
      </c>
      <c r="BX79" s="1310"/>
      <c r="BY79" s="1310" t="n">
        <v>3.09075482534725</v>
      </c>
      <c r="BZ79" s="1311" t="n">
        <v>2.45819083053736</v>
      </c>
    </row>
    <row r="80" customFormat="false" ht="12.75" hidden="false" customHeight="false" outlineLevel="0" collapsed="false">
      <c r="A80" s="1246"/>
      <c r="B80" s="1312" t="n">
        <v>37742</v>
      </c>
      <c r="C80" s="1313" t="n">
        <v>32.7706615305873</v>
      </c>
      <c r="D80" s="1313"/>
      <c r="E80" s="1313"/>
      <c r="F80" s="1287"/>
      <c r="G80" s="1313"/>
      <c r="H80" s="1313"/>
      <c r="I80" s="1313"/>
      <c r="J80" s="1253"/>
      <c r="K80" s="1254" t="n">
        <v>38626</v>
      </c>
      <c r="L80" s="1314" t="n">
        <v>0</v>
      </c>
      <c r="M80" s="1314" t="n">
        <v>0</v>
      </c>
      <c r="N80" s="1314" t="n">
        <v>0</v>
      </c>
      <c r="O80" s="1252"/>
      <c r="P80" s="1314" t="n">
        <v>0</v>
      </c>
      <c r="Q80" s="1314" t="n">
        <v>0</v>
      </c>
      <c r="R80" s="1314" t="n">
        <v>0</v>
      </c>
      <c r="S80" s="1252"/>
      <c r="T80" s="1314" t="n">
        <v>0</v>
      </c>
      <c r="U80" s="1314" t="n">
        <v>0</v>
      </c>
      <c r="V80" s="1314" t="n">
        <v>0</v>
      </c>
      <c r="W80" s="1252"/>
      <c r="X80" s="1314" t="n">
        <v>0</v>
      </c>
      <c r="Y80" s="1314" t="n">
        <v>0</v>
      </c>
      <c r="Z80" s="1314" t="n">
        <v>0</v>
      </c>
      <c r="AA80" s="1252" t="n">
        <v>0</v>
      </c>
      <c r="AB80" s="1314" t="n">
        <v>0</v>
      </c>
      <c r="AC80" s="1314" t="n">
        <v>0</v>
      </c>
      <c r="AD80" s="1314" t="n">
        <v>0</v>
      </c>
      <c r="AE80" s="1252"/>
      <c r="AF80" s="1314" t="n">
        <v>0</v>
      </c>
      <c r="AG80" s="1314" t="n">
        <v>0</v>
      </c>
      <c r="AH80" s="1314" t="n">
        <v>0</v>
      </c>
      <c r="AI80" s="1252"/>
      <c r="AJ80" s="1314" t="n">
        <v>0</v>
      </c>
      <c r="AK80" s="1314" t="n">
        <v>0</v>
      </c>
      <c r="AL80" s="1314" t="n">
        <v>0</v>
      </c>
      <c r="AM80" s="1166"/>
      <c r="AN80" s="1253" t="n">
        <v>24</v>
      </c>
      <c r="AO80" s="1316" t="n">
        <v>0.35</v>
      </c>
      <c r="AP80" s="1252"/>
      <c r="AQ80" s="0"/>
      <c r="AR80" s="0"/>
      <c r="AS80" s="0"/>
      <c r="AT80" s="0" t="n">
        <v>1</v>
      </c>
      <c r="AU80" s="0" t="str">
        <f aca="false">AV80&amp;"Q"&amp;ROUNDUP(MONTH(AW80)/3,0)</f>
        <v>2006Q1</v>
      </c>
      <c r="AV80" s="0" t="n">
        <f aca="false">YEAR(AW80)</f>
        <v>2006</v>
      </c>
      <c r="AW80" s="1304" t="n">
        <f aca="false">EOMONTH(AW79,0)+1</f>
        <v>38777</v>
      </c>
      <c r="AX80" s="112" t="n">
        <f aca="false">AY80</f>
        <v>2.75124057825831</v>
      </c>
      <c r="AY80" s="1323" t="n">
        <v>2.75124057825831</v>
      </c>
      <c r="AZ80" s="112" t="n">
        <f aca="false">AY80</f>
        <v>2.75124057825831</v>
      </c>
      <c r="BA80" s="163" t="n">
        <v>1</v>
      </c>
      <c r="BB80" s="163" t="n">
        <v>1</v>
      </c>
      <c r="BC80" s="163" t="n">
        <v>1</v>
      </c>
      <c r="BD80" s="163" t="n">
        <v>0</v>
      </c>
      <c r="BE80" s="163"/>
      <c r="BF80" s="163" t="n">
        <v>0</v>
      </c>
      <c r="BG80" s="1290" t="n">
        <v>0</v>
      </c>
      <c r="BH80" s="1262"/>
      <c r="BI80" s="1292"/>
      <c r="BJ80" s="1262"/>
      <c r="BK80" s="1293" t="n">
        <v>0</v>
      </c>
      <c r="BL80" s="1294" t="n">
        <f aca="false">+AY80</f>
        <v>2.75124057825831</v>
      </c>
      <c r="BM80" s="1295" t="n">
        <f aca="false">AY80</f>
        <v>2.75124057825831</v>
      </c>
      <c r="BN80" s="1324" t="n">
        <f aca="false">+BM80/BM68-1</f>
        <v>0.0333457640629873</v>
      </c>
      <c r="BO80" s="1296" t="n">
        <v>2.4</v>
      </c>
      <c r="BQ80" s="1298" t="n">
        <f aca="false">VLOOKUP($AW80,$BU$8:$BZ$291,5,FALSE())</f>
        <v>2.82091315709357</v>
      </c>
      <c r="BR80" s="1298" t="n">
        <f aca="false">VLOOKUP($AW80,$BU$8:$BZ$291,6,FALSE())</f>
        <v>2.41115250933461</v>
      </c>
      <c r="BS80" s="1262" t="n">
        <v>0</v>
      </c>
      <c r="BU80" s="1309" t="n">
        <f aca="false">EDATE(BU79,1)</f>
        <v>38353</v>
      </c>
      <c r="BV80" s="1310" t="n">
        <v>2.64954595343128</v>
      </c>
      <c r="BW80" s="1310" t="n">
        <v>2.26091886625827</v>
      </c>
      <c r="BX80" s="1310"/>
      <c r="BY80" s="1310" t="n">
        <v>3.04349546248465</v>
      </c>
      <c r="BZ80" s="1311" t="n">
        <v>2.59708509738873</v>
      </c>
    </row>
    <row r="81" customFormat="false" ht="12.75" hidden="false" customHeight="false" outlineLevel="0" collapsed="false">
      <c r="A81" s="1246"/>
      <c r="B81" s="1312" t="n">
        <v>37773</v>
      </c>
      <c r="C81" s="1313" t="n">
        <v>31.4640718329549</v>
      </c>
      <c r="D81" s="1313"/>
      <c r="E81" s="1313"/>
      <c r="F81" s="1287"/>
      <c r="G81" s="1313"/>
      <c r="H81" s="1313"/>
      <c r="I81" s="1313"/>
      <c r="J81" s="1253"/>
      <c r="K81" s="1254" t="n">
        <v>38657</v>
      </c>
      <c r="L81" s="1314" t="n">
        <v>0</v>
      </c>
      <c r="M81" s="1314" t="n">
        <v>0</v>
      </c>
      <c r="N81" s="1314" t="n">
        <v>0</v>
      </c>
      <c r="O81" s="1252"/>
      <c r="P81" s="1314" t="n">
        <v>0</v>
      </c>
      <c r="Q81" s="1314" t="n">
        <v>0</v>
      </c>
      <c r="R81" s="1314" t="n">
        <v>0</v>
      </c>
      <c r="S81" s="1252"/>
      <c r="T81" s="1314" t="n">
        <v>0</v>
      </c>
      <c r="U81" s="1314" t="n">
        <v>0</v>
      </c>
      <c r="V81" s="1314" t="n">
        <v>0</v>
      </c>
      <c r="W81" s="1252"/>
      <c r="X81" s="1314" t="n">
        <v>0</v>
      </c>
      <c r="Y81" s="1314" t="n">
        <v>0</v>
      </c>
      <c r="Z81" s="1314" t="n">
        <v>0</v>
      </c>
      <c r="AA81" s="1252" t="n">
        <v>0</v>
      </c>
      <c r="AB81" s="1314" t="n">
        <v>0</v>
      </c>
      <c r="AC81" s="1314" t="n">
        <v>0</v>
      </c>
      <c r="AD81" s="1314" t="n">
        <v>0</v>
      </c>
      <c r="AE81" s="1252"/>
      <c r="AF81" s="1314" t="n">
        <v>0</v>
      </c>
      <c r="AG81" s="1314" t="n">
        <v>0</v>
      </c>
      <c r="AH81" s="1314" t="n">
        <v>0</v>
      </c>
      <c r="AI81" s="1252"/>
      <c r="AJ81" s="1314" t="n">
        <v>0</v>
      </c>
      <c r="AK81" s="1314" t="n">
        <v>0</v>
      </c>
      <c r="AL81" s="1314" t="n">
        <v>0</v>
      </c>
      <c r="AM81" s="1166"/>
      <c r="AN81" s="1253" t="n">
        <v>24</v>
      </c>
      <c r="AO81" s="1316" t="n">
        <v>0.35</v>
      </c>
      <c r="AP81" s="1252"/>
      <c r="AQ81" s="0"/>
      <c r="AR81" s="0"/>
      <c r="AS81" s="0"/>
      <c r="AT81" s="0" t="n">
        <v>1</v>
      </c>
      <c r="AU81" s="0" t="str">
        <f aca="false">AV81&amp;"Q"&amp;ROUNDUP(MONTH(AW81)/3,0)</f>
        <v>2006Q2</v>
      </c>
      <c r="AV81" s="0" t="n">
        <f aca="false">YEAR(AW81)</f>
        <v>2006</v>
      </c>
      <c r="AW81" s="1304" t="n">
        <f aca="false">EOMONTH(AW80,0)+1</f>
        <v>38808</v>
      </c>
      <c r="AX81" s="112" t="n">
        <f aca="false">AY81</f>
        <v>2.66870139687595</v>
      </c>
      <c r="AY81" s="1323" t="n">
        <v>2.66870139687595</v>
      </c>
      <c r="AZ81" s="112" t="n">
        <f aca="false">AY81</f>
        <v>2.66870139687595</v>
      </c>
      <c r="BA81" s="163" t="n">
        <v>1</v>
      </c>
      <c r="BB81" s="163" t="n">
        <v>1</v>
      </c>
      <c r="BC81" s="163" t="n">
        <v>1</v>
      </c>
      <c r="BD81" s="163" t="n">
        <v>0</v>
      </c>
      <c r="BE81" s="163"/>
      <c r="BF81" s="163" t="n">
        <v>0</v>
      </c>
      <c r="BG81" s="1290" t="n">
        <v>0</v>
      </c>
      <c r="BH81" s="1262"/>
      <c r="BI81" s="1292"/>
      <c r="BJ81" s="1262"/>
      <c r="BK81" s="1293" t="n">
        <v>0</v>
      </c>
      <c r="BL81" s="1294" t="n">
        <f aca="false">+AY81</f>
        <v>2.66870139687595</v>
      </c>
      <c r="BM81" s="1295" t="n">
        <f aca="false">AY81</f>
        <v>2.66870139687595</v>
      </c>
      <c r="BN81" s="1324" t="n">
        <f aca="false">+BM81/BM69-1</f>
        <v>0.0333457640629871</v>
      </c>
      <c r="BO81" s="1296" t="n">
        <v>2.4</v>
      </c>
      <c r="BQ81" s="1298" t="n">
        <f aca="false">VLOOKUP($AW81,$BU$8:$BZ$291,5,FALSE())</f>
        <v>2.76495328861899</v>
      </c>
      <c r="BR81" s="1298" t="n">
        <f aca="false">VLOOKUP($AW81,$BU$8:$BZ$291,6,FALSE())</f>
        <v>2.33786519902049</v>
      </c>
      <c r="BS81" s="1262" t="n">
        <v>0</v>
      </c>
      <c r="BU81" s="1309" t="n">
        <f aca="false">EDATE(BU80,1)</f>
        <v>38384</v>
      </c>
      <c r="BV81" s="1310" t="n">
        <v>2.44962569749494</v>
      </c>
      <c r="BW81" s="1310" t="n">
        <v>2.10591017866627</v>
      </c>
      <c r="BX81" s="1310"/>
      <c r="BY81" s="1310" t="n">
        <v>2.81384992981781</v>
      </c>
      <c r="BZ81" s="1311" t="n">
        <v>2.41902883959068</v>
      </c>
    </row>
    <row r="82" customFormat="false" ht="12.75" hidden="false" customHeight="false" outlineLevel="0" collapsed="false">
      <c r="A82" s="1246"/>
      <c r="B82" s="1312" t="n">
        <v>37803</v>
      </c>
      <c r="C82" s="1313" t="n">
        <v>43.4827574899345</v>
      </c>
      <c r="D82" s="1313"/>
      <c r="E82" s="1313"/>
      <c r="F82" s="1287"/>
      <c r="G82" s="1313"/>
      <c r="H82" s="1313"/>
      <c r="I82" s="1313"/>
      <c r="J82" s="1253"/>
      <c r="K82" s="1254" t="n">
        <v>38687</v>
      </c>
      <c r="L82" s="1314" t="n">
        <v>0</v>
      </c>
      <c r="M82" s="1314" t="n">
        <v>0</v>
      </c>
      <c r="N82" s="1314" t="n">
        <v>0</v>
      </c>
      <c r="O82" s="1252"/>
      <c r="P82" s="1314" t="n">
        <v>0</v>
      </c>
      <c r="Q82" s="1314" t="n">
        <v>0</v>
      </c>
      <c r="R82" s="1314" t="n">
        <v>0</v>
      </c>
      <c r="S82" s="1252"/>
      <c r="T82" s="1314" t="n">
        <v>0</v>
      </c>
      <c r="U82" s="1314" t="n">
        <v>0</v>
      </c>
      <c r="V82" s="1314" t="n">
        <v>0</v>
      </c>
      <c r="W82" s="1252"/>
      <c r="X82" s="1314" t="n">
        <v>0</v>
      </c>
      <c r="Y82" s="1314" t="n">
        <v>0</v>
      </c>
      <c r="Z82" s="1314" t="n">
        <v>0</v>
      </c>
      <c r="AA82" s="1252" t="n">
        <v>0</v>
      </c>
      <c r="AB82" s="1314" t="n">
        <v>0</v>
      </c>
      <c r="AC82" s="1314" t="n">
        <v>0</v>
      </c>
      <c r="AD82" s="1314" t="n">
        <v>0</v>
      </c>
      <c r="AE82" s="1252"/>
      <c r="AF82" s="1314" t="n">
        <v>0</v>
      </c>
      <c r="AG82" s="1314" t="n">
        <v>0</v>
      </c>
      <c r="AH82" s="1314" t="n">
        <v>0</v>
      </c>
      <c r="AI82" s="1252"/>
      <c r="AJ82" s="1314" t="n">
        <v>0</v>
      </c>
      <c r="AK82" s="1314" t="n">
        <v>0</v>
      </c>
      <c r="AL82" s="1314" t="n">
        <v>0</v>
      </c>
      <c r="AM82" s="1166"/>
      <c r="AN82" s="1253" t="n">
        <v>25</v>
      </c>
      <c r="AO82" s="1316" t="n">
        <v>0.35</v>
      </c>
      <c r="AP82" s="1252"/>
      <c r="AQ82" s="0"/>
      <c r="AR82" s="0"/>
      <c r="AS82" s="0"/>
      <c r="AT82" s="0" t="n">
        <v>1</v>
      </c>
      <c r="AU82" s="0" t="str">
        <f aca="false">AV82&amp;"Q"&amp;ROUNDUP(MONTH(AW82)/3,0)</f>
        <v>2006Q2</v>
      </c>
      <c r="AV82" s="0" t="n">
        <f aca="false">YEAR(AW82)</f>
        <v>2006</v>
      </c>
      <c r="AW82" s="1304" t="n">
        <f aca="false">EOMONTH(AW81,0)+1</f>
        <v>38838</v>
      </c>
      <c r="AX82" s="112" t="n">
        <f aca="false">AY82</f>
        <v>2.64857487646144</v>
      </c>
      <c r="AY82" s="1323" t="n">
        <v>2.64857487646144</v>
      </c>
      <c r="AZ82" s="112" t="n">
        <f aca="false">AY82</f>
        <v>2.64857487646144</v>
      </c>
      <c r="BA82" s="163" t="n">
        <v>1</v>
      </c>
      <c r="BB82" s="163" t="n">
        <v>1</v>
      </c>
      <c r="BC82" s="163" t="n">
        <v>1</v>
      </c>
      <c r="BD82" s="163" t="n">
        <v>0</v>
      </c>
      <c r="BE82" s="163"/>
      <c r="BF82" s="163" t="n">
        <v>0</v>
      </c>
      <c r="BG82" s="1290" t="n">
        <v>0</v>
      </c>
      <c r="BH82" s="1262"/>
      <c r="BI82" s="1292"/>
      <c r="BJ82" s="1262"/>
      <c r="BK82" s="1293" t="n">
        <v>0</v>
      </c>
      <c r="BL82" s="1294" t="n">
        <f aca="false">+AY82</f>
        <v>2.64857487646144</v>
      </c>
      <c r="BM82" s="1295" t="n">
        <f aca="false">AY82</f>
        <v>2.64857487646144</v>
      </c>
      <c r="BN82" s="1324" t="n">
        <f aca="false">+BM82/BM70-1</f>
        <v>0.0333457640629873</v>
      </c>
      <c r="BO82" s="1296" t="n">
        <v>2.4</v>
      </c>
      <c r="BQ82" s="1298" t="n">
        <f aca="false">VLOOKUP($AW82,$BU$8:$BZ$291,5,FALSE())</f>
        <v>2.73935462538062</v>
      </c>
      <c r="BR82" s="1298" t="n">
        <f aca="false">VLOOKUP($AW82,$BU$8:$BZ$291,6,FALSE())</f>
        <v>2.30909314386013</v>
      </c>
      <c r="BS82" s="1262" t="n">
        <v>0</v>
      </c>
      <c r="BU82" s="1309" t="n">
        <f aca="false">EDATE(BU81,1)</f>
        <v>38412</v>
      </c>
      <c r="BV82" s="1310" t="n">
        <v>2.37689185370734</v>
      </c>
      <c r="BW82" s="1310" t="n">
        <v>2.00136943587167</v>
      </c>
      <c r="BX82" s="1310"/>
      <c r="BY82" s="1310" t="n">
        <v>2.73030160590595</v>
      </c>
      <c r="BZ82" s="1311" t="n">
        <v>2.29894438665711</v>
      </c>
    </row>
    <row r="83" customFormat="false" ht="12.75" hidden="false" customHeight="false" outlineLevel="0" collapsed="false">
      <c r="A83" s="1246"/>
      <c r="B83" s="1312" t="n">
        <v>37834</v>
      </c>
      <c r="C83" s="1313" t="n">
        <v>58.358469087457</v>
      </c>
      <c r="D83" s="1313"/>
      <c r="E83" s="1313"/>
      <c r="F83" s="1287"/>
      <c r="G83" s="1313"/>
      <c r="H83" s="1313"/>
      <c r="I83" s="1313"/>
      <c r="J83" s="1253"/>
      <c r="K83" s="1254" t="n">
        <v>38718</v>
      </c>
      <c r="L83" s="1314" t="n">
        <v>0</v>
      </c>
      <c r="M83" s="1314" t="n">
        <v>0</v>
      </c>
      <c r="N83" s="1314" t="n">
        <v>0</v>
      </c>
      <c r="O83" s="1252"/>
      <c r="P83" s="1314" t="n">
        <v>0</v>
      </c>
      <c r="Q83" s="1314" t="n">
        <v>0</v>
      </c>
      <c r="R83" s="1314" t="n">
        <v>0</v>
      </c>
      <c r="S83" s="1252"/>
      <c r="T83" s="1314" t="n">
        <v>0</v>
      </c>
      <c r="U83" s="1314" t="n">
        <v>0</v>
      </c>
      <c r="V83" s="1314" t="n">
        <v>0</v>
      </c>
      <c r="W83" s="1252"/>
      <c r="X83" s="1314" t="n">
        <v>0</v>
      </c>
      <c r="Y83" s="1314" t="n">
        <v>0</v>
      </c>
      <c r="Z83" s="1314" t="n">
        <v>0</v>
      </c>
      <c r="AA83" s="1252" t="n">
        <v>0</v>
      </c>
      <c r="AB83" s="1314" t="n">
        <v>0</v>
      </c>
      <c r="AC83" s="1314" t="n">
        <v>0</v>
      </c>
      <c r="AD83" s="1314" t="n">
        <v>0</v>
      </c>
      <c r="AE83" s="1252"/>
      <c r="AF83" s="1314" t="n">
        <v>0</v>
      </c>
      <c r="AG83" s="1314" t="n">
        <v>0</v>
      </c>
      <c r="AH83" s="1314" t="n">
        <v>0</v>
      </c>
      <c r="AI83" s="1252"/>
      <c r="AJ83" s="1314" t="n">
        <v>0</v>
      </c>
      <c r="AK83" s="1314" t="n">
        <v>0</v>
      </c>
      <c r="AL83" s="1314" t="n">
        <v>0</v>
      </c>
      <c r="AM83" s="1166"/>
      <c r="AN83" s="1253" t="n">
        <v>25</v>
      </c>
      <c r="AO83" s="1316" t="n">
        <v>0.35</v>
      </c>
      <c r="AP83" s="1252"/>
      <c r="AQ83" s="0"/>
      <c r="AR83" s="0"/>
      <c r="AS83" s="0"/>
      <c r="AT83" s="0" t="n">
        <v>1</v>
      </c>
      <c r="AU83" s="0" t="str">
        <f aca="false">AV83&amp;"Q"&amp;ROUNDUP(MONTH(AW83)/3,0)</f>
        <v>2006Q2</v>
      </c>
      <c r="AV83" s="0" t="n">
        <f aca="false">YEAR(AW83)</f>
        <v>2006</v>
      </c>
      <c r="AW83" s="1304" t="n">
        <f aca="false">EOMONTH(AW82,0)+1</f>
        <v>38869</v>
      </c>
      <c r="AX83" s="112" t="n">
        <f aca="false">AY83</f>
        <v>2.68056813189463</v>
      </c>
      <c r="AY83" s="1323" t="n">
        <v>2.68056813189463</v>
      </c>
      <c r="AZ83" s="112" t="n">
        <f aca="false">AY83</f>
        <v>2.68056813189463</v>
      </c>
      <c r="BA83" s="163" t="n">
        <v>1</v>
      </c>
      <c r="BB83" s="163" t="n">
        <v>1</v>
      </c>
      <c r="BC83" s="163" t="n">
        <v>1</v>
      </c>
      <c r="BD83" s="163" t="n">
        <v>0</v>
      </c>
      <c r="BE83" s="163"/>
      <c r="BF83" s="163" t="n">
        <v>0</v>
      </c>
      <c r="BG83" s="1290" t="n">
        <v>0</v>
      </c>
      <c r="BH83" s="1262"/>
      <c r="BI83" s="1292"/>
      <c r="BJ83" s="1262"/>
      <c r="BK83" s="1293" t="n">
        <v>0</v>
      </c>
      <c r="BL83" s="1294" t="n">
        <f aca="false">+AY83</f>
        <v>2.68056813189463</v>
      </c>
      <c r="BM83" s="1295" t="n">
        <f aca="false">AY83</f>
        <v>2.68056813189463</v>
      </c>
      <c r="BN83" s="1324" t="n">
        <f aca="false">+BM83/BM71-1</f>
        <v>0.0333457640629873</v>
      </c>
      <c r="BO83" s="1296" t="n">
        <v>2.4</v>
      </c>
      <c r="BQ83" s="1298" t="n">
        <f aca="false">VLOOKUP($AW83,$BU$8:$BZ$291,5,FALSE())</f>
        <v>2.74411716737846</v>
      </c>
      <c r="BR83" s="1298" t="n">
        <f aca="false">VLOOKUP($AW83,$BU$8:$BZ$291,6,FALSE())</f>
        <v>2.31669330937419</v>
      </c>
      <c r="BS83" s="1262" t="n">
        <v>0</v>
      </c>
      <c r="BU83" s="1309" t="n">
        <f aca="false">EDATE(BU82,1)</f>
        <v>38443</v>
      </c>
      <c r="BV83" s="1310" t="n">
        <v>2.32974025842434</v>
      </c>
      <c r="BW83" s="1310" t="n">
        <v>1.94053753812481</v>
      </c>
      <c r="BX83" s="1310"/>
      <c r="BY83" s="1310" t="n">
        <v>2.67613924419757</v>
      </c>
      <c r="BZ83" s="1311" t="n">
        <v>2.22906765757938</v>
      </c>
    </row>
    <row r="84" customFormat="false" ht="12.75" hidden="false" customHeight="false" outlineLevel="0" collapsed="false">
      <c r="A84" s="1246"/>
      <c r="B84" s="1312" t="n">
        <v>37865</v>
      </c>
      <c r="C84" s="1313" t="n">
        <v>50.3153163914666</v>
      </c>
      <c r="D84" s="1313"/>
      <c r="E84" s="1313"/>
      <c r="F84" s="1287"/>
      <c r="G84" s="1313"/>
      <c r="H84" s="1313"/>
      <c r="I84" s="1313"/>
      <c r="J84" s="1253"/>
      <c r="K84" s="1254" t="n">
        <v>38749</v>
      </c>
      <c r="L84" s="1314" t="n">
        <v>0</v>
      </c>
      <c r="M84" s="1314" t="n">
        <v>0</v>
      </c>
      <c r="N84" s="1314" t="n">
        <v>0</v>
      </c>
      <c r="O84" s="1252"/>
      <c r="P84" s="1314" t="n">
        <v>0</v>
      </c>
      <c r="Q84" s="1314" t="n">
        <v>0</v>
      </c>
      <c r="R84" s="1314" t="n">
        <v>0</v>
      </c>
      <c r="S84" s="1252"/>
      <c r="T84" s="1314" t="n">
        <v>0</v>
      </c>
      <c r="U84" s="1314" t="n">
        <v>0</v>
      </c>
      <c r="V84" s="1314" t="n">
        <v>0</v>
      </c>
      <c r="W84" s="1252"/>
      <c r="X84" s="1314" t="n">
        <v>0</v>
      </c>
      <c r="Y84" s="1314" t="n">
        <v>0</v>
      </c>
      <c r="Z84" s="1314" t="n">
        <v>0</v>
      </c>
      <c r="AA84" s="1252" t="n">
        <v>0</v>
      </c>
      <c r="AB84" s="1314" t="n">
        <v>0</v>
      </c>
      <c r="AC84" s="1314" t="n">
        <v>0</v>
      </c>
      <c r="AD84" s="1314" t="n">
        <v>0</v>
      </c>
      <c r="AE84" s="1252"/>
      <c r="AF84" s="1314" t="n">
        <v>0</v>
      </c>
      <c r="AG84" s="1314" t="n">
        <v>0</v>
      </c>
      <c r="AH84" s="1314" t="n">
        <v>0</v>
      </c>
      <c r="AI84" s="1252"/>
      <c r="AJ84" s="1314" t="n">
        <v>0</v>
      </c>
      <c r="AK84" s="1314" t="n">
        <v>0</v>
      </c>
      <c r="AL84" s="1314" t="n">
        <v>0</v>
      </c>
      <c r="AM84" s="1166"/>
      <c r="AN84" s="1253" t="n">
        <v>25</v>
      </c>
      <c r="AO84" s="1316" t="n">
        <v>0.35</v>
      </c>
      <c r="AP84" s="1252"/>
      <c r="AQ84" s="0"/>
      <c r="AR84" s="0"/>
      <c r="AS84" s="0"/>
      <c r="AT84" s="0" t="n">
        <v>1</v>
      </c>
      <c r="AU84" s="0" t="str">
        <f aca="false">AV84&amp;"Q"&amp;ROUNDUP(MONTH(AW84)/3,0)</f>
        <v>2006Q3</v>
      </c>
      <c r="AV84" s="0" t="n">
        <f aca="false">YEAR(AW84)</f>
        <v>2006</v>
      </c>
      <c r="AW84" s="1304" t="n">
        <f aca="false">EOMONTH(AW83,0)+1</f>
        <v>38899</v>
      </c>
      <c r="AX84" s="112" t="n">
        <f aca="false">AY84</f>
        <v>2.75373716189239</v>
      </c>
      <c r="AY84" s="1323" t="n">
        <v>2.75373716189239</v>
      </c>
      <c r="AZ84" s="112" t="n">
        <f aca="false">AY84</f>
        <v>2.75373716189239</v>
      </c>
      <c r="BA84" s="163" t="n">
        <v>1</v>
      </c>
      <c r="BB84" s="163" t="n">
        <v>1</v>
      </c>
      <c r="BC84" s="163" t="n">
        <v>1</v>
      </c>
      <c r="BD84" s="163" t="n">
        <v>0</v>
      </c>
      <c r="BE84" s="163"/>
      <c r="BF84" s="163" t="n">
        <v>0</v>
      </c>
      <c r="BG84" s="1290" t="n">
        <v>0</v>
      </c>
      <c r="BH84" s="1262"/>
      <c r="BI84" s="1292"/>
      <c r="BJ84" s="1262"/>
      <c r="BK84" s="1293" t="n">
        <v>0</v>
      </c>
      <c r="BL84" s="1294" t="n">
        <f aca="false">+AY84</f>
        <v>2.75373716189239</v>
      </c>
      <c r="BM84" s="1295" t="n">
        <f aca="false">AY84</f>
        <v>2.75373716189239</v>
      </c>
      <c r="BN84" s="1324" t="n">
        <f aca="false">+BM84/BM72-1</f>
        <v>0.0333457640629873</v>
      </c>
      <c r="BO84" s="1296" t="n">
        <v>2.4</v>
      </c>
      <c r="BQ84" s="1298" t="n">
        <f aca="false">VLOOKUP($AW84,$BU$8:$BZ$291,5,FALSE())</f>
        <v>2.7792409146125</v>
      </c>
      <c r="BR84" s="1298" t="n">
        <f aca="false">VLOOKUP($AW84,$BU$8:$BZ$291,6,FALSE())</f>
        <v>2.35252266108332</v>
      </c>
      <c r="BS84" s="1262" t="n">
        <v>0</v>
      </c>
      <c r="BU84" s="1309" t="n">
        <f aca="false">EDATE(BU83,1)</f>
        <v>38473</v>
      </c>
      <c r="BV84" s="1310" t="n">
        <v>2.30817091164595</v>
      </c>
      <c r="BW84" s="1310" t="n">
        <v>1.91665538567604</v>
      </c>
      <c r="BX84" s="1310"/>
      <c r="BY84" s="1310" t="n">
        <v>2.65136284469267</v>
      </c>
      <c r="BZ84" s="1311" t="n">
        <v>2.20163457134887</v>
      </c>
    </row>
    <row r="85" customFormat="false" ht="12.75" hidden="false" customHeight="false" outlineLevel="0" collapsed="false">
      <c r="A85" s="1246"/>
      <c r="B85" s="1312" t="n">
        <v>37895</v>
      </c>
      <c r="C85" s="1313" t="n">
        <v>43.0546648188654</v>
      </c>
      <c r="D85" s="1313"/>
      <c r="E85" s="1313"/>
      <c r="F85" s="1287"/>
      <c r="G85" s="1313"/>
      <c r="H85" s="1313"/>
      <c r="I85" s="1313"/>
      <c r="J85" s="1253"/>
      <c r="K85" s="1254" t="n">
        <v>38777</v>
      </c>
      <c r="L85" s="1314" t="n">
        <v>0</v>
      </c>
      <c r="M85" s="1314" t="n">
        <v>0</v>
      </c>
      <c r="N85" s="1314" t="n">
        <v>0</v>
      </c>
      <c r="O85" s="1252"/>
      <c r="P85" s="1314" t="n">
        <v>0</v>
      </c>
      <c r="Q85" s="1314" t="n">
        <v>0</v>
      </c>
      <c r="R85" s="1314" t="n">
        <v>0</v>
      </c>
      <c r="S85" s="1252"/>
      <c r="T85" s="1314" t="n">
        <v>0</v>
      </c>
      <c r="U85" s="1314" t="n">
        <v>0</v>
      </c>
      <c r="V85" s="1314" t="n">
        <v>0</v>
      </c>
      <c r="W85" s="1252"/>
      <c r="X85" s="1314" t="n">
        <v>0</v>
      </c>
      <c r="Y85" s="1314" t="n">
        <v>0</v>
      </c>
      <c r="Z85" s="1314" t="n">
        <v>0</v>
      </c>
      <c r="AA85" s="1252" t="n">
        <v>0</v>
      </c>
      <c r="AB85" s="1314" t="n">
        <v>0</v>
      </c>
      <c r="AC85" s="1314" t="n">
        <v>0</v>
      </c>
      <c r="AD85" s="1314" t="n">
        <v>0</v>
      </c>
      <c r="AE85" s="1252"/>
      <c r="AF85" s="1314" t="n">
        <v>0</v>
      </c>
      <c r="AG85" s="1314" t="n">
        <v>0</v>
      </c>
      <c r="AH85" s="1314" t="n">
        <v>0</v>
      </c>
      <c r="AI85" s="1252"/>
      <c r="AJ85" s="1314" t="n">
        <v>0</v>
      </c>
      <c r="AK85" s="1314" t="n">
        <v>0</v>
      </c>
      <c r="AL85" s="1314" t="n">
        <v>0</v>
      </c>
      <c r="AM85" s="1166"/>
      <c r="AN85" s="1253" t="n">
        <v>26</v>
      </c>
      <c r="AO85" s="1316" t="n">
        <v>0.35</v>
      </c>
      <c r="AP85" s="1252"/>
      <c r="AQ85" s="0"/>
      <c r="AR85" s="0"/>
      <c r="AS85" s="0"/>
      <c r="AT85" s="0" t="n">
        <v>1</v>
      </c>
      <c r="AU85" s="0" t="str">
        <f aca="false">AV85&amp;"Q"&amp;ROUNDUP(MONTH(AW85)/3,0)</f>
        <v>2006Q3</v>
      </c>
      <c r="AV85" s="0" t="n">
        <f aca="false">YEAR(AW85)</f>
        <v>2006</v>
      </c>
      <c r="AW85" s="1304" t="n">
        <f aca="false">EOMONTH(AW84,0)+1</f>
        <v>38930</v>
      </c>
      <c r="AX85" s="112" t="n">
        <f aca="false">AY85</f>
        <v>2.85765238084728</v>
      </c>
      <c r="AY85" s="1323" t="n">
        <v>2.85765238084728</v>
      </c>
      <c r="AZ85" s="112" t="n">
        <f aca="false">AY85</f>
        <v>2.85765238084728</v>
      </c>
      <c r="BA85" s="163" t="n">
        <v>1</v>
      </c>
      <c r="BB85" s="163" t="n">
        <v>1</v>
      </c>
      <c r="BC85" s="163" t="n">
        <v>1</v>
      </c>
      <c r="BD85" s="163" t="n">
        <v>0</v>
      </c>
      <c r="BE85" s="163"/>
      <c r="BF85" s="163" t="n">
        <v>0</v>
      </c>
      <c r="BG85" s="1290" t="n">
        <v>0</v>
      </c>
      <c r="BH85" s="1262"/>
      <c r="BI85" s="1292"/>
      <c r="BJ85" s="1262"/>
      <c r="BK85" s="1293" t="n">
        <v>0</v>
      </c>
      <c r="BL85" s="1294" t="n">
        <f aca="false">+AY85</f>
        <v>2.85765238084728</v>
      </c>
      <c r="BM85" s="1295" t="n">
        <f aca="false">AY85</f>
        <v>2.85765238084728</v>
      </c>
      <c r="BN85" s="1324" t="n">
        <f aca="false">+BM85/BM73-1</f>
        <v>0.0333457640629873</v>
      </c>
      <c r="BO85" s="1296" t="n">
        <v>2.4</v>
      </c>
      <c r="BQ85" s="1298" t="n">
        <f aca="false">VLOOKUP($AW85,$BU$8:$BZ$291,5,FALSE())</f>
        <v>2.84472586708275</v>
      </c>
      <c r="BR85" s="1298" t="n">
        <f aca="false">VLOOKUP($AW85,$BU$8:$BZ$291,6,FALSE())</f>
        <v>2.40843816450817</v>
      </c>
      <c r="BS85" s="1262" t="n">
        <v>0</v>
      </c>
      <c r="BU85" s="1309" t="n">
        <f aca="false">EDATE(BU84,1)</f>
        <v>38504</v>
      </c>
      <c r="BV85" s="1310" t="n">
        <v>2.31218381337216</v>
      </c>
      <c r="BW85" s="1310" t="n">
        <v>1.92296387877571</v>
      </c>
      <c r="BX85" s="1310"/>
      <c r="BY85" s="1310" t="n">
        <v>2.65597240739125</v>
      </c>
      <c r="BZ85" s="1311" t="n">
        <v>2.20888104695693</v>
      </c>
    </row>
    <row r="86" customFormat="false" ht="12.75" hidden="false" customHeight="false" outlineLevel="0" collapsed="false">
      <c r="A86" s="1246"/>
      <c r="B86" s="1312" t="n">
        <v>37926</v>
      </c>
      <c r="C86" s="1313" t="n">
        <v>45.3197828547016</v>
      </c>
      <c r="D86" s="1313"/>
      <c r="E86" s="1313"/>
      <c r="F86" s="1287"/>
      <c r="G86" s="1313"/>
      <c r="H86" s="1313"/>
      <c r="I86" s="1313"/>
      <c r="J86" s="1253"/>
      <c r="K86" s="1254" t="n">
        <v>38808</v>
      </c>
      <c r="L86" s="1314" t="n">
        <v>0</v>
      </c>
      <c r="M86" s="1314" t="n">
        <v>0</v>
      </c>
      <c r="N86" s="1314" t="n">
        <v>0</v>
      </c>
      <c r="O86" s="1252"/>
      <c r="P86" s="1314" t="n">
        <v>0</v>
      </c>
      <c r="Q86" s="1314" t="n">
        <v>0</v>
      </c>
      <c r="R86" s="1314" t="n">
        <v>0</v>
      </c>
      <c r="S86" s="1252"/>
      <c r="T86" s="1314" t="n">
        <v>0</v>
      </c>
      <c r="U86" s="1314" t="n">
        <v>0</v>
      </c>
      <c r="V86" s="1314" t="n">
        <v>0</v>
      </c>
      <c r="W86" s="1252"/>
      <c r="X86" s="1314" t="n">
        <v>0</v>
      </c>
      <c r="Y86" s="1314" t="n">
        <v>0</v>
      </c>
      <c r="Z86" s="1314" t="n">
        <v>0</v>
      </c>
      <c r="AA86" s="1252" t="n">
        <v>0</v>
      </c>
      <c r="AB86" s="1314" t="n">
        <v>0</v>
      </c>
      <c r="AC86" s="1314" t="n">
        <v>0</v>
      </c>
      <c r="AD86" s="1314" t="n">
        <v>0</v>
      </c>
      <c r="AE86" s="1252"/>
      <c r="AF86" s="1314" t="n">
        <v>0</v>
      </c>
      <c r="AG86" s="1314" t="n">
        <v>0</v>
      </c>
      <c r="AH86" s="1314" t="n">
        <v>0</v>
      </c>
      <c r="AI86" s="1252"/>
      <c r="AJ86" s="1314" t="n">
        <v>0</v>
      </c>
      <c r="AK86" s="1314" t="n">
        <v>0</v>
      </c>
      <c r="AL86" s="1314" t="n">
        <v>0</v>
      </c>
      <c r="AM86" s="1166"/>
      <c r="AN86" s="1253" t="n">
        <v>26</v>
      </c>
      <c r="AO86" s="1316" t="n">
        <v>0.35</v>
      </c>
      <c r="AP86" s="1252"/>
      <c r="AQ86" s="0"/>
      <c r="AR86" s="0"/>
      <c r="AS86" s="0"/>
      <c r="AT86" s="0" t="n">
        <v>1</v>
      </c>
      <c r="AU86" s="0" t="str">
        <f aca="false">AV86&amp;"Q"&amp;ROUNDUP(MONTH(AW86)/3,0)</f>
        <v>2006Q3</v>
      </c>
      <c r="AV86" s="0" t="n">
        <f aca="false">YEAR(AW86)</f>
        <v>2006</v>
      </c>
      <c r="AW86" s="1304" t="n">
        <f aca="false">EOMONTH(AW85,0)+1</f>
        <v>38961</v>
      </c>
      <c r="AX86" s="112" t="n">
        <f aca="false">AY86</f>
        <v>2.98137364232428</v>
      </c>
      <c r="AY86" s="1323" t="n">
        <v>2.98137364232428</v>
      </c>
      <c r="AZ86" s="112" t="n">
        <f aca="false">AY86</f>
        <v>2.98137364232428</v>
      </c>
      <c r="BA86" s="163" t="n">
        <v>1</v>
      </c>
      <c r="BB86" s="163" t="n">
        <v>1</v>
      </c>
      <c r="BC86" s="163" t="n">
        <v>1</v>
      </c>
      <c r="BD86" s="163" t="n">
        <v>0</v>
      </c>
      <c r="BE86" s="163"/>
      <c r="BF86" s="163" t="n">
        <v>0</v>
      </c>
      <c r="BG86" s="1290" t="n">
        <v>0</v>
      </c>
      <c r="BH86" s="1262"/>
      <c r="BI86" s="1292"/>
      <c r="BJ86" s="1262"/>
      <c r="BK86" s="1293" t="n">
        <v>0</v>
      </c>
      <c r="BL86" s="1294" t="n">
        <f aca="false">+AY86</f>
        <v>2.98137364232428</v>
      </c>
      <c r="BM86" s="1295" t="n">
        <f aca="false">AY86</f>
        <v>2.98137364232428</v>
      </c>
      <c r="BN86" s="1324" t="n">
        <f aca="false">+BM86/BM74-1</f>
        <v>0.0333457640629871</v>
      </c>
      <c r="BO86" s="1296" t="n">
        <v>2.4</v>
      </c>
      <c r="BQ86" s="1298" t="n">
        <f aca="false">VLOOKUP($AW86,$BU$8:$BZ$291,5,FALSE())</f>
        <v>2.94057202478921</v>
      </c>
      <c r="BR86" s="1298" t="n">
        <f aca="false">VLOOKUP($AW86,$BU$8:$BZ$291,6,FALSE())</f>
        <v>2.47629678516939</v>
      </c>
      <c r="BS86" s="1262" t="n">
        <v>0</v>
      </c>
      <c r="BU86" s="1309" t="n">
        <f aca="false">EDATE(BU85,1)</f>
        <v>38534</v>
      </c>
      <c r="BV86" s="1310" t="n">
        <v>2.34177896360298</v>
      </c>
      <c r="BW86" s="1310" t="n">
        <v>1.95270391767418</v>
      </c>
      <c r="BX86" s="1310"/>
      <c r="BY86" s="1310" t="n">
        <v>2.68996793229332</v>
      </c>
      <c r="BZ86" s="1311" t="n">
        <v>2.24304300339493</v>
      </c>
    </row>
    <row r="87" customFormat="false" ht="12.75" hidden="false" customHeight="false" outlineLevel="0" collapsed="false">
      <c r="A87" s="1246"/>
      <c r="B87" s="1312" t="n">
        <v>37956</v>
      </c>
      <c r="C87" s="1313" t="n">
        <v>44.6138665416728</v>
      </c>
      <c r="D87" s="1313"/>
      <c r="E87" s="1313"/>
      <c r="F87" s="1287"/>
      <c r="G87" s="1313"/>
      <c r="H87" s="1313"/>
      <c r="I87" s="1313"/>
      <c r="J87" s="1253"/>
      <c r="K87" s="1254" t="n">
        <v>38838</v>
      </c>
      <c r="L87" s="1314" t="n">
        <v>0</v>
      </c>
      <c r="M87" s="1314" t="n">
        <v>0</v>
      </c>
      <c r="N87" s="1314" t="n">
        <v>0</v>
      </c>
      <c r="O87" s="1252"/>
      <c r="P87" s="1314" t="n">
        <v>0</v>
      </c>
      <c r="Q87" s="1314" t="n">
        <v>0</v>
      </c>
      <c r="R87" s="1314" t="n">
        <v>0</v>
      </c>
      <c r="S87" s="1252"/>
      <c r="T87" s="1314" t="n">
        <v>0</v>
      </c>
      <c r="U87" s="1314" t="n">
        <v>0</v>
      </c>
      <c r="V87" s="1314" t="n">
        <v>0</v>
      </c>
      <c r="W87" s="1252"/>
      <c r="X87" s="1314" t="n">
        <v>0</v>
      </c>
      <c r="Y87" s="1314" t="n">
        <v>0</v>
      </c>
      <c r="Z87" s="1314" t="n">
        <v>0</v>
      </c>
      <c r="AA87" s="1252" t="n">
        <v>0</v>
      </c>
      <c r="AB87" s="1314" t="n">
        <v>0</v>
      </c>
      <c r="AC87" s="1314" t="n">
        <v>0</v>
      </c>
      <c r="AD87" s="1314" t="n">
        <v>0</v>
      </c>
      <c r="AE87" s="1252"/>
      <c r="AF87" s="1314" t="n">
        <v>0</v>
      </c>
      <c r="AG87" s="1314" t="n">
        <v>0</v>
      </c>
      <c r="AH87" s="1314" t="n">
        <v>0</v>
      </c>
      <c r="AI87" s="1252"/>
      <c r="AJ87" s="1314" t="n">
        <v>0</v>
      </c>
      <c r="AK87" s="1314" t="n">
        <v>0</v>
      </c>
      <c r="AL87" s="1314" t="n">
        <v>0</v>
      </c>
      <c r="AM87" s="1166"/>
      <c r="AN87" s="1253" t="n">
        <v>26</v>
      </c>
      <c r="AO87" s="1316" t="n">
        <v>0.35</v>
      </c>
      <c r="AP87" s="1252"/>
      <c r="AQ87" s="0"/>
      <c r="AR87" s="0"/>
      <c r="AS87" s="0"/>
      <c r="AT87" s="0" t="n">
        <v>1</v>
      </c>
      <c r="AU87" s="0" t="str">
        <f aca="false">AV87&amp;"Q"&amp;ROUNDUP(MONTH(AW87)/3,0)</f>
        <v>2006Q4</v>
      </c>
      <c r="AV87" s="0" t="n">
        <f aca="false">YEAR(AW87)</f>
        <v>2006</v>
      </c>
      <c r="AW87" s="1304" t="n">
        <f aca="false">EOMONTH(AW86,0)+1</f>
        <v>38991</v>
      </c>
      <c r="AX87" s="112" t="n">
        <f aca="false">AY87</f>
        <v>3.11386414825946</v>
      </c>
      <c r="AY87" s="1323" t="n">
        <v>3.11386414825946</v>
      </c>
      <c r="AZ87" s="112" t="n">
        <f aca="false">AY87</f>
        <v>3.11386414825946</v>
      </c>
      <c r="BA87" s="163" t="n">
        <v>1</v>
      </c>
      <c r="BB87" s="163" t="n">
        <v>1</v>
      </c>
      <c r="BC87" s="163" t="n">
        <v>1</v>
      </c>
      <c r="BD87" s="163" t="n">
        <v>0</v>
      </c>
      <c r="BE87" s="163"/>
      <c r="BF87" s="163" t="n">
        <v>0</v>
      </c>
      <c r="BG87" s="1290" t="n">
        <v>0</v>
      </c>
      <c r="BH87" s="1262"/>
      <c r="BI87" s="1292"/>
      <c r="BJ87" s="1262"/>
      <c r="BK87" s="1293" t="n">
        <v>0</v>
      </c>
      <c r="BL87" s="1294" t="n">
        <f aca="false">+AY87</f>
        <v>3.11386414825946</v>
      </c>
      <c r="BM87" s="1295" t="n">
        <f aca="false">AY87</f>
        <v>3.11386414825946</v>
      </c>
      <c r="BN87" s="1324" t="n">
        <f aca="false">+BM87/BM75-1</f>
        <v>0.0333457640629873</v>
      </c>
      <c r="BO87" s="1296" t="n">
        <v>2.4</v>
      </c>
      <c r="BQ87" s="1298" t="n">
        <f aca="false">VLOOKUP($AW87,$BU$8:$BZ$291,5,FALSE())</f>
        <v>3.06677938773188</v>
      </c>
      <c r="BR87" s="1298" t="n">
        <f aca="false">VLOOKUP($AW87,$BU$8:$BZ$291,6,FALSE())</f>
        <v>2.54795548858764</v>
      </c>
      <c r="BS87" s="1262" t="n">
        <v>0</v>
      </c>
      <c r="BU87" s="1309" t="n">
        <f aca="false">EDATE(BU86,1)</f>
        <v>38565</v>
      </c>
      <c r="BV87" s="1310" t="n">
        <v>2.3969563623384</v>
      </c>
      <c r="BW87" s="1310" t="n">
        <v>1.99911640262178</v>
      </c>
      <c r="BX87" s="1310"/>
      <c r="BY87" s="1310" t="n">
        <v>2.75334941939887</v>
      </c>
      <c r="BZ87" s="1311" t="n">
        <v>2.29635635965423</v>
      </c>
    </row>
    <row r="88" customFormat="false" ht="12.75" hidden="false" customHeight="false" outlineLevel="0" collapsed="false">
      <c r="A88" s="1246"/>
      <c r="B88" s="1312" t="n">
        <v>37987</v>
      </c>
      <c r="C88" s="1313" t="n">
        <v>39.0018322198151</v>
      </c>
      <c r="D88" s="1313"/>
      <c r="E88" s="1313"/>
      <c r="F88" s="1287"/>
      <c r="G88" s="1313"/>
      <c r="H88" s="1313"/>
      <c r="I88" s="1313"/>
      <c r="J88" s="1253"/>
      <c r="K88" s="1254" t="n">
        <v>38869</v>
      </c>
      <c r="L88" s="1314" t="n">
        <v>0</v>
      </c>
      <c r="M88" s="1314" t="n">
        <v>0</v>
      </c>
      <c r="N88" s="1314" t="n">
        <v>0</v>
      </c>
      <c r="O88" s="1252"/>
      <c r="P88" s="1314" t="n">
        <v>0</v>
      </c>
      <c r="Q88" s="1314" t="n">
        <v>0</v>
      </c>
      <c r="R88" s="1314" t="n">
        <v>0</v>
      </c>
      <c r="S88" s="1252"/>
      <c r="T88" s="1314" t="n">
        <v>0</v>
      </c>
      <c r="U88" s="1314" t="n">
        <v>0</v>
      </c>
      <c r="V88" s="1314" t="n">
        <v>0</v>
      </c>
      <c r="W88" s="1252"/>
      <c r="X88" s="1314" t="n">
        <v>0</v>
      </c>
      <c r="Y88" s="1314" t="n">
        <v>0</v>
      </c>
      <c r="Z88" s="1314" t="n">
        <v>0</v>
      </c>
      <c r="AA88" s="1252" t="n">
        <v>0</v>
      </c>
      <c r="AB88" s="1314" t="n">
        <v>0</v>
      </c>
      <c r="AC88" s="1314" t="n">
        <v>0</v>
      </c>
      <c r="AD88" s="1314" t="n">
        <v>0</v>
      </c>
      <c r="AE88" s="1252"/>
      <c r="AF88" s="1314" t="n">
        <v>0</v>
      </c>
      <c r="AG88" s="1314" t="n">
        <v>0</v>
      </c>
      <c r="AH88" s="1314" t="n">
        <v>0</v>
      </c>
      <c r="AI88" s="1252"/>
      <c r="AJ88" s="1314" t="n">
        <v>0</v>
      </c>
      <c r="AK88" s="1314" t="n">
        <v>0</v>
      </c>
      <c r="AL88" s="1314" t="n">
        <v>0</v>
      </c>
      <c r="AM88" s="1166"/>
      <c r="AN88" s="1253" t="n">
        <v>27</v>
      </c>
      <c r="AO88" s="1316" t="n">
        <v>0.35</v>
      </c>
      <c r="AP88" s="1252"/>
      <c r="AQ88" s="0"/>
      <c r="AR88" s="0"/>
      <c r="AS88" s="0"/>
      <c r="AT88" s="0" t="n">
        <v>1</v>
      </c>
      <c r="AU88" s="0" t="str">
        <f aca="false">AV88&amp;"Q"&amp;ROUNDUP(MONTH(AW88)/3,0)</f>
        <v>2006Q4</v>
      </c>
      <c r="AV88" s="0" t="n">
        <f aca="false">YEAR(AW88)</f>
        <v>2006</v>
      </c>
      <c r="AW88" s="1304" t="n">
        <f aca="false">EOMONTH(AW87,0)+1</f>
        <v>39022</v>
      </c>
      <c r="AX88" s="112" t="n">
        <f aca="false">AY88</f>
        <v>3.24451304091646</v>
      </c>
      <c r="AY88" s="1323" t="n">
        <v>3.24451304091646</v>
      </c>
      <c r="AZ88" s="112" t="n">
        <f aca="false">AY88</f>
        <v>3.24451304091646</v>
      </c>
      <c r="BA88" s="163" t="n">
        <v>1</v>
      </c>
      <c r="BB88" s="163" t="n">
        <v>1</v>
      </c>
      <c r="BC88" s="163" t="n">
        <v>1</v>
      </c>
      <c r="BD88" s="163" t="n">
        <v>0</v>
      </c>
      <c r="BE88" s="163"/>
      <c r="BF88" s="163" t="n">
        <v>0</v>
      </c>
      <c r="BG88" s="1290" t="n">
        <v>0</v>
      </c>
      <c r="BH88" s="1262"/>
      <c r="BI88" s="1292"/>
      <c r="BJ88" s="1262"/>
      <c r="BK88" s="1293" t="n">
        <v>0</v>
      </c>
      <c r="BL88" s="1294" t="n">
        <f aca="false">+AY88</f>
        <v>3.24451304091646</v>
      </c>
      <c r="BM88" s="1295" t="n">
        <f aca="false">AY88</f>
        <v>3.24451304091646</v>
      </c>
      <c r="BN88" s="1324" t="n">
        <f aca="false">+BM88/BM76-1</f>
        <v>0.0333457640629873</v>
      </c>
      <c r="BO88" s="1296" t="n">
        <v>2.4</v>
      </c>
      <c r="BQ88" s="1298" t="n">
        <f aca="false">VLOOKUP($AW88,$BU$8:$BZ$291,5,FALSE())</f>
        <v>3.22334795591076</v>
      </c>
      <c r="BR88" s="1298" t="n">
        <f aca="false">VLOOKUP($AW88,$BU$8:$BZ$291,6,FALSE())</f>
        <v>2.61527124028358</v>
      </c>
      <c r="BS88" s="1262" t="n">
        <v>0</v>
      </c>
      <c r="BU88" s="1309" t="n">
        <f aca="false">EDATE(BU87,1)</f>
        <v>38596</v>
      </c>
      <c r="BV88" s="1310" t="n">
        <v>2.47771600957843</v>
      </c>
      <c r="BW88" s="1310" t="n">
        <v>2.05544223386887</v>
      </c>
      <c r="BX88" s="1310"/>
      <c r="BY88" s="1310" t="n">
        <v>2.84611686870791</v>
      </c>
      <c r="BZ88" s="1311" t="n">
        <v>2.3610570347262</v>
      </c>
    </row>
    <row r="89" customFormat="false" ht="12.75" hidden="false" customHeight="false" outlineLevel="0" collapsed="false">
      <c r="A89" s="1246"/>
      <c r="B89" s="1312" t="n">
        <v>38018</v>
      </c>
      <c r="C89" s="1313" t="n">
        <v>31.6179091803715</v>
      </c>
      <c r="D89" s="1313"/>
      <c r="E89" s="1313"/>
      <c r="F89" s="1287"/>
      <c r="G89" s="1313"/>
      <c r="H89" s="1313"/>
      <c r="I89" s="1313"/>
      <c r="J89" s="1253"/>
      <c r="K89" s="1254" t="n">
        <v>38899</v>
      </c>
      <c r="L89" s="1314" t="n">
        <v>0</v>
      </c>
      <c r="M89" s="1314" t="n">
        <v>0</v>
      </c>
      <c r="N89" s="1314" t="n">
        <v>0</v>
      </c>
      <c r="O89" s="1252"/>
      <c r="P89" s="1314" t="n">
        <v>0</v>
      </c>
      <c r="Q89" s="1314" t="n">
        <v>0</v>
      </c>
      <c r="R89" s="1314" t="n">
        <v>0</v>
      </c>
      <c r="S89" s="1252"/>
      <c r="T89" s="1314" t="n">
        <v>0</v>
      </c>
      <c r="U89" s="1314" t="n">
        <v>0</v>
      </c>
      <c r="V89" s="1314" t="n">
        <v>0</v>
      </c>
      <c r="W89" s="1252"/>
      <c r="X89" s="1314" t="n">
        <v>0</v>
      </c>
      <c r="Y89" s="1314" t="n">
        <v>0</v>
      </c>
      <c r="Z89" s="1314" t="n">
        <v>0</v>
      </c>
      <c r="AA89" s="1252" t="n">
        <v>0</v>
      </c>
      <c r="AB89" s="1314" t="n">
        <v>0</v>
      </c>
      <c r="AC89" s="1314" t="n">
        <v>0</v>
      </c>
      <c r="AD89" s="1314" t="n">
        <v>0</v>
      </c>
      <c r="AE89" s="1252"/>
      <c r="AF89" s="1314" t="n">
        <v>0</v>
      </c>
      <c r="AG89" s="1314" t="n">
        <v>0</v>
      </c>
      <c r="AH89" s="1314" t="n">
        <v>0</v>
      </c>
      <c r="AI89" s="1252"/>
      <c r="AJ89" s="1314" t="n">
        <v>0</v>
      </c>
      <c r="AK89" s="1314" t="n">
        <v>0</v>
      </c>
      <c r="AL89" s="1314" t="n">
        <v>0</v>
      </c>
      <c r="AM89" s="1166"/>
      <c r="AN89" s="1253" t="n">
        <v>27</v>
      </c>
      <c r="AO89" s="1316" t="n">
        <v>0.35</v>
      </c>
      <c r="AP89" s="1252"/>
      <c r="AQ89" s="0"/>
      <c r="AR89" s="0"/>
      <c r="AS89" s="0"/>
      <c r="AT89" s="0" t="n">
        <v>1</v>
      </c>
      <c r="AU89" s="0" t="str">
        <f aca="false">AV89&amp;"Q"&amp;ROUNDUP(MONTH(AW89)/3,0)</f>
        <v>2006Q4</v>
      </c>
      <c r="AV89" s="0" t="n">
        <f aca="false">YEAR(AW89)</f>
        <v>2006</v>
      </c>
      <c r="AW89" s="1304" t="n">
        <f aca="false">EOMONTH(AW88,0)+1</f>
        <v>39052</v>
      </c>
      <c r="AX89" s="112" t="n">
        <f aca="false">AY89</f>
        <v>3.38251873173562</v>
      </c>
      <c r="AY89" s="1323" t="n">
        <v>3.38251873173562</v>
      </c>
      <c r="AZ89" s="112" t="n">
        <f aca="false">AY89</f>
        <v>3.38251873173562</v>
      </c>
      <c r="BA89" s="163" t="n">
        <v>1</v>
      </c>
      <c r="BB89" s="163" t="n">
        <v>1</v>
      </c>
      <c r="BC89" s="163" t="n">
        <v>1</v>
      </c>
      <c r="BD89" s="163" t="n">
        <v>0</v>
      </c>
      <c r="BE89" s="163"/>
      <c r="BF89" s="163" t="n">
        <v>0</v>
      </c>
      <c r="BG89" s="1290" t="n">
        <v>0</v>
      </c>
      <c r="BH89" s="1262"/>
      <c r="BI89" s="1292"/>
      <c r="BJ89" s="1262"/>
      <c r="BK89" s="1293" t="n">
        <v>0</v>
      </c>
      <c r="BL89" s="1294" t="n">
        <f aca="false">+AY89</f>
        <v>3.38251873173562</v>
      </c>
      <c r="BM89" s="1295" t="n">
        <f aca="false">AY89</f>
        <v>3.38251873173562</v>
      </c>
      <c r="BN89" s="1324" t="n">
        <f aca="false">+BM89/BM77-1</f>
        <v>0.0333457640629873</v>
      </c>
      <c r="BO89" s="1296" t="n">
        <v>2.4</v>
      </c>
      <c r="BQ89" s="1298" t="n">
        <f aca="false">VLOOKUP($AW89,$BU$8:$BZ$291,5,FALSE())</f>
        <v>3.29144040012483</v>
      </c>
      <c r="BR89" s="1298" t="n">
        <f aca="false">VLOOKUP($AW89,$BU$8:$BZ$291,6,FALSE())</f>
        <v>2.67010100577785</v>
      </c>
      <c r="BS89" s="1262" t="n">
        <v>0</v>
      </c>
      <c r="BU89" s="1309" t="n">
        <f aca="false">EDATE(BU88,1)</f>
        <v>38626</v>
      </c>
      <c r="BV89" s="1310" t="n">
        <v>2.58405790532307</v>
      </c>
      <c r="BW89" s="1310" t="n">
        <v>2.1149223116658</v>
      </c>
      <c r="BX89" s="1310"/>
      <c r="BY89" s="1310" t="n">
        <v>2.96827028022043</v>
      </c>
      <c r="BZ89" s="1311" t="n">
        <v>2.42938094760219</v>
      </c>
    </row>
    <row r="90" customFormat="false" ht="12.75" hidden="false" customHeight="false" outlineLevel="0" collapsed="false">
      <c r="A90" s="1246"/>
      <c r="B90" s="1312" t="n">
        <v>38047</v>
      </c>
      <c r="C90" s="1313" t="n">
        <v>29.579534075733</v>
      </c>
      <c r="D90" s="1313"/>
      <c r="E90" s="1313"/>
      <c r="F90" s="1287"/>
      <c r="G90" s="1313"/>
      <c r="H90" s="1313"/>
      <c r="I90" s="1313"/>
      <c r="J90" s="1253"/>
      <c r="K90" s="1254" t="n">
        <v>38930</v>
      </c>
      <c r="L90" s="1314" t="n">
        <v>0</v>
      </c>
      <c r="M90" s="1314" t="n">
        <v>0</v>
      </c>
      <c r="N90" s="1314" t="n">
        <v>0</v>
      </c>
      <c r="O90" s="1252"/>
      <c r="P90" s="1314" t="n">
        <v>0</v>
      </c>
      <c r="Q90" s="1314" t="n">
        <v>0</v>
      </c>
      <c r="R90" s="1314" t="n">
        <v>0</v>
      </c>
      <c r="S90" s="1252"/>
      <c r="T90" s="1314" t="n">
        <v>0</v>
      </c>
      <c r="U90" s="1314" t="n">
        <v>0</v>
      </c>
      <c r="V90" s="1314" t="n">
        <v>0</v>
      </c>
      <c r="W90" s="1252"/>
      <c r="X90" s="1314" t="n">
        <v>0</v>
      </c>
      <c r="Y90" s="1314" t="n">
        <v>0</v>
      </c>
      <c r="Z90" s="1314" t="n">
        <v>0</v>
      </c>
      <c r="AA90" s="1252" t="n">
        <v>0</v>
      </c>
      <c r="AB90" s="1314" t="n">
        <v>0</v>
      </c>
      <c r="AC90" s="1314" t="n">
        <v>0</v>
      </c>
      <c r="AD90" s="1314" t="n">
        <v>0</v>
      </c>
      <c r="AE90" s="1252"/>
      <c r="AF90" s="1314" t="n">
        <v>0</v>
      </c>
      <c r="AG90" s="1314" t="n">
        <v>0</v>
      </c>
      <c r="AH90" s="1314" t="n">
        <v>0</v>
      </c>
      <c r="AI90" s="1252"/>
      <c r="AJ90" s="1314" t="n">
        <v>0</v>
      </c>
      <c r="AK90" s="1314" t="n">
        <v>0</v>
      </c>
      <c r="AL90" s="1314" t="n">
        <v>0</v>
      </c>
      <c r="AM90" s="1166"/>
      <c r="AN90" s="1253" t="n">
        <v>27</v>
      </c>
      <c r="AO90" s="1316" t="n">
        <v>0.35</v>
      </c>
      <c r="AP90" s="1252"/>
      <c r="AQ90" s="0"/>
      <c r="AR90" s="0"/>
      <c r="AS90" s="0"/>
      <c r="AT90" s="0" t="n">
        <v>1</v>
      </c>
      <c r="AU90" s="0" t="str">
        <f aca="false">AV90&amp;"Q"&amp;ROUNDUP(MONTH(AW90)/3,0)</f>
        <v>2007Q1</v>
      </c>
      <c r="AV90" s="0" t="n">
        <f aca="false">YEAR(AW90)</f>
        <v>2007</v>
      </c>
      <c r="AW90" s="1304" t="n">
        <f aca="false">EOMONTH(AW89,0)+1</f>
        <v>39083</v>
      </c>
      <c r="AX90" s="112" t="n">
        <f aca="false">AY90</f>
        <v>3.2445479561774</v>
      </c>
      <c r="AY90" s="1323" t="n">
        <v>3.2445479561774</v>
      </c>
      <c r="AZ90" s="112" t="n">
        <f aca="false">AY90</f>
        <v>3.2445479561774</v>
      </c>
      <c r="BA90" s="163" t="n">
        <v>1</v>
      </c>
      <c r="BB90" s="163" t="n">
        <v>1</v>
      </c>
      <c r="BC90" s="163" t="n">
        <v>1</v>
      </c>
      <c r="BD90" s="163" t="n">
        <v>0</v>
      </c>
      <c r="BE90" s="163"/>
      <c r="BF90" s="163" t="n">
        <v>0</v>
      </c>
      <c r="BG90" s="1290" t="n">
        <v>0</v>
      </c>
      <c r="BH90" s="1262"/>
      <c r="BI90" s="1292"/>
      <c r="BJ90" s="1262"/>
      <c r="BK90" s="1293" t="n">
        <v>0</v>
      </c>
      <c r="BL90" s="1294" t="n">
        <f aca="false">+AY90</f>
        <v>3.2445479561774</v>
      </c>
      <c r="BM90" s="1295" t="n">
        <f aca="false">AY90</f>
        <v>3.2445479561774</v>
      </c>
      <c r="BN90" s="1324" t="n">
        <f aca="false">+BM90/BM78-1</f>
        <v>0.030751784837997</v>
      </c>
      <c r="BO90" s="1296" t="n">
        <v>2.4</v>
      </c>
      <c r="BQ90" s="1298" t="n">
        <f aca="false">VLOOKUP($AW90,$BU$8:$BZ$291,5,FALSE())</f>
        <v>3.26068308060245</v>
      </c>
      <c r="BR90" s="1298" t="n">
        <f aca="false">VLOOKUP($AW90,$BU$8:$BZ$291,6,FALSE())</f>
        <v>2.84962388050812</v>
      </c>
      <c r="BS90" s="1262" t="n">
        <v>0</v>
      </c>
      <c r="BU90" s="1309" t="n">
        <f aca="false">EDATE(BU89,1)</f>
        <v>38657</v>
      </c>
      <c r="BV90" s="1310" t="n">
        <v>2.71598204957231</v>
      </c>
      <c r="BW90" s="1310" t="n">
        <v>2.17079753626292</v>
      </c>
      <c r="BX90" s="1310"/>
      <c r="BY90" s="1310" t="n">
        <v>3.11980965393643</v>
      </c>
      <c r="BZ90" s="1311" t="n">
        <v>2.49356401727358</v>
      </c>
    </row>
    <row r="91" customFormat="false" ht="12.75" hidden="false" customHeight="false" outlineLevel="0" collapsed="false">
      <c r="A91" s="1246"/>
      <c r="B91" s="1312" t="n">
        <v>38078</v>
      </c>
      <c r="C91" s="1313" t="n">
        <v>29.1472590318797</v>
      </c>
      <c r="D91" s="1313"/>
      <c r="E91" s="1313"/>
      <c r="F91" s="1287"/>
      <c r="G91" s="1313"/>
      <c r="H91" s="1313"/>
      <c r="I91" s="1313"/>
      <c r="J91" s="1253"/>
      <c r="K91" s="1254" t="n">
        <v>38961</v>
      </c>
      <c r="L91" s="1314" t="n">
        <v>0</v>
      </c>
      <c r="M91" s="1314" t="n">
        <v>0</v>
      </c>
      <c r="N91" s="1314" t="n">
        <v>0</v>
      </c>
      <c r="O91" s="1252"/>
      <c r="P91" s="1314" t="n">
        <v>0</v>
      </c>
      <c r="Q91" s="1314" t="n">
        <v>0</v>
      </c>
      <c r="R91" s="1314" t="n">
        <v>0</v>
      </c>
      <c r="S91" s="1252"/>
      <c r="T91" s="1314" t="n">
        <v>0</v>
      </c>
      <c r="U91" s="1314" t="n">
        <v>0</v>
      </c>
      <c r="V91" s="1314" t="n">
        <v>0</v>
      </c>
      <c r="W91" s="1252"/>
      <c r="X91" s="1314" t="n">
        <v>0</v>
      </c>
      <c r="Y91" s="1314" t="n">
        <v>0</v>
      </c>
      <c r="Z91" s="1314" t="n">
        <v>0</v>
      </c>
      <c r="AA91" s="1252" t="n">
        <v>0</v>
      </c>
      <c r="AB91" s="1314" t="n">
        <v>0</v>
      </c>
      <c r="AC91" s="1314" t="n">
        <v>0</v>
      </c>
      <c r="AD91" s="1314" t="n">
        <v>0</v>
      </c>
      <c r="AE91" s="1252"/>
      <c r="AF91" s="1314" t="n">
        <v>0</v>
      </c>
      <c r="AG91" s="1314" t="n">
        <v>0</v>
      </c>
      <c r="AH91" s="1314" t="n">
        <v>0</v>
      </c>
      <c r="AI91" s="1252"/>
      <c r="AJ91" s="1314" t="n">
        <v>0</v>
      </c>
      <c r="AK91" s="1314" t="n">
        <v>0</v>
      </c>
      <c r="AL91" s="1314" t="n">
        <v>0</v>
      </c>
      <c r="AM91" s="1166"/>
      <c r="AN91" s="1253" t="n">
        <v>28</v>
      </c>
      <c r="AO91" s="1316" t="n">
        <v>0.35</v>
      </c>
      <c r="AP91" s="1252"/>
      <c r="AQ91" s="0"/>
      <c r="AR91" s="0"/>
      <c r="AS91" s="0"/>
      <c r="AT91" s="0" t="n">
        <v>1</v>
      </c>
      <c r="AU91" s="0" t="str">
        <f aca="false">AV91&amp;"Q"&amp;ROUNDUP(MONTH(AW91)/3,0)</f>
        <v>2007Q1</v>
      </c>
      <c r="AV91" s="0" t="n">
        <f aca="false">YEAR(AW91)</f>
        <v>2007</v>
      </c>
      <c r="AW91" s="1304" t="n">
        <f aca="false">EOMONTH(AW90,0)+1</f>
        <v>39114</v>
      </c>
      <c r="AX91" s="112" t="n">
        <f aca="false">AY91</f>
        <v>2.99672040716651</v>
      </c>
      <c r="AY91" s="1323" t="n">
        <v>2.99672040716651</v>
      </c>
      <c r="AZ91" s="112" t="n">
        <f aca="false">AY91</f>
        <v>2.99672040716651</v>
      </c>
      <c r="BA91" s="163" t="n">
        <v>1</v>
      </c>
      <c r="BB91" s="163" t="n">
        <v>1</v>
      </c>
      <c r="BC91" s="163" t="n">
        <v>1</v>
      </c>
      <c r="BD91" s="163" t="n">
        <v>0</v>
      </c>
      <c r="BE91" s="163"/>
      <c r="BF91" s="163" t="n">
        <v>0</v>
      </c>
      <c r="BG91" s="1290" t="n">
        <v>0</v>
      </c>
      <c r="BH91" s="1262"/>
      <c r="BI91" s="1292"/>
      <c r="BJ91" s="1262"/>
      <c r="BK91" s="1293" t="n">
        <v>0</v>
      </c>
      <c r="BL91" s="1294" t="n">
        <f aca="false">+AY91</f>
        <v>2.99672040716651</v>
      </c>
      <c r="BM91" s="1295" t="n">
        <f aca="false">AY91</f>
        <v>2.99672040716651</v>
      </c>
      <c r="BN91" s="1324" t="n">
        <f aca="false">+BM91/BM79-1</f>
        <v>0.030751784837997</v>
      </c>
      <c r="BO91" s="1296" t="n">
        <v>2.4</v>
      </c>
      <c r="BQ91" s="1298" t="n">
        <f aca="false">VLOOKUP($AW91,$BU$8:$BZ$291,5,FALSE())</f>
        <v>3.01464975736187</v>
      </c>
      <c r="BR91" s="1298" t="n">
        <f aca="false">VLOOKUP($AW91,$BU$8:$BZ$291,6,FALSE())</f>
        <v>2.65425355367309</v>
      </c>
      <c r="BS91" s="1262" t="n">
        <v>0</v>
      </c>
      <c r="BU91" s="1309" t="n">
        <f aca="false">EDATE(BU90,1)</f>
        <v>38687</v>
      </c>
      <c r="BV91" s="1310" t="n">
        <v>2.77335651200283</v>
      </c>
      <c r="BW91" s="1310" t="n">
        <v>2.21630880791057</v>
      </c>
      <c r="BX91" s="1310"/>
      <c r="BY91" s="1310" t="n">
        <v>3.18571487661945</v>
      </c>
      <c r="BZ91" s="1311" t="n">
        <v>2.54584216273173</v>
      </c>
    </row>
    <row r="92" customFormat="false" ht="12.75" hidden="false" customHeight="false" outlineLevel="0" collapsed="false">
      <c r="A92" s="1246"/>
      <c r="B92" s="1312" t="n">
        <v>38108</v>
      </c>
      <c r="C92" s="1313" t="n">
        <v>29.9922358251877</v>
      </c>
      <c r="D92" s="1313"/>
      <c r="E92" s="1313"/>
      <c r="F92" s="1287"/>
      <c r="G92" s="1313"/>
      <c r="H92" s="1313"/>
      <c r="I92" s="1313"/>
      <c r="J92" s="1253"/>
      <c r="K92" s="1254" t="n">
        <v>38991</v>
      </c>
      <c r="L92" s="1314" t="n">
        <v>0</v>
      </c>
      <c r="M92" s="1314" t="n">
        <v>0</v>
      </c>
      <c r="N92" s="1314" t="n">
        <v>0</v>
      </c>
      <c r="O92" s="1252"/>
      <c r="P92" s="1314" t="n">
        <v>0</v>
      </c>
      <c r="Q92" s="1314" t="n">
        <v>0</v>
      </c>
      <c r="R92" s="1314" t="n">
        <v>0</v>
      </c>
      <c r="S92" s="1252"/>
      <c r="T92" s="1314" t="n">
        <v>0</v>
      </c>
      <c r="U92" s="1314" t="n">
        <v>0</v>
      </c>
      <c r="V92" s="1314" t="n">
        <v>0</v>
      </c>
      <c r="W92" s="1252"/>
      <c r="X92" s="1314" t="n">
        <v>0</v>
      </c>
      <c r="Y92" s="1314" t="n">
        <v>0</v>
      </c>
      <c r="Z92" s="1314" t="n">
        <v>0</v>
      </c>
      <c r="AA92" s="1252" t="n">
        <v>0</v>
      </c>
      <c r="AB92" s="1314" t="n">
        <v>0</v>
      </c>
      <c r="AC92" s="1314" t="n">
        <v>0</v>
      </c>
      <c r="AD92" s="1314" t="n">
        <v>0</v>
      </c>
      <c r="AE92" s="1252"/>
      <c r="AF92" s="1314" t="n">
        <v>0</v>
      </c>
      <c r="AG92" s="1314" t="n">
        <v>0</v>
      </c>
      <c r="AH92" s="1314" t="n">
        <v>0</v>
      </c>
      <c r="AI92" s="1252"/>
      <c r="AJ92" s="1314" t="n">
        <v>0</v>
      </c>
      <c r="AK92" s="1314" t="n">
        <v>0</v>
      </c>
      <c r="AL92" s="1314" t="n">
        <v>0</v>
      </c>
      <c r="AM92" s="1166"/>
      <c r="AN92" s="1253" t="n">
        <v>28</v>
      </c>
      <c r="AO92" s="1316" t="n">
        <v>0.35</v>
      </c>
      <c r="AP92" s="1252"/>
      <c r="AQ92" s="0"/>
      <c r="AR92" s="0"/>
      <c r="AS92" s="0"/>
      <c r="AT92" s="0" t="n">
        <v>1</v>
      </c>
      <c r="AU92" s="0" t="str">
        <f aca="false">AV92&amp;"Q"&amp;ROUNDUP(MONTH(AW92)/3,0)</f>
        <v>2007Q1</v>
      </c>
      <c r="AV92" s="0" t="n">
        <f aca="false">YEAR(AW92)</f>
        <v>2007</v>
      </c>
      <c r="AW92" s="1304" t="n">
        <f aca="false">EOMONTH(AW91,0)+1</f>
        <v>39142</v>
      </c>
      <c r="AX92" s="112" t="n">
        <f aca="false">AY92</f>
        <v>2.83584613655848</v>
      </c>
      <c r="AY92" s="1323" t="n">
        <v>2.83584613655848</v>
      </c>
      <c r="AZ92" s="112" t="n">
        <f aca="false">AY92</f>
        <v>2.83584613655848</v>
      </c>
      <c r="BA92" s="163" t="n">
        <v>1</v>
      </c>
      <c r="BB92" s="163" t="n">
        <v>1</v>
      </c>
      <c r="BC92" s="163" t="n">
        <v>1</v>
      </c>
      <c r="BD92" s="163" t="n">
        <v>0</v>
      </c>
      <c r="BE92" s="163"/>
      <c r="BF92" s="163" t="n">
        <v>0</v>
      </c>
      <c r="BG92" s="1290" t="n">
        <v>0</v>
      </c>
      <c r="BH92" s="1262"/>
      <c r="BI92" s="1292"/>
      <c r="BJ92" s="1262"/>
      <c r="BK92" s="1293" t="n">
        <v>0</v>
      </c>
      <c r="BL92" s="1294" t="n">
        <f aca="false">+AY92</f>
        <v>2.83584613655848</v>
      </c>
      <c r="BM92" s="1295" t="n">
        <f aca="false">AY92</f>
        <v>2.83584613655848</v>
      </c>
      <c r="BN92" s="1324" t="n">
        <f aca="false">+BM92/BM80-1</f>
        <v>0.030751784837997</v>
      </c>
      <c r="BO92" s="1296" t="n">
        <v>2.4</v>
      </c>
      <c r="BQ92" s="1298" t="n">
        <f aca="false">VLOOKUP($AW92,$BU$8:$BZ$291,5,FALSE())</f>
        <v>2.92513932123666</v>
      </c>
      <c r="BR92" s="1298" t="n">
        <f aca="false">VLOOKUP($AW92,$BU$8:$BZ$291,6,FALSE())</f>
        <v>2.52249217045876</v>
      </c>
      <c r="BS92" s="1262" t="n">
        <v>0</v>
      </c>
      <c r="BU92" s="1309" t="n">
        <f aca="false">EDATE(BU91,1)</f>
        <v>38718</v>
      </c>
      <c r="BV92" s="1310" t="n">
        <v>2.68380140810032</v>
      </c>
      <c r="BW92" s="1310" t="n">
        <v>2.32477550857101</v>
      </c>
      <c r="BX92" s="1310"/>
      <c r="BY92" s="1310" t="n">
        <v>3.14450109654783</v>
      </c>
      <c r="BZ92" s="1311" t="n">
        <v>2.72384503334153</v>
      </c>
    </row>
    <row r="93" customFormat="false" ht="12.75" hidden="false" customHeight="false" outlineLevel="0" collapsed="false">
      <c r="A93" s="1246"/>
      <c r="B93" s="1312" t="n">
        <v>38139</v>
      </c>
      <c r="C93" s="1313" t="n">
        <v>28.317522421024</v>
      </c>
      <c r="D93" s="1313"/>
      <c r="E93" s="1313"/>
      <c r="F93" s="1287"/>
      <c r="G93" s="1313"/>
      <c r="H93" s="1313"/>
      <c r="I93" s="1313"/>
      <c r="J93" s="1253"/>
      <c r="K93" s="1254" t="n">
        <v>39022</v>
      </c>
      <c r="L93" s="1314" t="n">
        <v>0</v>
      </c>
      <c r="M93" s="1314" t="n">
        <v>0</v>
      </c>
      <c r="N93" s="1314" t="n">
        <v>0</v>
      </c>
      <c r="O93" s="1252"/>
      <c r="P93" s="1314" t="n">
        <v>0</v>
      </c>
      <c r="Q93" s="1314" t="n">
        <v>0</v>
      </c>
      <c r="R93" s="1314" t="n">
        <v>0</v>
      </c>
      <c r="S93" s="1252"/>
      <c r="T93" s="1314" t="n">
        <v>0</v>
      </c>
      <c r="U93" s="1314" t="n">
        <v>0</v>
      </c>
      <c r="V93" s="1314" t="n">
        <v>0</v>
      </c>
      <c r="W93" s="1252"/>
      <c r="X93" s="1314" t="n">
        <v>0</v>
      </c>
      <c r="Y93" s="1314" t="n">
        <v>0</v>
      </c>
      <c r="Z93" s="1314" t="n">
        <v>0</v>
      </c>
      <c r="AA93" s="1252" t="n">
        <v>0</v>
      </c>
      <c r="AB93" s="1314" t="n">
        <v>0</v>
      </c>
      <c r="AC93" s="1314" t="n">
        <v>0</v>
      </c>
      <c r="AD93" s="1314" t="n">
        <v>0</v>
      </c>
      <c r="AE93" s="1252"/>
      <c r="AF93" s="1314" t="n">
        <v>0</v>
      </c>
      <c r="AG93" s="1314" t="n">
        <v>0</v>
      </c>
      <c r="AH93" s="1314" t="n">
        <v>0</v>
      </c>
      <c r="AI93" s="1252"/>
      <c r="AJ93" s="1314" t="n">
        <v>0</v>
      </c>
      <c r="AK93" s="1314" t="n">
        <v>0</v>
      </c>
      <c r="AL93" s="1314" t="n">
        <v>0</v>
      </c>
      <c r="AM93" s="1166"/>
      <c r="AN93" s="1253" t="n">
        <v>28</v>
      </c>
      <c r="AO93" s="1316" t="n">
        <v>0.35</v>
      </c>
      <c r="AP93" s="1252"/>
      <c r="AQ93" s="0"/>
      <c r="AR93" s="0"/>
      <c r="AS93" s="0"/>
      <c r="AT93" s="0" t="n">
        <v>1</v>
      </c>
      <c r="AU93" s="0" t="str">
        <f aca="false">AV93&amp;"Q"&amp;ROUNDUP(MONTH(AW93)/3,0)</f>
        <v>2007Q2</v>
      </c>
      <c r="AV93" s="0" t="n">
        <f aca="false">YEAR(AW93)</f>
        <v>2007</v>
      </c>
      <c r="AW93" s="1304" t="n">
        <f aca="false">EOMONTH(AW92,0)+1</f>
        <v>39173</v>
      </c>
      <c r="AX93" s="112" t="n">
        <f aca="false">AY93</f>
        <v>2.75076872802954</v>
      </c>
      <c r="AY93" s="1323" t="n">
        <v>2.75076872802954</v>
      </c>
      <c r="AZ93" s="112" t="n">
        <f aca="false">AY93</f>
        <v>2.75076872802954</v>
      </c>
      <c r="BA93" s="163" t="n">
        <v>1</v>
      </c>
      <c r="BB93" s="163" t="n">
        <v>1</v>
      </c>
      <c r="BC93" s="163" t="n">
        <v>1</v>
      </c>
      <c r="BD93" s="163" t="n">
        <v>0</v>
      </c>
      <c r="BE93" s="163"/>
      <c r="BF93" s="163" t="n">
        <v>0</v>
      </c>
      <c r="BG93" s="1290" t="n">
        <v>0</v>
      </c>
      <c r="BH93" s="1262"/>
      <c r="BI93" s="1292"/>
      <c r="BJ93" s="1262"/>
      <c r="BK93" s="1293" t="n">
        <v>0</v>
      </c>
      <c r="BL93" s="1294" t="n">
        <f aca="false">+AY93</f>
        <v>2.75076872802954</v>
      </c>
      <c r="BM93" s="1295" t="n">
        <f aca="false">AY93</f>
        <v>2.75076872802954</v>
      </c>
      <c r="BN93" s="1324" t="n">
        <f aca="false">+BM93/BM81-1</f>
        <v>0.0307517848379972</v>
      </c>
      <c r="BO93" s="1296" t="n">
        <v>2.4</v>
      </c>
      <c r="BQ93" s="1298" t="n">
        <f aca="false">VLOOKUP($AW93,$BU$8:$BZ$291,5,FALSE())</f>
        <v>2.86711186609342</v>
      </c>
      <c r="BR93" s="1298" t="n">
        <f aca="false">VLOOKUP($AW93,$BU$8:$BZ$291,6,FALSE())</f>
        <v>2.44582067591594</v>
      </c>
      <c r="BS93" s="1262" t="n">
        <v>0</v>
      </c>
      <c r="BU93" s="1309" t="n">
        <f aca="false">EDATE(BU92,1)</f>
        <v>38749</v>
      </c>
      <c r="BV93" s="1310" t="n">
        <v>2.48129642278581</v>
      </c>
      <c r="BW93" s="1310" t="n">
        <v>2.16538880703669</v>
      </c>
      <c r="BX93" s="1310"/>
      <c r="BY93" s="1310" t="n">
        <v>2.90723423080436</v>
      </c>
      <c r="BZ93" s="1311" t="n">
        <v>2.53709810928185</v>
      </c>
    </row>
    <row r="94" customFormat="false" ht="12.75" hidden="false" customHeight="false" outlineLevel="0" collapsed="false">
      <c r="A94" s="1246"/>
      <c r="B94" s="1312" t="n">
        <v>38169</v>
      </c>
      <c r="C94" s="1313" t="n">
        <v>39.4995354205572</v>
      </c>
      <c r="D94" s="1313"/>
      <c r="E94" s="1313"/>
      <c r="F94" s="1287"/>
      <c r="G94" s="1313"/>
      <c r="H94" s="1313"/>
      <c r="I94" s="1313"/>
      <c r="J94" s="1253"/>
      <c r="K94" s="1254" t="n">
        <v>39052</v>
      </c>
      <c r="L94" s="1314" t="n">
        <v>0</v>
      </c>
      <c r="M94" s="1314" t="n">
        <v>0</v>
      </c>
      <c r="N94" s="1314" t="n">
        <v>0</v>
      </c>
      <c r="O94" s="1252"/>
      <c r="P94" s="1314" t="n">
        <v>0</v>
      </c>
      <c r="Q94" s="1314" t="n">
        <v>0</v>
      </c>
      <c r="R94" s="1314" t="n">
        <v>0</v>
      </c>
      <c r="S94" s="1252"/>
      <c r="T94" s="1314" t="n">
        <v>0</v>
      </c>
      <c r="U94" s="1314" t="n">
        <v>0</v>
      </c>
      <c r="V94" s="1314" t="n">
        <v>0</v>
      </c>
      <c r="W94" s="1252"/>
      <c r="X94" s="1314" t="n">
        <v>0</v>
      </c>
      <c r="Y94" s="1314" t="n">
        <v>0</v>
      </c>
      <c r="Z94" s="1314" t="n">
        <v>0</v>
      </c>
      <c r="AA94" s="1252" t="n">
        <v>0</v>
      </c>
      <c r="AB94" s="1314" t="n">
        <v>0</v>
      </c>
      <c r="AC94" s="1314" t="n">
        <v>0</v>
      </c>
      <c r="AD94" s="1314" t="n">
        <v>0</v>
      </c>
      <c r="AE94" s="1252"/>
      <c r="AF94" s="1314" t="n">
        <v>0</v>
      </c>
      <c r="AG94" s="1314" t="n">
        <v>0</v>
      </c>
      <c r="AH94" s="1314" t="n">
        <v>0</v>
      </c>
      <c r="AI94" s="1252"/>
      <c r="AJ94" s="1314" t="n">
        <v>0</v>
      </c>
      <c r="AK94" s="1314" t="n">
        <v>0</v>
      </c>
      <c r="AL94" s="1314" t="n">
        <v>0</v>
      </c>
      <c r="AM94" s="1166"/>
      <c r="AN94" s="1253" t="n">
        <v>29</v>
      </c>
      <c r="AO94" s="1316" t="n">
        <v>0.35</v>
      </c>
      <c r="AP94" s="1252"/>
      <c r="AQ94" s="0"/>
      <c r="AR94" s="0"/>
      <c r="AS94" s="0"/>
      <c r="AT94" s="0" t="n">
        <v>1</v>
      </c>
      <c r="AU94" s="0" t="str">
        <f aca="false">AV94&amp;"Q"&amp;ROUNDUP(MONTH(AW94)/3,0)</f>
        <v>2007Q2</v>
      </c>
      <c r="AV94" s="0" t="n">
        <f aca="false">YEAR(AW94)</f>
        <v>2007</v>
      </c>
      <c r="AW94" s="1304" t="n">
        <f aca="false">EOMONTH(AW93,0)+1</f>
        <v>39203</v>
      </c>
      <c r="AX94" s="112" t="n">
        <f aca="false">AY94</f>
        <v>2.7300232811897</v>
      </c>
      <c r="AY94" s="1323" t="n">
        <v>2.7300232811897</v>
      </c>
      <c r="AZ94" s="112" t="n">
        <f aca="false">AY94</f>
        <v>2.7300232811897</v>
      </c>
      <c r="BA94" s="163" t="n">
        <v>1</v>
      </c>
      <c r="BB94" s="163" t="n">
        <v>1</v>
      </c>
      <c r="BC94" s="163" t="n">
        <v>1</v>
      </c>
      <c r="BD94" s="163" t="n">
        <v>0</v>
      </c>
      <c r="BE94" s="163"/>
      <c r="BF94" s="163" t="n">
        <v>0</v>
      </c>
      <c r="BG94" s="1290" t="n">
        <v>0</v>
      </c>
      <c r="BH94" s="1262"/>
      <c r="BI94" s="1292"/>
      <c r="BJ94" s="1262"/>
      <c r="BK94" s="1293" t="n">
        <v>0</v>
      </c>
      <c r="BL94" s="1294" t="n">
        <f aca="false">+AY94</f>
        <v>2.7300232811897</v>
      </c>
      <c r="BM94" s="1295" t="n">
        <f aca="false">AY94</f>
        <v>2.7300232811897</v>
      </c>
      <c r="BN94" s="1324" t="n">
        <f aca="false">+BM94/BM82-1</f>
        <v>0.030751784837997</v>
      </c>
      <c r="BO94" s="1296" t="n">
        <v>2.4</v>
      </c>
      <c r="BQ94" s="1298" t="n">
        <f aca="false">VLOOKUP($AW94,$BU$8:$BZ$291,5,FALSE())</f>
        <v>2.84056739193215</v>
      </c>
      <c r="BR94" s="1298" t="n">
        <f aca="false">VLOOKUP($AW94,$BU$8:$BZ$291,6,FALSE())</f>
        <v>2.41572001509543</v>
      </c>
      <c r="BS94" s="1262" t="n">
        <v>0</v>
      </c>
      <c r="BU94" s="1309" t="n">
        <f aca="false">EDATE(BU93,1)</f>
        <v>38777</v>
      </c>
      <c r="BV94" s="1310" t="n">
        <v>2.40762221754286</v>
      </c>
      <c r="BW94" s="1310" t="n">
        <v>2.05789545018797</v>
      </c>
      <c r="BX94" s="1310"/>
      <c r="BY94" s="1310" t="n">
        <v>2.82091315709357</v>
      </c>
      <c r="BZ94" s="1311" t="n">
        <v>2.41115250933461</v>
      </c>
    </row>
    <row r="95" customFormat="false" ht="12.75" hidden="false" customHeight="false" outlineLevel="0" collapsed="false">
      <c r="A95" s="1246"/>
      <c r="B95" s="1312" t="n">
        <v>38200</v>
      </c>
      <c r="C95" s="1313" t="n">
        <v>47.5090353615766</v>
      </c>
      <c r="D95" s="1313"/>
      <c r="E95" s="1313"/>
      <c r="F95" s="1287"/>
      <c r="G95" s="1313"/>
      <c r="H95" s="1313"/>
      <c r="I95" s="1313"/>
      <c r="J95" s="1253"/>
      <c r="K95" s="1254" t="n">
        <v>39083</v>
      </c>
      <c r="L95" s="1314" t="n">
        <v>0</v>
      </c>
      <c r="M95" s="1314" t="n">
        <v>0</v>
      </c>
      <c r="N95" s="1314" t="n">
        <v>0</v>
      </c>
      <c r="O95" s="1252"/>
      <c r="P95" s="1314" t="n">
        <v>0</v>
      </c>
      <c r="Q95" s="1314" t="n">
        <v>0</v>
      </c>
      <c r="R95" s="1314" t="n">
        <v>0</v>
      </c>
      <c r="S95" s="1252"/>
      <c r="T95" s="1314" t="n">
        <v>0</v>
      </c>
      <c r="U95" s="1314" t="n">
        <v>0</v>
      </c>
      <c r="V95" s="1314" t="n">
        <v>0</v>
      </c>
      <c r="W95" s="1252"/>
      <c r="X95" s="1314" t="n">
        <v>0</v>
      </c>
      <c r="Y95" s="1314" t="n">
        <v>0</v>
      </c>
      <c r="Z95" s="1314" t="n">
        <v>0</v>
      </c>
      <c r="AA95" s="1252" t="n">
        <v>0</v>
      </c>
      <c r="AB95" s="1314" t="n">
        <v>0</v>
      </c>
      <c r="AC95" s="1314" t="n">
        <v>0</v>
      </c>
      <c r="AD95" s="1314" t="n">
        <v>0</v>
      </c>
      <c r="AE95" s="1252"/>
      <c r="AF95" s="1314" t="n">
        <v>0</v>
      </c>
      <c r="AG95" s="1314" t="n">
        <v>0</v>
      </c>
      <c r="AH95" s="1314" t="n">
        <v>0</v>
      </c>
      <c r="AI95" s="1252"/>
      <c r="AJ95" s="1314" t="n">
        <v>0</v>
      </c>
      <c r="AK95" s="1314" t="n">
        <v>0</v>
      </c>
      <c r="AL95" s="1314" t="n">
        <v>0</v>
      </c>
      <c r="AM95" s="1166"/>
      <c r="AN95" s="1253" t="n">
        <v>29</v>
      </c>
      <c r="AO95" s="1316" t="n">
        <v>0.35</v>
      </c>
      <c r="AP95" s="1252"/>
      <c r="AQ95" s="0"/>
      <c r="AR95" s="0"/>
      <c r="AS95" s="0"/>
      <c r="AT95" s="0" t="n">
        <v>1</v>
      </c>
      <c r="AU95" s="0" t="str">
        <f aca="false">AV95&amp;"Q"&amp;ROUNDUP(MONTH(AW95)/3,0)</f>
        <v>2007Q2</v>
      </c>
      <c r="AV95" s="0" t="n">
        <f aca="false">YEAR(AW95)</f>
        <v>2007</v>
      </c>
      <c r="AW95" s="1304" t="n">
        <f aca="false">EOMONTH(AW94,0)+1</f>
        <v>39234</v>
      </c>
      <c r="AX95" s="112" t="n">
        <f aca="false">AY95</f>
        <v>2.76300038633024</v>
      </c>
      <c r="AY95" s="1323" t="n">
        <v>2.76300038633024</v>
      </c>
      <c r="AZ95" s="112" t="n">
        <f aca="false">AY95</f>
        <v>2.76300038633024</v>
      </c>
      <c r="BA95" s="163" t="n">
        <v>1</v>
      </c>
      <c r="BB95" s="163" t="n">
        <v>1</v>
      </c>
      <c r="BC95" s="163" t="n">
        <v>1</v>
      </c>
      <c r="BD95" s="163" t="n">
        <v>0</v>
      </c>
      <c r="BE95" s="163"/>
      <c r="BF95" s="163" t="n">
        <v>0</v>
      </c>
      <c r="BG95" s="1290" t="n">
        <v>0</v>
      </c>
      <c r="BH95" s="1262"/>
      <c r="BI95" s="1292"/>
      <c r="BJ95" s="1262"/>
      <c r="BK95" s="1293" t="n">
        <v>0</v>
      </c>
      <c r="BL95" s="1294" t="n">
        <f aca="false">+AY95</f>
        <v>2.76300038633024</v>
      </c>
      <c r="BM95" s="1295" t="n">
        <f aca="false">AY95</f>
        <v>2.76300038633024</v>
      </c>
      <c r="BN95" s="1324" t="n">
        <f aca="false">+BM95/BM83-1</f>
        <v>0.030751784837997</v>
      </c>
      <c r="BO95" s="1296" t="n">
        <v>2.4</v>
      </c>
      <c r="BQ95" s="1298" t="n">
        <f aca="false">VLOOKUP($AW95,$BU$8:$BZ$291,5,FALSE())</f>
        <v>2.84550589875285</v>
      </c>
      <c r="BR95" s="1298" t="n">
        <f aca="false">VLOOKUP($AW95,$BU$8:$BZ$291,6,FALSE())</f>
        <v>2.42367113304802</v>
      </c>
      <c r="BS95" s="1262" t="n">
        <v>0</v>
      </c>
      <c r="BU95" s="1309" t="n">
        <f aca="false">EDATE(BU94,1)</f>
        <v>38808</v>
      </c>
      <c r="BV95" s="1310" t="n">
        <v>2.35986100862674</v>
      </c>
      <c r="BW95" s="1310" t="n">
        <v>1.99534543650444</v>
      </c>
      <c r="BX95" s="1310"/>
      <c r="BY95" s="1310" t="n">
        <v>2.76495328861899</v>
      </c>
      <c r="BZ95" s="1311" t="n">
        <v>2.33786519902049</v>
      </c>
    </row>
    <row r="96" customFormat="false" ht="12.75" hidden="false" customHeight="false" outlineLevel="0" collapsed="false">
      <c r="A96" s="1246"/>
      <c r="B96" s="1312" t="n">
        <v>38231</v>
      </c>
      <c r="C96" s="1313" t="n">
        <v>42.4181365366765</v>
      </c>
      <c r="D96" s="1313"/>
      <c r="E96" s="1313"/>
      <c r="F96" s="1287"/>
      <c r="G96" s="1313"/>
      <c r="H96" s="1313"/>
      <c r="I96" s="1313"/>
      <c r="J96" s="1253"/>
      <c r="K96" s="1254" t="n">
        <v>39114</v>
      </c>
      <c r="L96" s="1314" t="n">
        <v>0</v>
      </c>
      <c r="M96" s="1314" t="n">
        <v>0</v>
      </c>
      <c r="N96" s="1314" t="n">
        <v>0</v>
      </c>
      <c r="O96" s="1252"/>
      <c r="P96" s="1314" t="n">
        <v>0</v>
      </c>
      <c r="Q96" s="1314" t="n">
        <v>0</v>
      </c>
      <c r="R96" s="1314" t="n">
        <v>0</v>
      </c>
      <c r="S96" s="1252"/>
      <c r="T96" s="1314" t="n">
        <v>0</v>
      </c>
      <c r="U96" s="1314" t="n">
        <v>0</v>
      </c>
      <c r="V96" s="1314" t="n">
        <v>0</v>
      </c>
      <c r="W96" s="1252"/>
      <c r="X96" s="1314" t="n">
        <v>0</v>
      </c>
      <c r="Y96" s="1314" t="n">
        <v>0</v>
      </c>
      <c r="Z96" s="1314" t="n">
        <v>0</v>
      </c>
      <c r="AA96" s="1252" t="n">
        <v>0</v>
      </c>
      <c r="AB96" s="1314" t="n">
        <v>0</v>
      </c>
      <c r="AC96" s="1314" t="n">
        <v>0</v>
      </c>
      <c r="AD96" s="1314" t="n">
        <v>0</v>
      </c>
      <c r="AE96" s="1252"/>
      <c r="AF96" s="1314" t="n">
        <v>0</v>
      </c>
      <c r="AG96" s="1314" t="n">
        <v>0</v>
      </c>
      <c r="AH96" s="1314" t="n">
        <v>0</v>
      </c>
      <c r="AI96" s="1252"/>
      <c r="AJ96" s="1314" t="n">
        <v>0</v>
      </c>
      <c r="AK96" s="1314" t="n">
        <v>0</v>
      </c>
      <c r="AL96" s="1314" t="n">
        <v>0</v>
      </c>
      <c r="AM96" s="1166"/>
      <c r="AN96" s="1253" t="n">
        <v>29</v>
      </c>
      <c r="AO96" s="1316" t="n">
        <v>0.35</v>
      </c>
      <c r="AP96" s="1252"/>
      <c r="AQ96" s="0"/>
      <c r="AR96" s="0"/>
      <c r="AS96" s="0"/>
      <c r="AT96" s="0" t="n">
        <v>1</v>
      </c>
      <c r="AU96" s="0" t="str">
        <f aca="false">AV96&amp;"Q"&amp;ROUNDUP(MONTH(AW96)/3,0)</f>
        <v>2007Q3</v>
      </c>
      <c r="AV96" s="0" t="n">
        <f aca="false">YEAR(AW96)</f>
        <v>2007</v>
      </c>
      <c r="AW96" s="1304" t="n">
        <f aca="false">EOMONTH(AW95,0)+1</f>
        <v>39264</v>
      </c>
      <c r="AX96" s="112" t="n">
        <f aca="false">AY96</f>
        <v>2.8384194945953</v>
      </c>
      <c r="AY96" s="1323" t="n">
        <v>2.8384194945953</v>
      </c>
      <c r="AZ96" s="112" t="n">
        <f aca="false">AY96</f>
        <v>2.8384194945953</v>
      </c>
      <c r="BA96" s="163" t="n">
        <v>1</v>
      </c>
      <c r="BB96" s="163" t="n">
        <v>1</v>
      </c>
      <c r="BC96" s="163" t="n">
        <v>1</v>
      </c>
      <c r="BD96" s="163" t="n">
        <v>0</v>
      </c>
      <c r="BE96" s="163"/>
      <c r="BF96" s="163" t="n">
        <v>0</v>
      </c>
      <c r="BG96" s="1290" t="n">
        <v>0</v>
      </c>
      <c r="BH96" s="1262"/>
      <c r="BI96" s="1292"/>
      <c r="BJ96" s="1262"/>
      <c r="BK96" s="1293" t="n">
        <v>0</v>
      </c>
      <c r="BL96" s="1294" t="n">
        <f aca="false">+AY96</f>
        <v>2.8384194945953</v>
      </c>
      <c r="BM96" s="1295" t="n">
        <f aca="false">AY96</f>
        <v>2.8384194945953</v>
      </c>
      <c r="BN96" s="1324" t="n">
        <f aca="false">+BM96/BM84-1</f>
        <v>0.030751784837997</v>
      </c>
      <c r="BO96" s="1296" t="n">
        <v>2.4</v>
      </c>
      <c r="BP96" s="1318" t="n">
        <f aca="false">+AY96/AY84-1</f>
        <v>0.030751784837997</v>
      </c>
      <c r="BQ96" s="1298" t="n">
        <f aca="false">VLOOKUP($AW96,$BU$8:$BZ$291,5,FALSE())</f>
        <v>2.88192738655552</v>
      </c>
      <c r="BR96" s="1298" t="n">
        <f aca="false">VLOOKUP($AW96,$BU$8:$BZ$291,6,FALSE())</f>
        <v>2.46115497482451</v>
      </c>
      <c r="BS96" s="1262" t="n">
        <v>0</v>
      </c>
      <c r="BU96" s="1309" t="n">
        <f aca="false">EDATE(BU95,1)</f>
        <v>38838</v>
      </c>
      <c r="BV96" s="1310" t="n">
        <v>2.33801279603745</v>
      </c>
      <c r="BW96" s="1310" t="n">
        <v>1.97078876446573</v>
      </c>
      <c r="BX96" s="1310"/>
      <c r="BY96" s="1310" t="n">
        <v>2.73935462538062</v>
      </c>
      <c r="BZ96" s="1311" t="n">
        <v>2.30909314386013</v>
      </c>
    </row>
    <row r="97" customFormat="false" ht="12.75" hidden="false" customHeight="false" outlineLevel="0" collapsed="false">
      <c r="A97" s="1246"/>
      <c r="B97" s="1312" t="n">
        <v>38261</v>
      </c>
      <c r="C97" s="1313" t="n">
        <v>38.0904400038293</v>
      </c>
      <c r="D97" s="1313"/>
      <c r="E97" s="1313"/>
      <c r="F97" s="1287"/>
      <c r="G97" s="1313"/>
      <c r="H97" s="1313"/>
      <c r="I97" s="1313"/>
      <c r="J97" s="1253"/>
      <c r="K97" s="1254" t="n">
        <v>39142</v>
      </c>
      <c r="L97" s="1314" t="n">
        <v>0</v>
      </c>
      <c r="M97" s="1314" t="n">
        <v>0</v>
      </c>
      <c r="N97" s="1314" t="n">
        <v>0</v>
      </c>
      <c r="O97" s="1252"/>
      <c r="P97" s="1314" t="n">
        <v>0</v>
      </c>
      <c r="Q97" s="1314" t="n">
        <v>0</v>
      </c>
      <c r="R97" s="1314" t="n">
        <v>0</v>
      </c>
      <c r="S97" s="1252"/>
      <c r="T97" s="1314" t="n">
        <v>0</v>
      </c>
      <c r="U97" s="1314" t="n">
        <v>0</v>
      </c>
      <c r="V97" s="1314" t="n">
        <v>0</v>
      </c>
      <c r="W97" s="1252"/>
      <c r="X97" s="1314" t="n">
        <v>0</v>
      </c>
      <c r="Y97" s="1314" t="n">
        <v>0</v>
      </c>
      <c r="Z97" s="1314" t="n">
        <v>0</v>
      </c>
      <c r="AA97" s="1252" t="n">
        <v>0</v>
      </c>
      <c r="AB97" s="1314" t="n">
        <v>0</v>
      </c>
      <c r="AC97" s="1314" t="n">
        <v>0</v>
      </c>
      <c r="AD97" s="1314" t="n">
        <v>0</v>
      </c>
      <c r="AE97" s="1252"/>
      <c r="AF97" s="1314" t="n">
        <v>0</v>
      </c>
      <c r="AG97" s="1314" t="n">
        <v>0</v>
      </c>
      <c r="AH97" s="1314" t="n">
        <v>0</v>
      </c>
      <c r="AI97" s="1252"/>
      <c r="AJ97" s="1314" t="n">
        <v>0</v>
      </c>
      <c r="AK97" s="1314" t="n">
        <v>0</v>
      </c>
      <c r="AL97" s="1314" t="n">
        <v>0</v>
      </c>
      <c r="AM97" s="1166"/>
      <c r="AN97" s="1253" t="n">
        <v>30</v>
      </c>
      <c r="AO97" s="1316" t="n">
        <v>0.35</v>
      </c>
      <c r="AP97" s="1252"/>
      <c r="AQ97" s="0"/>
      <c r="AR97" s="0"/>
      <c r="AS97" s="0"/>
      <c r="AT97" s="0" t="n">
        <v>1</v>
      </c>
      <c r="AU97" s="0" t="str">
        <f aca="false">AV97&amp;"Q"&amp;ROUNDUP(MONTH(AW97)/3,0)</f>
        <v>2007Q3</v>
      </c>
      <c r="AV97" s="0" t="n">
        <f aca="false">YEAR(AW97)</f>
        <v>2007</v>
      </c>
      <c r="AW97" s="1304" t="n">
        <f aca="false">EOMONTH(AW96,0)+1</f>
        <v>39295</v>
      </c>
      <c r="AX97" s="112" t="n">
        <f aca="false">AY97</f>
        <v>2.94553029200488</v>
      </c>
      <c r="AY97" s="1323" t="n">
        <v>2.94553029200488</v>
      </c>
      <c r="AZ97" s="112" t="n">
        <f aca="false">AY97</f>
        <v>2.94553029200488</v>
      </c>
      <c r="BA97" s="163" t="n">
        <v>1</v>
      </c>
      <c r="BB97" s="163" t="n">
        <v>1</v>
      </c>
      <c r="BC97" s="163" t="n">
        <v>1</v>
      </c>
      <c r="BD97" s="163" t="n">
        <v>0</v>
      </c>
      <c r="BE97" s="163"/>
      <c r="BF97" s="163" t="n">
        <v>0</v>
      </c>
      <c r="BG97" s="1290" t="n">
        <v>0</v>
      </c>
      <c r="BH97" s="1262"/>
      <c r="BI97" s="1292"/>
      <c r="BJ97" s="1262"/>
      <c r="BK97" s="1293" t="n">
        <v>0</v>
      </c>
      <c r="BL97" s="1294" t="n">
        <f aca="false">+AY97</f>
        <v>2.94553029200488</v>
      </c>
      <c r="BM97" s="1295" t="n">
        <f aca="false">AY97</f>
        <v>2.94553029200488</v>
      </c>
      <c r="BN97" s="1324" t="n">
        <f aca="false">+BM97/BM85-1</f>
        <v>0.030751784837997</v>
      </c>
      <c r="BO97" s="1296" t="n">
        <v>2.4</v>
      </c>
      <c r="BP97" s="1318" t="n">
        <f aca="false">+AY97/AY85-1</f>
        <v>0.030751784837997</v>
      </c>
      <c r="BQ97" s="1298" t="n">
        <f aca="false">VLOOKUP($AW97,$BU$8:$BZ$291,5,FALSE())</f>
        <v>2.94983185534017</v>
      </c>
      <c r="BR97" s="1298" t="n">
        <f aca="false">VLOOKUP($AW97,$BU$8:$BZ$291,6,FALSE())</f>
        <v>2.5196524854757</v>
      </c>
      <c r="BS97" s="1262" t="n">
        <v>0</v>
      </c>
      <c r="BU97" s="1309" t="n">
        <f aca="false">EDATE(BU96,1)</f>
        <v>38869</v>
      </c>
      <c r="BV97" s="1310" t="n">
        <v>2.342077579775</v>
      </c>
      <c r="BW97" s="1310" t="n">
        <v>1.97727543255143</v>
      </c>
      <c r="BX97" s="1310"/>
      <c r="BY97" s="1310" t="n">
        <v>2.74411716737846</v>
      </c>
      <c r="BZ97" s="1311" t="n">
        <v>2.31669330937419</v>
      </c>
    </row>
    <row r="98" customFormat="false" ht="12.75" hidden="false" customHeight="false" outlineLevel="0" collapsed="false">
      <c r="A98" s="1246"/>
      <c r="B98" s="1312" t="n">
        <v>38292</v>
      </c>
      <c r="C98" s="1313" t="n">
        <v>39.0439856946869</v>
      </c>
      <c r="D98" s="1313"/>
      <c r="E98" s="1313"/>
      <c r="F98" s="1287"/>
      <c r="G98" s="1313"/>
      <c r="H98" s="1313"/>
      <c r="I98" s="1313"/>
      <c r="J98" s="1253"/>
      <c r="K98" s="1254" t="n">
        <v>39173</v>
      </c>
      <c r="L98" s="1314" t="n">
        <v>0</v>
      </c>
      <c r="M98" s="1314" t="n">
        <v>0</v>
      </c>
      <c r="N98" s="1314" t="n">
        <v>0</v>
      </c>
      <c r="O98" s="1252"/>
      <c r="P98" s="1314" t="n">
        <v>0</v>
      </c>
      <c r="Q98" s="1314" t="n">
        <v>0</v>
      </c>
      <c r="R98" s="1314" t="n">
        <v>0</v>
      </c>
      <c r="S98" s="1252"/>
      <c r="T98" s="1314" t="n">
        <v>0</v>
      </c>
      <c r="U98" s="1314" t="n">
        <v>0</v>
      </c>
      <c r="V98" s="1314" t="n">
        <v>0</v>
      </c>
      <c r="W98" s="1252"/>
      <c r="X98" s="1314" t="n">
        <v>0</v>
      </c>
      <c r="Y98" s="1314" t="n">
        <v>0</v>
      </c>
      <c r="Z98" s="1314" t="n">
        <v>0</v>
      </c>
      <c r="AA98" s="1252" t="n">
        <v>0</v>
      </c>
      <c r="AB98" s="1314" t="n">
        <v>0</v>
      </c>
      <c r="AC98" s="1314" t="n">
        <v>0</v>
      </c>
      <c r="AD98" s="1314" t="n">
        <v>0</v>
      </c>
      <c r="AE98" s="1252"/>
      <c r="AF98" s="1314" t="n">
        <v>0</v>
      </c>
      <c r="AG98" s="1314" t="n">
        <v>0</v>
      </c>
      <c r="AH98" s="1314" t="n">
        <v>0</v>
      </c>
      <c r="AI98" s="1252"/>
      <c r="AJ98" s="1314" t="n">
        <v>0</v>
      </c>
      <c r="AK98" s="1314" t="n">
        <v>0</v>
      </c>
      <c r="AL98" s="1314" t="n">
        <v>0</v>
      </c>
      <c r="AM98" s="1166"/>
      <c r="AN98" s="1253" t="n">
        <v>30</v>
      </c>
      <c r="AO98" s="1316" t="n">
        <v>0.35</v>
      </c>
      <c r="AP98" s="1252"/>
      <c r="AQ98" s="0"/>
      <c r="AR98" s="0"/>
      <c r="AS98" s="0"/>
      <c r="AT98" s="0" t="n">
        <v>1</v>
      </c>
      <c r="AU98" s="0" t="str">
        <f aca="false">AV98&amp;"Q"&amp;ROUNDUP(MONTH(AW98)/3,0)</f>
        <v>2007Q3</v>
      </c>
      <c r="AV98" s="0" t="n">
        <f aca="false">YEAR(AW98)</f>
        <v>2007</v>
      </c>
      <c r="AW98" s="1304" t="n">
        <f aca="false">EOMONTH(AW97,0)+1</f>
        <v>39326</v>
      </c>
      <c r="AX98" s="112" t="n">
        <f aca="false">AY98</f>
        <v>3.07305620309471</v>
      </c>
      <c r="AY98" s="1323" t="n">
        <v>3.07305620309471</v>
      </c>
      <c r="AZ98" s="112" t="n">
        <f aca="false">AY98</f>
        <v>3.07305620309471</v>
      </c>
      <c r="BA98" s="163" t="n">
        <v>1</v>
      </c>
      <c r="BB98" s="163" t="n">
        <v>1</v>
      </c>
      <c r="BC98" s="163" t="n">
        <v>1</v>
      </c>
      <c r="BD98" s="163" t="n">
        <v>0</v>
      </c>
      <c r="BE98" s="163"/>
      <c r="BF98" s="163" t="n">
        <v>0</v>
      </c>
      <c r="BG98" s="1290" t="n">
        <v>0</v>
      </c>
      <c r="BH98" s="1262"/>
      <c r="BI98" s="1292"/>
      <c r="BJ98" s="1262"/>
      <c r="BK98" s="1293" t="n">
        <v>0</v>
      </c>
      <c r="BL98" s="1294" t="n">
        <f aca="false">+AY98</f>
        <v>3.07305620309471</v>
      </c>
      <c r="BM98" s="1295" t="n">
        <f aca="false">AY98</f>
        <v>3.07305620309471</v>
      </c>
      <c r="BN98" s="1324" t="n">
        <f aca="false">+BM98/BM86-1</f>
        <v>0.0307517848379972</v>
      </c>
      <c r="BO98" s="1296" t="n">
        <v>2.4</v>
      </c>
      <c r="BP98" s="1318" t="n">
        <f aca="false">+AY98/AY86-1</f>
        <v>0.0307517848379972</v>
      </c>
      <c r="BQ98" s="1298" t="n">
        <f aca="false">VLOOKUP($AW98,$BU$8:$BZ$291,5,FALSE())</f>
        <v>3.04921930510678</v>
      </c>
      <c r="BR98" s="1298" t="n">
        <f aca="false">VLOOKUP($AW98,$BU$8:$BZ$291,6,FALSE())</f>
        <v>2.59064461005238</v>
      </c>
      <c r="BS98" s="1262" t="n">
        <v>0</v>
      </c>
      <c r="BU98" s="1309" t="n">
        <f aca="false">EDATE(BU97,1)</f>
        <v>38899</v>
      </c>
      <c r="BV98" s="1310" t="n">
        <v>2.37205535983937</v>
      </c>
      <c r="BW98" s="1310" t="n">
        <v>2.00785543924115</v>
      </c>
      <c r="BX98" s="1310"/>
      <c r="BY98" s="1310" t="n">
        <v>2.7792409146125</v>
      </c>
      <c r="BZ98" s="1311" t="n">
        <v>2.35252266108332</v>
      </c>
    </row>
    <row r="99" customFormat="false" ht="12.75" hidden="false" customHeight="false" outlineLevel="0" collapsed="false">
      <c r="A99" s="1246"/>
      <c r="B99" s="1312" t="n">
        <v>38322</v>
      </c>
      <c r="C99" s="1313" t="n">
        <v>41.2062913416712</v>
      </c>
      <c r="D99" s="1313"/>
      <c r="E99" s="1313"/>
      <c r="F99" s="1287"/>
      <c r="G99" s="1313"/>
      <c r="H99" s="1313"/>
      <c r="I99" s="1313"/>
      <c r="J99" s="1253"/>
      <c r="K99" s="1254" t="n">
        <v>39203</v>
      </c>
      <c r="L99" s="1314" t="n">
        <v>0</v>
      </c>
      <c r="M99" s="1314" t="n">
        <v>0</v>
      </c>
      <c r="N99" s="1314" t="n">
        <v>0</v>
      </c>
      <c r="O99" s="1252"/>
      <c r="P99" s="1314" t="n">
        <v>0</v>
      </c>
      <c r="Q99" s="1314" t="n">
        <v>0</v>
      </c>
      <c r="R99" s="1314" t="n">
        <v>0</v>
      </c>
      <c r="S99" s="1252"/>
      <c r="T99" s="1314" t="n">
        <v>0</v>
      </c>
      <c r="U99" s="1314" t="n">
        <v>0</v>
      </c>
      <c r="V99" s="1314" t="n">
        <v>0</v>
      </c>
      <c r="W99" s="1252"/>
      <c r="X99" s="1314" t="n">
        <v>0</v>
      </c>
      <c r="Y99" s="1314" t="n">
        <v>0</v>
      </c>
      <c r="Z99" s="1314" t="n">
        <v>0</v>
      </c>
      <c r="AA99" s="1252" t="n">
        <v>0</v>
      </c>
      <c r="AB99" s="1314" t="n">
        <v>0</v>
      </c>
      <c r="AC99" s="1314" t="n">
        <v>0</v>
      </c>
      <c r="AD99" s="1314" t="n">
        <v>0</v>
      </c>
      <c r="AE99" s="1252"/>
      <c r="AF99" s="1314" t="n">
        <v>0</v>
      </c>
      <c r="AG99" s="1314" t="n">
        <v>0</v>
      </c>
      <c r="AH99" s="1314" t="n">
        <v>0</v>
      </c>
      <c r="AI99" s="1252"/>
      <c r="AJ99" s="1314" t="n">
        <v>0</v>
      </c>
      <c r="AK99" s="1314" t="n">
        <v>0</v>
      </c>
      <c r="AL99" s="1314" t="n">
        <v>0</v>
      </c>
      <c r="AM99" s="1166"/>
      <c r="AN99" s="1253" t="n">
        <v>30</v>
      </c>
      <c r="AO99" s="1316" t="n">
        <v>0.35</v>
      </c>
      <c r="AP99" s="1252"/>
      <c r="AQ99" s="0"/>
      <c r="AR99" s="0"/>
      <c r="AS99" s="0"/>
      <c r="AT99" s="0" t="n">
        <v>1</v>
      </c>
      <c r="AU99" s="0" t="str">
        <f aca="false">AV99&amp;"Q"&amp;ROUNDUP(MONTH(AW99)/3,0)</f>
        <v>2007Q4</v>
      </c>
      <c r="AV99" s="0" t="n">
        <f aca="false">YEAR(AW99)</f>
        <v>2007</v>
      </c>
      <c r="AW99" s="1304" t="n">
        <f aca="false">EOMONTH(AW98,0)+1</f>
        <v>39356</v>
      </c>
      <c r="AX99" s="112" t="n">
        <f aca="false">AY99</f>
        <v>3.20962102856149</v>
      </c>
      <c r="AY99" s="1323" t="n">
        <v>3.20962102856149</v>
      </c>
      <c r="AZ99" s="112" t="n">
        <f aca="false">AY99</f>
        <v>3.20962102856149</v>
      </c>
      <c r="BA99" s="163" t="n">
        <v>1</v>
      </c>
      <c r="BB99" s="163" t="n">
        <v>1</v>
      </c>
      <c r="BC99" s="163" t="n">
        <v>1</v>
      </c>
      <c r="BD99" s="163" t="n">
        <v>0</v>
      </c>
      <c r="BE99" s="163"/>
      <c r="BF99" s="163" t="n">
        <v>0</v>
      </c>
      <c r="BG99" s="1290" t="n">
        <v>0</v>
      </c>
      <c r="BH99" s="1262"/>
      <c r="BI99" s="1292"/>
      <c r="BJ99" s="1262"/>
      <c r="BK99" s="1293" t="n">
        <v>0</v>
      </c>
      <c r="BL99" s="1294" t="n">
        <f aca="false">+AY99</f>
        <v>3.20962102856149</v>
      </c>
      <c r="BM99" s="1295" t="n">
        <f aca="false">AY99</f>
        <v>3.20962102856149</v>
      </c>
      <c r="BN99" s="1324" t="n">
        <f aca="false">+BM99/BM87-1</f>
        <v>0.030751784837997</v>
      </c>
      <c r="BO99" s="1296" t="n">
        <v>2.4</v>
      </c>
      <c r="BP99" s="1318" t="n">
        <f aca="false">+AY99/AY87-1</f>
        <v>0.030751784837997</v>
      </c>
      <c r="BQ99" s="1298" t="n">
        <f aca="false">VLOOKUP($AW99,$BU$8:$BZ$291,5,FALSE())</f>
        <v>3.18008973585537</v>
      </c>
      <c r="BR99" s="1298" t="n">
        <f aca="false">VLOOKUP($AW99,$BU$8:$BZ$291,6,FALSE())</f>
        <v>2.66561229360536</v>
      </c>
      <c r="BS99" s="1262" t="n">
        <v>0</v>
      </c>
      <c r="BU99" s="1309" t="n">
        <f aca="false">EDATE(BU98,1)</f>
        <v>38930</v>
      </c>
      <c r="BV99" s="1310" t="n">
        <v>2.42794613623057</v>
      </c>
      <c r="BW99" s="1310" t="n">
        <v>2.05557878301451</v>
      </c>
      <c r="BX99" s="1310"/>
      <c r="BY99" s="1310" t="n">
        <v>2.84472586708275</v>
      </c>
      <c r="BZ99" s="1311" t="n">
        <v>2.40843816450817</v>
      </c>
    </row>
    <row r="100" customFormat="false" ht="12.75" hidden="false" customHeight="false" outlineLevel="0" collapsed="false">
      <c r="A100" s="1246"/>
      <c r="B100" s="1312" t="n">
        <v>38353</v>
      </c>
      <c r="C100" s="1313" t="n">
        <v>38.5009194921762</v>
      </c>
      <c r="D100" s="1313"/>
      <c r="E100" s="1313"/>
      <c r="F100" s="1287"/>
      <c r="G100" s="1313"/>
      <c r="H100" s="1313"/>
      <c r="I100" s="1313"/>
      <c r="J100" s="1253"/>
      <c r="K100" s="1254" t="n">
        <v>39234</v>
      </c>
      <c r="L100" s="1314" t="n">
        <v>0</v>
      </c>
      <c r="M100" s="1314" t="n">
        <v>0</v>
      </c>
      <c r="N100" s="1314" t="n">
        <v>0</v>
      </c>
      <c r="O100" s="1252"/>
      <c r="P100" s="1314" t="n">
        <v>0</v>
      </c>
      <c r="Q100" s="1314" t="n">
        <v>0</v>
      </c>
      <c r="R100" s="1314" t="n">
        <v>0</v>
      </c>
      <c r="S100" s="1252"/>
      <c r="T100" s="1314" t="n">
        <v>0</v>
      </c>
      <c r="U100" s="1314" t="n">
        <v>0</v>
      </c>
      <c r="V100" s="1314" t="n">
        <v>0</v>
      </c>
      <c r="W100" s="1252"/>
      <c r="X100" s="1314" t="n">
        <v>0</v>
      </c>
      <c r="Y100" s="1314" t="n">
        <v>0</v>
      </c>
      <c r="Z100" s="1314" t="n">
        <v>0</v>
      </c>
      <c r="AA100" s="1252" t="n">
        <v>0</v>
      </c>
      <c r="AB100" s="1314" t="n">
        <v>0</v>
      </c>
      <c r="AC100" s="1314" t="n">
        <v>0</v>
      </c>
      <c r="AD100" s="1314" t="n">
        <v>0</v>
      </c>
      <c r="AE100" s="1252"/>
      <c r="AF100" s="1314" t="n">
        <v>0</v>
      </c>
      <c r="AG100" s="1314" t="n">
        <v>0</v>
      </c>
      <c r="AH100" s="1314" t="n">
        <v>0</v>
      </c>
      <c r="AI100" s="1252"/>
      <c r="AJ100" s="1314" t="n">
        <v>0</v>
      </c>
      <c r="AK100" s="1314" t="n">
        <v>0</v>
      </c>
      <c r="AL100" s="1314" t="n">
        <v>0</v>
      </c>
      <c r="AM100" s="1166"/>
      <c r="AN100" s="1253" t="n">
        <v>31</v>
      </c>
      <c r="AO100" s="1316" t="n">
        <v>0.35</v>
      </c>
      <c r="AP100" s="1252"/>
      <c r="AQ100" s="0"/>
      <c r="AR100" s="0"/>
      <c r="AS100" s="0"/>
      <c r="AT100" s="0" t="n">
        <v>1</v>
      </c>
      <c r="AU100" s="0" t="str">
        <f aca="false">AV100&amp;"Q"&amp;ROUNDUP(MONTH(AW100)/3,0)</f>
        <v>2007Q4</v>
      </c>
      <c r="AV100" s="0" t="n">
        <f aca="false">YEAR(AW100)</f>
        <v>2007</v>
      </c>
      <c r="AW100" s="1304" t="n">
        <f aca="false">EOMONTH(AW99,0)+1</f>
        <v>39387</v>
      </c>
      <c r="AX100" s="112" t="n">
        <f aca="false">AY100</f>
        <v>3.3442876078548</v>
      </c>
      <c r="AY100" s="1323" t="n">
        <v>3.3442876078548</v>
      </c>
      <c r="AZ100" s="112" t="n">
        <f aca="false">AY100</f>
        <v>3.3442876078548</v>
      </c>
      <c r="BA100" s="163" t="n">
        <v>1</v>
      </c>
      <c r="BB100" s="163" t="n">
        <v>1</v>
      </c>
      <c r="BC100" s="163" t="n">
        <v>1</v>
      </c>
      <c r="BD100" s="163" t="n">
        <v>0</v>
      </c>
      <c r="BE100" s="163"/>
      <c r="BF100" s="163" t="n">
        <v>0</v>
      </c>
      <c r="BG100" s="1290" t="n">
        <v>0</v>
      </c>
      <c r="BH100" s="1262"/>
      <c r="BI100" s="1292"/>
      <c r="BJ100" s="1262"/>
      <c r="BK100" s="1293" t="n">
        <v>0</v>
      </c>
      <c r="BL100" s="1294" t="n">
        <f aca="false">+AY100</f>
        <v>3.3442876078548</v>
      </c>
      <c r="BM100" s="1295" t="n">
        <f aca="false">AY100</f>
        <v>3.3442876078548</v>
      </c>
      <c r="BN100" s="1324" t="n">
        <f aca="false">+BM100/BM88-1</f>
        <v>0.0307517848379972</v>
      </c>
      <c r="BO100" s="1296" t="n">
        <v>2.4</v>
      </c>
      <c r="BP100" s="1318" t="n">
        <f aca="false">+AY100/AY88-1</f>
        <v>0.0307517848379972</v>
      </c>
      <c r="BQ100" s="1298" t="n">
        <f aca="false">VLOOKUP($AW100,$BU$8:$BZ$291,5,FALSE())</f>
        <v>3.34244314758592</v>
      </c>
      <c r="BR100" s="1298" t="n">
        <f aca="false">VLOOKUP($AW100,$BU$8:$BZ$291,6,FALSE())</f>
        <v>2.73603648118543</v>
      </c>
      <c r="BS100" s="1262" t="n">
        <v>0</v>
      </c>
      <c r="BU100" s="1309" t="n">
        <f aca="false">EDATE(BU99,1)</f>
        <v>38961</v>
      </c>
      <c r="BV100" s="1310" t="n">
        <v>2.5097499089486</v>
      </c>
      <c r="BW100" s="1310" t="n">
        <v>2.1134954623511</v>
      </c>
      <c r="BX100" s="1310"/>
      <c r="BY100" s="1310" t="n">
        <v>2.94057202478921</v>
      </c>
      <c r="BZ100" s="1311" t="n">
        <v>2.47629678516939</v>
      </c>
    </row>
    <row r="101" customFormat="false" ht="12.75" hidden="false" customHeight="false" outlineLevel="0" collapsed="false">
      <c r="A101" s="1246"/>
      <c r="B101" s="1312" t="n">
        <v>38384</v>
      </c>
      <c r="C101" s="1313" t="n">
        <v>31.8746654514946</v>
      </c>
      <c r="D101" s="1313"/>
      <c r="E101" s="1313"/>
      <c r="F101" s="1287"/>
      <c r="G101" s="1313"/>
      <c r="H101" s="1313"/>
      <c r="I101" s="1313"/>
      <c r="J101" s="1253"/>
      <c r="K101" s="1254" t="n">
        <v>39264</v>
      </c>
      <c r="L101" s="1314" t="n">
        <v>0</v>
      </c>
      <c r="M101" s="1314" t="n">
        <v>0</v>
      </c>
      <c r="N101" s="1314" t="n">
        <v>0</v>
      </c>
      <c r="O101" s="1252"/>
      <c r="P101" s="1314" t="n">
        <v>0</v>
      </c>
      <c r="Q101" s="1314" t="n">
        <v>0</v>
      </c>
      <c r="R101" s="1314" t="n">
        <v>0</v>
      </c>
      <c r="S101" s="1252"/>
      <c r="T101" s="1314" t="n">
        <v>0</v>
      </c>
      <c r="U101" s="1314" t="n">
        <v>0</v>
      </c>
      <c r="V101" s="1314" t="n">
        <v>0</v>
      </c>
      <c r="W101" s="1252"/>
      <c r="X101" s="1314" t="n">
        <v>0</v>
      </c>
      <c r="Y101" s="1314" t="n">
        <v>0</v>
      </c>
      <c r="Z101" s="1314" t="n">
        <v>0</v>
      </c>
      <c r="AA101" s="1252" t="n">
        <v>0</v>
      </c>
      <c r="AB101" s="1314" t="n">
        <v>0</v>
      </c>
      <c r="AC101" s="1314" t="n">
        <v>0</v>
      </c>
      <c r="AD101" s="1314" t="n">
        <v>0</v>
      </c>
      <c r="AE101" s="1252"/>
      <c r="AF101" s="1314" t="n">
        <v>0</v>
      </c>
      <c r="AG101" s="1314" t="n">
        <v>0</v>
      </c>
      <c r="AH101" s="1314" t="n">
        <v>0</v>
      </c>
      <c r="AI101" s="1252"/>
      <c r="AJ101" s="1314" t="n">
        <v>0</v>
      </c>
      <c r="AK101" s="1314" t="n">
        <v>0</v>
      </c>
      <c r="AL101" s="1314" t="n">
        <v>0</v>
      </c>
      <c r="AM101" s="1166"/>
      <c r="AN101" s="1253" t="n">
        <v>31</v>
      </c>
      <c r="AO101" s="1316" t="n">
        <v>0.35</v>
      </c>
      <c r="AP101" s="1252"/>
      <c r="AQ101" s="0"/>
      <c r="AR101" s="0"/>
      <c r="AS101" s="0"/>
      <c r="AT101" s="0" t="n">
        <v>1</v>
      </c>
      <c r="AU101" s="0" t="str">
        <f aca="false">AV101&amp;"Q"&amp;ROUNDUP(MONTH(AW101)/3,0)</f>
        <v>2007Q4</v>
      </c>
      <c r="AV101" s="0" t="n">
        <f aca="false">YEAR(AW101)</f>
        <v>2007</v>
      </c>
      <c r="AW101" s="1304" t="n">
        <f aca="false">EOMONTH(AW100,0)+1</f>
        <v>39417</v>
      </c>
      <c r="AX101" s="112" t="n">
        <f aca="false">AY101</f>
        <v>3.48653721998445</v>
      </c>
      <c r="AY101" s="1323" t="n">
        <v>3.48653721998445</v>
      </c>
      <c r="AZ101" s="112" t="n">
        <f aca="false">AY101</f>
        <v>3.48653721998445</v>
      </c>
      <c r="BA101" s="163" t="n">
        <v>1</v>
      </c>
      <c r="BB101" s="163" t="n">
        <v>1</v>
      </c>
      <c r="BC101" s="163" t="n">
        <v>1</v>
      </c>
      <c r="BD101" s="163" t="n">
        <v>0</v>
      </c>
      <c r="BE101" s="163"/>
      <c r="BF101" s="163" t="n">
        <v>0</v>
      </c>
      <c r="BG101" s="1290" t="n">
        <v>0</v>
      </c>
      <c r="BH101" s="1262"/>
      <c r="BI101" s="1292"/>
      <c r="BJ101" s="1262"/>
      <c r="BK101" s="1293" t="n">
        <v>0</v>
      </c>
      <c r="BL101" s="1294" t="n">
        <f aca="false">+AY101</f>
        <v>3.48653721998445</v>
      </c>
      <c r="BM101" s="1295" t="n">
        <f aca="false">AY101</f>
        <v>3.48653721998445</v>
      </c>
      <c r="BN101" s="1324" t="n">
        <f aca="false">+BM101/BM89-1</f>
        <v>0.030751784837997</v>
      </c>
      <c r="BO101" s="1296" t="n">
        <v>2.4</v>
      </c>
      <c r="BP101" s="1318" t="n">
        <f aca="false">+AY101/AY89-1</f>
        <v>0.030751784837997</v>
      </c>
      <c r="BQ101" s="1298" t="n">
        <f aca="false">VLOOKUP($AW101,$BU$8:$BZ$291,5,FALSE())</f>
        <v>3.4130514488549</v>
      </c>
      <c r="BR101" s="1298" t="n">
        <f aca="false">VLOOKUP($AW101,$BU$8:$BZ$291,6,FALSE())</f>
        <v>2.79339811784339</v>
      </c>
      <c r="BS101" s="1262" t="n">
        <v>0</v>
      </c>
      <c r="BU101" s="1309" t="n">
        <f aca="false">EDATE(BU100,1)</f>
        <v>38991</v>
      </c>
      <c r="BV101" s="1310" t="n">
        <v>2.61746667799347</v>
      </c>
      <c r="BW101" s="1310" t="n">
        <v>2.17465547573055</v>
      </c>
      <c r="BX101" s="1310"/>
      <c r="BY101" s="1310" t="n">
        <v>3.06677938773188</v>
      </c>
      <c r="BZ101" s="1311" t="n">
        <v>2.54795548858764</v>
      </c>
    </row>
    <row r="102" customFormat="false" ht="12.75" hidden="false" customHeight="false" outlineLevel="0" collapsed="false">
      <c r="A102" s="1246"/>
      <c r="B102" s="1312" t="n">
        <v>38412</v>
      </c>
      <c r="C102" s="1313" t="n">
        <v>28.0578723946727</v>
      </c>
      <c r="D102" s="1313"/>
      <c r="E102" s="1313"/>
      <c r="F102" s="1287"/>
      <c r="G102" s="1313"/>
      <c r="H102" s="1313"/>
      <c r="I102" s="1313"/>
      <c r="J102" s="1253"/>
      <c r="K102" s="1254" t="n">
        <v>39295</v>
      </c>
      <c r="L102" s="1314" t="n">
        <v>0</v>
      </c>
      <c r="M102" s="1314" t="n">
        <v>0</v>
      </c>
      <c r="N102" s="1314" t="n">
        <v>0</v>
      </c>
      <c r="O102" s="1252"/>
      <c r="P102" s="1314" t="n">
        <v>0</v>
      </c>
      <c r="Q102" s="1314" t="n">
        <v>0</v>
      </c>
      <c r="R102" s="1314" t="n">
        <v>0</v>
      </c>
      <c r="S102" s="1252"/>
      <c r="T102" s="1314" t="n">
        <v>0</v>
      </c>
      <c r="U102" s="1314" t="n">
        <v>0</v>
      </c>
      <c r="V102" s="1314" t="n">
        <v>0</v>
      </c>
      <c r="W102" s="1252"/>
      <c r="X102" s="1314" t="n">
        <v>0</v>
      </c>
      <c r="Y102" s="1314" t="n">
        <v>0</v>
      </c>
      <c r="Z102" s="1314" t="n">
        <v>0</v>
      </c>
      <c r="AA102" s="1252" t="n">
        <v>0</v>
      </c>
      <c r="AB102" s="1314" t="n">
        <v>0</v>
      </c>
      <c r="AC102" s="1314" t="n">
        <v>0</v>
      </c>
      <c r="AD102" s="1314" t="n">
        <v>0</v>
      </c>
      <c r="AE102" s="1252"/>
      <c r="AF102" s="1314" t="n">
        <v>0</v>
      </c>
      <c r="AG102" s="1314" t="n">
        <v>0</v>
      </c>
      <c r="AH102" s="1314" t="n">
        <v>0</v>
      </c>
      <c r="AI102" s="1252"/>
      <c r="AJ102" s="1314" t="n">
        <v>0</v>
      </c>
      <c r="AK102" s="1314" t="n">
        <v>0</v>
      </c>
      <c r="AL102" s="1314" t="n">
        <v>0</v>
      </c>
      <c r="AM102" s="1166"/>
      <c r="AN102" s="1253" t="n">
        <v>31</v>
      </c>
      <c r="AO102" s="1316" t="n">
        <v>0.35</v>
      </c>
      <c r="AP102" s="1252"/>
      <c r="AQ102" s="0"/>
      <c r="AR102" s="0"/>
      <c r="AS102" s="0"/>
      <c r="AT102" s="0" t="n">
        <v>1</v>
      </c>
      <c r="AU102" s="0" t="str">
        <f aca="false">AV102&amp;"Q"&amp;ROUNDUP(MONTH(AW102)/3,0)</f>
        <v>2008Q1</v>
      </c>
      <c r="AV102" s="0" t="n">
        <f aca="false">YEAR(AW102)</f>
        <v>2008</v>
      </c>
      <c r="AW102" s="1304" t="n">
        <f aca="false">EOMONTH(AW101,0)+1</f>
        <v>39448</v>
      </c>
      <c r="AX102" s="112" t="n">
        <f aca="false">AY102</f>
        <v>3.3414363158302</v>
      </c>
      <c r="AY102" s="1323" t="n">
        <v>3.3414363158302</v>
      </c>
      <c r="AZ102" s="112" t="n">
        <f aca="false">AY102</f>
        <v>3.3414363158302</v>
      </c>
      <c r="BA102" s="163" t="n">
        <v>1</v>
      </c>
      <c r="BB102" s="163" t="n">
        <v>1</v>
      </c>
      <c r="BC102" s="163" t="n">
        <v>1</v>
      </c>
      <c r="BD102" s="163" t="n">
        <v>0</v>
      </c>
      <c r="BE102" s="163"/>
      <c r="BF102" s="163" t="n">
        <v>0</v>
      </c>
      <c r="BG102" s="1290" t="n">
        <v>0</v>
      </c>
      <c r="BH102" s="1262"/>
      <c r="BI102" s="1292"/>
      <c r="BJ102" s="1262"/>
      <c r="BK102" s="1293" t="n">
        <v>0</v>
      </c>
      <c r="BL102" s="1294" t="n">
        <f aca="false">+AY102</f>
        <v>3.3414363158302</v>
      </c>
      <c r="BM102" s="1295" t="n">
        <f aca="false">AY102</f>
        <v>3.3414363158302</v>
      </c>
      <c r="BN102" s="1324" t="n">
        <f aca="false">+BM102/BM90-1</f>
        <v>0.0298618978549314</v>
      </c>
      <c r="BO102" s="1296" t="n">
        <v>2.4</v>
      </c>
      <c r="BP102" s="1318" t="n">
        <f aca="false">+AY102/AY90-1</f>
        <v>0.0298618978549314</v>
      </c>
      <c r="BQ102" s="1298" t="n">
        <f aca="false">VLOOKUP($AW102,$BU$8:$BZ$291,5,FALSE())</f>
        <v>3.38489003539526</v>
      </c>
      <c r="BR102" s="1298" t="n">
        <f aca="false">VLOOKUP($AW102,$BU$8:$BZ$291,6,FALSE())</f>
        <v>2.97426279891715</v>
      </c>
      <c r="BS102" s="1262" t="n">
        <v>0</v>
      </c>
      <c r="BU102" s="1309" t="n">
        <f aca="false">EDATE(BU101,1)</f>
        <v>39022</v>
      </c>
      <c r="BV102" s="1310" t="n">
        <v>2.75109644336516</v>
      </c>
      <c r="BW102" s="1310" t="n">
        <v>2.23210882163245</v>
      </c>
      <c r="BX102" s="1310"/>
      <c r="BY102" s="1310" t="n">
        <v>3.22334795591076</v>
      </c>
      <c r="BZ102" s="1311" t="n">
        <v>2.61527124028358</v>
      </c>
    </row>
    <row r="103" customFormat="false" ht="12.75" hidden="false" customHeight="false" outlineLevel="0" collapsed="false">
      <c r="A103" s="1246"/>
      <c r="B103" s="1312" t="n">
        <v>38443</v>
      </c>
      <c r="C103" s="1313" t="n">
        <v>28.7944827902578</v>
      </c>
      <c r="D103" s="1313"/>
      <c r="E103" s="1313"/>
      <c r="F103" s="1287"/>
      <c r="G103" s="1313"/>
      <c r="H103" s="1313"/>
      <c r="I103" s="1313"/>
      <c r="J103" s="1253"/>
      <c r="K103" s="1254" t="n">
        <v>39326</v>
      </c>
      <c r="L103" s="1314" t="n">
        <v>0</v>
      </c>
      <c r="M103" s="1314" t="n">
        <v>0</v>
      </c>
      <c r="N103" s="1314" t="n">
        <v>0</v>
      </c>
      <c r="O103" s="1252"/>
      <c r="P103" s="1314" t="n">
        <v>0</v>
      </c>
      <c r="Q103" s="1314" t="n">
        <v>0</v>
      </c>
      <c r="R103" s="1314" t="n">
        <v>0</v>
      </c>
      <c r="S103" s="1252"/>
      <c r="T103" s="1314" t="n">
        <v>0</v>
      </c>
      <c r="U103" s="1314" t="n">
        <v>0</v>
      </c>
      <c r="V103" s="1314" t="n">
        <v>0</v>
      </c>
      <c r="W103" s="1252"/>
      <c r="X103" s="1314" t="n">
        <v>0</v>
      </c>
      <c r="Y103" s="1314" t="n">
        <v>0</v>
      </c>
      <c r="Z103" s="1314" t="n">
        <v>0</v>
      </c>
      <c r="AA103" s="1252" t="n">
        <v>0</v>
      </c>
      <c r="AB103" s="1314" t="n">
        <v>0</v>
      </c>
      <c r="AC103" s="1314" t="n">
        <v>0</v>
      </c>
      <c r="AD103" s="1314" t="n">
        <v>0</v>
      </c>
      <c r="AE103" s="1252"/>
      <c r="AF103" s="1314" t="n">
        <v>0</v>
      </c>
      <c r="AG103" s="1314" t="n">
        <v>0</v>
      </c>
      <c r="AH103" s="1314" t="n">
        <v>0</v>
      </c>
      <c r="AI103" s="1252"/>
      <c r="AJ103" s="1314" t="n">
        <v>0</v>
      </c>
      <c r="AK103" s="1314" t="n">
        <v>0</v>
      </c>
      <c r="AL103" s="1314" t="n">
        <v>0</v>
      </c>
      <c r="AM103" s="1166"/>
      <c r="AN103" s="1253" t="n">
        <v>32</v>
      </c>
      <c r="AO103" s="1316" t="n">
        <v>0.35</v>
      </c>
      <c r="AP103" s="1252"/>
      <c r="AQ103" s="0"/>
      <c r="AR103" s="0"/>
      <c r="AS103" s="0"/>
      <c r="AT103" s="0" t="n">
        <v>1</v>
      </c>
      <c r="AU103" s="0" t="str">
        <f aca="false">AV103&amp;"Q"&amp;ROUNDUP(MONTH(AW103)/3,0)</f>
        <v>2008Q1</v>
      </c>
      <c r="AV103" s="0" t="n">
        <f aca="false">YEAR(AW103)</f>
        <v>2008</v>
      </c>
      <c r="AW103" s="1304" t="n">
        <f aca="false">EOMONTH(AW102,0)+1</f>
        <v>39479</v>
      </c>
      <c r="AX103" s="112" t="n">
        <f aca="false">AY103</f>
        <v>3.08620816586511</v>
      </c>
      <c r="AY103" s="1323" t="n">
        <v>3.08620816586511</v>
      </c>
      <c r="AZ103" s="112" t="n">
        <f aca="false">AY103</f>
        <v>3.08620816586511</v>
      </c>
      <c r="BA103" s="163" t="n">
        <v>1</v>
      </c>
      <c r="BB103" s="163" t="n">
        <v>1</v>
      </c>
      <c r="BC103" s="163" t="n">
        <v>1</v>
      </c>
      <c r="BD103" s="163" t="n">
        <v>0</v>
      </c>
      <c r="BE103" s="163"/>
      <c r="BF103" s="163" t="n">
        <v>0</v>
      </c>
      <c r="BG103" s="1290" t="n">
        <v>0</v>
      </c>
      <c r="BH103" s="1262"/>
      <c r="BI103" s="1292"/>
      <c r="BJ103" s="1262"/>
      <c r="BK103" s="1293" t="n">
        <v>0</v>
      </c>
      <c r="BL103" s="1294" t="n">
        <f aca="false">+AY103</f>
        <v>3.08620816586511</v>
      </c>
      <c r="BM103" s="1295" t="n">
        <f aca="false">AY103</f>
        <v>3.08620816586511</v>
      </c>
      <c r="BN103" s="1324" t="n">
        <f aca="false">+BM103/BM91-1</f>
        <v>0.0298618978549314</v>
      </c>
      <c r="BO103" s="1296" t="n">
        <v>2.4</v>
      </c>
      <c r="BP103" s="1318" t="n">
        <f aca="false">+AY103/AY91-1</f>
        <v>0.0298618978549314</v>
      </c>
      <c r="BQ103" s="1298" t="n">
        <f aca="false">VLOOKUP($AW103,$BU$8:$BZ$291,5,FALSE())</f>
        <v>3.12948473422801</v>
      </c>
      <c r="BR103" s="1298" t="n">
        <f aca="false">VLOOKUP($AW103,$BU$8:$BZ$291,6,FALSE())</f>
        <v>2.77034722286782</v>
      </c>
      <c r="BS103" s="1262" t="n">
        <v>0</v>
      </c>
      <c r="BU103" s="1309" t="n">
        <f aca="false">EDATE(BU102,1)</f>
        <v>39052</v>
      </c>
      <c r="BV103" s="1310" t="n">
        <v>2.80921268885267</v>
      </c>
      <c r="BW103" s="1310" t="n">
        <v>2.27890549853642</v>
      </c>
      <c r="BX103" s="1310"/>
      <c r="BY103" s="1310" t="n">
        <v>3.29144040012483</v>
      </c>
      <c r="BZ103" s="1311" t="n">
        <v>2.67010100577785</v>
      </c>
    </row>
    <row r="104" customFormat="false" ht="12.75" hidden="false" customHeight="false" outlineLevel="0" collapsed="false">
      <c r="A104" s="1246"/>
      <c r="B104" s="1312" t="n">
        <v>38473</v>
      </c>
      <c r="C104" s="1313" t="n">
        <v>29.2415681968126</v>
      </c>
      <c r="D104" s="1313"/>
      <c r="E104" s="1313"/>
      <c r="F104" s="1287"/>
      <c r="G104" s="1313"/>
      <c r="H104" s="1313"/>
      <c r="I104" s="1313"/>
      <c r="J104" s="1253"/>
      <c r="K104" s="1254" t="n">
        <v>39356</v>
      </c>
      <c r="L104" s="1314" t="n">
        <v>0</v>
      </c>
      <c r="M104" s="1314" t="n">
        <v>0</v>
      </c>
      <c r="N104" s="1314" t="n">
        <v>0</v>
      </c>
      <c r="O104" s="1252"/>
      <c r="P104" s="1314" t="n">
        <v>0</v>
      </c>
      <c r="Q104" s="1314" t="n">
        <v>0</v>
      </c>
      <c r="R104" s="1314" t="n">
        <v>0</v>
      </c>
      <c r="S104" s="1252"/>
      <c r="T104" s="1314" t="n">
        <v>0</v>
      </c>
      <c r="U104" s="1314" t="n">
        <v>0</v>
      </c>
      <c r="V104" s="1314" t="n">
        <v>0</v>
      </c>
      <c r="W104" s="1252"/>
      <c r="X104" s="1314" t="n">
        <v>0</v>
      </c>
      <c r="Y104" s="1314" t="n">
        <v>0</v>
      </c>
      <c r="Z104" s="1314" t="n">
        <v>0</v>
      </c>
      <c r="AA104" s="1252" t="n">
        <v>0</v>
      </c>
      <c r="AB104" s="1314" t="n">
        <v>0</v>
      </c>
      <c r="AC104" s="1314" t="n">
        <v>0</v>
      </c>
      <c r="AD104" s="1314" t="n">
        <v>0</v>
      </c>
      <c r="AE104" s="1252"/>
      <c r="AF104" s="1314" t="n">
        <v>0</v>
      </c>
      <c r="AG104" s="1314" t="n">
        <v>0</v>
      </c>
      <c r="AH104" s="1314" t="n">
        <v>0</v>
      </c>
      <c r="AI104" s="1252"/>
      <c r="AJ104" s="1314" t="n">
        <v>0</v>
      </c>
      <c r="AK104" s="1314" t="n">
        <v>0</v>
      </c>
      <c r="AL104" s="1314" t="n">
        <v>0</v>
      </c>
      <c r="AM104" s="1166"/>
      <c r="AN104" s="1253" t="n">
        <v>32</v>
      </c>
      <c r="AO104" s="1316" t="n">
        <v>0.35</v>
      </c>
      <c r="AP104" s="1252"/>
      <c r="AQ104" s="0"/>
      <c r="AR104" s="0"/>
      <c r="AS104" s="0"/>
      <c r="AT104" s="0" t="n">
        <v>1</v>
      </c>
      <c r="AU104" s="0" t="str">
        <f aca="false">AV104&amp;"Q"&amp;ROUNDUP(MONTH(AW104)/3,0)</f>
        <v>2008Q1</v>
      </c>
      <c r="AV104" s="0" t="n">
        <f aca="false">YEAR(AW104)</f>
        <v>2008</v>
      </c>
      <c r="AW104" s="1304" t="n">
        <f aca="false">EOMONTH(AW103,0)+1</f>
        <v>39508</v>
      </c>
      <c r="AX104" s="112" t="n">
        <f aca="false">AY104</f>
        <v>2.92068822982677</v>
      </c>
      <c r="AY104" s="1323" t="n">
        <v>2.92068822982677</v>
      </c>
      <c r="AZ104" s="112" t="n">
        <f aca="false">AY104</f>
        <v>2.92068822982677</v>
      </c>
      <c r="BA104" s="163" t="n">
        <v>1</v>
      </c>
      <c r="BB104" s="163" t="n">
        <v>1</v>
      </c>
      <c r="BC104" s="163" t="n">
        <v>1</v>
      </c>
      <c r="BD104" s="163" t="n">
        <v>0</v>
      </c>
      <c r="BE104" s="163"/>
      <c r="BF104" s="163" t="n">
        <v>0</v>
      </c>
      <c r="BG104" s="1290" t="n">
        <v>0</v>
      </c>
      <c r="BH104" s="1262"/>
      <c r="BI104" s="1292"/>
      <c r="BJ104" s="1262"/>
      <c r="BK104" s="1293" t="n">
        <v>0</v>
      </c>
      <c r="BL104" s="1294" t="n">
        <f aca="false">+AY104</f>
        <v>2.92068822982677</v>
      </c>
      <c r="BM104" s="1295" t="n">
        <f aca="false">AY104</f>
        <v>2.92068822982677</v>
      </c>
      <c r="BN104" s="1324" t="n">
        <f aca="false">+BM104/BM92-1</f>
        <v>0.0299177350190272</v>
      </c>
      <c r="BO104" s="1296" t="n">
        <v>2.4</v>
      </c>
      <c r="BP104" s="1318" t="n">
        <f aca="false">+AY104/AY92-1</f>
        <v>0.0299177350190272</v>
      </c>
      <c r="BQ104" s="1298" t="n">
        <f aca="false">VLOOKUP($AW104,$BU$8:$BZ$291,5,FALSE())</f>
        <v>3.03656463870983</v>
      </c>
      <c r="BR104" s="1298" t="n">
        <f aca="false">VLOOKUP($AW104,$BU$8:$BZ$291,6,FALSE())</f>
        <v>2.632822764602</v>
      </c>
      <c r="BS104" s="1262" t="n">
        <v>0</v>
      </c>
      <c r="BU104" s="1309" t="n">
        <f aca="false">EDATE(BU103,1)</f>
        <v>39083</v>
      </c>
      <c r="BV104" s="1310" t="n">
        <v>2.72839373803598</v>
      </c>
      <c r="BW104" s="1310" t="n">
        <v>2.38443778777165</v>
      </c>
      <c r="BX104" s="1310"/>
      <c r="BY104" s="1310" t="n">
        <v>3.26068308060245</v>
      </c>
      <c r="BZ104" s="1311" t="n">
        <v>2.84962388050812</v>
      </c>
    </row>
    <row r="105" customFormat="false" ht="12.75" hidden="false" customHeight="false" outlineLevel="0" collapsed="false">
      <c r="A105" s="1246"/>
      <c r="B105" s="1312" t="n">
        <v>38504</v>
      </c>
      <c r="C105" s="1313" t="n">
        <v>27.3197779518007</v>
      </c>
      <c r="D105" s="1313"/>
      <c r="E105" s="1313"/>
      <c r="F105" s="1287"/>
      <c r="G105" s="1313"/>
      <c r="H105" s="1313"/>
      <c r="I105" s="1313"/>
      <c r="J105" s="1253"/>
      <c r="K105" s="1254" t="n">
        <v>39387</v>
      </c>
      <c r="L105" s="1314" t="n">
        <v>0</v>
      </c>
      <c r="M105" s="1314" t="n">
        <v>0</v>
      </c>
      <c r="N105" s="1314" t="n">
        <v>0</v>
      </c>
      <c r="O105" s="1252"/>
      <c r="P105" s="1314" t="n">
        <v>0</v>
      </c>
      <c r="Q105" s="1314" t="n">
        <v>0</v>
      </c>
      <c r="R105" s="1314" t="n">
        <v>0</v>
      </c>
      <c r="S105" s="1252"/>
      <c r="T105" s="1314" t="n">
        <v>0</v>
      </c>
      <c r="U105" s="1314" t="n">
        <v>0</v>
      </c>
      <c r="V105" s="1314" t="n">
        <v>0</v>
      </c>
      <c r="W105" s="1252"/>
      <c r="X105" s="1314" t="n">
        <v>0</v>
      </c>
      <c r="Y105" s="1314" t="n">
        <v>0</v>
      </c>
      <c r="Z105" s="1314" t="n">
        <v>0</v>
      </c>
      <c r="AA105" s="1252" t="n">
        <v>0</v>
      </c>
      <c r="AB105" s="1314" t="n">
        <v>0</v>
      </c>
      <c r="AC105" s="1314" t="n">
        <v>0</v>
      </c>
      <c r="AD105" s="1314" t="n">
        <v>0</v>
      </c>
      <c r="AE105" s="1252"/>
      <c r="AF105" s="1314" t="n">
        <v>0</v>
      </c>
      <c r="AG105" s="1314" t="n">
        <v>0</v>
      </c>
      <c r="AH105" s="1314" t="n">
        <v>0</v>
      </c>
      <c r="AI105" s="1252"/>
      <c r="AJ105" s="1314" t="n">
        <v>0</v>
      </c>
      <c r="AK105" s="1314" t="n">
        <v>0</v>
      </c>
      <c r="AL105" s="1314" t="n">
        <v>0</v>
      </c>
      <c r="AM105" s="1166"/>
      <c r="AN105" s="1253" t="n">
        <v>32</v>
      </c>
      <c r="AO105" s="1316" t="n">
        <v>0.35</v>
      </c>
      <c r="AP105" s="1252"/>
      <c r="AQ105" s="0"/>
      <c r="AR105" s="0"/>
      <c r="AS105" s="0"/>
      <c r="AT105" s="0" t="n">
        <v>1</v>
      </c>
      <c r="AU105" s="0" t="str">
        <f aca="false">AV105&amp;"Q"&amp;ROUNDUP(MONTH(AW105)/3,0)</f>
        <v>2008Q2</v>
      </c>
      <c r="AV105" s="0" t="n">
        <f aca="false">YEAR(AW105)</f>
        <v>2008</v>
      </c>
      <c r="AW105" s="1304" t="n">
        <f aca="false">EOMONTH(AW104,0)+1</f>
        <v>39539</v>
      </c>
      <c r="AX105" s="112" t="n">
        <f aca="false">AY105</f>
        <v>2.83306549793335</v>
      </c>
      <c r="AY105" s="1323" t="n">
        <v>2.83306549793335</v>
      </c>
      <c r="AZ105" s="112" t="n">
        <f aca="false">AY105</f>
        <v>2.83306549793335</v>
      </c>
      <c r="BA105" s="163" t="n">
        <v>1</v>
      </c>
      <c r="BB105" s="163" t="n">
        <v>1</v>
      </c>
      <c r="BC105" s="163" t="n">
        <v>1</v>
      </c>
      <c r="BD105" s="163" t="n">
        <v>0</v>
      </c>
      <c r="BE105" s="163"/>
      <c r="BF105" s="163" t="n">
        <v>0</v>
      </c>
      <c r="BG105" s="1290" t="n">
        <v>0</v>
      </c>
      <c r="BH105" s="1262"/>
      <c r="BI105" s="1292"/>
      <c r="BJ105" s="1262"/>
      <c r="BK105" s="1293" t="n">
        <v>0</v>
      </c>
      <c r="BL105" s="1294" t="n">
        <f aca="false">+AY105</f>
        <v>2.83306549793335</v>
      </c>
      <c r="BM105" s="1295" t="n">
        <f aca="false">AY105</f>
        <v>2.83306549793335</v>
      </c>
      <c r="BN105" s="1324" t="n">
        <f aca="false">+BM105/BM93-1</f>
        <v>0.0299177350190274</v>
      </c>
      <c r="BO105" s="1296" t="n">
        <v>2.4</v>
      </c>
      <c r="BP105" s="1318" t="n">
        <f aca="false">+AY105/AY93-1</f>
        <v>0.0299177350190274</v>
      </c>
      <c r="BQ105" s="1298" t="n">
        <f aca="false">VLOOKUP($AW105,$BU$8:$BZ$291,5,FALSE())</f>
        <v>2.97632678368424</v>
      </c>
      <c r="BR105" s="1298" t="n">
        <f aca="false">VLOOKUP($AW105,$BU$8:$BZ$291,6,FALSE())</f>
        <v>2.55279775655939</v>
      </c>
      <c r="BS105" s="1262" t="n">
        <v>0</v>
      </c>
      <c r="BU105" s="1309" t="n">
        <f aca="false">EDATE(BU104,1)</f>
        <v>39114</v>
      </c>
      <c r="BV105" s="1310" t="n">
        <v>2.52252405923428</v>
      </c>
      <c r="BW105" s="1310" t="n">
        <v>2.22096063799717</v>
      </c>
      <c r="BX105" s="1310"/>
      <c r="BY105" s="1310" t="n">
        <v>3.01464975736187</v>
      </c>
      <c r="BZ105" s="1311" t="n">
        <v>2.65425355367309</v>
      </c>
    </row>
    <row r="106" customFormat="false" ht="12.75" hidden="false" customHeight="false" outlineLevel="0" collapsed="false">
      <c r="A106" s="1246"/>
      <c r="B106" s="1312" t="n">
        <v>38534</v>
      </c>
      <c r="C106" s="1313" t="n">
        <v>40.5028981551525</v>
      </c>
      <c r="D106" s="1313"/>
      <c r="E106" s="1313"/>
      <c r="F106" s="1287"/>
      <c r="G106" s="1313"/>
      <c r="H106" s="1313"/>
      <c r="I106" s="1313"/>
      <c r="J106" s="1253"/>
      <c r="K106" s="1254" t="n">
        <v>39417</v>
      </c>
      <c r="L106" s="1314" t="n">
        <v>0</v>
      </c>
      <c r="M106" s="1314" t="n">
        <v>0</v>
      </c>
      <c r="N106" s="1314" t="n">
        <v>0</v>
      </c>
      <c r="O106" s="1252"/>
      <c r="P106" s="1314" t="n">
        <v>0</v>
      </c>
      <c r="Q106" s="1314" t="n">
        <v>0</v>
      </c>
      <c r="R106" s="1314" t="n">
        <v>0</v>
      </c>
      <c r="S106" s="1252"/>
      <c r="T106" s="1314" t="n">
        <v>0</v>
      </c>
      <c r="U106" s="1314" t="n">
        <v>0</v>
      </c>
      <c r="V106" s="1314" t="n">
        <v>0</v>
      </c>
      <c r="W106" s="1252"/>
      <c r="X106" s="1314" t="n">
        <v>0</v>
      </c>
      <c r="Y106" s="1314" t="n">
        <v>0</v>
      </c>
      <c r="Z106" s="1314" t="n">
        <v>0</v>
      </c>
      <c r="AA106" s="1252" t="n">
        <v>0</v>
      </c>
      <c r="AB106" s="1314" t="n">
        <v>0</v>
      </c>
      <c r="AC106" s="1314" t="n">
        <v>0</v>
      </c>
      <c r="AD106" s="1314" t="n">
        <v>0</v>
      </c>
      <c r="AE106" s="1252"/>
      <c r="AF106" s="1314" t="n">
        <v>0</v>
      </c>
      <c r="AG106" s="1314" t="n">
        <v>0</v>
      </c>
      <c r="AH106" s="1314" t="n">
        <v>0</v>
      </c>
      <c r="AI106" s="1252"/>
      <c r="AJ106" s="1314" t="n">
        <v>0</v>
      </c>
      <c r="AK106" s="1314" t="n">
        <v>0</v>
      </c>
      <c r="AL106" s="1314" t="n">
        <v>0</v>
      </c>
      <c r="AM106" s="1166"/>
      <c r="AN106" s="1253" t="n">
        <v>33</v>
      </c>
      <c r="AO106" s="1316" t="n">
        <v>0.35</v>
      </c>
      <c r="AP106" s="1252"/>
      <c r="AQ106" s="0"/>
      <c r="AR106" s="0"/>
      <c r="AS106" s="0"/>
      <c r="AT106" s="0" t="n">
        <v>1</v>
      </c>
      <c r="AU106" s="0" t="str">
        <f aca="false">AV106&amp;"Q"&amp;ROUNDUP(MONTH(AW106)/3,0)</f>
        <v>2008Q2</v>
      </c>
      <c r="AV106" s="0" t="n">
        <f aca="false">YEAR(AW106)</f>
        <v>2008</v>
      </c>
      <c r="AW106" s="1304" t="n">
        <f aca="false">EOMONTH(AW105,0)+1</f>
        <v>39569</v>
      </c>
      <c r="AX106" s="112" t="n">
        <f aca="false">AY106</f>
        <v>2.81169939431211</v>
      </c>
      <c r="AY106" s="1323" t="n">
        <v>2.81169939431211</v>
      </c>
      <c r="AZ106" s="112" t="n">
        <f aca="false">AY106</f>
        <v>2.81169939431211</v>
      </c>
      <c r="BA106" s="163" t="n">
        <v>1</v>
      </c>
      <c r="BB106" s="163" t="n">
        <v>1</v>
      </c>
      <c r="BC106" s="163" t="n">
        <v>1</v>
      </c>
      <c r="BD106" s="163" t="n">
        <v>0</v>
      </c>
      <c r="BE106" s="163"/>
      <c r="BF106" s="163" t="n">
        <v>0</v>
      </c>
      <c r="BG106" s="1290" t="n">
        <v>0</v>
      </c>
      <c r="BH106" s="1262"/>
      <c r="BI106" s="1292"/>
      <c r="BJ106" s="1262"/>
      <c r="BK106" s="1293" t="n">
        <v>0</v>
      </c>
      <c r="BL106" s="1294" t="n">
        <f aca="false">+AY106</f>
        <v>2.81169939431211</v>
      </c>
      <c r="BM106" s="1295" t="n">
        <f aca="false">AY106</f>
        <v>2.81169939431211</v>
      </c>
      <c r="BN106" s="1324" t="n">
        <f aca="false">+BM106/BM94-1</f>
        <v>0.0299177350190274</v>
      </c>
      <c r="BO106" s="1296" t="n">
        <v>2.4</v>
      </c>
      <c r="BP106" s="1318" t="n">
        <f aca="false">+AY106/AY94-1</f>
        <v>0.0299177350190274</v>
      </c>
      <c r="BQ106" s="1298" t="n">
        <f aca="false">VLOOKUP($AW106,$BU$8:$BZ$291,5,FALSE())</f>
        <v>2.94877116915126</v>
      </c>
      <c r="BR106" s="1298" t="n">
        <f aca="false">VLOOKUP($AW106,$BU$8:$BZ$291,6,FALSE())</f>
        <v>2.52138053117969</v>
      </c>
      <c r="BS106" s="1262" t="n">
        <v>0</v>
      </c>
      <c r="BU106" s="1309" t="n">
        <f aca="false">EDATE(BU105,1)</f>
        <v>39142</v>
      </c>
      <c r="BV106" s="1310" t="n">
        <v>2.44762573045595</v>
      </c>
      <c r="BW106" s="1310" t="n">
        <v>2.11070860675392</v>
      </c>
      <c r="BX106" s="1310"/>
      <c r="BY106" s="1310" t="n">
        <v>2.92513932123666</v>
      </c>
      <c r="BZ106" s="1311" t="n">
        <v>2.52249217045876</v>
      </c>
    </row>
    <row r="107" customFormat="false" ht="12.75" hidden="false" customHeight="false" outlineLevel="0" collapsed="false">
      <c r="A107" s="1246"/>
      <c r="B107" s="1312" t="n">
        <v>38565</v>
      </c>
      <c r="C107" s="1313" t="n">
        <v>57.0767705532304</v>
      </c>
      <c r="D107" s="1313"/>
      <c r="E107" s="1313"/>
      <c r="F107" s="1287"/>
      <c r="G107" s="1313"/>
      <c r="H107" s="1313"/>
      <c r="I107" s="1313"/>
      <c r="J107" s="1253"/>
      <c r="K107" s="1254" t="n">
        <v>39448</v>
      </c>
      <c r="L107" s="1314" t="n">
        <v>0</v>
      </c>
      <c r="M107" s="1314" t="n">
        <v>0</v>
      </c>
      <c r="N107" s="1314" t="n">
        <v>0</v>
      </c>
      <c r="O107" s="1252"/>
      <c r="P107" s="1314" t="n">
        <v>0</v>
      </c>
      <c r="Q107" s="1314" t="n">
        <v>0</v>
      </c>
      <c r="R107" s="1314" t="n">
        <v>0</v>
      </c>
      <c r="S107" s="1252"/>
      <c r="T107" s="1314" t="n">
        <v>0</v>
      </c>
      <c r="U107" s="1314" t="n">
        <v>0</v>
      </c>
      <c r="V107" s="1314" t="n">
        <v>0</v>
      </c>
      <c r="W107" s="1252"/>
      <c r="X107" s="1314" t="n">
        <v>0</v>
      </c>
      <c r="Y107" s="1314" t="n">
        <v>0</v>
      </c>
      <c r="Z107" s="1314" t="n">
        <v>0</v>
      </c>
      <c r="AA107" s="1252" t="n">
        <v>0</v>
      </c>
      <c r="AB107" s="1314" t="n">
        <v>0</v>
      </c>
      <c r="AC107" s="1314" t="n">
        <v>0</v>
      </c>
      <c r="AD107" s="1314" t="n">
        <v>0</v>
      </c>
      <c r="AE107" s="1252"/>
      <c r="AF107" s="1314" t="n">
        <v>0</v>
      </c>
      <c r="AG107" s="1314" t="n">
        <v>0</v>
      </c>
      <c r="AH107" s="1314" t="n">
        <v>0</v>
      </c>
      <c r="AI107" s="1252"/>
      <c r="AJ107" s="1314" t="n">
        <v>0</v>
      </c>
      <c r="AK107" s="1314" t="n">
        <v>0</v>
      </c>
      <c r="AL107" s="1314" t="n">
        <v>0</v>
      </c>
      <c r="AM107" s="1166"/>
      <c r="AN107" s="1253" t="n">
        <v>33</v>
      </c>
      <c r="AO107" s="1316" t="n">
        <v>0.35</v>
      </c>
      <c r="AP107" s="1252"/>
      <c r="AQ107" s="0"/>
      <c r="AR107" s="0"/>
      <c r="AS107" s="0"/>
      <c r="AT107" s="0" t="n">
        <v>1</v>
      </c>
      <c r="AU107" s="0" t="str">
        <f aca="false">AV107&amp;"Q"&amp;ROUNDUP(MONTH(AW107)/3,0)</f>
        <v>2008Q2</v>
      </c>
      <c r="AV107" s="0" t="n">
        <f aca="false">YEAR(AW107)</f>
        <v>2008</v>
      </c>
      <c r="AW107" s="1304" t="n">
        <f aca="false">EOMONTH(AW106,0)+1</f>
        <v>39600</v>
      </c>
      <c r="AX107" s="112" t="n">
        <f aca="false">AY107</f>
        <v>2.84566309974594</v>
      </c>
      <c r="AY107" s="1323" t="n">
        <v>2.84566309974594</v>
      </c>
      <c r="AZ107" s="112" t="n">
        <f aca="false">AY107</f>
        <v>2.84566309974594</v>
      </c>
      <c r="BA107" s="163" t="n">
        <v>1</v>
      </c>
      <c r="BB107" s="163" t="n">
        <v>1</v>
      </c>
      <c r="BC107" s="163" t="n">
        <v>1</v>
      </c>
      <c r="BD107" s="163" t="n">
        <v>0</v>
      </c>
      <c r="BE107" s="163"/>
      <c r="BF107" s="163" t="n">
        <v>0</v>
      </c>
      <c r="BG107" s="1290" t="n">
        <v>0</v>
      </c>
      <c r="BH107" s="1262"/>
      <c r="BI107" s="1292"/>
      <c r="BJ107" s="1262"/>
      <c r="BK107" s="1293" t="n">
        <v>0</v>
      </c>
      <c r="BL107" s="1294" t="n">
        <f aca="false">+AY107</f>
        <v>2.84566309974594</v>
      </c>
      <c r="BM107" s="1295" t="n">
        <f aca="false">AY107</f>
        <v>2.84566309974594</v>
      </c>
      <c r="BN107" s="1324" t="n">
        <f aca="false">+BM107/BM95-1</f>
        <v>0.0299177350190272</v>
      </c>
      <c r="BO107" s="1296" t="n">
        <v>2.4</v>
      </c>
      <c r="BP107" s="1318" t="n">
        <f aca="false">+AY107/AY95-1</f>
        <v>0.0299177350190272</v>
      </c>
      <c r="BQ107" s="1298" t="n">
        <f aca="false">VLOOKUP($AW107,$BU$8:$BZ$291,5,FALSE())</f>
        <v>2.95389779511089</v>
      </c>
      <c r="BR107" s="1298" t="n">
        <f aca="false">VLOOKUP($AW107,$BU$8:$BZ$291,6,FALSE())</f>
        <v>2.52967942090263</v>
      </c>
      <c r="BS107" s="1262" t="n">
        <v>0</v>
      </c>
      <c r="BU107" s="1309" t="n">
        <f aca="false">EDATE(BU106,1)</f>
        <v>39173</v>
      </c>
      <c r="BV107" s="1310" t="n">
        <v>2.39907095179965</v>
      </c>
      <c r="BW107" s="1310" t="n">
        <v>2.04655332995289</v>
      </c>
      <c r="BX107" s="1310"/>
      <c r="BY107" s="1310" t="n">
        <v>2.86711186609342</v>
      </c>
      <c r="BZ107" s="1311" t="n">
        <v>2.44582067591594</v>
      </c>
    </row>
    <row r="108" customFormat="false" ht="12.75" hidden="false" customHeight="false" outlineLevel="0" collapsed="false">
      <c r="A108" s="1246"/>
      <c r="B108" s="1312" t="n">
        <v>38596</v>
      </c>
      <c r="C108" s="1313" t="n">
        <v>46.5796687370135</v>
      </c>
      <c r="D108" s="1313"/>
      <c r="E108" s="1313"/>
      <c r="F108" s="1287"/>
      <c r="G108" s="1313"/>
      <c r="H108" s="1313"/>
      <c r="I108" s="1313"/>
      <c r="J108" s="1253"/>
      <c r="K108" s="1254" t="n">
        <v>39479</v>
      </c>
      <c r="L108" s="1314" t="n">
        <v>0</v>
      </c>
      <c r="M108" s="1314" t="n">
        <v>0</v>
      </c>
      <c r="N108" s="1314" t="n">
        <v>0</v>
      </c>
      <c r="O108" s="1252"/>
      <c r="P108" s="1314" t="n">
        <v>0</v>
      </c>
      <c r="Q108" s="1314" t="n">
        <v>0</v>
      </c>
      <c r="R108" s="1314" t="n">
        <v>0</v>
      </c>
      <c r="S108" s="1252"/>
      <c r="T108" s="1314" t="n">
        <v>0</v>
      </c>
      <c r="U108" s="1314" t="n">
        <v>0</v>
      </c>
      <c r="V108" s="1314" t="n">
        <v>0</v>
      </c>
      <c r="W108" s="1252"/>
      <c r="X108" s="1314" t="n">
        <v>0</v>
      </c>
      <c r="Y108" s="1314" t="n">
        <v>0</v>
      </c>
      <c r="Z108" s="1314" t="n">
        <v>0</v>
      </c>
      <c r="AA108" s="1252" t="n">
        <v>0</v>
      </c>
      <c r="AB108" s="1314" t="n">
        <v>0</v>
      </c>
      <c r="AC108" s="1314" t="n">
        <v>0</v>
      </c>
      <c r="AD108" s="1314" t="n">
        <v>0</v>
      </c>
      <c r="AE108" s="1252"/>
      <c r="AF108" s="1314" t="n">
        <v>0</v>
      </c>
      <c r="AG108" s="1314" t="n">
        <v>0</v>
      </c>
      <c r="AH108" s="1314" t="n">
        <v>0</v>
      </c>
      <c r="AI108" s="1252"/>
      <c r="AJ108" s="1314" t="n">
        <v>0</v>
      </c>
      <c r="AK108" s="1314" t="n">
        <v>0</v>
      </c>
      <c r="AL108" s="1314" t="n">
        <v>0</v>
      </c>
      <c r="AM108" s="1166"/>
      <c r="AN108" s="1253" t="n">
        <v>33</v>
      </c>
      <c r="AO108" s="1316" t="n">
        <v>0.35</v>
      </c>
      <c r="AP108" s="1252"/>
      <c r="AQ108" s="0"/>
      <c r="AR108" s="0"/>
      <c r="AS108" s="0"/>
      <c r="AT108" s="0" t="n">
        <v>1</v>
      </c>
      <c r="AU108" s="0" t="str">
        <f aca="false">AV108&amp;"Q"&amp;ROUNDUP(MONTH(AW108)/3,0)</f>
        <v>2008Q3</v>
      </c>
      <c r="AV108" s="0" t="n">
        <f aca="false">YEAR(AW108)</f>
        <v>2008</v>
      </c>
      <c r="AW108" s="1304" t="n">
        <f aca="false">EOMONTH(AW107,0)+1</f>
        <v>39630</v>
      </c>
      <c r="AX108" s="112" t="n">
        <f aca="false">AY108</f>
        <v>2.92333857690745</v>
      </c>
      <c r="AY108" s="1323" t="n">
        <v>2.92333857690745</v>
      </c>
      <c r="AZ108" s="112" t="n">
        <f aca="false">AY108</f>
        <v>2.92333857690745</v>
      </c>
      <c r="BA108" s="163" t="n">
        <v>1</v>
      </c>
      <c r="BB108" s="163" t="n">
        <v>1</v>
      </c>
      <c r="BC108" s="163" t="n">
        <v>1</v>
      </c>
      <c r="BD108" s="163" t="n">
        <v>0</v>
      </c>
      <c r="BE108" s="163"/>
      <c r="BF108" s="163" t="n">
        <v>0</v>
      </c>
      <c r="BG108" s="1290" t="n">
        <v>0</v>
      </c>
      <c r="BH108" s="1262"/>
      <c r="BI108" s="1292"/>
      <c r="BJ108" s="1262"/>
      <c r="BK108" s="1293" t="n">
        <v>0</v>
      </c>
      <c r="BL108" s="1294" t="n">
        <f aca="false">+AY108</f>
        <v>2.92333857690745</v>
      </c>
      <c r="BM108" s="1295" t="n">
        <f aca="false">AY108</f>
        <v>2.92333857690745</v>
      </c>
      <c r="BN108" s="1324" t="n">
        <f aca="false">+BM108/BM96-1</f>
        <v>0.0299177350190276</v>
      </c>
      <c r="BO108" s="1296" t="n">
        <v>2.4</v>
      </c>
      <c r="BP108" s="1318" t="n">
        <f aca="false">+AY108/AY96-1</f>
        <v>0.0299177350190276</v>
      </c>
      <c r="BQ108" s="1298" t="n">
        <f aca="false">VLOOKUP($AW108,$BU$8:$BZ$291,5,FALSE())</f>
        <v>2.99170666156311</v>
      </c>
      <c r="BR108" s="1298" t="n">
        <f aca="false">VLOOKUP($AW108,$BU$8:$BZ$291,6,FALSE())</f>
        <v>2.56880275816791</v>
      </c>
      <c r="BS108" s="1262" t="n">
        <v>0</v>
      </c>
      <c r="BU108" s="1309" t="n">
        <f aca="false">EDATE(BU107,1)</f>
        <v>39203</v>
      </c>
      <c r="BV108" s="1310" t="n">
        <v>2.37685972326539</v>
      </c>
      <c r="BW108" s="1310" t="n">
        <v>2.02136644350508</v>
      </c>
      <c r="BX108" s="1310"/>
      <c r="BY108" s="1310" t="n">
        <v>2.84056739193215</v>
      </c>
      <c r="BZ108" s="1311" t="n">
        <v>2.41572001509543</v>
      </c>
    </row>
    <row r="109" customFormat="false" ht="12.75" hidden="false" customHeight="false" outlineLevel="0" collapsed="false">
      <c r="A109" s="1246"/>
      <c r="B109" s="1312" t="n">
        <v>38626</v>
      </c>
      <c r="C109" s="1313" t="n">
        <v>40.590399334797</v>
      </c>
      <c r="D109" s="1313"/>
      <c r="E109" s="1313"/>
      <c r="F109" s="1287"/>
      <c r="G109" s="1313"/>
      <c r="H109" s="1313"/>
      <c r="I109" s="1313"/>
      <c r="J109" s="1253"/>
      <c r="K109" s="1254" t="n">
        <v>39508</v>
      </c>
      <c r="L109" s="1314" t="n">
        <v>0</v>
      </c>
      <c r="M109" s="1314" t="n">
        <v>0</v>
      </c>
      <c r="N109" s="1314" t="n">
        <v>0</v>
      </c>
      <c r="O109" s="1252"/>
      <c r="P109" s="1314" t="n">
        <v>0</v>
      </c>
      <c r="Q109" s="1314" t="n">
        <v>0</v>
      </c>
      <c r="R109" s="1314" t="n">
        <v>0</v>
      </c>
      <c r="S109" s="1252"/>
      <c r="T109" s="1314" t="n">
        <v>0</v>
      </c>
      <c r="U109" s="1314" t="n">
        <v>0</v>
      </c>
      <c r="V109" s="1314" t="n">
        <v>0</v>
      </c>
      <c r="W109" s="1252"/>
      <c r="X109" s="1314" t="n">
        <v>0</v>
      </c>
      <c r="Y109" s="1314" t="n">
        <v>0</v>
      </c>
      <c r="Z109" s="1314" t="n">
        <v>0</v>
      </c>
      <c r="AA109" s="1252" t="n">
        <v>0</v>
      </c>
      <c r="AB109" s="1314" t="n">
        <v>0</v>
      </c>
      <c r="AC109" s="1314" t="n">
        <v>0</v>
      </c>
      <c r="AD109" s="1314" t="n">
        <v>0</v>
      </c>
      <c r="AE109" s="1252"/>
      <c r="AF109" s="1314" t="n">
        <v>0</v>
      </c>
      <c r="AG109" s="1314" t="n">
        <v>0</v>
      </c>
      <c r="AH109" s="1314" t="n">
        <v>0</v>
      </c>
      <c r="AI109" s="1252"/>
      <c r="AJ109" s="1314" t="n">
        <v>0</v>
      </c>
      <c r="AK109" s="1314" t="n">
        <v>0</v>
      </c>
      <c r="AL109" s="1314" t="n">
        <v>0</v>
      </c>
      <c r="AM109" s="1166"/>
      <c r="AN109" s="1253" t="n">
        <v>34</v>
      </c>
      <c r="AO109" s="1316" t="n">
        <v>0.35</v>
      </c>
      <c r="AP109" s="1252"/>
      <c r="AQ109" s="0"/>
      <c r="AR109" s="0"/>
      <c r="AS109" s="0"/>
      <c r="AT109" s="0" t="n">
        <v>1</v>
      </c>
      <c r="AU109" s="0" t="str">
        <f aca="false">AV109&amp;"Q"&amp;ROUNDUP(MONTH(AW109)/3,0)</f>
        <v>2008Q3</v>
      </c>
      <c r="AV109" s="0" t="n">
        <f aca="false">YEAR(AW109)</f>
        <v>2008</v>
      </c>
      <c r="AW109" s="1304" t="n">
        <f aca="false">EOMONTH(AW108,0)+1</f>
        <v>39661</v>
      </c>
      <c r="AX109" s="112" t="n">
        <f aca="false">AY109</f>
        <v>3.0336538867716</v>
      </c>
      <c r="AY109" s="1323" t="n">
        <v>3.0336538867716</v>
      </c>
      <c r="AZ109" s="112" t="n">
        <f aca="false">AY109</f>
        <v>3.0336538867716</v>
      </c>
      <c r="BA109" s="163" t="n">
        <v>1</v>
      </c>
      <c r="BB109" s="163" t="n">
        <v>1</v>
      </c>
      <c r="BC109" s="163" t="n">
        <v>1</v>
      </c>
      <c r="BD109" s="163" t="n">
        <v>0</v>
      </c>
      <c r="BE109" s="163"/>
      <c r="BF109" s="163" t="n">
        <v>0</v>
      </c>
      <c r="BG109" s="1290" t="n">
        <v>0</v>
      </c>
      <c r="BH109" s="1262"/>
      <c r="BI109" s="1292"/>
      <c r="BJ109" s="1262"/>
      <c r="BK109" s="1293" t="n">
        <v>0</v>
      </c>
      <c r="BL109" s="1294" t="n">
        <f aca="false">+AY109</f>
        <v>3.0336538867716</v>
      </c>
      <c r="BM109" s="1295" t="n">
        <f aca="false">AY109</f>
        <v>3.0336538867716</v>
      </c>
      <c r="BN109" s="1324" t="n">
        <f aca="false">+BM109/BM97-1</f>
        <v>0.0299177350190272</v>
      </c>
      <c r="BO109" s="1296" t="n">
        <v>2.4</v>
      </c>
      <c r="BP109" s="1318" t="n">
        <f aca="false">+AY109/AY97-1</f>
        <v>0.0299177350190272</v>
      </c>
      <c r="BQ109" s="1298" t="n">
        <f aca="false">VLOOKUP($AW109,$BU$8:$BZ$291,5,FALSE())</f>
        <v>3.06219776850795</v>
      </c>
      <c r="BR109" s="1298" t="n">
        <f aca="false">VLOOKUP($AW109,$BU$8:$BZ$291,6,FALSE())</f>
        <v>2.62985887541524</v>
      </c>
      <c r="BS109" s="1262" t="n">
        <v>0</v>
      </c>
      <c r="BU109" s="1309" t="n">
        <f aca="false">EDATE(BU108,1)</f>
        <v>39234</v>
      </c>
      <c r="BV109" s="1310" t="n">
        <v>2.38099204485316</v>
      </c>
      <c r="BW109" s="1310" t="n">
        <v>2.02801958332148</v>
      </c>
      <c r="BX109" s="1310"/>
      <c r="BY109" s="1310" t="n">
        <v>2.84550589875285</v>
      </c>
      <c r="BZ109" s="1311" t="n">
        <v>2.42367113304802</v>
      </c>
    </row>
    <row r="110" customFormat="false" ht="12.75" hidden="false" customHeight="false" outlineLevel="0" collapsed="false">
      <c r="A110" s="1246"/>
      <c r="B110" s="1312" t="n">
        <v>38657</v>
      </c>
      <c r="C110" s="1313" t="n">
        <v>43.2171770765197</v>
      </c>
      <c r="D110" s="1313"/>
      <c r="E110" s="1313"/>
      <c r="F110" s="1287"/>
      <c r="G110" s="1313"/>
      <c r="H110" s="1313"/>
      <c r="I110" s="1313"/>
      <c r="J110" s="1253"/>
      <c r="K110" s="1254" t="n">
        <v>39539</v>
      </c>
      <c r="L110" s="1314" t="n">
        <v>0</v>
      </c>
      <c r="M110" s="1314" t="n">
        <v>0</v>
      </c>
      <c r="N110" s="1314" t="n">
        <v>0</v>
      </c>
      <c r="O110" s="1252"/>
      <c r="P110" s="1314" t="n">
        <v>0</v>
      </c>
      <c r="Q110" s="1314" t="n">
        <v>0</v>
      </c>
      <c r="R110" s="1314" t="n">
        <v>0</v>
      </c>
      <c r="S110" s="1252"/>
      <c r="T110" s="1314" t="n">
        <v>0</v>
      </c>
      <c r="U110" s="1314" t="n">
        <v>0</v>
      </c>
      <c r="V110" s="1314" t="n">
        <v>0</v>
      </c>
      <c r="W110" s="1252"/>
      <c r="X110" s="1314" t="n">
        <v>0</v>
      </c>
      <c r="Y110" s="1314" t="n">
        <v>0</v>
      </c>
      <c r="Z110" s="1314" t="n">
        <v>0</v>
      </c>
      <c r="AA110" s="1252" t="n">
        <v>0</v>
      </c>
      <c r="AB110" s="1314" t="n">
        <v>0</v>
      </c>
      <c r="AC110" s="1314" t="n">
        <v>0</v>
      </c>
      <c r="AD110" s="1314" t="n">
        <v>0</v>
      </c>
      <c r="AE110" s="1252"/>
      <c r="AF110" s="1314" t="n">
        <v>0</v>
      </c>
      <c r="AG110" s="1314" t="n">
        <v>0</v>
      </c>
      <c r="AH110" s="1314" t="n">
        <v>0</v>
      </c>
      <c r="AI110" s="1252"/>
      <c r="AJ110" s="1314" t="n">
        <v>0</v>
      </c>
      <c r="AK110" s="1314" t="n">
        <v>0</v>
      </c>
      <c r="AL110" s="1314" t="n">
        <v>0</v>
      </c>
      <c r="AM110" s="1166"/>
      <c r="AN110" s="1253" t="n">
        <v>34</v>
      </c>
      <c r="AO110" s="1316" t="n">
        <v>0.35</v>
      </c>
      <c r="AP110" s="1252"/>
      <c r="AQ110" s="0"/>
      <c r="AR110" s="0"/>
      <c r="AS110" s="0"/>
      <c r="AT110" s="0" t="n">
        <v>1</v>
      </c>
      <c r="AU110" s="0" t="str">
        <f aca="false">AV110&amp;"Q"&amp;ROUNDUP(MONTH(AW110)/3,0)</f>
        <v>2008Q3</v>
      </c>
      <c r="AV110" s="0" t="n">
        <f aca="false">YEAR(AW110)</f>
        <v>2008</v>
      </c>
      <c r="AW110" s="1304" t="n">
        <f aca="false">EOMONTH(AW109,0)+1</f>
        <v>39692</v>
      </c>
      <c r="AX110" s="112" t="n">
        <f aca="false">AY110</f>
        <v>3.16499508427747</v>
      </c>
      <c r="AY110" s="1323" t="n">
        <v>3.16499508427747</v>
      </c>
      <c r="AZ110" s="112" t="n">
        <f aca="false">AY110</f>
        <v>3.16499508427747</v>
      </c>
      <c r="BA110" s="163" t="n">
        <v>1</v>
      </c>
      <c r="BB110" s="163" t="n">
        <v>1</v>
      </c>
      <c r="BC110" s="163" t="n">
        <v>1</v>
      </c>
      <c r="BD110" s="163" t="n">
        <v>0</v>
      </c>
      <c r="BE110" s="163"/>
      <c r="BF110" s="163" t="n">
        <v>0</v>
      </c>
      <c r="BG110" s="1290" t="n">
        <v>0</v>
      </c>
      <c r="BH110" s="1262"/>
      <c r="BI110" s="1292"/>
      <c r="BJ110" s="1262"/>
      <c r="BK110" s="1293" t="n">
        <v>0</v>
      </c>
      <c r="BL110" s="1294" t="n">
        <f aca="false">+AY110</f>
        <v>3.16499508427747</v>
      </c>
      <c r="BM110" s="1295" t="n">
        <f aca="false">AY110</f>
        <v>3.16499508427747</v>
      </c>
      <c r="BN110" s="1324" t="n">
        <f aca="false">+BM110/BM98-1</f>
        <v>0.0299177350190274</v>
      </c>
      <c r="BO110" s="1296" t="n">
        <v>2.4</v>
      </c>
      <c r="BP110" s="1318" t="n">
        <f aca="false">+AY110/AY98-1</f>
        <v>0.0299177350190274</v>
      </c>
      <c r="BQ110" s="1298" t="n">
        <f aca="false">VLOOKUP($AW110,$BU$8:$BZ$291,5,FALSE())</f>
        <v>3.16537111594538</v>
      </c>
      <c r="BR110" s="1298" t="n">
        <f aca="false">VLOOKUP($AW110,$BU$8:$BZ$291,6,FALSE())</f>
        <v>2.70395610508432</v>
      </c>
      <c r="BS110" s="1262" t="n">
        <v>0</v>
      </c>
      <c r="BU110" s="1309" t="n">
        <f aca="false">EDATE(BU109,1)</f>
        <v>39264</v>
      </c>
      <c r="BV110" s="1310" t="n">
        <v>2.41146791656296</v>
      </c>
      <c r="BW110" s="1310" t="n">
        <v>2.0593843853131</v>
      </c>
      <c r="BX110" s="1310"/>
      <c r="BY110" s="1310" t="n">
        <v>2.88192738655552</v>
      </c>
      <c r="BZ110" s="1311" t="n">
        <v>2.46115497482451</v>
      </c>
    </row>
    <row r="111" customFormat="false" ht="12.75" hidden="false" customHeight="false" outlineLevel="0" collapsed="false">
      <c r="A111" s="1246"/>
      <c r="B111" s="1312" t="n">
        <v>38687</v>
      </c>
      <c r="C111" s="1313" t="n">
        <v>42.7215151543848</v>
      </c>
      <c r="D111" s="1313"/>
      <c r="E111" s="1313"/>
      <c r="F111" s="1287"/>
      <c r="G111" s="1313"/>
      <c r="H111" s="1313"/>
      <c r="I111" s="1313"/>
      <c r="J111" s="1253"/>
      <c r="K111" s="1254" t="n">
        <v>39569</v>
      </c>
      <c r="L111" s="1314" t="n">
        <v>0</v>
      </c>
      <c r="M111" s="1314" t="n">
        <v>0</v>
      </c>
      <c r="N111" s="1314" t="n">
        <v>0</v>
      </c>
      <c r="O111" s="1252"/>
      <c r="P111" s="1314" t="n">
        <v>0</v>
      </c>
      <c r="Q111" s="1314" t="n">
        <v>0</v>
      </c>
      <c r="R111" s="1314" t="n">
        <v>0</v>
      </c>
      <c r="S111" s="1252"/>
      <c r="T111" s="1314" t="n">
        <v>0</v>
      </c>
      <c r="U111" s="1314" t="n">
        <v>0</v>
      </c>
      <c r="V111" s="1314" t="n">
        <v>0</v>
      </c>
      <c r="W111" s="1252"/>
      <c r="X111" s="1314" t="n">
        <v>0</v>
      </c>
      <c r="Y111" s="1314" t="n">
        <v>0</v>
      </c>
      <c r="Z111" s="1314" t="n">
        <v>0</v>
      </c>
      <c r="AA111" s="1252" t="n">
        <v>0</v>
      </c>
      <c r="AB111" s="1314" t="n">
        <v>0</v>
      </c>
      <c r="AC111" s="1314" t="n">
        <v>0</v>
      </c>
      <c r="AD111" s="1314" t="n">
        <v>0</v>
      </c>
      <c r="AE111" s="1252"/>
      <c r="AF111" s="1314" t="n">
        <v>0</v>
      </c>
      <c r="AG111" s="1314" t="n">
        <v>0</v>
      </c>
      <c r="AH111" s="1314" t="n">
        <v>0</v>
      </c>
      <c r="AI111" s="1252"/>
      <c r="AJ111" s="1314" t="n">
        <v>0</v>
      </c>
      <c r="AK111" s="1314" t="n">
        <v>0</v>
      </c>
      <c r="AL111" s="1314" t="n">
        <v>0</v>
      </c>
      <c r="AM111" s="1166"/>
      <c r="AN111" s="1253" t="n">
        <v>34</v>
      </c>
      <c r="AO111" s="1316" t="n">
        <v>0.35</v>
      </c>
      <c r="AP111" s="1252"/>
      <c r="AQ111" s="0"/>
      <c r="AR111" s="0"/>
      <c r="AS111" s="0"/>
      <c r="AT111" s="0" t="n">
        <v>1</v>
      </c>
      <c r="AU111" s="0" t="str">
        <f aca="false">AV111&amp;"Q"&amp;ROUNDUP(MONTH(AW111)/3,0)</f>
        <v>2008Q4</v>
      </c>
      <c r="AV111" s="0" t="n">
        <f aca="false">YEAR(AW111)</f>
        <v>2008</v>
      </c>
      <c r="AW111" s="1304" t="n">
        <f aca="false">EOMONTH(AW110,0)+1</f>
        <v>39722</v>
      </c>
      <c r="AX111" s="112" t="n">
        <f aca="false">AY111</f>
        <v>3.30564562000549</v>
      </c>
      <c r="AY111" s="1323" t="n">
        <v>3.30564562000549</v>
      </c>
      <c r="AZ111" s="112" t="n">
        <f aca="false">AY111</f>
        <v>3.30564562000549</v>
      </c>
      <c r="BA111" s="163" t="n">
        <v>1</v>
      </c>
      <c r="BB111" s="163" t="n">
        <v>1</v>
      </c>
      <c r="BC111" s="163" t="n">
        <v>1</v>
      </c>
      <c r="BD111" s="163" t="n">
        <v>0</v>
      </c>
      <c r="BE111" s="163"/>
      <c r="BF111" s="163" t="n">
        <v>0</v>
      </c>
      <c r="BG111" s="1290" t="n">
        <v>0</v>
      </c>
      <c r="BH111" s="1262"/>
      <c r="BI111" s="1292"/>
      <c r="BJ111" s="1262"/>
      <c r="BK111" s="1293" t="n">
        <v>0</v>
      </c>
      <c r="BL111" s="1294" t="n">
        <f aca="false">+AY111</f>
        <v>3.30564562000549</v>
      </c>
      <c r="BM111" s="1295" t="n">
        <f aca="false">AY111</f>
        <v>3.30564562000549</v>
      </c>
      <c r="BN111" s="1324" t="n">
        <f aca="false">+BM111/BM99-1</f>
        <v>0.0299177350190272</v>
      </c>
      <c r="BO111" s="1296" t="n">
        <v>2.4</v>
      </c>
      <c r="BP111" s="1318" t="n">
        <f aca="false">+AY111/AY99-1</f>
        <v>0.0299177350190272</v>
      </c>
      <c r="BQ111" s="1298" t="n">
        <f aca="false">VLOOKUP($AW111,$BU$8:$BZ$291,5,FALSE())</f>
        <v>3.30122670387542</v>
      </c>
      <c r="BR111" s="1298" t="n">
        <f aca="false">VLOOKUP($AW111,$BU$8:$BZ$291,6,FALSE())</f>
        <v>2.78220277961488</v>
      </c>
      <c r="BS111" s="1262" t="n">
        <v>0</v>
      </c>
      <c r="BU111" s="1309" t="n">
        <f aca="false">EDATE(BU110,1)</f>
        <v>39295</v>
      </c>
      <c r="BV111" s="1310" t="n">
        <v>2.4682873383948</v>
      </c>
      <c r="BW111" s="1310" t="n">
        <v>2.10833248539092</v>
      </c>
      <c r="BX111" s="1310"/>
      <c r="BY111" s="1310" t="n">
        <v>2.94983185534017</v>
      </c>
      <c r="BZ111" s="1311" t="n">
        <v>2.5196524854757</v>
      </c>
    </row>
    <row r="112" customFormat="false" ht="12.75" hidden="false" customHeight="false" outlineLevel="0" collapsed="false">
      <c r="A112" s="1246"/>
      <c r="B112" s="1312" t="n">
        <v>38718</v>
      </c>
      <c r="C112" s="1313" t="n">
        <v>41.6900548377683</v>
      </c>
      <c r="D112" s="1313"/>
      <c r="E112" s="1313"/>
      <c r="F112" s="1287"/>
      <c r="G112" s="1313"/>
      <c r="H112" s="1313"/>
      <c r="I112" s="1313"/>
      <c r="J112" s="1253"/>
      <c r="K112" s="1254" t="n">
        <v>39600</v>
      </c>
      <c r="L112" s="1314" t="n">
        <v>0</v>
      </c>
      <c r="M112" s="1314" t="n">
        <v>0</v>
      </c>
      <c r="N112" s="1314" t="n">
        <v>0</v>
      </c>
      <c r="O112" s="1252"/>
      <c r="P112" s="1314" t="n">
        <v>0</v>
      </c>
      <c r="Q112" s="1314" t="n">
        <v>0</v>
      </c>
      <c r="R112" s="1314" t="n">
        <v>0</v>
      </c>
      <c r="S112" s="1252"/>
      <c r="T112" s="1314" t="n">
        <v>0</v>
      </c>
      <c r="U112" s="1314" t="n">
        <v>0</v>
      </c>
      <c r="V112" s="1314" t="n">
        <v>0</v>
      </c>
      <c r="W112" s="1252"/>
      <c r="X112" s="1314" t="n">
        <v>0</v>
      </c>
      <c r="Y112" s="1314" t="n">
        <v>0</v>
      </c>
      <c r="Z112" s="1314" t="n">
        <v>0</v>
      </c>
      <c r="AA112" s="1252" t="n">
        <v>0</v>
      </c>
      <c r="AB112" s="1314" t="n">
        <v>0</v>
      </c>
      <c r="AC112" s="1314" t="n">
        <v>0</v>
      </c>
      <c r="AD112" s="1314" t="n">
        <v>0</v>
      </c>
      <c r="AE112" s="1252"/>
      <c r="AF112" s="1314" t="n">
        <v>0</v>
      </c>
      <c r="AG112" s="1314" t="n">
        <v>0</v>
      </c>
      <c r="AH112" s="1314" t="n">
        <v>0</v>
      </c>
      <c r="AI112" s="1252"/>
      <c r="AJ112" s="1314" t="n">
        <v>0</v>
      </c>
      <c r="AK112" s="1314" t="n">
        <v>0</v>
      </c>
      <c r="AL112" s="1314" t="n">
        <v>0</v>
      </c>
      <c r="AM112" s="1166"/>
      <c r="AN112" s="1253" t="n">
        <v>35</v>
      </c>
      <c r="AO112" s="1316" t="n">
        <v>0.35</v>
      </c>
      <c r="AP112" s="1252"/>
      <c r="AQ112" s="0"/>
      <c r="AR112" s="0"/>
      <c r="AS112" s="0"/>
      <c r="AT112" s="0" t="n">
        <v>1</v>
      </c>
      <c r="AU112" s="0" t="str">
        <f aca="false">AV112&amp;"Q"&amp;ROUNDUP(MONTH(AW112)/3,0)</f>
        <v>2008Q4</v>
      </c>
      <c r="AV112" s="0" t="n">
        <f aca="false">YEAR(AW112)</f>
        <v>2008</v>
      </c>
      <c r="AW112" s="1304" t="n">
        <f aca="false">EOMONTH(AW111,0)+1</f>
        <v>39753</v>
      </c>
      <c r="AX112" s="112" t="n">
        <f aca="false">AY112</f>
        <v>3.44434111833402</v>
      </c>
      <c r="AY112" s="1323" t="n">
        <v>3.44434111833402</v>
      </c>
      <c r="AZ112" s="112" t="n">
        <f aca="false">AY112</f>
        <v>3.44434111833402</v>
      </c>
      <c r="BA112" s="163" t="n">
        <v>1</v>
      </c>
      <c r="BB112" s="163" t="n">
        <v>1</v>
      </c>
      <c r="BC112" s="163" t="n">
        <v>1</v>
      </c>
      <c r="BD112" s="163" t="n">
        <v>0</v>
      </c>
      <c r="BE112" s="163"/>
      <c r="BF112" s="163" t="n">
        <v>0</v>
      </c>
      <c r="BG112" s="1290" t="n">
        <v>0</v>
      </c>
      <c r="BH112" s="1262"/>
      <c r="BI112" s="1292"/>
      <c r="BJ112" s="1262"/>
      <c r="BK112" s="1293" t="n">
        <v>0</v>
      </c>
      <c r="BL112" s="1294" t="n">
        <f aca="false">+AY112</f>
        <v>3.44434111833402</v>
      </c>
      <c r="BM112" s="1295" t="n">
        <f aca="false">AY112</f>
        <v>3.44434111833402</v>
      </c>
      <c r="BN112" s="1324" t="n">
        <f aca="false">+BM112/BM100-1</f>
        <v>0.0299177350190274</v>
      </c>
      <c r="BO112" s="1296" t="n">
        <v>2.4</v>
      </c>
      <c r="BP112" s="1318" t="n">
        <f aca="false">+AY112/AY100-1</f>
        <v>0.0299177350190274</v>
      </c>
      <c r="BQ112" s="1298" t="n">
        <f aca="false">VLOOKUP($AW112,$BU$8:$BZ$291,5,FALSE())</f>
        <v>3.46976453229806</v>
      </c>
      <c r="BR112" s="1298" t="n">
        <f aca="false">VLOOKUP($AW112,$BU$8:$BZ$291,6,FALSE())</f>
        <v>2.85570723144661</v>
      </c>
      <c r="BS112" s="1262" t="n">
        <v>0</v>
      </c>
      <c r="BU112" s="1309" t="n">
        <f aca="false">EDATE(BU111,1)</f>
        <v>39326</v>
      </c>
      <c r="BV112" s="1310" t="n">
        <v>2.55145031034867</v>
      </c>
      <c r="BW112" s="1310" t="n">
        <v>2.16773551946595</v>
      </c>
      <c r="BX112" s="1310"/>
      <c r="BY112" s="1310" t="n">
        <v>3.04921930510678</v>
      </c>
      <c r="BZ112" s="1311" t="n">
        <v>2.59064461005238</v>
      </c>
    </row>
    <row r="113" customFormat="false" ht="12.75" hidden="false" customHeight="false" outlineLevel="0" collapsed="false">
      <c r="A113" s="1246"/>
      <c r="B113" s="1312" t="n">
        <v>38749</v>
      </c>
      <c r="C113" s="1313" t="n">
        <v>32.3635851205987</v>
      </c>
      <c r="D113" s="1313"/>
      <c r="E113" s="1313"/>
      <c r="F113" s="1287"/>
      <c r="G113" s="1313"/>
      <c r="H113" s="1313"/>
      <c r="I113" s="1313"/>
      <c r="J113" s="1253"/>
      <c r="K113" s="1254" t="n">
        <v>39630</v>
      </c>
      <c r="L113" s="1314" t="n">
        <v>0</v>
      </c>
      <c r="M113" s="1314" t="n">
        <v>0</v>
      </c>
      <c r="N113" s="1314" t="n">
        <v>0</v>
      </c>
      <c r="O113" s="1252"/>
      <c r="P113" s="1314" t="n">
        <v>0</v>
      </c>
      <c r="Q113" s="1314" t="n">
        <v>0</v>
      </c>
      <c r="R113" s="1314" t="n">
        <v>0</v>
      </c>
      <c r="S113" s="1252"/>
      <c r="T113" s="1314" t="n">
        <v>0</v>
      </c>
      <c r="U113" s="1314" t="n">
        <v>0</v>
      </c>
      <c r="V113" s="1314" t="n">
        <v>0</v>
      </c>
      <c r="W113" s="1252"/>
      <c r="X113" s="1314" t="n">
        <v>0</v>
      </c>
      <c r="Y113" s="1314" t="n">
        <v>0</v>
      </c>
      <c r="Z113" s="1314" t="n">
        <v>0</v>
      </c>
      <c r="AA113" s="1252" t="n">
        <v>0</v>
      </c>
      <c r="AB113" s="1314" t="n">
        <v>0</v>
      </c>
      <c r="AC113" s="1314" t="n">
        <v>0</v>
      </c>
      <c r="AD113" s="1314" t="n">
        <v>0</v>
      </c>
      <c r="AE113" s="1252"/>
      <c r="AF113" s="1314" t="n">
        <v>0</v>
      </c>
      <c r="AG113" s="1314" t="n">
        <v>0</v>
      </c>
      <c r="AH113" s="1314" t="n">
        <v>0</v>
      </c>
      <c r="AI113" s="1252"/>
      <c r="AJ113" s="1314" t="n">
        <v>0</v>
      </c>
      <c r="AK113" s="1314" t="n">
        <v>0</v>
      </c>
      <c r="AL113" s="1314" t="n">
        <v>0</v>
      </c>
      <c r="AM113" s="1166"/>
      <c r="AN113" s="1253" t="n">
        <v>35</v>
      </c>
      <c r="AO113" s="1316" t="n">
        <v>0.35</v>
      </c>
      <c r="AP113" s="1252"/>
      <c r="AQ113" s="0"/>
      <c r="AR113" s="0"/>
      <c r="AS113" s="0"/>
      <c r="AT113" s="0" t="n">
        <v>1</v>
      </c>
      <c r="AU113" s="0" t="str">
        <f aca="false">AV113&amp;"Q"&amp;ROUNDUP(MONTH(AW113)/3,0)</f>
        <v>2008Q4</v>
      </c>
      <c r="AV113" s="0" t="n">
        <f aca="false">YEAR(AW113)</f>
        <v>2008</v>
      </c>
      <c r="AW113" s="1304" t="n">
        <f aca="false">EOMONTH(AW112,0)+1</f>
        <v>39783</v>
      </c>
      <c r="AX113" s="112" t="n">
        <f aca="false">AY113</f>
        <v>3.59084651666592</v>
      </c>
      <c r="AY113" s="1323" t="n">
        <v>3.59084651666592</v>
      </c>
      <c r="AZ113" s="112" t="n">
        <f aca="false">AY113</f>
        <v>3.59084651666592</v>
      </c>
      <c r="BA113" s="163" t="n">
        <v>1</v>
      </c>
      <c r="BB113" s="163" t="n">
        <v>1</v>
      </c>
      <c r="BC113" s="163" t="n">
        <v>1</v>
      </c>
      <c r="BD113" s="163" t="n">
        <v>0</v>
      </c>
      <c r="BE113" s="163"/>
      <c r="BF113" s="163" t="n">
        <v>0</v>
      </c>
      <c r="BG113" s="1290" t="n">
        <v>0</v>
      </c>
      <c r="BH113" s="1262"/>
      <c r="BI113" s="1292"/>
      <c r="BJ113" s="1262"/>
      <c r="BK113" s="1293" t="n">
        <v>0</v>
      </c>
      <c r="BL113" s="1294" t="n">
        <f aca="false">+AY113</f>
        <v>3.59084651666592</v>
      </c>
      <c r="BM113" s="1295" t="n">
        <f aca="false">AY113</f>
        <v>3.59084651666592</v>
      </c>
      <c r="BN113" s="1324" t="n">
        <f aca="false">+BM113/BM101-1</f>
        <v>0.0299177350190274</v>
      </c>
      <c r="BO113" s="1296" t="n">
        <v>2.4</v>
      </c>
      <c r="BP113" s="1318" t="n">
        <f aca="false">+AY113/AY101-1</f>
        <v>0.0299177350190274</v>
      </c>
      <c r="BQ113" s="1298" t="n">
        <f aca="false">VLOOKUP($AW113,$BU$8:$BZ$291,5,FALSE())</f>
        <v>3.54306246695578</v>
      </c>
      <c r="BR113" s="1298" t="n">
        <f aca="false">VLOOKUP($AW113,$BU$8:$BZ$291,6,FALSE())</f>
        <v>2.91557779301924</v>
      </c>
      <c r="BS113" s="1262" t="n">
        <v>0</v>
      </c>
      <c r="BU113" s="1309" t="n">
        <f aca="false">EDATE(BU112,1)</f>
        <v>39356</v>
      </c>
      <c r="BV113" s="1310" t="n">
        <v>2.66095683242457</v>
      </c>
      <c r="BW113" s="1310" t="n">
        <v>2.23046512344918</v>
      </c>
      <c r="BX113" s="1310"/>
      <c r="BY113" s="1310" t="n">
        <v>3.18008973585537</v>
      </c>
      <c r="BZ113" s="1311" t="n">
        <v>2.66561229360536</v>
      </c>
    </row>
    <row r="114" customFormat="false" ht="12.75" hidden="false" customHeight="false" outlineLevel="0" collapsed="false">
      <c r="A114" s="1246"/>
      <c r="B114" s="1312" t="n">
        <v>38777</v>
      </c>
      <c r="C114" s="1313" t="n">
        <v>30.3773119038843</v>
      </c>
      <c r="D114" s="1313"/>
      <c r="E114" s="1313"/>
      <c r="F114" s="1287"/>
      <c r="G114" s="1313"/>
      <c r="H114" s="1313"/>
      <c r="I114" s="1313"/>
      <c r="J114" s="1253"/>
      <c r="K114" s="1254" t="n">
        <v>39661</v>
      </c>
      <c r="L114" s="1314" t="n">
        <v>0</v>
      </c>
      <c r="M114" s="1314" t="n">
        <v>0</v>
      </c>
      <c r="N114" s="1314" t="n">
        <v>0</v>
      </c>
      <c r="O114" s="1252"/>
      <c r="P114" s="1314" t="n">
        <v>0</v>
      </c>
      <c r="Q114" s="1314" t="n">
        <v>0</v>
      </c>
      <c r="R114" s="1314" t="n">
        <v>0</v>
      </c>
      <c r="S114" s="1252"/>
      <c r="T114" s="1314" t="n">
        <v>0</v>
      </c>
      <c r="U114" s="1314" t="n">
        <v>0</v>
      </c>
      <c r="V114" s="1314" t="n">
        <v>0</v>
      </c>
      <c r="W114" s="1252"/>
      <c r="X114" s="1314" t="n">
        <v>0</v>
      </c>
      <c r="Y114" s="1314" t="n">
        <v>0</v>
      </c>
      <c r="Z114" s="1314" t="n">
        <v>0</v>
      </c>
      <c r="AA114" s="1252" t="n">
        <v>0</v>
      </c>
      <c r="AB114" s="1314" t="n">
        <v>0</v>
      </c>
      <c r="AC114" s="1314" t="n">
        <v>0</v>
      </c>
      <c r="AD114" s="1314" t="n">
        <v>0</v>
      </c>
      <c r="AE114" s="1252"/>
      <c r="AF114" s="1314" t="n">
        <v>0</v>
      </c>
      <c r="AG114" s="1314" t="n">
        <v>0</v>
      </c>
      <c r="AH114" s="1314" t="n">
        <v>0</v>
      </c>
      <c r="AI114" s="1252"/>
      <c r="AJ114" s="1314" t="n">
        <v>0</v>
      </c>
      <c r="AK114" s="1314" t="n">
        <v>0</v>
      </c>
      <c r="AL114" s="1314" t="n">
        <v>0</v>
      </c>
      <c r="AM114" s="1166"/>
      <c r="AN114" s="1253" t="n">
        <v>35</v>
      </c>
      <c r="AO114" s="1316" t="n">
        <v>0.35</v>
      </c>
      <c r="AP114" s="1252"/>
      <c r="AQ114" s="0"/>
      <c r="AR114" s="0"/>
      <c r="AS114" s="0"/>
      <c r="AT114" s="0" t="n">
        <v>1</v>
      </c>
      <c r="AU114" s="0" t="str">
        <f aca="false">AV114&amp;"Q"&amp;ROUNDUP(MONTH(AW114)/3,0)</f>
        <v>2009Q1</v>
      </c>
      <c r="AV114" s="0" t="n">
        <f aca="false">YEAR(AW114)</f>
        <v>2009</v>
      </c>
      <c r="AW114" s="1304" t="n">
        <f aca="false">EOMONTH(AW113,0)+1</f>
        <v>39814</v>
      </c>
      <c r="AX114" s="112" t="n">
        <f aca="false">AY114</f>
        <v>3.43176765382936</v>
      </c>
      <c r="AY114" s="1323" t="n">
        <v>3.43176765382936</v>
      </c>
      <c r="AZ114" s="112" t="n">
        <f aca="false">AY114</f>
        <v>3.43176765382936</v>
      </c>
      <c r="BA114" s="163" t="n">
        <v>1</v>
      </c>
      <c r="BB114" s="163" t="n">
        <v>1</v>
      </c>
      <c r="BC114" s="163" t="n">
        <v>1</v>
      </c>
      <c r="BD114" s="163" t="n">
        <v>0</v>
      </c>
      <c r="BE114" s="163"/>
      <c r="BF114" s="163" t="n">
        <v>0</v>
      </c>
      <c r="BG114" s="1290" t="n">
        <v>0</v>
      </c>
      <c r="BH114" s="1262"/>
      <c r="BI114" s="1292"/>
      <c r="BJ114" s="1262"/>
      <c r="BK114" s="1293" t="n">
        <v>0</v>
      </c>
      <c r="BL114" s="1294" t="n">
        <f aca="false">+AY114</f>
        <v>3.43176765382936</v>
      </c>
      <c r="BM114" s="1295" t="n">
        <f aca="false">AY114</f>
        <v>3.43176765382936</v>
      </c>
      <c r="BN114" s="1324" t="n">
        <f aca="false">+BM114/BM102-1</f>
        <v>0.0270336853559683</v>
      </c>
      <c r="BO114" s="1296" t="n">
        <v>2.4</v>
      </c>
      <c r="BP114" s="1318" t="n">
        <f aca="false">+AY114/AY102-1</f>
        <v>0.0270336853559683</v>
      </c>
      <c r="BQ114" s="1298" t="n">
        <f aca="false">VLOOKUP($AW114,$BU$8:$BZ$291,5,FALSE())</f>
        <v>3.5073684854443</v>
      </c>
      <c r="BR114" s="1298" t="n">
        <f aca="false">VLOOKUP($AW114,$BU$8:$BZ$291,6,FALSE())</f>
        <v>3.06643406187445</v>
      </c>
      <c r="BS114" s="1262" t="n">
        <v>0</v>
      </c>
      <c r="BU114" s="1309" t="n">
        <f aca="false">EDATE(BU113,1)</f>
        <v>39387</v>
      </c>
      <c r="BV114" s="1310" t="n">
        <v>2.79680690462251</v>
      </c>
      <c r="BW114" s="1310" t="n">
        <v>2.28939293325161</v>
      </c>
      <c r="BX114" s="1310"/>
      <c r="BY114" s="1310" t="n">
        <v>3.34244314758592</v>
      </c>
      <c r="BZ114" s="1311" t="n">
        <v>2.73603648118543</v>
      </c>
    </row>
    <row r="115" customFormat="false" ht="12.75" hidden="false" customHeight="false" outlineLevel="0" collapsed="false">
      <c r="A115" s="1246"/>
      <c r="B115" s="1312" t="n">
        <v>38808</v>
      </c>
      <c r="C115" s="1313" t="n">
        <v>29.9471194737965</v>
      </c>
      <c r="D115" s="1313"/>
      <c r="E115" s="1313"/>
      <c r="F115" s="1287"/>
      <c r="G115" s="1313"/>
      <c r="H115" s="1313"/>
      <c r="I115" s="1313"/>
      <c r="J115" s="1253"/>
      <c r="K115" s="1254" t="n">
        <v>39692</v>
      </c>
      <c r="L115" s="1314" t="n">
        <v>0</v>
      </c>
      <c r="M115" s="1314" t="n">
        <v>0</v>
      </c>
      <c r="N115" s="1314" t="n">
        <v>0</v>
      </c>
      <c r="O115" s="1252"/>
      <c r="P115" s="1314" t="n">
        <v>0</v>
      </c>
      <c r="Q115" s="1314" t="n">
        <v>0</v>
      </c>
      <c r="R115" s="1314" t="n">
        <v>0</v>
      </c>
      <c r="S115" s="1252"/>
      <c r="T115" s="1314" t="n">
        <v>0</v>
      </c>
      <c r="U115" s="1314" t="n">
        <v>0</v>
      </c>
      <c r="V115" s="1314" t="n">
        <v>0</v>
      </c>
      <c r="W115" s="1252"/>
      <c r="X115" s="1314" t="n">
        <v>0</v>
      </c>
      <c r="Y115" s="1314" t="n">
        <v>0</v>
      </c>
      <c r="Z115" s="1314" t="n">
        <v>0</v>
      </c>
      <c r="AA115" s="1252" t="n">
        <v>0</v>
      </c>
      <c r="AB115" s="1314" t="n">
        <v>0</v>
      </c>
      <c r="AC115" s="1314" t="n">
        <v>0</v>
      </c>
      <c r="AD115" s="1314" t="n">
        <v>0</v>
      </c>
      <c r="AE115" s="1252"/>
      <c r="AF115" s="1314" t="n">
        <v>0</v>
      </c>
      <c r="AG115" s="1314" t="n">
        <v>0</v>
      </c>
      <c r="AH115" s="1314" t="n">
        <v>0</v>
      </c>
      <c r="AI115" s="1252"/>
      <c r="AJ115" s="1314" t="n">
        <v>0</v>
      </c>
      <c r="AK115" s="1314" t="n">
        <v>0</v>
      </c>
      <c r="AL115" s="1314" t="n">
        <v>0</v>
      </c>
      <c r="AM115" s="1166"/>
      <c r="AN115" s="1253" t="n">
        <v>36</v>
      </c>
      <c r="AO115" s="1316" t="n">
        <v>0.35</v>
      </c>
      <c r="AP115" s="1252"/>
      <c r="AQ115" s="0"/>
      <c r="AR115" s="0"/>
      <c r="AS115" s="0"/>
      <c r="AT115" s="0" t="n">
        <v>1</v>
      </c>
      <c r="AU115" s="0" t="str">
        <f aca="false">AV115&amp;"Q"&amp;ROUNDUP(MONTH(AW115)/3,0)</f>
        <v>2009Q1</v>
      </c>
      <c r="AV115" s="0" t="n">
        <f aca="false">YEAR(AW115)</f>
        <v>2009</v>
      </c>
      <c r="AW115" s="1304" t="n">
        <f aca="false">EOMONTH(AW114,0)+1</f>
        <v>39845</v>
      </c>
      <c r="AX115" s="112" t="n">
        <f aca="false">AY115</f>
        <v>3.16963974636413</v>
      </c>
      <c r="AY115" s="1323" t="n">
        <v>3.16963974636413</v>
      </c>
      <c r="AZ115" s="112" t="n">
        <f aca="false">AY115</f>
        <v>3.16963974636413</v>
      </c>
      <c r="BA115" s="163" t="n">
        <v>1</v>
      </c>
      <c r="BB115" s="163" t="n">
        <v>1</v>
      </c>
      <c r="BC115" s="163" t="n">
        <v>1</v>
      </c>
      <c r="BD115" s="163" t="n">
        <v>0</v>
      </c>
      <c r="BE115" s="163"/>
      <c r="BF115" s="163" t="n">
        <v>0</v>
      </c>
      <c r="BG115" s="1290" t="n">
        <v>0</v>
      </c>
      <c r="BH115" s="1262"/>
      <c r="BI115" s="1292"/>
      <c r="BJ115" s="1262"/>
      <c r="BK115" s="1293" t="n">
        <v>0</v>
      </c>
      <c r="BL115" s="1294" t="n">
        <f aca="false">+AY115</f>
        <v>3.16963974636413</v>
      </c>
      <c r="BM115" s="1295" t="n">
        <f aca="false">AY115</f>
        <v>3.16963974636413</v>
      </c>
      <c r="BN115" s="1324" t="n">
        <f aca="false">+BM115/BM103-1</f>
        <v>0.0270336853559683</v>
      </c>
      <c r="BO115" s="1296" t="n">
        <v>2.4</v>
      </c>
      <c r="BP115" s="1318" t="n">
        <f aca="false">+AY115/AY103-1</f>
        <v>0.0270336853559683</v>
      </c>
      <c r="BQ115" s="1298" t="n">
        <f aca="false">VLOOKUP($AW115,$BU$8:$BZ$291,5,FALSE())</f>
        <v>3.2427216298708</v>
      </c>
      <c r="BR115" s="1298" t="n">
        <f aca="false">VLOOKUP($AW115,$BU$8:$BZ$291,6,FALSE())</f>
        <v>2.85619922036278</v>
      </c>
      <c r="BS115" s="1262" t="n">
        <v>0</v>
      </c>
      <c r="BU115" s="1309" t="n">
        <f aca="false">EDATE(BU114,1)</f>
        <v>39417</v>
      </c>
      <c r="BV115" s="1310" t="n">
        <v>2.85588877252365</v>
      </c>
      <c r="BW115" s="1310" t="n">
        <v>2.33739058478423</v>
      </c>
      <c r="BX115" s="1310"/>
      <c r="BY115" s="1310" t="n">
        <v>3.4130514488549</v>
      </c>
      <c r="BZ115" s="1311" t="n">
        <v>2.79339811784339</v>
      </c>
    </row>
    <row r="116" customFormat="false" ht="12.75" hidden="false" customHeight="false" outlineLevel="0" collapsed="false">
      <c r="A116" s="1246"/>
      <c r="B116" s="1312" t="n">
        <v>38838</v>
      </c>
      <c r="C116" s="1313" t="n">
        <v>29.9609041845028</v>
      </c>
      <c r="D116" s="1313"/>
      <c r="E116" s="1313"/>
      <c r="F116" s="1287"/>
      <c r="G116" s="1313"/>
      <c r="H116" s="1313"/>
      <c r="I116" s="1313"/>
      <c r="J116" s="1253"/>
      <c r="K116" s="1254" t="n">
        <v>39722</v>
      </c>
      <c r="L116" s="1314" t="n">
        <v>0</v>
      </c>
      <c r="M116" s="1314" t="n">
        <v>0</v>
      </c>
      <c r="N116" s="1314" t="n">
        <v>0</v>
      </c>
      <c r="O116" s="1252"/>
      <c r="P116" s="1314" t="n">
        <v>0</v>
      </c>
      <c r="Q116" s="1314" t="n">
        <v>0</v>
      </c>
      <c r="R116" s="1314" t="n">
        <v>0</v>
      </c>
      <c r="S116" s="1252"/>
      <c r="T116" s="1314" t="n">
        <v>0</v>
      </c>
      <c r="U116" s="1314" t="n">
        <v>0</v>
      </c>
      <c r="V116" s="1314" t="n">
        <v>0</v>
      </c>
      <c r="W116" s="1252"/>
      <c r="X116" s="1314" t="n">
        <v>0</v>
      </c>
      <c r="Y116" s="1314" t="n">
        <v>0</v>
      </c>
      <c r="Z116" s="1314" t="n">
        <v>0</v>
      </c>
      <c r="AA116" s="1252" t="n">
        <v>0</v>
      </c>
      <c r="AB116" s="1314" t="n">
        <v>0</v>
      </c>
      <c r="AC116" s="1314" t="n">
        <v>0</v>
      </c>
      <c r="AD116" s="1314" t="n">
        <v>0</v>
      </c>
      <c r="AE116" s="1252"/>
      <c r="AF116" s="1314" t="n">
        <v>0</v>
      </c>
      <c r="AG116" s="1314" t="n">
        <v>0</v>
      </c>
      <c r="AH116" s="1314" t="n">
        <v>0</v>
      </c>
      <c r="AI116" s="1252"/>
      <c r="AJ116" s="1314" t="n">
        <v>0</v>
      </c>
      <c r="AK116" s="1314" t="n">
        <v>0</v>
      </c>
      <c r="AL116" s="1314" t="n">
        <v>0</v>
      </c>
      <c r="AM116" s="1166"/>
      <c r="AN116" s="1253" t="n">
        <v>36</v>
      </c>
      <c r="AO116" s="1316" t="n">
        <v>0.35</v>
      </c>
      <c r="AP116" s="1252"/>
      <c r="AQ116" s="0"/>
      <c r="AR116" s="0"/>
      <c r="AS116" s="0"/>
      <c r="AT116" s="0" t="n">
        <v>1</v>
      </c>
      <c r="AU116" s="0" t="str">
        <f aca="false">AV116&amp;"Q"&amp;ROUNDUP(MONTH(AW116)/3,0)</f>
        <v>2009Q1</v>
      </c>
      <c r="AV116" s="0" t="n">
        <f aca="false">YEAR(AW116)</f>
        <v>2009</v>
      </c>
      <c r="AW116" s="1304" t="n">
        <f aca="false">EOMONTH(AW115,0)+1</f>
        <v>39873</v>
      </c>
      <c r="AX116" s="112" t="n">
        <f aca="false">AY116</f>
        <v>2.99948257018341</v>
      </c>
      <c r="AY116" s="1323" t="n">
        <v>2.99948257018341</v>
      </c>
      <c r="AZ116" s="112" t="n">
        <f aca="false">AY116</f>
        <v>2.99948257018341</v>
      </c>
      <c r="BA116" s="163" t="n">
        <v>1</v>
      </c>
      <c r="BB116" s="163" t="n">
        <v>1</v>
      </c>
      <c r="BC116" s="163" t="n">
        <v>1</v>
      </c>
      <c r="BD116" s="163" t="n">
        <v>0</v>
      </c>
      <c r="BE116" s="163"/>
      <c r="BF116" s="163" t="n">
        <v>0</v>
      </c>
      <c r="BG116" s="1290" t="n">
        <v>0</v>
      </c>
      <c r="BH116" s="1262"/>
      <c r="BI116" s="1292"/>
      <c r="BJ116" s="1262"/>
      <c r="BK116" s="1293" t="n">
        <v>0</v>
      </c>
      <c r="BL116" s="1294" t="n">
        <f aca="false">+AY116</f>
        <v>2.99948257018341</v>
      </c>
      <c r="BM116" s="1295" t="n">
        <f aca="false">AY116</f>
        <v>2.99948257018341</v>
      </c>
      <c r="BN116" s="1324" t="n">
        <f aca="false">+BM116/BM104-1</f>
        <v>0.0269780045511123</v>
      </c>
      <c r="BO116" s="1296" t="n">
        <v>2.4</v>
      </c>
      <c r="BP116" s="1318" t="n">
        <f aca="false">+AY116/AY104-1</f>
        <v>0.0269780045511123</v>
      </c>
      <c r="BQ116" s="1298" t="n">
        <f aca="false">VLOOKUP($AW116,$BU$8:$BZ$291,5,FALSE())</f>
        <v>3.1464393248987</v>
      </c>
      <c r="BR116" s="1298" t="n">
        <f aca="false">VLOOKUP($AW116,$BU$8:$BZ$291,6,FALSE())</f>
        <v>2.71441293190142</v>
      </c>
      <c r="BS116" s="1262" t="n">
        <v>0</v>
      </c>
      <c r="BU116" s="1309" t="n">
        <f aca="false">EDATE(BU115,1)</f>
        <v>39448</v>
      </c>
      <c r="BV116" s="1310" t="n">
        <v>2.77678878580085</v>
      </c>
      <c r="BW116" s="1310" t="n">
        <v>2.43993143047361</v>
      </c>
      <c r="BX116" s="1310"/>
      <c r="BY116" s="1310" t="n">
        <v>3.38489003539526</v>
      </c>
      <c r="BZ116" s="1311" t="n">
        <v>2.97426279891715</v>
      </c>
    </row>
    <row r="117" customFormat="false" ht="12.75" hidden="false" customHeight="false" outlineLevel="0" collapsed="false">
      <c r="A117" s="1246"/>
      <c r="B117" s="1312" t="n">
        <v>38869</v>
      </c>
      <c r="C117" s="1313" t="n">
        <v>29.4153532932697</v>
      </c>
      <c r="D117" s="1313"/>
      <c r="E117" s="1313"/>
      <c r="F117" s="1287"/>
      <c r="G117" s="1313"/>
      <c r="H117" s="1313"/>
      <c r="I117" s="1313"/>
      <c r="J117" s="1253"/>
      <c r="K117" s="1254" t="n">
        <v>39753</v>
      </c>
      <c r="L117" s="1314" t="n">
        <v>0</v>
      </c>
      <c r="M117" s="1314" t="n">
        <v>0</v>
      </c>
      <c r="N117" s="1314" t="n">
        <v>0</v>
      </c>
      <c r="O117" s="1252"/>
      <c r="P117" s="1314" t="n">
        <v>0</v>
      </c>
      <c r="Q117" s="1314" t="n">
        <v>0</v>
      </c>
      <c r="R117" s="1314" t="n">
        <v>0</v>
      </c>
      <c r="S117" s="1252"/>
      <c r="T117" s="1314" t="n">
        <v>0</v>
      </c>
      <c r="U117" s="1314" t="n">
        <v>0</v>
      </c>
      <c r="V117" s="1314" t="n">
        <v>0</v>
      </c>
      <c r="W117" s="1252"/>
      <c r="X117" s="1314" t="n">
        <v>0</v>
      </c>
      <c r="Y117" s="1314" t="n">
        <v>0</v>
      </c>
      <c r="Z117" s="1314" t="n">
        <v>0</v>
      </c>
      <c r="AA117" s="1252" t="n">
        <v>0</v>
      </c>
      <c r="AB117" s="1314" t="n">
        <v>0</v>
      </c>
      <c r="AC117" s="1314" t="n">
        <v>0</v>
      </c>
      <c r="AD117" s="1314" t="n">
        <v>0</v>
      </c>
      <c r="AE117" s="1252"/>
      <c r="AF117" s="1314" t="n">
        <v>0</v>
      </c>
      <c r="AG117" s="1314" t="n">
        <v>0</v>
      </c>
      <c r="AH117" s="1314" t="n">
        <v>0</v>
      </c>
      <c r="AI117" s="1252"/>
      <c r="AJ117" s="1314" t="n">
        <v>0</v>
      </c>
      <c r="AK117" s="1314" t="n">
        <v>0</v>
      </c>
      <c r="AL117" s="1314" t="n">
        <v>0</v>
      </c>
      <c r="AM117" s="1166"/>
      <c r="AN117" s="1253" t="n">
        <v>36</v>
      </c>
      <c r="AO117" s="1316" t="n">
        <v>0.35</v>
      </c>
      <c r="AP117" s="1252"/>
      <c r="AQ117" s="0"/>
      <c r="AR117" s="0"/>
      <c r="AS117" s="0"/>
      <c r="AT117" s="0" t="n">
        <v>1</v>
      </c>
      <c r="AU117" s="0" t="str">
        <f aca="false">AV117&amp;"Q"&amp;ROUNDUP(MONTH(AW117)/3,0)</f>
        <v>2009Q2</v>
      </c>
      <c r="AV117" s="0" t="n">
        <f aca="false">YEAR(AW117)</f>
        <v>2009</v>
      </c>
      <c r="AW117" s="1304" t="n">
        <f aca="false">EOMONTH(AW116,0)+1</f>
        <v>39904</v>
      </c>
      <c r="AX117" s="112" t="n">
        <f aca="false">AY117</f>
        <v>2.9094959518302</v>
      </c>
      <c r="AY117" s="1323" t="n">
        <v>2.9094959518302</v>
      </c>
      <c r="AZ117" s="112" t="n">
        <f aca="false">AY117</f>
        <v>2.9094959518302</v>
      </c>
      <c r="BA117" s="163" t="n">
        <v>1</v>
      </c>
      <c r="BB117" s="163" t="n">
        <v>1</v>
      </c>
      <c r="BC117" s="163" t="n">
        <v>1</v>
      </c>
      <c r="BD117" s="163" t="n">
        <v>0</v>
      </c>
      <c r="BE117" s="163"/>
      <c r="BF117" s="163" t="n">
        <v>0</v>
      </c>
      <c r="BG117" s="1290" t="n">
        <v>0</v>
      </c>
      <c r="BH117" s="1262"/>
      <c r="BI117" s="1292"/>
      <c r="BJ117" s="1262"/>
      <c r="BK117" s="1293" t="n">
        <v>0</v>
      </c>
      <c r="BL117" s="1294" t="n">
        <f aca="false">+AY117</f>
        <v>2.9094959518302</v>
      </c>
      <c r="BM117" s="1295" t="n">
        <f aca="false">AY117</f>
        <v>2.9094959518302</v>
      </c>
      <c r="BN117" s="1324" t="n">
        <f aca="false">+BM117/BM105-1</f>
        <v>0.0269780045511123</v>
      </c>
      <c r="BO117" s="1296" t="n">
        <v>2.4</v>
      </c>
      <c r="BP117" s="1318" t="n">
        <f aca="false">+AY117/AY105-1</f>
        <v>0.0269780045511123</v>
      </c>
      <c r="BQ117" s="1298" t="n">
        <f aca="false">VLOOKUP($AW117,$BU$8:$BZ$291,5,FALSE())</f>
        <v>3.08402183064092</v>
      </c>
      <c r="BR117" s="1298" t="n">
        <f aca="false">VLOOKUP($AW117,$BU$8:$BZ$291,6,FALSE())</f>
        <v>2.63190797956399</v>
      </c>
      <c r="BS117" s="1262" t="n">
        <v>0</v>
      </c>
      <c r="BU117" s="1309" t="n">
        <f aca="false">EDATE(BU116,1)</f>
        <v>39479</v>
      </c>
      <c r="BV117" s="1310" t="n">
        <v>2.5672674812092</v>
      </c>
      <c r="BW117" s="1310" t="n">
        <v>2.27264963434348</v>
      </c>
      <c r="BX117" s="1310"/>
      <c r="BY117" s="1310" t="n">
        <v>3.12948473422801</v>
      </c>
      <c r="BZ117" s="1311" t="n">
        <v>2.77034722286782</v>
      </c>
    </row>
    <row r="118" customFormat="false" ht="12.75" hidden="false" customHeight="false" outlineLevel="0" collapsed="false">
      <c r="A118" s="1246"/>
      <c r="B118" s="1312" t="n">
        <v>38899</v>
      </c>
      <c r="C118" s="1313" t="n">
        <v>42.4823214932049</v>
      </c>
      <c r="D118" s="1313"/>
      <c r="E118" s="1313"/>
      <c r="F118" s="1287"/>
      <c r="G118" s="1313"/>
      <c r="H118" s="1313"/>
      <c r="I118" s="1313"/>
      <c r="J118" s="1253"/>
      <c r="K118" s="1254" t="n">
        <v>39783</v>
      </c>
      <c r="L118" s="1314" t="n">
        <v>0</v>
      </c>
      <c r="M118" s="1314" t="n">
        <v>0</v>
      </c>
      <c r="N118" s="1314" t="n">
        <v>0</v>
      </c>
      <c r="O118" s="1252"/>
      <c r="P118" s="1314" t="n">
        <v>0</v>
      </c>
      <c r="Q118" s="1314" t="n">
        <v>0</v>
      </c>
      <c r="R118" s="1314" t="n">
        <v>0</v>
      </c>
      <c r="S118" s="1252"/>
      <c r="T118" s="1314" t="n">
        <v>0</v>
      </c>
      <c r="U118" s="1314" t="n">
        <v>0</v>
      </c>
      <c r="V118" s="1314" t="n">
        <v>0</v>
      </c>
      <c r="W118" s="1252"/>
      <c r="X118" s="1314" t="n">
        <v>0</v>
      </c>
      <c r="Y118" s="1314" t="n">
        <v>0</v>
      </c>
      <c r="Z118" s="1314" t="n">
        <v>0</v>
      </c>
      <c r="AA118" s="1252" t="n">
        <v>0</v>
      </c>
      <c r="AB118" s="1314" t="n">
        <v>0</v>
      </c>
      <c r="AC118" s="1314" t="n">
        <v>0</v>
      </c>
      <c r="AD118" s="1314" t="n">
        <v>0</v>
      </c>
      <c r="AE118" s="1252"/>
      <c r="AF118" s="1314" t="n">
        <v>0</v>
      </c>
      <c r="AG118" s="1314" t="n">
        <v>0</v>
      </c>
      <c r="AH118" s="1314" t="n">
        <v>0</v>
      </c>
      <c r="AI118" s="1252"/>
      <c r="AJ118" s="1314" t="n">
        <v>0</v>
      </c>
      <c r="AK118" s="1314" t="n">
        <v>0</v>
      </c>
      <c r="AL118" s="1314" t="n">
        <v>0</v>
      </c>
      <c r="AM118" s="1166"/>
      <c r="AN118" s="1253" t="n">
        <v>37</v>
      </c>
      <c r="AO118" s="1316" t="n">
        <v>0.35</v>
      </c>
      <c r="AP118" s="1252"/>
      <c r="AQ118" s="0"/>
      <c r="AR118" s="0"/>
      <c r="AS118" s="0"/>
      <c r="AT118" s="0" t="n">
        <v>1</v>
      </c>
      <c r="AU118" s="0" t="str">
        <f aca="false">AV118&amp;"Q"&amp;ROUNDUP(MONTH(AW118)/3,0)</f>
        <v>2009Q2</v>
      </c>
      <c r="AV118" s="0" t="n">
        <f aca="false">YEAR(AW118)</f>
        <v>2009</v>
      </c>
      <c r="AW118" s="1304" t="n">
        <f aca="false">EOMONTH(AW117,0)+1</f>
        <v>39934</v>
      </c>
      <c r="AX118" s="112" t="n">
        <f aca="false">AY118</f>
        <v>2.88755343336822</v>
      </c>
      <c r="AY118" s="1323" t="n">
        <v>2.88755343336822</v>
      </c>
      <c r="AZ118" s="112" t="n">
        <f aca="false">AY118</f>
        <v>2.88755343336822</v>
      </c>
      <c r="BA118" s="163" t="n">
        <v>1</v>
      </c>
      <c r="BB118" s="163" t="n">
        <v>1</v>
      </c>
      <c r="BC118" s="163" t="n">
        <v>1</v>
      </c>
      <c r="BD118" s="163" t="n">
        <v>0</v>
      </c>
      <c r="BE118" s="163"/>
      <c r="BF118" s="163" t="n">
        <v>0</v>
      </c>
      <c r="BG118" s="1290" t="n">
        <v>0</v>
      </c>
      <c r="BH118" s="1262"/>
      <c r="BI118" s="1292"/>
      <c r="BJ118" s="1262"/>
      <c r="BK118" s="1293" t="n">
        <v>0</v>
      </c>
      <c r="BL118" s="1294" t="n">
        <f aca="false">+AY118</f>
        <v>2.88755343336822</v>
      </c>
      <c r="BM118" s="1295" t="n">
        <f aca="false">AY118</f>
        <v>2.88755343336822</v>
      </c>
      <c r="BN118" s="1324" t="n">
        <f aca="false">+BM118/BM106-1</f>
        <v>0.0269780045511121</v>
      </c>
      <c r="BO118" s="1296" t="n">
        <v>2.4</v>
      </c>
      <c r="BP118" s="1318" t="n">
        <f aca="false">+AY118/AY106-1</f>
        <v>0.0269780045511121</v>
      </c>
      <c r="BQ118" s="1298" t="n">
        <f aca="false">VLOOKUP($AW118,$BU$8:$BZ$291,5,FALSE())</f>
        <v>3.05546914709747</v>
      </c>
      <c r="BR118" s="1298" t="n">
        <f aca="false">VLOOKUP($AW118,$BU$8:$BZ$291,6,FALSE())</f>
        <v>2.59951714642411</v>
      </c>
      <c r="BS118" s="1262" t="n">
        <v>0</v>
      </c>
      <c r="BU118" s="1309" t="n">
        <f aca="false">EDATE(BU117,1)</f>
        <v>39508</v>
      </c>
      <c r="BV118" s="1310" t="n">
        <v>2.49104063882662</v>
      </c>
      <c r="BW118" s="1310" t="n">
        <v>2.15983167881386</v>
      </c>
      <c r="BX118" s="1310"/>
      <c r="BY118" s="1310" t="n">
        <v>3.03656463870983</v>
      </c>
      <c r="BZ118" s="1311" t="n">
        <v>2.632822764602</v>
      </c>
    </row>
    <row r="119" customFormat="false" ht="12.75" hidden="false" customHeight="false" outlineLevel="0" collapsed="false">
      <c r="A119" s="1246"/>
      <c r="B119" s="1312" t="n">
        <v>38930</v>
      </c>
      <c r="C119" s="1313" t="n">
        <v>60.9450047439998</v>
      </c>
      <c r="D119" s="1313"/>
      <c r="E119" s="1313"/>
      <c r="F119" s="1287"/>
      <c r="G119" s="1313"/>
      <c r="H119" s="1313"/>
      <c r="I119" s="1313"/>
      <c r="J119" s="1253"/>
      <c r="K119" s="1254" t="n">
        <v>39814</v>
      </c>
      <c r="L119" s="1314" t="n">
        <v>0</v>
      </c>
      <c r="M119" s="1314" t="n">
        <v>0</v>
      </c>
      <c r="N119" s="1314" t="n">
        <v>0</v>
      </c>
      <c r="O119" s="1252"/>
      <c r="P119" s="1314" t="n">
        <v>0</v>
      </c>
      <c r="Q119" s="1314" t="n">
        <v>0</v>
      </c>
      <c r="R119" s="1314" t="n">
        <v>0</v>
      </c>
      <c r="S119" s="1252"/>
      <c r="T119" s="1314" t="n">
        <v>0</v>
      </c>
      <c r="U119" s="1314" t="n">
        <v>0</v>
      </c>
      <c r="V119" s="1314" t="n">
        <v>0</v>
      </c>
      <c r="W119" s="1252"/>
      <c r="X119" s="1314" t="n">
        <v>0</v>
      </c>
      <c r="Y119" s="1314" t="n">
        <v>0</v>
      </c>
      <c r="Z119" s="1314" t="n">
        <v>0</v>
      </c>
      <c r="AA119" s="1252" t="n">
        <v>0</v>
      </c>
      <c r="AB119" s="1314" t="n">
        <v>0</v>
      </c>
      <c r="AC119" s="1314" t="n">
        <v>0</v>
      </c>
      <c r="AD119" s="1314" t="n">
        <v>0</v>
      </c>
      <c r="AE119" s="1252"/>
      <c r="AF119" s="1314" t="n">
        <v>0</v>
      </c>
      <c r="AG119" s="1314" t="n">
        <v>0</v>
      </c>
      <c r="AH119" s="1314" t="n">
        <v>0</v>
      </c>
      <c r="AI119" s="1252"/>
      <c r="AJ119" s="1314" t="n">
        <v>0</v>
      </c>
      <c r="AK119" s="1314" t="n">
        <v>0</v>
      </c>
      <c r="AL119" s="1314" t="n">
        <v>0</v>
      </c>
      <c r="AM119" s="1166"/>
      <c r="AN119" s="1253" t="n">
        <v>37</v>
      </c>
      <c r="AO119" s="1316" t="n">
        <v>0.35</v>
      </c>
      <c r="AP119" s="1252"/>
      <c r="AQ119" s="0"/>
      <c r="AR119" s="0"/>
      <c r="AS119" s="0"/>
      <c r="AT119" s="0" t="n">
        <v>1</v>
      </c>
      <c r="AU119" s="0" t="str">
        <f aca="false">AV119&amp;"Q"&amp;ROUNDUP(MONTH(AW119)/3,0)</f>
        <v>2009Q2</v>
      </c>
      <c r="AV119" s="0" t="n">
        <f aca="false">YEAR(AW119)</f>
        <v>2009</v>
      </c>
      <c r="AW119" s="1304" t="n">
        <f aca="false">EOMONTH(AW118,0)+1</f>
        <v>39965</v>
      </c>
      <c r="AX119" s="112" t="n">
        <f aca="false">AY119</f>
        <v>2.92243341180182</v>
      </c>
      <c r="AY119" s="1323" t="n">
        <v>2.92243341180182</v>
      </c>
      <c r="AZ119" s="112" t="n">
        <f aca="false">AY119</f>
        <v>2.92243341180182</v>
      </c>
      <c r="BA119" s="163" t="n">
        <v>1</v>
      </c>
      <c r="BB119" s="163" t="n">
        <v>1</v>
      </c>
      <c r="BC119" s="163" t="n">
        <v>1</v>
      </c>
      <c r="BD119" s="163" t="n">
        <v>0</v>
      </c>
      <c r="BE119" s="163"/>
      <c r="BF119" s="163" t="n">
        <v>0</v>
      </c>
      <c r="BG119" s="1290" t="n">
        <v>0</v>
      </c>
      <c r="BH119" s="1262"/>
      <c r="BI119" s="1292"/>
      <c r="BJ119" s="1262"/>
      <c r="BK119" s="1293" t="n">
        <v>0</v>
      </c>
      <c r="BL119" s="1294" t="n">
        <f aca="false">+AY119</f>
        <v>2.92243341180182</v>
      </c>
      <c r="BM119" s="1295" t="n">
        <f aca="false">AY119</f>
        <v>2.92243341180182</v>
      </c>
      <c r="BN119" s="1324" t="n">
        <f aca="false">+BM119/BM107-1</f>
        <v>0.0269780045511128</v>
      </c>
      <c r="BO119" s="1296" t="n">
        <v>2.4</v>
      </c>
      <c r="BP119" s="1318" t="n">
        <f aca="false">+AY119/AY107-1</f>
        <v>0.0269780045511128</v>
      </c>
      <c r="BQ119" s="1298" t="n">
        <f aca="false">VLOOKUP($AW119,$BU$8:$BZ$291,5,FALSE())</f>
        <v>3.06078127426835</v>
      </c>
      <c r="BR119" s="1298" t="n">
        <f aca="false">VLOOKUP($AW119,$BU$8:$BZ$291,6,FALSE())</f>
        <v>2.6080732155554</v>
      </c>
      <c r="BS119" s="1262" t="n">
        <v>0</v>
      </c>
      <c r="BU119" s="1309" t="n">
        <f aca="false">EDATE(BU118,1)</f>
        <v>39539</v>
      </c>
      <c r="BV119" s="1310" t="n">
        <v>2.44162461686826</v>
      </c>
      <c r="BW119" s="1310" t="n">
        <v>2.0941832995186</v>
      </c>
      <c r="BX119" s="1310"/>
      <c r="BY119" s="1310" t="n">
        <v>2.97632678368424</v>
      </c>
      <c r="BZ119" s="1311" t="n">
        <v>2.55279775655939</v>
      </c>
    </row>
    <row r="120" customFormat="false" ht="12.75" hidden="false" customHeight="false" outlineLevel="0" collapsed="false">
      <c r="A120" s="1246"/>
      <c r="B120" s="1312" t="n">
        <v>38961</v>
      </c>
      <c r="C120" s="1313" t="n">
        <v>49.3207598691777</v>
      </c>
      <c r="D120" s="1313"/>
      <c r="E120" s="1313"/>
      <c r="F120" s="1287"/>
      <c r="G120" s="1313"/>
      <c r="H120" s="1313"/>
      <c r="I120" s="1313"/>
      <c r="J120" s="1253"/>
      <c r="K120" s="1254" t="n">
        <v>39845</v>
      </c>
      <c r="L120" s="1314" t="n">
        <v>0</v>
      </c>
      <c r="M120" s="1314" t="n">
        <v>0</v>
      </c>
      <c r="N120" s="1314" t="n">
        <v>0</v>
      </c>
      <c r="O120" s="1252"/>
      <c r="P120" s="1314" t="n">
        <v>0</v>
      </c>
      <c r="Q120" s="1314" t="n">
        <v>0</v>
      </c>
      <c r="R120" s="1314" t="n">
        <v>0</v>
      </c>
      <c r="S120" s="1252"/>
      <c r="T120" s="1314" t="n">
        <v>0</v>
      </c>
      <c r="U120" s="1314" t="n">
        <v>0</v>
      </c>
      <c r="V120" s="1314" t="n">
        <v>0</v>
      </c>
      <c r="W120" s="1252"/>
      <c r="X120" s="1314" t="n">
        <v>0</v>
      </c>
      <c r="Y120" s="1314" t="n">
        <v>0</v>
      </c>
      <c r="Z120" s="1314" t="n">
        <v>0</v>
      </c>
      <c r="AA120" s="1252" t="n">
        <v>0</v>
      </c>
      <c r="AB120" s="1314" t="n">
        <v>0</v>
      </c>
      <c r="AC120" s="1314" t="n">
        <v>0</v>
      </c>
      <c r="AD120" s="1314" t="n">
        <v>0</v>
      </c>
      <c r="AE120" s="1252"/>
      <c r="AF120" s="1314" t="n">
        <v>0</v>
      </c>
      <c r="AG120" s="1314" t="n">
        <v>0</v>
      </c>
      <c r="AH120" s="1314" t="n">
        <v>0</v>
      </c>
      <c r="AI120" s="1252"/>
      <c r="AJ120" s="1314" t="n">
        <v>0</v>
      </c>
      <c r="AK120" s="1314" t="n">
        <v>0</v>
      </c>
      <c r="AL120" s="1314" t="n">
        <v>0</v>
      </c>
      <c r="AM120" s="1166"/>
      <c r="AN120" s="1253" t="n">
        <v>37</v>
      </c>
      <c r="AO120" s="1316" t="n">
        <v>0.35</v>
      </c>
      <c r="AP120" s="1252"/>
      <c r="AQ120" s="0"/>
      <c r="AR120" s="0"/>
      <c r="AS120" s="0"/>
      <c r="AT120" s="0" t="n">
        <v>1</v>
      </c>
      <c r="AU120" s="0" t="str">
        <f aca="false">AV120&amp;"Q"&amp;ROUNDUP(MONTH(AW120)/3,0)</f>
        <v>2009Q3</v>
      </c>
      <c r="AV120" s="0" t="n">
        <f aca="false">YEAR(AW120)</f>
        <v>2009</v>
      </c>
      <c r="AW120" s="1304" t="n">
        <f aca="false">EOMONTH(AW119,0)+1</f>
        <v>39995</v>
      </c>
      <c r="AX120" s="112" t="n">
        <f aca="false">AY120</f>
        <v>3.0022044183397</v>
      </c>
      <c r="AY120" s="1323" t="n">
        <v>3.0022044183397</v>
      </c>
      <c r="AZ120" s="112" t="n">
        <f aca="false">AY120</f>
        <v>3.0022044183397</v>
      </c>
      <c r="BA120" s="163" t="n">
        <v>1</v>
      </c>
      <c r="BB120" s="163" t="n">
        <v>1</v>
      </c>
      <c r="BC120" s="163" t="n">
        <v>1</v>
      </c>
      <c r="BD120" s="163" t="n">
        <v>0</v>
      </c>
      <c r="BE120" s="163"/>
      <c r="BF120" s="163" t="n">
        <v>0</v>
      </c>
      <c r="BG120" s="1290" t="n">
        <v>0</v>
      </c>
      <c r="BH120" s="1262"/>
      <c r="BI120" s="1292"/>
      <c r="BJ120" s="1262"/>
      <c r="BK120" s="1293" t="n">
        <v>0</v>
      </c>
      <c r="BL120" s="1294" t="n">
        <f aca="false">+AY120</f>
        <v>3.0022044183397</v>
      </c>
      <c r="BM120" s="1295" t="n">
        <f aca="false">AY120</f>
        <v>3.0022044183397</v>
      </c>
      <c r="BN120" s="1324" t="n">
        <f aca="false">+BM120/BM108-1</f>
        <v>0.0269780045511121</v>
      </c>
      <c r="BO120" s="1296" t="n">
        <v>2.4</v>
      </c>
      <c r="BP120" s="1318" t="n">
        <f aca="false">+AY120/AY108-1</f>
        <v>0.0269780045511121</v>
      </c>
      <c r="BQ120" s="1298" t="n">
        <f aca="false">VLOOKUP($AW120,$BU$8:$BZ$291,5,FALSE())</f>
        <v>3.09995821215355</v>
      </c>
      <c r="BR120" s="1298" t="n">
        <f aca="false">VLOOKUP($AW120,$BU$8:$BZ$291,6,FALSE())</f>
        <v>2.64840897003147</v>
      </c>
      <c r="BS120" s="1262" t="n">
        <v>0</v>
      </c>
      <c r="BU120" s="1309" t="n">
        <f aca="false">EDATE(BU119,1)</f>
        <v>39569</v>
      </c>
      <c r="BV120" s="1310" t="n">
        <v>2.41901941533411</v>
      </c>
      <c r="BW120" s="1310" t="n">
        <v>2.06841023209158</v>
      </c>
      <c r="BX120" s="1310"/>
      <c r="BY120" s="1310" t="n">
        <v>2.94877116915126</v>
      </c>
      <c r="BZ120" s="1311" t="n">
        <v>2.52138053117969</v>
      </c>
    </row>
    <row r="121" customFormat="false" ht="12.75" hidden="false" customHeight="false" outlineLevel="0" collapsed="false">
      <c r="A121" s="1246"/>
      <c r="B121" s="1312" t="n">
        <v>38991</v>
      </c>
      <c r="C121" s="1313" t="n">
        <v>42.9833656292515</v>
      </c>
      <c r="D121" s="1313"/>
      <c r="E121" s="1313"/>
      <c r="F121" s="1287"/>
      <c r="G121" s="1313"/>
      <c r="H121" s="1313"/>
      <c r="I121" s="1313"/>
      <c r="J121" s="1253"/>
      <c r="K121" s="1254" t="n">
        <v>39873</v>
      </c>
      <c r="L121" s="1314" t="n">
        <v>0</v>
      </c>
      <c r="M121" s="1314" t="n">
        <v>0</v>
      </c>
      <c r="N121" s="1314" t="n">
        <v>0</v>
      </c>
      <c r="O121" s="1252"/>
      <c r="P121" s="1314" t="n">
        <v>0</v>
      </c>
      <c r="Q121" s="1314" t="n">
        <v>0</v>
      </c>
      <c r="R121" s="1314" t="n">
        <v>0</v>
      </c>
      <c r="S121" s="1252"/>
      <c r="T121" s="1314" t="n">
        <v>0</v>
      </c>
      <c r="U121" s="1314" t="n">
        <v>0</v>
      </c>
      <c r="V121" s="1314" t="n">
        <v>0</v>
      </c>
      <c r="W121" s="1252"/>
      <c r="X121" s="1314" t="n">
        <v>0</v>
      </c>
      <c r="Y121" s="1314" t="n">
        <v>0</v>
      </c>
      <c r="Z121" s="1314" t="n">
        <v>0</v>
      </c>
      <c r="AA121" s="1252" t="n">
        <v>0</v>
      </c>
      <c r="AB121" s="1314" t="n">
        <v>0</v>
      </c>
      <c r="AC121" s="1314" t="n">
        <v>0</v>
      </c>
      <c r="AD121" s="1314" t="n">
        <v>0</v>
      </c>
      <c r="AE121" s="1252"/>
      <c r="AF121" s="1314" t="n">
        <v>0</v>
      </c>
      <c r="AG121" s="1314" t="n">
        <v>0</v>
      </c>
      <c r="AH121" s="1314" t="n">
        <v>0</v>
      </c>
      <c r="AI121" s="1252"/>
      <c r="AJ121" s="1314" t="n">
        <v>0</v>
      </c>
      <c r="AK121" s="1314" t="n">
        <v>0</v>
      </c>
      <c r="AL121" s="1314" t="n">
        <v>0</v>
      </c>
      <c r="AM121" s="1166"/>
      <c r="AN121" s="1253" t="n">
        <v>38</v>
      </c>
      <c r="AO121" s="1316" t="n">
        <v>0.35</v>
      </c>
      <c r="AP121" s="1252"/>
      <c r="AQ121" s="0"/>
      <c r="AR121" s="0"/>
      <c r="AS121" s="0"/>
      <c r="AT121" s="0" t="n">
        <v>1</v>
      </c>
      <c r="AU121" s="0" t="str">
        <f aca="false">AV121&amp;"Q"&amp;ROUNDUP(MONTH(AW121)/3,0)</f>
        <v>2009Q3</v>
      </c>
      <c r="AV121" s="0" t="n">
        <f aca="false">YEAR(AW121)</f>
        <v>2009</v>
      </c>
      <c r="AW121" s="1304" t="n">
        <f aca="false">EOMONTH(AW120,0)+1</f>
        <v>40026</v>
      </c>
      <c r="AX121" s="112" t="n">
        <f aca="false">AY121</f>
        <v>3.11549581513542</v>
      </c>
      <c r="AY121" s="1323" t="n">
        <v>3.11549581513542</v>
      </c>
      <c r="AZ121" s="112" t="n">
        <f aca="false">AY121</f>
        <v>3.11549581513542</v>
      </c>
      <c r="BA121" s="163" t="n">
        <v>1</v>
      </c>
      <c r="BB121" s="163" t="n">
        <v>1</v>
      </c>
      <c r="BC121" s="163" t="n">
        <v>1</v>
      </c>
      <c r="BD121" s="163" t="n">
        <v>0</v>
      </c>
      <c r="BE121" s="163"/>
      <c r="BF121" s="163" t="n">
        <v>0</v>
      </c>
      <c r="BG121" s="1290" t="n">
        <v>0</v>
      </c>
      <c r="BH121" s="1262"/>
      <c r="BI121" s="1292"/>
      <c r="BJ121" s="1262"/>
      <c r="BK121" s="1293" t="n">
        <v>0</v>
      </c>
      <c r="BL121" s="1294" t="n">
        <f aca="false">+AY121</f>
        <v>3.11549581513542</v>
      </c>
      <c r="BM121" s="1295" t="n">
        <f aca="false">AY121</f>
        <v>3.11549581513542</v>
      </c>
      <c r="BN121" s="1324" t="n">
        <f aca="false">+BM121/BM109-1</f>
        <v>0.0269780045511123</v>
      </c>
      <c r="BO121" s="1296" t="n">
        <v>2.4</v>
      </c>
      <c r="BP121" s="1318" t="n">
        <f aca="false">+AY121/AY109-1</f>
        <v>0.0269780045511123</v>
      </c>
      <c r="BQ121" s="1298" t="n">
        <f aca="false">VLOOKUP($AW121,$BU$8:$BZ$291,5,FALSE())</f>
        <v>3.17299996075307</v>
      </c>
      <c r="BR121" s="1298" t="n">
        <f aca="false">VLOOKUP($AW121,$BU$8:$BZ$291,6,FALSE())</f>
        <v>2.71135719292596</v>
      </c>
      <c r="BS121" s="1262" t="n">
        <v>0</v>
      </c>
      <c r="BU121" s="1309" t="n">
        <f aca="false">EDATE(BU120,1)</f>
        <v>39600</v>
      </c>
      <c r="BV121" s="1310" t="n">
        <v>2.42322503422419</v>
      </c>
      <c r="BW121" s="1310" t="n">
        <v>2.07521821216664</v>
      </c>
      <c r="BX121" s="1310"/>
      <c r="BY121" s="1310" t="n">
        <v>2.95389779511089</v>
      </c>
      <c r="BZ121" s="1311" t="n">
        <v>2.52967942090263</v>
      </c>
    </row>
    <row r="122" customFormat="false" ht="12.75" hidden="false" customHeight="false" outlineLevel="0" collapsed="false">
      <c r="A122" s="1246"/>
      <c r="B122" s="1312" t="n">
        <v>39022</v>
      </c>
      <c r="C122" s="1313" t="n">
        <v>45.7114050605522</v>
      </c>
      <c r="D122" s="1313"/>
      <c r="E122" s="1313"/>
      <c r="F122" s="1287"/>
      <c r="G122" s="1313"/>
      <c r="H122" s="1313"/>
      <c r="I122" s="1313"/>
      <c r="J122" s="1253"/>
      <c r="K122" s="1254" t="n">
        <v>39904</v>
      </c>
      <c r="L122" s="1314" t="n">
        <v>0</v>
      </c>
      <c r="M122" s="1314" t="n">
        <v>0</v>
      </c>
      <c r="N122" s="1314" t="n">
        <v>0</v>
      </c>
      <c r="O122" s="1252"/>
      <c r="P122" s="1314" t="n">
        <v>0</v>
      </c>
      <c r="Q122" s="1314" t="n">
        <v>0</v>
      </c>
      <c r="R122" s="1314" t="n">
        <v>0</v>
      </c>
      <c r="S122" s="1252"/>
      <c r="T122" s="1314" t="n">
        <v>0</v>
      </c>
      <c r="U122" s="1314" t="n">
        <v>0</v>
      </c>
      <c r="V122" s="1314" t="n">
        <v>0</v>
      </c>
      <c r="W122" s="1252"/>
      <c r="X122" s="1314" t="n">
        <v>0</v>
      </c>
      <c r="Y122" s="1314" t="n">
        <v>0</v>
      </c>
      <c r="Z122" s="1314" t="n">
        <v>0</v>
      </c>
      <c r="AA122" s="1252" t="n">
        <v>0</v>
      </c>
      <c r="AB122" s="1314" t="n">
        <v>0</v>
      </c>
      <c r="AC122" s="1314" t="n">
        <v>0</v>
      </c>
      <c r="AD122" s="1314" t="n">
        <v>0</v>
      </c>
      <c r="AE122" s="1252"/>
      <c r="AF122" s="1314" t="n">
        <v>0</v>
      </c>
      <c r="AG122" s="1314" t="n">
        <v>0</v>
      </c>
      <c r="AH122" s="1314" t="n">
        <v>0</v>
      </c>
      <c r="AI122" s="1252"/>
      <c r="AJ122" s="1314" t="n">
        <v>0</v>
      </c>
      <c r="AK122" s="1314" t="n">
        <v>0</v>
      </c>
      <c r="AL122" s="1314" t="n">
        <v>0</v>
      </c>
      <c r="AM122" s="1166"/>
      <c r="AN122" s="1253" t="n">
        <v>38</v>
      </c>
      <c r="AO122" s="1316" t="n">
        <v>0.35</v>
      </c>
      <c r="AP122" s="1252"/>
      <c r="AQ122" s="0"/>
      <c r="AR122" s="0"/>
      <c r="AS122" s="0"/>
      <c r="AT122" s="0" t="n">
        <v>1</v>
      </c>
      <c r="AU122" s="0" t="str">
        <f aca="false">AV122&amp;"Q"&amp;ROUNDUP(MONTH(AW122)/3,0)</f>
        <v>2009Q3</v>
      </c>
      <c r="AV122" s="0" t="n">
        <f aca="false">YEAR(AW122)</f>
        <v>2009</v>
      </c>
      <c r="AW122" s="1304" t="n">
        <f aca="false">EOMONTH(AW121,0)+1</f>
        <v>40057</v>
      </c>
      <c r="AX122" s="112" t="n">
        <f aca="false">AY122</f>
        <v>3.25038033606536</v>
      </c>
      <c r="AY122" s="1323" t="n">
        <v>3.25038033606536</v>
      </c>
      <c r="AZ122" s="112" t="n">
        <f aca="false">AY122</f>
        <v>3.25038033606536</v>
      </c>
      <c r="BA122" s="163" t="n">
        <v>1</v>
      </c>
      <c r="BB122" s="163" t="n">
        <v>1</v>
      </c>
      <c r="BC122" s="163" t="n">
        <v>1</v>
      </c>
      <c r="BD122" s="163" t="n">
        <v>0</v>
      </c>
      <c r="BE122" s="163"/>
      <c r="BF122" s="163" t="n">
        <v>0</v>
      </c>
      <c r="BG122" s="1290" t="n">
        <v>0</v>
      </c>
      <c r="BH122" s="1262"/>
      <c r="BI122" s="1292"/>
      <c r="BJ122" s="1262"/>
      <c r="BK122" s="1293" t="n">
        <v>0</v>
      </c>
      <c r="BL122" s="1294" t="n">
        <f aca="false">+AY122</f>
        <v>3.25038033606536</v>
      </c>
      <c r="BM122" s="1295" t="n">
        <f aca="false">AY122</f>
        <v>3.25038033606536</v>
      </c>
      <c r="BN122" s="1324" t="n">
        <f aca="false">+BM122/BM110-1</f>
        <v>0.0269780045511121</v>
      </c>
      <c r="BO122" s="1296" t="n">
        <v>2.4</v>
      </c>
      <c r="BP122" s="1318" t="n">
        <f aca="false">+AY122/AY110-1</f>
        <v>0.0269780045511121</v>
      </c>
      <c r="BQ122" s="1298" t="n">
        <f aca="false">VLOOKUP($AW122,$BU$8:$BZ$291,5,FALSE())</f>
        <v>3.27990652006693</v>
      </c>
      <c r="BR122" s="1298" t="n">
        <f aca="false">VLOOKUP($AW122,$BU$8:$BZ$291,6,FALSE())</f>
        <v>2.78775066731247</v>
      </c>
      <c r="BS122" s="1262" t="n">
        <v>0</v>
      </c>
      <c r="BU122" s="1309" t="n">
        <f aca="false">EDATE(BU121,1)</f>
        <v>39630</v>
      </c>
      <c r="BV122" s="1310" t="n">
        <v>2.45424147353848</v>
      </c>
      <c r="BW122" s="1310" t="n">
        <v>2.10731297537765</v>
      </c>
      <c r="BX122" s="1310"/>
      <c r="BY122" s="1310" t="n">
        <v>2.99170666156311</v>
      </c>
      <c r="BZ122" s="1311" t="n">
        <v>2.56880275816791</v>
      </c>
    </row>
    <row r="123" customFormat="false" ht="12.75" hidden="false" customHeight="false" outlineLevel="0" collapsed="false">
      <c r="A123" s="1246"/>
      <c r="B123" s="1312" t="n">
        <v>39052</v>
      </c>
      <c r="C123" s="1313" t="n">
        <v>43.0450035860821</v>
      </c>
      <c r="D123" s="1313"/>
      <c r="E123" s="1313"/>
      <c r="F123" s="1287"/>
      <c r="G123" s="1313"/>
      <c r="H123" s="1313"/>
      <c r="I123" s="1313"/>
      <c r="J123" s="1253"/>
      <c r="K123" s="1254" t="n">
        <v>39934</v>
      </c>
      <c r="L123" s="1314" t="n">
        <v>0</v>
      </c>
      <c r="M123" s="1314" t="n">
        <v>0</v>
      </c>
      <c r="N123" s="1314" t="n">
        <v>0</v>
      </c>
      <c r="O123" s="1252"/>
      <c r="P123" s="1314" t="n">
        <v>0</v>
      </c>
      <c r="Q123" s="1314" t="n">
        <v>0</v>
      </c>
      <c r="R123" s="1314" t="n">
        <v>0</v>
      </c>
      <c r="S123" s="1252"/>
      <c r="T123" s="1314" t="n">
        <v>0</v>
      </c>
      <c r="U123" s="1314" t="n">
        <v>0</v>
      </c>
      <c r="V123" s="1314" t="n">
        <v>0</v>
      </c>
      <c r="W123" s="1252"/>
      <c r="X123" s="1314" t="n">
        <v>0</v>
      </c>
      <c r="Y123" s="1314" t="n">
        <v>0</v>
      </c>
      <c r="Z123" s="1314" t="n">
        <v>0</v>
      </c>
      <c r="AA123" s="1252" t="n">
        <v>0</v>
      </c>
      <c r="AB123" s="1314" t="n">
        <v>0</v>
      </c>
      <c r="AC123" s="1314" t="n">
        <v>0</v>
      </c>
      <c r="AD123" s="1314" t="n">
        <v>0</v>
      </c>
      <c r="AE123" s="1252"/>
      <c r="AF123" s="1314" t="n">
        <v>0</v>
      </c>
      <c r="AG123" s="1314" t="n">
        <v>0</v>
      </c>
      <c r="AH123" s="1314" t="n">
        <v>0</v>
      </c>
      <c r="AI123" s="1252"/>
      <c r="AJ123" s="1314" t="n">
        <v>0</v>
      </c>
      <c r="AK123" s="1314" t="n">
        <v>0</v>
      </c>
      <c r="AL123" s="1314" t="n">
        <v>0</v>
      </c>
      <c r="AM123" s="1166"/>
      <c r="AN123" s="1253" t="n">
        <v>38</v>
      </c>
      <c r="AO123" s="1316" t="n">
        <v>0.35</v>
      </c>
      <c r="AP123" s="1252"/>
      <c r="AQ123" s="0"/>
      <c r="AR123" s="0"/>
      <c r="AS123" s="0"/>
      <c r="AT123" s="0" t="n">
        <v>1</v>
      </c>
      <c r="AU123" s="0" t="str">
        <f aca="false">AV123&amp;"Q"&amp;ROUNDUP(MONTH(AW123)/3,0)</f>
        <v>2009Q4</v>
      </c>
      <c r="AV123" s="0" t="n">
        <f aca="false">YEAR(AW123)</f>
        <v>2009</v>
      </c>
      <c r="AW123" s="1304" t="n">
        <f aca="false">EOMONTH(AW122,0)+1</f>
        <v>40087</v>
      </c>
      <c r="AX123" s="112" t="n">
        <f aca="false">AY123</f>
        <v>3.39482534258636</v>
      </c>
      <c r="AY123" s="1323" t="n">
        <v>3.39482534258636</v>
      </c>
      <c r="AZ123" s="112" t="n">
        <f aca="false">AY123</f>
        <v>3.39482534258636</v>
      </c>
      <c r="BA123" s="163" t="n">
        <v>1</v>
      </c>
      <c r="BB123" s="163" t="n">
        <v>1</v>
      </c>
      <c r="BC123" s="163" t="n">
        <v>1</v>
      </c>
      <c r="BD123" s="163" t="n">
        <v>0</v>
      </c>
      <c r="BE123" s="163"/>
      <c r="BF123" s="163" t="n">
        <v>0</v>
      </c>
      <c r="BG123" s="1290" t="n">
        <v>0</v>
      </c>
      <c r="BH123" s="1262"/>
      <c r="BI123" s="1292"/>
      <c r="BJ123" s="1262"/>
      <c r="BK123" s="1293" t="n">
        <v>0</v>
      </c>
      <c r="BL123" s="1294" t="n">
        <f aca="false">+AY123</f>
        <v>3.39482534258636</v>
      </c>
      <c r="BM123" s="1295" t="n">
        <f aca="false">AY123</f>
        <v>3.39482534258636</v>
      </c>
      <c r="BN123" s="1324" t="n">
        <f aca="false">+BM123/BM111-1</f>
        <v>0.0269780045511125</v>
      </c>
      <c r="BO123" s="1296" t="n">
        <v>2.4</v>
      </c>
      <c r="BP123" s="1318" t="n">
        <f aca="false">+AY123/AY111-1</f>
        <v>0.0269780045511125</v>
      </c>
      <c r="BQ123" s="1298" t="n">
        <f aca="false">VLOOKUP($AW123,$BU$8:$BZ$291,5,FALSE())</f>
        <v>3.4206778900951</v>
      </c>
      <c r="BR123" s="1298" t="n">
        <f aca="false">VLOOKUP($AW123,$BU$8:$BZ$291,6,FALSE())</f>
        <v>2.86842217626462</v>
      </c>
      <c r="BS123" s="1262" t="n">
        <v>0</v>
      </c>
      <c r="BU123" s="1309" t="n">
        <f aca="false">EDATE(BU122,1)</f>
        <v>39661</v>
      </c>
      <c r="BV123" s="1310" t="n">
        <v>2.51206873327699</v>
      </c>
      <c r="BW123" s="1310" t="n">
        <v>2.15740025735848</v>
      </c>
      <c r="BX123" s="1310"/>
      <c r="BY123" s="1310" t="n">
        <v>3.06219776850795</v>
      </c>
      <c r="BZ123" s="1311" t="n">
        <v>2.62985887541524</v>
      </c>
    </row>
    <row r="124" customFormat="false" ht="12.75" hidden="false" customHeight="false" outlineLevel="0" collapsed="false">
      <c r="A124" s="1246"/>
      <c r="B124" s="1312" t="n">
        <v>39083</v>
      </c>
      <c r="C124" s="1313" t="n">
        <v>42.0058214166527</v>
      </c>
      <c r="D124" s="1313"/>
      <c r="E124" s="1313"/>
      <c r="F124" s="1287"/>
      <c r="G124" s="1313"/>
      <c r="H124" s="1313"/>
      <c r="I124" s="1313"/>
      <c r="J124" s="1253"/>
      <c r="K124" s="1254" t="n">
        <v>39965</v>
      </c>
      <c r="L124" s="1314" t="n">
        <v>0</v>
      </c>
      <c r="M124" s="1314" t="n">
        <v>0</v>
      </c>
      <c r="N124" s="1314" t="n">
        <v>0</v>
      </c>
      <c r="O124" s="1252"/>
      <c r="P124" s="1314" t="n">
        <v>0</v>
      </c>
      <c r="Q124" s="1314" t="n">
        <v>0</v>
      </c>
      <c r="R124" s="1314" t="n">
        <v>0</v>
      </c>
      <c r="S124" s="1252"/>
      <c r="T124" s="1314" t="n">
        <v>0</v>
      </c>
      <c r="U124" s="1314" t="n">
        <v>0</v>
      </c>
      <c r="V124" s="1314" t="n">
        <v>0</v>
      </c>
      <c r="W124" s="1252"/>
      <c r="X124" s="1314" t="n">
        <v>0</v>
      </c>
      <c r="Y124" s="1314" t="n">
        <v>0</v>
      </c>
      <c r="Z124" s="1314" t="n">
        <v>0</v>
      </c>
      <c r="AA124" s="1252" t="n">
        <v>0</v>
      </c>
      <c r="AB124" s="1314" t="n">
        <v>0</v>
      </c>
      <c r="AC124" s="1314" t="n">
        <v>0</v>
      </c>
      <c r="AD124" s="1314" t="n">
        <v>0</v>
      </c>
      <c r="AE124" s="1252"/>
      <c r="AF124" s="1314" t="n">
        <v>0</v>
      </c>
      <c r="AG124" s="1314" t="n">
        <v>0</v>
      </c>
      <c r="AH124" s="1314" t="n">
        <v>0</v>
      </c>
      <c r="AI124" s="1252"/>
      <c r="AJ124" s="1314" t="n">
        <v>0</v>
      </c>
      <c r="AK124" s="1314" t="n">
        <v>0</v>
      </c>
      <c r="AL124" s="1314" t="n">
        <v>0</v>
      </c>
      <c r="AM124" s="1166"/>
      <c r="AN124" s="1253" t="n">
        <v>39</v>
      </c>
      <c r="AO124" s="1316" t="n">
        <v>0.35</v>
      </c>
      <c r="AP124" s="1252"/>
      <c r="AQ124" s="0"/>
      <c r="AR124" s="0"/>
      <c r="AS124" s="0"/>
      <c r="AT124" s="0" t="n">
        <v>1</v>
      </c>
      <c r="AU124" s="0" t="str">
        <f aca="false">AV124&amp;"Q"&amp;ROUNDUP(MONTH(AW124)/3,0)</f>
        <v>2009Q4</v>
      </c>
      <c r="AV124" s="0" t="n">
        <f aca="false">YEAR(AW124)</f>
        <v>2009</v>
      </c>
      <c r="AW124" s="1304" t="n">
        <f aca="false">EOMONTH(AW123,0)+1</f>
        <v>40118</v>
      </c>
      <c r="AX124" s="112" t="n">
        <f aca="false">AY124</f>
        <v>3.53726256870002</v>
      </c>
      <c r="AY124" s="1323" t="n">
        <v>3.53726256870002</v>
      </c>
      <c r="AZ124" s="112" t="n">
        <f aca="false">AY124</f>
        <v>3.53726256870002</v>
      </c>
      <c r="BA124" s="163" t="n">
        <v>1</v>
      </c>
      <c r="BB124" s="163" t="n">
        <v>1</v>
      </c>
      <c r="BC124" s="163" t="n">
        <v>1</v>
      </c>
      <c r="BD124" s="163" t="n">
        <v>0</v>
      </c>
      <c r="BE124" s="163"/>
      <c r="BF124" s="163" t="n">
        <v>0</v>
      </c>
      <c r="BG124" s="1290" t="n">
        <v>0</v>
      </c>
      <c r="BH124" s="1262"/>
      <c r="BI124" s="1292"/>
      <c r="BJ124" s="1262"/>
      <c r="BK124" s="1293" t="n">
        <v>0</v>
      </c>
      <c r="BL124" s="1294" t="n">
        <f aca="false">+AY124</f>
        <v>3.53726256870002</v>
      </c>
      <c r="BM124" s="1295" t="n">
        <f aca="false">AY124</f>
        <v>3.53726256870002</v>
      </c>
      <c r="BN124" s="1324" t="n">
        <f aca="false">+BM124/BM112-1</f>
        <v>0.0269780045511121</v>
      </c>
      <c r="BO124" s="1296" t="n">
        <v>2.4</v>
      </c>
      <c r="BP124" s="1318" t="n">
        <f aca="false">+AY124/AY112-1</f>
        <v>0.0269780045511121</v>
      </c>
      <c r="BQ124" s="1298" t="n">
        <f aca="false">VLOOKUP($AW124,$BU$8:$BZ$291,5,FALSE())</f>
        <v>3.59531407083761</v>
      </c>
      <c r="BR124" s="1298" t="n">
        <f aca="false">VLOOKUP($AW124,$BU$8:$BZ$291,6,FALSE())</f>
        <v>2.94420450285604</v>
      </c>
      <c r="BS124" s="1262" t="n">
        <v>0</v>
      </c>
      <c r="BU124" s="1309" t="n">
        <f aca="false">EDATE(BU123,1)</f>
        <v>39692</v>
      </c>
      <c r="BV124" s="1310" t="n">
        <v>2.59670681343972</v>
      </c>
      <c r="BW124" s="1310" t="n">
        <v>2.21818579374297</v>
      </c>
      <c r="BX124" s="1310"/>
      <c r="BY124" s="1310" t="n">
        <v>3.16537111594538</v>
      </c>
      <c r="BZ124" s="1311" t="n">
        <v>2.70395610508432</v>
      </c>
    </row>
    <row r="125" customFormat="false" ht="12.75" hidden="false" customHeight="false" outlineLevel="0" collapsed="false">
      <c r="A125" s="1246"/>
      <c r="B125" s="1312" t="n">
        <v>39114</v>
      </c>
      <c r="C125" s="1313" t="n">
        <v>35.6975698993377</v>
      </c>
      <c r="D125" s="1313"/>
      <c r="E125" s="1313"/>
      <c r="F125" s="1287"/>
      <c r="G125" s="1313"/>
      <c r="H125" s="1313"/>
      <c r="I125" s="1313"/>
      <c r="J125" s="1253"/>
      <c r="K125" s="1254" t="n">
        <v>39995</v>
      </c>
      <c r="L125" s="1314" t="n">
        <v>0</v>
      </c>
      <c r="M125" s="1314" t="n">
        <v>0</v>
      </c>
      <c r="N125" s="1314" t="n">
        <v>0</v>
      </c>
      <c r="O125" s="1252"/>
      <c r="P125" s="1314" t="n">
        <v>0</v>
      </c>
      <c r="Q125" s="1314" t="n">
        <v>0</v>
      </c>
      <c r="R125" s="1314" t="n">
        <v>0</v>
      </c>
      <c r="S125" s="1252"/>
      <c r="T125" s="1314" t="n">
        <v>0</v>
      </c>
      <c r="U125" s="1314" t="n">
        <v>0</v>
      </c>
      <c r="V125" s="1314" t="n">
        <v>0</v>
      </c>
      <c r="W125" s="1252"/>
      <c r="X125" s="1314" t="n">
        <v>0</v>
      </c>
      <c r="Y125" s="1314" t="n">
        <v>0</v>
      </c>
      <c r="Z125" s="1314" t="n">
        <v>0</v>
      </c>
      <c r="AA125" s="1252" t="n">
        <v>0</v>
      </c>
      <c r="AB125" s="1314" t="n">
        <v>0</v>
      </c>
      <c r="AC125" s="1314" t="n">
        <v>0</v>
      </c>
      <c r="AD125" s="1314" t="n">
        <v>0</v>
      </c>
      <c r="AE125" s="1252"/>
      <c r="AF125" s="1314" t="n">
        <v>0</v>
      </c>
      <c r="AG125" s="1314" t="n">
        <v>0</v>
      </c>
      <c r="AH125" s="1314" t="n">
        <v>0</v>
      </c>
      <c r="AI125" s="1252"/>
      <c r="AJ125" s="1314" t="n">
        <v>0</v>
      </c>
      <c r="AK125" s="1314" t="n">
        <v>0</v>
      </c>
      <c r="AL125" s="1314" t="n">
        <v>0</v>
      </c>
      <c r="AM125" s="1166"/>
      <c r="AN125" s="1253" t="n">
        <v>39</v>
      </c>
      <c r="AO125" s="1316" t="n">
        <v>0.35</v>
      </c>
      <c r="AP125" s="1252"/>
      <c r="AQ125" s="0"/>
      <c r="AR125" s="0"/>
      <c r="AS125" s="0"/>
      <c r="AT125" s="0" t="n">
        <v>1</v>
      </c>
      <c r="AU125" s="0" t="str">
        <f aca="false">AV125&amp;"Q"&amp;ROUNDUP(MONTH(AW125)/3,0)</f>
        <v>2009Q4</v>
      </c>
      <c r="AV125" s="0" t="n">
        <f aca="false">YEAR(AW125)</f>
        <v>2009</v>
      </c>
      <c r="AW125" s="1304" t="n">
        <f aca="false">EOMONTH(AW124,0)+1</f>
        <v>40148</v>
      </c>
      <c r="AX125" s="112" t="n">
        <f aca="false">AY125</f>
        <v>3.68772039033488</v>
      </c>
      <c r="AY125" s="1323" t="n">
        <v>3.68772039033488</v>
      </c>
      <c r="AZ125" s="112" t="n">
        <f aca="false">AY125</f>
        <v>3.68772039033488</v>
      </c>
      <c r="BA125" s="163" t="n">
        <v>1</v>
      </c>
      <c r="BB125" s="163" t="n">
        <v>1</v>
      </c>
      <c r="BC125" s="163" t="n">
        <v>1</v>
      </c>
      <c r="BD125" s="163" t="n">
        <v>0</v>
      </c>
      <c r="BE125" s="163"/>
      <c r="BF125" s="163" t="n">
        <v>0</v>
      </c>
      <c r="BG125" s="1290" t="n">
        <v>0</v>
      </c>
      <c r="BH125" s="1262"/>
      <c r="BI125" s="1292"/>
      <c r="BJ125" s="1262"/>
      <c r="BK125" s="1293" t="n">
        <v>0</v>
      </c>
      <c r="BL125" s="1294" t="n">
        <f aca="false">+AY125</f>
        <v>3.68772039033488</v>
      </c>
      <c r="BM125" s="1295" t="n">
        <f aca="false">AY125</f>
        <v>3.68772039033488</v>
      </c>
      <c r="BN125" s="1324" t="n">
        <f aca="false">+BM125/BM113-1</f>
        <v>0.0269780045511123</v>
      </c>
      <c r="BO125" s="1296" t="n">
        <v>2.4</v>
      </c>
      <c r="BP125" s="1318" t="n">
        <f aca="false">+AY125/AY113-1</f>
        <v>0.0269780045511123</v>
      </c>
      <c r="BQ125" s="1298" t="n">
        <f aca="false">VLOOKUP($AW125,$BU$8:$BZ$291,5,FALSE())</f>
        <v>3.67126420906319</v>
      </c>
      <c r="BR125" s="1298" t="n">
        <f aca="false">VLOOKUP($AW125,$BU$8:$BZ$291,6,FALSE())</f>
        <v>3.00593043016033</v>
      </c>
      <c r="BS125" s="1262" t="n">
        <v>0</v>
      </c>
      <c r="BU125" s="1309" t="n">
        <f aca="false">EDATE(BU124,1)</f>
        <v>39722</v>
      </c>
      <c r="BV125" s="1310" t="n">
        <v>2.70815571402666</v>
      </c>
      <c r="BW125" s="1310" t="n">
        <v>2.282375320165</v>
      </c>
      <c r="BX125" s="1310"/>
      <c r="BY125" s="1310" t="n">
        <v>3.30122670387542</v>
      </c>
      <c r="BZ125" s="1311" t="n">
        <v>2.78220277961488</v>
      </c>
    </row>
    <row r="126" customFormat="false" ht="12.75" hidden="false" customHeight="false" outlineLevel="0" collapsed="false">
      <c r="A126" s="1246"/>
      <c r="B126" s="1312" t="n">
        <v>39142</v>
      </c>
      <c r="C126" s="1313" t="n">
        <v>33.1140482620639</v>
      </c>
      <c r="D126" s="1313"/>
      <c r="E126" s="1313"/>
      <c r="F126" s="1287"/>
      <c r="G126" s="1313"/>
      <c r="H126" s="1313"/>
      <c r="I126" s="1313"/>
      <c r="J126" s="1253"/>
      <c r="K126" s="1254" t="n">
        <v>40026</v>
      </c>
      <c r="L126" s="1314" t="n">
        <v>0</v>
      </c>
      <c r="M126" s="1314" t="n">
        <v>0</v>
      </c>
      <c r="N126" s="1314" t="n">
        <v>0</v>
      </c>
      <c r="O126" s="1252"/>
      <c r="P126" s="1314" t="n">
        <v>0</v>
      </c>
      <c r="Q126" s="1314" t="n">
        <v>0</v>
      </c>
      <c r="R126" s="1314" t="n">
        <v>0</v>
      </c>
      <c r="S126" s="1252"/>
      <c r="T126" s="1314" t="n">
        <v>0</v>
      </c>
      <c r="U126" s="1314" t="n">
        <v>0</v>
      </c>
      <c r="V126" s="1314" t="n">
        <v>0</v>
      </c>
      <c r="W126" s="1252"/>
      <c r="X126" s="1314" t="n">
        <v>0</v>
      </c>
      <c r="Y126" s="1314" t="n">
        <v>0</v>
      </c>
      <c r="Z126" s="1314" t="n">
        <v>0</v>
      </c>
      <c r="AA126" s="1252" t="n">
        <v>0</v>
      </c>
      <c r="AB126" s="1314" t="n">
        <v>0</v>
      </c>
      <c r="AC126" s="1314" t="n">
        <v>0</v>
      </c>
      <c r="AD126" s="1314" t="n">
        <v>0</v>
      </c>
      <c r="AE126" s="1252"/>
      <c r="AF126" s="1314" t="n">
        <v>0</v>
      </c>
      <c r="AG126" s="1314" t="n">
        <v>0</v>
      </c>
      <c r="AH126" s="1314" t="n">
        <v>0</v>
      </c>
      <c r="AI126" s="1252"/>
      <c r="AJ126" s="1314" t="n">
        <v>0</v>
      </c>
      <c r="AK126" s="1314" t="n">
        <v>0</v>
      </c>
      <c r="AL126" s="1314" t="n">
        <v>0</v>
      </c>
      <c r="AM126" s="1166"/>
      <c r="AN126" s="1253" t="n">
        <v>39</v>
      </c>
      <c r="AO126" s="1316" t="n">
        <v>0.35</v>
      </c>
      <c r="AP126" s="1252"/>
      <c r="AQ126" s="0"/>
      <c r="AR126" s="0"/>
      <c r="AS126" s="0"/>
      <c r="AT126" s="0" t="n">
        <v>1</v>
      </c>
      <c r="AU126" s="0" t="str">
        <f aca="false">AV126&amp;"Q"&amp;ROUNDUP(MONTH(AW126)/3,0)</f>
        <v>2010Q1</v>
      </c>
      <c r="AV126" s="0" t="n">
        <f aca="false">YEAR(AW126)</f>
        <v>2010</v>
      </c>
      <c r="AW126" s="1304" t="n">
        <f aca="false">EOMONTH(AW125,0)+1</f>
        <v>40179</v>
      </c>
      <c r="AX126" s="112" t="n">
        <f aca="false">AY126</f>
        <v>3.52196714475325</v>
      </c>
      <c r="AY126" s="1323" t="n">
        <v>3.52196714475325</v>
      </c>
      <c r="AZ126" s="112" t="n">
        <f aca="false">AY126</f>
        <v>3.52196714475325</v>
      </c>
      <c r="BA126" s="163" t="n">
        <v>1</v>
      </c>
      <c r="BB126" s="163" t="n">
        <v>1</v>
      </c>
      <c r="BC126" s="163" t="n">
        <v>1</v>
      </c>
      <c r="BD126" s="163" t="n">
        <v>0</v>
      </c>
      <c r="BE126" s="163"/>
      <c r="BF126" s="163" t="n">
        <v>0</v>
      </c>
      <c r="BG126" s="1290" t="n">
        <v>0</v>
      </c>
      <c r="BH126" s="1262"/>
      <c r="BI126" s="1292"/>
      <c r="BJ126" s="1291"/>
      <c r="BK126" s="1293" t="n">
        <v>0</v>
      </c>
      <c r="BL126" s="1294" t="n">
        <f aca="false">+AY126</f>
        <v>3.52196714475325</v>
      </c>
      <c r="BM126" s="1295" t="n">
        <f aca="false">AY126</f>
        <v>3.52196714475325</v>
      </c>
      <c r="BN126" s="1324" t="n">
        <f aca="false">+BM126/BM114-1</f>
        <v>0.0262836823533903</v>
      </c>
      <c r="BO126" s="1296" t="n">
        <v>2.4</v>
      </c>
      <c r="BP126" s="1318" t="n">
        <f aca="false">+AY126/AY114-1</f>
        <v>0.0262836823533903</v>
      </c>
      <c r="BQ126" s="1298" t="n">
        <f aca="false">VLOOKUP($AW126,$BU$8:$BZ$291,5,FALSE())</f>
        <v>3.65079022329953</v>
      </c>
      <c r="BR126" s="1298" t="n">
        <f aca="false">VLOOKUP($AW126,$BU$8:$BZ$291,6,FALSE())</f>
        <v>3.09848812454237</v>
      </c>
      <c r="BS126" s="1262" t="n">
        <v>0</v>
      </c>
      <c r="BU126" s="1309" t="n">
        <f aca="false">EDATE(BU125,1)</f>
        <v>39753</v>
      </c>
      <c r="BV126" s="1310" t="n">
        <v>2.84641543503783</v>
      </c>
      <c r="BW126" s="1310" t="n">
        <v>2.34267457225842</v>
      </c>
      <c r="BX126" s="1310"/>
      <c r="BY126" s="1310" t="n">
        <v>3.46976453229806</v>
      </c>
      <c r="BZ126" s="1311" t="n">
        <v>2.85570723144661</v>
      </c>
    </row>
    <row r="127" customFormat="false" ht="12.75" hidden="false" customHeight="false" outlineLevel="0" collapsed="false">
      <c r="A127" s="1246"/>
      <c r="B127" s="1312" t="n">
        <v>39173</v>
      </c>
      <c r="C127" s="1313" t="n">
        <v>31.533535832121</v>
      </c>
      <c r="D127" s="1313"/>
      <c r="E127" s="1313"/>
      <c r="F127" s="1287"/>
      <c r="G127" s="1313"/>
      <c r="H127" s="1313"/>
      <c r="I127" s="1313"/>
      <c r="J127" s="1253"/>
      <c r="K127" s="1254" t="n">
        <v>40057</v>
      </c>
      <c r="L127" s="1314" t="n">
        <v>0</v>
      </c>
      <c r="M127" s="1314" t="n">
        <v>0</v>
      </c>
      <c r="N127" s="1314" t="n">
        <v>0</v>
      </c>
      <c r="O127" s="1252"/>
      <c r="P127" s="1314" t="n">
        <v>0</v>
      </c>
      <c r="Q127" s="1314" t="n">
        <v>0</v>
      </c>
      <c r="R127" s="1314" t="n">
        <v>0</v>
      </c>
      <c r="S127" s="1252"/>
      <c r="T127" s="1314" t="n">
        <v>0</v>
      </c>
      <c r="U127" s="1314" t="n">
        <v>0</v>
      </c>
      <c r="V127" s="1314" t="n">
        <v>0</v>
      </c>
      <c r="W127" s="1252"/>
      <c r="X127" s="1314" t="n">
        <v>0</v>
      </c>
      <c r="Y127" s="1314" t="n">
        <v>0</v>
      </c>
      <c r="Z127" s="1314" t="n">
        <v>0</v>
      </c>
      <c r="AA127" s="1252" t="n">
        <v>0</v>
      </c>
      <c r="AB127" s="1314" t="n">
        <v>0</v>
      </c>
      <c r="AC127" s="1314" t="n">
        <v>0</v>
      </c>
      <c r="AD127" s="1314" t="n">
        <v>0</v>
      </c>
      <c r="AE127" s="1252"/>
      <c r="AF127" s="1314" t="n">
        <v>0</v>
      </c>
      <c r="AG127" s="1314" t="n">
        <v>0</v>
      </c>
      <c r="AH127" s="1314" t="n">
        <v>0</v>
      </c>
      <c r="AI127" s="1252"/>
      <c r="AJ127" s="1314" t="n">
        <v>0</v>
      </c>
      <c r="AK127" s="1314" t="n">
        <v>0</v>
      </c>
      <c r="AL127" s="1314" t="n">
        <v>0</v>
      </c>
      <c r="AM127" s="1166"/>
      <c r="AN127" s="1253" t="n">
        <v>40</v>
      </c>
      <c r="AO127" s="1316" t="n">
        <v>0.35</v>
      </c>
      <c r="AP127" s="1252"/>
      <c r="AQ127" s="0"/>
      <c r="AR127" s="0"/>
      <c r="AS127" s="0"/>
      <c r="AT127" s="0"/>
      <c r="AU127" s="0" t="str">
        <f aca="false">AV127&amp;"Q"&amp;ROUNDUP(MONTH(AW127)/3,0)</f>
        <v>2010Q1</v>
      </c>
      <c r="AV127" s="0" t="n">
        <f aca="false">YEAR(AW127)</f>
        <v>2010</v>
      </c>
      <c r="AW127" s="1304" t="n">
        <f aca="false">EOMONTH(AW126,0)+1</f>
        <v>40210</v>
      </c>
      <c r="AX127" s="112" t="n">
        <f aca="false">AY127</f>
        <v>3.25294955063224</v>
      </c>
      <c r="AY127" s="1323" t="n">
        <v>3.25294955063224</v>
      </c>
      <c r="AZ127" s="112" t="n">
        <f aca="false">AY127</f>
        <v>3.25294955063224</v>
      </c>
      <c r="BA127" s="163" t="n">
        <v>1</v>
      </c>
      <c r="BB127" s="163" t="n">
        <v>1</v>
      </c>
      <c r="BC127" s="163" t="n">
        <v>1</v>
      </c>
      <c r="BD127" s="163" t="n">
        <v>0</v>
      </c>
      <c r="BE127" s="163"/>
      <c r="BF127" s="163" t="n">
        <v>0</v>
      </c>
      <c r="BG127" s="1290" t="n">
        <v>0</v>
      </c>
      <c r="BH127" s="1262"/>
      <c r="BI127" s="1292"/>
      <c r="BJ127" s="1291"/>
      <c r="BK127" s="1293" t="n">
        <v>0</v>
      </c>
      <c r="BL127" s="1294" t="n">
        <f aca="false">+AY127</f>
        <v>3.25294955063224</v>
      </c>
      <c r="BM127" s="1295" t="n">
        <f aca="false">AY127</f>
        <v>3.25294955063224</v>
      </c>
      <c r="BN127" s="1324" t="n">
        <f aca="false">+BM127/BM115-1</f>
        <v>0.0262836823533907</v>
      </c>
      <c r="BO127" s="1296" t="n">
        <v>2.4</v>
      </c>
      <c r="BP127" s="1318" t="n">
        <f aca="false">+AY127/AY115-1</f>
        <v>0.0262836823533907</v>
      </c>
      <c r="BQ127" s="1298" t="n">
        <f aca="false">VLOOKUP($AW127,$BU$8:$BZ$291,5,FALSE())</f>
        <v>3.37532154729234</v>
      </c>
      <c r="BR127" s="1298" t="n">
        <f aca="false">VLOOKUP($AW127,$BU$8:$BZ$291,6,FALSE())</f>
        <v>2.88605565521649</v>
      </c>
      <c r="BS127" s="1262" t="n">
        <v>0</v>
      </c>
      <c r="BT127" s="0" t="n">
        <v>10</v>
      </c>
      <c r="BU127" s="1309" t="n">
        <f aca="false">EDATE(BU126,1)</f>
        <v>39783</v>
      </c>
      <c r="BV127" s="1310" t="n">
        <v>2.90654527111865</v>
      </c>
      <c r="BW127" s="1310" t="n">
        <v>2.39178928565709</v>
      </c>
      <c r="BX127" s="1310"/>
      <c r="BY127" s="1310" t="n">
        <v>3.54306246695578</v>
      </c>
      <c r="BZ127" s="1311" t="n">
        <v>2.91557779301924</v>
      </c>
    </row>
    <row r="128" customFormat="false" ht="12.75" hidden="false" customHeight="false" outlineLevel="0" collapsed="false">
      <c r="A128" s="1246"/>
      <c r="B128" s="1312" t="n">
        <v>39203</v>
      </c>
      <c r="C128" s="1313" t="n">
        <v>32.4078606353204</v>
      </c>
      <c r="D128" s="1313"/>
      <c r="E128" s="1313"/>
      <c r="F128" s="1287"/>
      <c r="G128" s="1313"/>
      <c r="H128" s="1313"/>
      <c r="I128" s="1313"/>
      <c r="J128" s="1253"/>
      <c r="K128" s="1254" t="n">
        <v>40087</v>
      </c>
      <c r="L128" s="1314" t="n">
        <v>0</v>
      </c>
      <c r="M128" s="1314" t="n">
        <v>0</v>
      </c>
      <c r="N128" s="1314" t="n">
        <v>0</v>
      </c>
      <c r="O128" s="1252"/>
      <c r="P128" s="1314" t="n">
        <v>0</v>
      </c>
      <c r="Q128" s="1314" t="n">
        <v>0</v>
      </c>
      <c r="R128" s="1314" t="n">
        <v>0</v>
      </c>
      <c r="S128" s="1252"/>
      <c r="T128" s="1314" t="n">
        <v>0</v>
      </c>
      <c r="U128" s="1314" t="n">
        <v>0</v>
      </c>
      <c r="V128" s="1314" t="n">
        <v>0</v>
      </c>
      <c r="W128" s="1252"/>
      <c r="X128" s="1314" t="n">
        <v>0</v>
      </c>
      <c r="Y128" s="1314" t="n">
        <v>0</v>
      </c>
      <c r="Z128" s="1314" t="n">
        <v>0</v>
      </c>
      <c r="AA128" s="1252" t="n">
        <v>0</v>
      </c>
      <c r="AB128" s="1314" t="n">
        <v>0</v>
      </c>
      <c r="AC128" s="1314" t="n">
        <v>0</v>
      </c>
      <c r="AD128" s="1314" t="n">
        <v>0</v>
      </c>
      <c r="AE128" s="1252"/>
      <c r="AF128" s="1314" t="n">
        <v>0</v>
      </c>
      <c r="AG128" s="1314" t="n">
        <v>0</v>
      </c>
      <c r="AH128" s="1314" t="n">
        <v>0</v>
      </c>
      <c r="AI128" s="1252"/>
      <c r="AJ128" s="1314" t="n">
        <v>0</v>
      </c>
      <c r="AK128" s="1314" t="n">
        <v>0</v>
      </c>
      <c r="AL128" s="1314" t="n">
        <v>0</v>
      </c>
      <c r="AM128" s="1166"/>
      <c r="AN128" s="1253" t="n">
        <v>40</v>
      </c>
      <c r="AO128" s="1316" t="n">
        <v>0.35</v>
      </c>
      <c r="AP128" s="1252"/>
      <c r="AQ128" s="0"/>
      <c r="AR128" s="0"/>
      <c r="AS128" s="0"/>
      <c r="AT128" s="0"/>
      <c r="AU128" s="0" t="str">
        <f aca="false">AV128&amp;"Q"&amp;ROUNDUP(MONTH(AW128)/3,0)</f>
        <v>2010Q1</v>
      </c>
      <c r="AV128" s="0" t="n">
        <f aca="false">YEAR(AW128)</f>
        <v>2010</v>
      </c>
      <c r="AW128" s="1304" t="n">
        <f aca="false">EOMONTH(AW127,0)+1</f>
        <v>40238</v>
      </c>
      <c r="AX128" s="112" t="n">
        <f aca="false">AY128</f>
        <v>3.07832001728265</v>
      </c>
      <c r="AY128" s="1323" t="n">
        <v>3.07832001728265</v>
      </c>
      <c r="AZ128" s="112" t="n">
        <f aca="false">AY128</f>
        <v>3.07832001728265</v>
      </c>
      <c r="BA128" s="163" t="n">
        <v>1</v>
      </c>
      <c r="BB128" s="163" t="n">
        <v>1</v>
      </c>
      <c r="BC128" s="163" t="n">
        <v>1</v>
      </c>
      <c r="BD128" s="163" t="n">
        <v>0</v>
      </c>
      <c r="BE128" s="163"/>
      <c r="BF128" s="163" t="n">
        <v>0</v>
      </c>
      <c r="BG128" s="1290" t="n">
        <v>0</v>
      </c>
      <c r="BH128" s="1262"/>
      <c r="BI128" s="1292"/>
      <c r="BJ128" s="1291"/>
      <c r="BK128" s="1293" t="n">
        <v>0</v>
      </c>
      <c r="BL128" s="1294" t="n">
        <f aca="false">+AY128</f>
        <v>3.07832001728265</v>
      </c>
      <c r="BM128" s="1295" t="n">
        <f aca="false">AY128</f>
        <v>3.07832001728265</v>
      </c>
      <c r="BN128" s="1324" t="n">
        <f aca="false">+BM128/BM116-1</f>
        <v>0.026283682353391</v>
      </c>
      <c r="BO128" s="1296" t="n">
        <v>2.4</v>
      </c>
      <c r="BP128" s="1318" t="n">
        <f aca="false">+AY128/AY116-1</f>
        <v>0.026283682353391</v>
      </c>
      <c r="BQ128" s="1298" t="n">
        <f aca="false">VLOOKUP($AW128,$BU$8:$BZ$291,5,FALSE())</f>
        <v>3.27510210952079</v>
      </c>
      <c r="BR128" s="1298" t="n">
        <f aca="false">VLOOKUP($AW128,$BU$8:$BZ$291,6,FALSE())</f>
        <v>2.74278724567114</v>
      </c>
      <c r="BS128" s="1262" t="n">
        <v>0</v>
      </c>
      <c r="BU128" s="1309" t="n">
        <f aca="false">EDATE(BU127,1)</f>
        <v>39814</v>
      </c>
      <c r="BV128" s="1310" t="n">
        <v>2.82084683732346</v>
      </c>
      <c r="BW128" s="1310" t="n">
        <v>2.46621957778232</v>
      </c>
      <c r="BX128" s="1310"/>
      <c r="BY128" s="1310" t="n">
        <v>3.5073684854443</v>
      </c>
      <c r="BZ128" s="1311" t="n">
        <v>3.06643406187445</v>
      </c>
    </row>
    <row r="129" customFormat="false" ht="12.75" hidden="false" customHeight="false" outlineLevel="0" collapsed="false">
      <c r="A129" s="1246"/>
      <c r="B129" s="1312" t="n">
        <v>39234</v>
      </c>
      <c r="C129" s="1313" t="n">
        <v>31.5618418925721</v>
      </c>
      <c r="D129" s="1313"/>
      <c r="E129" s="1313"/>
      <c r="F129" s="1287"/>
      <c r="G129" s="1313"/>
      <c r="H129" s="1313"/>
      <c r="I129" s="1313"/>
      <c r="J129" s="1253"/>
      <c r="K129" s="1254" t="n">
        <v>40118</v>
      </c>
      <c r="L129" s="1314" t="n">
        <v>0</v>
      </c>
      <c r="M129" s="1314" t="n">
        <v>0</v>
      </c>
      <c r="N129" s="1314" t="n">
        <v>0</v>
      </c>
      <c r="O129" s="1252"/>
      <c r="P129" s="1314" t="n">
        <v>0</v>
      </c>
      <c r="Q129" s="1314" t="n">
        <v>0</v>
      </c>
      <c r="R129" s="1314" t="n">
        <v>0</v>
      </c>
      <c r="S129" s="1252"/>
      <c r="T129" s="1314" t="n">
        <v>0</v>
      </c>
      <c r="U129" s="1314" t="n">
        <v>0</v>
      </c>
      <c r="V129" s="1314" t="n">
        <v>0</v>
      </c>
      <c r="W129" s="1252"/>
      <c r="X129" s="1314" t="n">
        <v>0</v>
      </c>
      <c r="Y129" s="1314" t="n">
        <v>0</v>
      </c>
      <c r="Z129" s="1314" t="n">
        <v>0</v>
      </c>
      <c r="AA129" s="1252" t="n">
        <v>0</v>
      </c>
      <c r="AB129" s="1314" t="n">
        <v>0</v>
      </c>
      <c r="AC129" s="1314" t="n">
        <v>0</v>
      </c>
      <c r="AD129" s="1314" t="n">
        <v>0</v>
      </c>
      <c r="AE129" s="1252"/>
      <c r="AF129" s="1314" t="n">
        <v>0</v>
      </c>
      <c r="AG129" s="1314" t="n">
        <v>0</v>
      </c>
      <c r="AH129" s="1314" t="n">
        <v>0</v>
      </c>
      <c r="AI129" s="1252"/>
      <c r="AJ129" s="1314" t="n">
        <v>0</v>
      </c>
      <c r="AK129" s="1314" t="n">
        <v>0</v>
      </c>
      <c r="AL129" s="1314" t="n">
        <v>0</v>
      </c>
      <c r="AM129" s="1166"/>
      <c r="AN129" s="1253" t="n">
        <v>40</v>
      </c>
      <c r="AO129" s="1316" t="n">
        <v>0.35</v>
      </c>
      <c r="AP129" s="1252"/>
      <c r="AQ129" s="0"/>
      <c r="AR129" s="0"/>
      <c r="AS129" s="0"/>
      <c r="AT129" s="0"/>
      <c r="AU129" s="0" t="str">
        <f aca="false">AV129&amp;"Q"&amp;ROUNDUP(MONTH(AW129)/3,0)</f>
        <v>2010Q2</v>
      </c>
      <c r="AV129" s="0" t="n">
        <f aca="false">YEAR(AW129)</f>
        <v>2010</v>
      </c>
      <c r="AW129" s="1304" t="n">
        <f aca="false">EOMONTH(AW128,0)+1</f>
        <v>40269</v>
      </c>
      <c r="AX129" s="112" t="n">
        <f aca="false">AY129</f>
        <v>2.98596821923658</v>
      </c>
      <c r="AY129" s="1323" t="n">
        <v>2.98596821923658</v>
      </c>
      <c r="AZ129" s="112" t="n">
        <f aca="false">AY129</f>
        <v>2.98596821923658</v>
      </c>
      <c r="BA129" s="163" t="n">
        <v>1</v>
      </c>
      <c r="BB129" s="163" t="n">
        <v>1</v>
      </c>
      <c r="BC129" s="163" t="n">
        <v>1</v>
      </c>
      <c r="BD129" s="163" t="n">
        <v>0</v>
      </c>
      <c r="BE129" s="163"/>
      <c r="BF129" s="163" t="n">
        <v>0</v>
      </c>
      <c r="BG129" s="1290" t="n">
        <v>0</v>
      </c>
      <c r="BH129" s="1262"/>
      <c r="BI129" s="1292"/>
      <c r="BJ129" s="1291"/>
      <c r="BK129" s="1293" t="n">
        <v>0</v>
      </c>
      <c r="BL129" s="1294" t="n">
        <f aca="false">+AY129</f>
        <v>2.98596821923658</v>
      </c>
      <c r="BM129" s="1295" t="n">
        <f aca="false">AY129</f>
        <v>2.98596821923658</v>
      </c>
      <c r="BN129" s="1324" t="n">
        <f aca="false">+BM129/BM117-1</f>
        <v>0.0262836823533905</v>
      </c>
      <c r="BO129" s="1296" t="n">
        <v>2.4</v>
      </c>
      <c r="BP129" s="1318" t="n">
        <f aca="false">+AY129/AY117-1</f>
        <v>0.0262836823533905</v>
      </c>
      <c r="BQ129" s="1298" t="n">
        <f aca="false">VLOOKUP($AW129,$BU$8:$BZ$291,5,FALSE())</f>
        <v>3.21013226710337</v>
      </c>
      <c r="BR129" s="1326" t="n">
        <f aca="false">VLOOKUP($AW129,$BU$8:$BZ$291,6,FALSE())</f>
        <v>2.65941985218569</v>
      </c>
      <c r="BS129" s="1262" t="n">
        <v>0</v>
      </c>
      <c r="BU129" s="1309" t="n">
        <f aca="false">EDATE(BU128,1)</f>
        <v>39845</v>
      </c>
      <c r="BV129" s="1310" t="n">
        <v>2.60800115297344</v>
      </c>
      <c r="BW129" s="1310" t="n">
        <v>2.29713546522485</v>
      </c>
      <c r="BX129" s="1310"/>
      <c r="BY129" s="1310" t="n">
        <v>3.2427216298708</v>
      </c>
      <c r="BZ129" s="1311" t="n">
        <v>2.85619922036278</v>
      </c>
    </row>
    <row r="130" customFormat="false" ht="12.75" hidden="false" customHeight="false" outlineLevel="0" collapsed="false">
      <c r="A130" s="1246"/>
      <c r="B130" s="1312" t="n">
        <v>39264</v>
      </c>
      <c r="C130" s="1313" t="n">
        <v>46.2981974882388</v>
      </c>
      <c r="D130" s="1313"/>
      <c r="E130" s="1313"/>
      <c r="F130" s="1287"/>
      <c r="G130" s="1313"/>
      <c r="H130" s="1313"/>
      <c r="I130" s="1313"/>
      <c r="J130" s="1253"/>
      <c r="K130" s="1254" t="n">
        <v>40148</v>
      </c>
      <c r="L130" s="1314" t="n">
        <v>0</v>
      </c>
      <c r="M130" s="1314" t="n">
        <v>0</v>
      </c>
      <c r="N130" s="1314" t="n">
        <v>0</v>
      </c>
      <c r="O130" s="1252"/>
      <c r="P130" s="1314" t="n">
        <v>0</v>
      </c>
      <c r="Q130" s="1314" t="n">
        <v>0</v>
      </c>
      <c r="R130" s="1314" t="n">
        <v>0</v>
      </c>
      <c r="S130" s="1252"/>
      <c r="T130" s="1314" t="n">
        <v>0</v>
      </c>
      <c r="U130" s="1314" t="n">
        <v>0</v>
      </c>
      <c r="V130" s="1314" t="n">
        <v>0</v>
      </c>
      <c r="W130" s="1252"/>
      <c r="X130" s="1314" t="n">
        <v>0</v>
      </c>
      <c r="Y130" s="1314" t="n">
        <v>0</v>
      </c>
      <c r="Z130" s="1314" t="n">
        <v>0</v>
      </c>
      <c r="AA130" s="1252" t="n">
        <v>0</v>
      </c>
      <c r="AB130" s="1314" t="n">
        <v>0</v>
      </c>
      <c r="AC130" s="1314" t="n">
        <v>0</v>
      </c>
      <c r="AD130" s="1314" t="n">
        <v>0</v>
      </c>
      <c r="AE130" s="1252"/>
      <c r="AF130" s="1314" t="n">
        <v>0</v>
      </c>
      <c r="AG130" s="1314" t="n">
        <v>0</v>
      </c>
      <c r="AH130" s="1314" t="n">
        <v>0</v>
      </c>
      <c r="AI130" s="1252"/>
      <c r="AJ130" s="1314" t="n">
        <v>0</v>
      </c>
      <c r="AK130" s="1314" t="n">
        <v>0</v>
      </c>
      <c r="AL130" s="1314" t="n">
        <v>0</v>
      </c>
      <c r="AM130" s="1166"/>
      <c r="AN130" s="1253" t="n">
        <v>41</v>
      </c>
      <c r="AO130" s="1316" t="n">
        <v>0.35</v>
      </c>
      <c r="AP130" s="1252"/>
      <c r="AQ130" s="0"/>
      <c r="AR130" s="0"/>
      <c r="AS130" s="0"/>
      <c r="AT130" s="0"/>
      <c r="AU130" s="0" t="str">
        <f aca="false">AV130&amp;"Q"&amp;ROUNDUP(MONTH(AW130)/3,0)</f>
        <v>2010Q2</v>
      </c>
      <c r="AV130" s="0" t="n">
        <f aca="false">YEAR(AW130)</f>
        <v>2010</v>
      </c>
      <c r="AW130" s="1304" t="n">
        <f aca="false">EOMONTH(AW129,0)+1</f>
        <v>40299</v>
      </c>
      <c r="AX130" s="112" t="n">
        <f aca="false">AY130</f>
        <v>2.96344897058932</v>
      </c>
      <c r="AY130" s="1323" t="n">
        <v>2.96344897058932</v>
      </c>
      <c r="AZ130" s="112" t="n">
        <f aca="false">AY130</f>
        <v>2.96344897058932</v>
      </c>
      <c r="BA130" s="163" t="n">
        <v>1</v>
      </c>
      <c r="BB130" s="163" t="n">
        <v>1</v>
      </c>
      <c r="BC130" s="163" t="n">
        <v>1</v>
      </c>
      <c r="BD130" s="163" t="n">
        <v>0</v>
      </c>
      <c r="BE130" s="163"/>
      <c r="BF130" s="163" t="n">
        <v>0</v>
      </c>
      <c r="BG130" s="1290" t="n">
        <v>0</v>
      </c>
      <c r="BH130" s="1262"/>
      <c r="BI130" s="1292"/>
      <c r="BJ130" s="1291"/>
      <c r="BK130" s="1293" t="n">
        <v>0</v>
      </c>
      <c r="BL130" s="1294" t="n">
        <f aca="false">+AY130</f>
        <v>2.96344897058932</v>
      </c>
      <c r="BM130" s="1295" t="n">
        <f aca="false">AY130</f>
        <v>2.96344897058932</v>
      </c>
      <c r="BN130" s="1324" t="n">
        <f aca="false">+BM130/BM118-1</f>
        <v>0.0262836823533907</v>
      </c>
      <c r="BO130" s="1296" t="n">
        <f aca="false">BM130</f>
        <v>2.96344897058932</v>
      </c>
      <c r="BP130" s="1318" t="n">
        <f aca="false">+AY130/AY118-1</f>
        <v>0.0262836823533907</v>
      </c>
      <c r="BQ130" s="1298" t="n">
        <f aca="false">VLOOKUP($AW130,$BU$8:$BZ$291,5,FALSE())</f>
        <v>3.18041202004008</v>
      </c>
      <c r="BR130" s="1298" t="n">
        <f aca="false">VLOOKUP($AW130,$BU$8:$BZ$291,6,FALSE())</f>
        <v>2.62669043103955</v>
      </c>
      <c r="BS130" s="1262" t="n">
        <v>0</v>
      </c>
      <c r="BU130" s="1309" t="n">
        <f aca="false">EDATE(BU129,1)</f>
        <v>39873</v>
      </c>
      <c r="BV130" s="1310" t="n">
        <v>2.53056485376567</v>
      </c>
      <c r="BW130" s="1310" t="n">
        <v>2.18310199396516</v>
      </c>
      <c r="BX130" s="1310"/>
      <c r="BY130" s="1310" t="n">
        <v>3.1464393248987</v>
      </c>
      <c r="BZ130" s="1311" t="n">
        <v>2.71441293190142</v>
      </c>
    </row>
    <row r="131" customFormat="false" ht="12.75" hidden="false" customHeight="false" outlineLevel="0" collapsed="false">
      <c r="A131" s="1246"/>
      <c r="B131" s="1312" t="n">
        <v>39295</v>
      </c>
      <c r="C131" s="1313" t="n">
        <v>65.2746611860461</v>
      </c>
      <c r="D131" s="1313"/>
      <c r="E131" s="1313"/>
      <c r="F131" s="1287"/>
      <c r="G131" s="1313"/>
      <c r="H131" s="1313"/>
      <c r="I131" s="1313"/>
      <c r="J131" s="1253"/>
      <c r="K131" s="1254" t="n">
        <v>40179</v>
      </c>
      <c r="L131" s="1314" t="n">
        <v>0</v>
      </c>
      <c r="M131" s="1314" t="n">
        <v>0</v>
      </c>
      <c r="N131" s="1314" t="n">
        <v>0</v>
      </c>
      <c r="O131" s="1252"/>
      <c r="P131" s="1314" t="n">
        <v>0</v>
      </c>
      <c r="Q131" s="1314" t="n">
        <v>0</v>
      </c>
      <c r="R131" s="1314" t="n">
        <v>0</v>
      </c>
      <c r="S131" s="1252"/>
      <c r="T131" s="1314" t="n">
        <v>0</v>
      </c>
      <c r="U131" s="1314" t="n">
        <v>0</v>
      </c>
      <c r="V131" s="1314" t="n">
        <v>0</v>
      </c>
      <c r="W131" s="1252"/>
      <c r="X131" s="1314" t="n">
        <v>0</v>
      </c>
      <c r="Y131" s="1314" t="n">
        <v>0</v>
      </c>
      <c r="Z131" s="1314" t="n">
        <v>0</v>
      </c>
      <c r="AA131" s="1252" t="n">
        <v>0</v>
      </c>
      <c r="AB131" s="1314" t="n">
        <v>0</v>
      </c>
      <c r="AC131" s="1314" t="n">
        <v>0</v>
      </c>
      <c r="AD131" s="1314" t="n">
        <v>0</v>
      </c>
      <c r="AE131" s="1252"/>
      <c r="AF131" s="1314" t="n">
        <v>0</v>
      </c>
      <c r="AG131" s="1314" t="n">
        <v>0</v>
      </c>
      <c r="AH131" s="1314" t="n">
        <v>0</v>
      </c>
      <c r="AI131" s="1252"/>
      <c r="AJ131" s="1314" t="n">
        <v>0</v>
      </c>
      <c r="AK131" s="1314" t="n">
        <v>0</v>
      </c>
      <c r="AL131" s="1314" t="n">
        <v>0</v>
      </c>
      <c r="AM131" s="1166"/>
      <c r="AN131" s="1253" t="n">
        <v>41</v>
      </c>
      <c r="AO131" s="1316" t="n">
        <v>0.35</v>
      </c>
      <c r="AP131" s="1252"/>
      <c r="AQ131" s="0"/>
      <c r="AR131" s="0"/>
      <c r="AS131" s="0"/>
      <c r="AT131" s="0"/>
      <c r="AU131" s="0" t="str">
        <f aca="false">AV131&amp;"Q"&amp;ROUNDUP(MONTH(AW131)/3,0)</f>
        <v>2010Q2</v>
      </c>
      <c r="AV131" s="0" t="n">
        <f aca="false">YEAR(AW131)</f>
        <v>2010</v>
      </c>
      <c r="AW131" s="1304" t="n">
        <f aca="false">EOMONTH(AW130,0)+1</f>
        <v>40330</v>
      </c>
      <c r="AX131" s="112" t="n">
        <f aca="false">AY131</f>
        <v>2.99924572329655</v>
      </c>
      <c r="AY131" s="1323" t="n">
        <v>2.99924572329655</v>
      </c>
      <c r="AZ131" s="112" t="n">
        <f aca="false">AY131</f>
        <v>2.99924572329655</v>
      </c>
      <c r="BA131" s="163" t="n">
        <v>1</v>
      </c>
      <c r="BB131" s="163" t="n">
        <v>1</v>
      </c>
      <c r="BC131" s="163" t="n">
        <v>1</v>
      </c>
      <c r="BD131" s="163" t="n">
        <v>0</v>
      </c>
      <c r="BE131" s="163"/>
      <c r="BF131" s="163" t="n">
        <v>0</v>
      </c>
      <c r="BG131" s="1290" t="n">
        <v>0</v>
      </c>
      <c r="BH131" s="1262"/>
      <c r="BI131" s="1292"/>
      <c r="BJ131" s="1291"/>
      <c r="BK131" s="1293" t="n">
        <v>0</v>
      </c>
      <c r="BL131" s="1294" t="n">
        <f aca="false">+AY131</f>
        <v>2.99924572329655</v>
      </c>
      <c r="BM131" s="1295" t="n">
        <f aca="false">AY131</f>
        <v>2.99924572329655</v>
      </c>
      <c r="BN131" s="1324" t="n">
        <f aca="false">+BM131/BM119-1</f>
        <v>0.0262836823533905</v>
      </c>
      <c r="BO131" s="1296" t="n">
        <f aca="false">BM131</f>
        <v>2.99924572329655</v>
      </c>
      <c r="BP131" s="1318" t="n">
        <f aca="false">+AY131/AY119-1</f>
        <v>0.0262836823533905</v>
      </c>
      <c r="BQ131" s="1298" t="n">
        <f aca="false">VLOOKUP($AW131,$BU$8:$BZ$291,5,FALSE())</f>
        <v>3.18594136833092</v>
      </c>
      <c r="BR131" s="1298" t="n">
        <f aca="false">VLOOKUP($AW131,$BU$8:$BZ$291,6,FALSE())</f>
        <v>2.63533593851212</v>
      </c>
      <c r="BS131" s="1262" t="n">
        <v>0</v>
      </c>
      <c r="BU131" s="1309" t="n">
        <f aca="false">EDATE(BU130,1)</f>
        <v>39904</v>
      </c>
      <c r="BV131" s="1310" t="n">
        <v>2.48036477014132</v>
      </c>
      <c r="BW131" s="1310" t="n">
        <v>2.11674631025801</v>
      </c>
      <c r="BX131" s="1310"/>
      <c r="BY131" s="1310" t="n">
        <v>3.08402183064092</v>
      </c>
      <c r="BZ131" s="1311" t="n">
        <v>2.63190797956399</v>
      </c>
    </row>
    <row r="132" customFormat="false" ht="12.75" hidden="false" customHeight="false" outlineLevel="0" collapsed="false">
      <c r="A132" s="1246"/>
      <c r="B132" s="1312" t="n">
        <v>39326</v>
      </c>
      <c r="C132" s="1313" t="n">
        <v>51.6728204501937</v>
      </c>
      <c r="D132" s="1313"/>
      <c r="E132" s="1313"/>
      <c r="F132" s="1287"/>
      <c r="G132" s="1313"/>
      <c r="H132" s="1313"/>
      <c r="I132" s="1313"/>
      <c r="J132" s="1253"/>
      <c r="K132" s="1254" t="n">
        <v>40210</v>
      </c>
      <c r="L132" s="1314" t="n">
        <v>0</v>
      </c>
      <c r="M132" s="1314" t="n">
        <v>0</v>
      </c>
      <c r="N132" s="1314" t="n">
        <v>0</v>
      </c>
      <c r="O132" s="1252"/>
      <c r="P132" s="1314" t="n">
        <v>0</v>
      </c>
      <c r="Q132" s="1314" t="n">
        <v>0</v>
      </c>
      <c r="R132" s="1314" t="n">
        <v>0</v>
      </c>
      <c r="S132" s="1252"/>
      <c r="T132" s="1314" t="n">
        <v>0</v>
      </c>
      <c r="U132" s="1314" t="n">
        <v>0</v>
      </c>
      <c r="V132" s="1314" t="n">
        <v>0</v>
      </c>
      <c r="W132" s="1252"/>
      <c r="X132" s="1314" t="n">
        <v>0</v>
      </c>
      <c r="Y132" s="1314" t="n">
        <v>0</v>
      </c>
      <c r="Z132" s="1314" t="n">
        <v>0</v>
      </c>
      <c r="AA132" s="1252" t="n">
        <v>0</v>
      </c>
      <c r="AB132" s="1314" t="n">
        <v>0</v>
      </c>
      <c r="AC132" s="1314" t="n">
        <v>0</v>
      </c>
      <c r="AD132" s="1314" t="n">
        <v>0</v>
      </c>
      <c r="AE132" s="1252"/>
      <c r="AF132" s="1314" t="n">
        <v>0</v>
      </c>
      <c r="AG132" s="1314" t="n">
        <v>0</v>
      </c>
      <c r="AH132" s="1314" t="n">
        <v>0</v>
      </c>
      <c r="AI132" s="1252"/>
      <c r="AJ132" s="1314" t="n">
        <v>0</v>
      </c>
      <c r="AK132" s="1314" t="n">
        <v>0</v>
      </c>
      <c r="AL132" s="1314" t="n">
        <v>0</v>
      </c>
      <c r="AM132" s="1166"/>
      <c r="AN132" s="1253" t="n">
        <v>41</v>
      </c>
      <c r="AO132" s="1316" t="n">
        <v>0.35</v>
      </c>
      <c r="AP132" s="1252"/>
      <c r="AQ132" s="0"/>
      <c r="AR132" s="0"/>
      <c r="AS132" s="0"/>
      <c r="AT132" s="0"/>
      <c r="AU132" s="0" t="str">
        <f aca="false">AV132&amp;"Q"&amp;ROUNDUP(MONTH(AW132)/3,0)</f>
        <v>2010Q3</v>
      </c>
      <c r="AV132" s="0" t="n">
        <f aca="false">YEAR(AW132)</f>
        <v>2010</v>
      </c>
      <c r="AW132" s="1304" t="n">
        <f aca="false">EOMONTH(AW131,0)+1</f>
        <v>40360</v>
      </c>
      <c r="AX132" s="112" t="n">
        <f aca="false">AY132</f>
        <v>3.08111340563128</v>
      </c>
      <c r="AY132" s="1323" t="n">
        <v>3.08111340563128</v>
      </c>
      <c r="AZ132" s="112" t="n">
        <f aca="false">AY132</f>
        <v>3.08111340563128</v>
      </c>
      <c r="BA132" s="163" t="n">
        <v>1</v>
      </c>
      <c r="BB132" s="163" t="n">
        <v>1</v>
      </c>
      <c r="BC132" s="163" t="n">
        <v>1</v>
      </c>
      <c r="BD132" s="163" t="n">
        <v>0</v>
      </c>
      <c r="BE132" s="163"/>
      <c r="BF132" s="163" t="n">
        <v>0</v>
      </c>
      <c r="BG132" s="1290" t="n">
        <v>0</v>
      </c>
      <c r="BH132" s="1262"/>
      <c r="BI132" s="1292"/>
      <c r="BJ132" s="1291"/>
      <c r="BK132" s="1293" t="n">
        <v>0</v>
      </c>
      <c r="BL132" s="1294" t="n">
        <f aca="false">+AY132</f>
        <v>3.08111340563128</v>
      </c>
      <c r="BM132" s="1295" t="n">
        <f aca="false">AY132</f>
        <v>3.08111340563128</v>
      </c>
      <c r="BN132" s="1324" t="n">
        <f aca="false">+BM132/BM120-1</f>
        <v>0.0262836823533905</v>
      </c>
      <c r="BO132" s="1296" t="n">
        <f aca="false">BM132</f>
        <v>3.08111340563128</v>
      </c>
      <c r="BP132" s="1318" t="n">
        <f aca="false">+AY132/AY120-1</f>
        <v>0.0262836823533905</v>
      </c>
      <c r="BQ132" s="1298" t="n">
        <f aca="false">VLOOKUP($AW132,$BU$8:$BZ$291,5,FALSE())</f>
        <v>3.2267203119759</v>
      </c>
      <c r="BR132" s="1298" t="n">
        <f aca="false">VLOOKUP($AW132,$BU$8:$BZ$291,6,FALSE())</f>
        <v>2.67609333088278</v>
      </c>
      <c r="BS132" s="1262" t="n">
        <v>0</v>
      </c>
      <c r="BU132" s="1309" t="n">
        <f aca="false">EDATE(BU131,1)</f>
        <v>39934</v>
      </c>
      <c r="BV132" s="1310" t="n">
        <v>2.45740090210039</v>
      </c>
      <c r="BW132" s="1310" t="n">
        <v>2.09069556035817</v>
      </c>
      <c r="BX132" s="1310"/>
      <c r="BY132" s="1310" t="n">
        <v>3.05546914709747</v>
      </c>
      <c r="BZ132" s="1311" t="n">
        <v>2.59951714642411</v>
      </c>
    </row>
    <row r="133" customFormat="false" ht="12.75" hidden="false" customHeight="false" outlineLevel="0" collapsed="false">
      <c r="A133" s="1246"/>
      <c r="B133" s="1312" t="n">
        <v>39356</v>
      </c>
      <c r="C133" s="1313" t="n">
        <v>43.7645066494915</v>
      </c>
      <c r="D133" s="1313"/>
      <c r="E133" s="1313"/>
      <c r="F133" s="1287"/>
      <c r="G133" s="1313"/>
      <c r="H133" s="1313"/>
      <c r="I133" s="1313"/>
      <c r="J133" s="1253"/>
      <c r="K133" s="1254" t="n">
        <v>40238</v>
      </c>
      <c r="L133" s="1314" t="n">
        <v>0</v>
      </c>
      <c r="M133" s="1314" t="n">
        <v>0</v>
      </c>
      <c r="N133" s="1314" t="n">
        <v>0</v>
      </c>
      <c r="O133" s="1252"/>
      <c r="P133" s="1314" t="n">
        <v>0</v>
      </c>
      <c r="Q133" s="1314" t="n">
        <v>0</v>
      </c>
      <c r="R133" s="1314" t="n">
        <v>0</v>
      </c>
      <c r="S133" s="1252"/>
      <c r="T133" s="1314" t="n">
        <v>0</v>
      </c>
      <c r="U133" s="1314" t="n">
        <v>0</v>
      </c>
      <c r="V133" s="1314" t="n">
        <v>0</v>
      </c>
      <c r="W133" s="1252"/>
      <c r="X133" s="1314" t="n">
        <v>0</v>
      </c>
      <c r="Y133" s="1314" t="n">
        <v>0</v>
      </c>
      <c r="Z133" s="1314" t="n">
        <v>0</v>
      </c>
      <c r="AA133" s="1252" t="n">
        <v>0</v>
      </c>
      <c r="AB133" s="1314" t="n">
        <v>0</v>
      </c>
      <c r="AC133" s="1314" t="n">
        <v>0</v>
      </c>
      <c r="AD133" s="1314" t="n">
        <v>0</v>
      </c>
      <c r="AE133" s="1252"/>
      <c r="AF133" s="1314" t="n">
        <v>0</v>
      </c>
      <c r="AG133" s="1314" t="n">
        <v>0</v>
      </c>
      <c r="AH133" s="1314" t="n">
        <v>0</v>
      </c>
      <c r="AI133" s="1252"/>
      <c r="AJ133" s="1314" t="n">
        <v>0</v>
      </c>
      <c r="AK133" s="1314" t="n">
        <v>0</v>
      </c>
      <c r="AL133" s="1314" t="n">
        <v>0</v>
      </c>
      <c r="AM133" s="1166"/>
      <c r="AN133" s="1253" t="n">
        <v>42</v>
      </c>
      <c r="AO133" s="1316" t="n">
        <v>0.35</v>
      </c>
      <c r="AP133" s="1252"/>
      <c r="AQ133" s="0"/>
      <c r="AR133" s="0"/>
      <c r="AS133" s="0"/>
      <c r="AT133" s="0"/>
      <c r="AU133" s="0" t="str">
        <f aca="false">AV133&amp;"Q"&amp;ROUNDUP(MONTH(AW133)/3,0)</f>
        <v>2010Q3</v>
      </c>
      <c r="AV133" s="0" t="n">
        <f aca="false">YEAR(AW133)</f>
        <v>2010</v>
      </c>
      <c r="AW133" s="1304" t="n">
        <f aca="false">EOMONTH(AW132,0)+1</f>
        <v>40391</v>
      </c>
      <c r="AX133" s="112" t="n">
        <f aca="false">AY133</f>
        <v>3.19738251751376</v>
      </c>
      <c r="AY133" s="1323" t="n">
        <v>3.19738251751376</v>
      </c>
      <c r="AZ133" s="112" t="n">
        <f aca="false">AY133</f>
        <v>3.19738251751376</v>
      </c>
      <c r="BA133" s="163" t="n">
        <v>1</v>
      </c>
      <c r="BB133" s="163" t="n">
        <v>1</v>
      </c>
      <c r="BC133" s="163" t="n">
        <v>1</v>
      </c>
      <c r="BD133" s="163" t="n">
        <v>0</v>
      </c>
      <c r="BE133" s="163"/>
      <c r="BF133" s="163" t="n">
        <v>0</v>
      </c>
      <c r="BG133" s="1290" t="n">
        <v>0</v>
      </c>
      <c r="BH133" s="1262"/>
      <c r="BI133" s="1292"/>
      <c r="BJ133" s="1291"/>
      <c r="BK133" s="1293" t="n">
        <v>0</v>
      </c>
      <c r="BL133" s="1294" t="n">
        <f aca="false">+AY133</f>
        <v>3.19738251751376</v>
      </c>
      <c r="BM133" s="1295" t="n">
        <f aca="false">AY133</f>
        <v>3.19738251751376</v>
      </c>
      <c r="BN133" s="1324" t="n">
        <f aca="false">+BM133/BM121-1</f>
        <v>0.0262836823533905</v>
      </c>
      <c r="BO133" s="1296" t="n">
        <f aca="false">BM133</f>
        <v>3.19738251751376</v>
      </c>
      <c r="BP133" s="1318" t="n">
        <f aca="false">+AY133/AY121-1</f>
        <v>0.0262836823533905</v>
      </c>
      <c r="BQ133" s="1298" t="n">
        <f aca="false">VLOOKUP($AW133,$BU$8:$BZ$291,5,FALSE())</f>
        <v>3.30274885097501</v>
      </c>
      <c r="BR133" s="1298" t="n">
        <f aca="false">VLOOKUP($AW133,$BU$8:$BZ$291,6,FALSE())</f>
        <v>2.73969956443094</v>
      </c>
      <c r="BS133" s="1262" t="n">
        <v>0</v>
      </c>
      <c r="BU133" s="1309" t="n">
        <f aca="false">EDATE(BU132,1)</f>
        <v>39965</v>
      </c>
      <c r="BV133" s="1310" t="n">
        <v>2.46167324964289</v>
      </c>
      <c r="BW133" s="1310" t="n">
        <v>2.09757689052039</v>
      </c>
      <c r="BX133" s="1310"/>
      <c r="BY133" s="1310" t="n">
        <v>3.06078127426835</v>
      </c>
      <c r="BZ133" s="1311" t="n">
        <v>2.6080732155554</v>
      </c>
    </row>
    <row r="134" customFormat="false" ht="12.75" hidden="false" customHeight="false" outlineLevel="0" collapsed="false">
      <c r="A134" s="1246"/>
      <c r="B134" s="1312" t="n">
        <v>39387</v>
      </c>
      <c r="C134" s="1313" t="n">
        <v>46.725301896362</v>
      </c>
      <c r="D134" s="1313"/>
      <c r="E134" s="1313"/>
      <c r="F134" s="1287"/>
      <c r="G134" s="1313"/>
      <c r="H134" s="1313"/>
      <c r="I134" s="1313"/>
      <c r="J134" s="1253"/>
      <c r="K134" s="1254" t="n">
        <v>40269</v>
      </c>
      <c r="L134" s="1314" t="n">
        <v>0</v>
      </c>
      <c r="M134" s="1314" t="n">
        <v>0</v>
      </c>
      <c r="N134" s="1314" t="n">
        <v>0</v>
      </c>
      <c r="O134" s="1252"/>
      <c r="P134" s="1314" t="n">
        <v>0</v>
      </c>
      <c r="Q134" s="1314" t="n">
        <v>0</v>
      </c>
      <c r="R134" s="1314" t="n">
        <v>0</v>
      </c>
      <c r="S134" s="1252"/>
      <c r="T134" s="1314" t="n">
        <v>0</v>
      </c>
      <c r="U134" s="1314" t="n">
        <v>0</v>
      </c>
      <c r="V134" s="1314" t="n">
        <v>0</v>
      </c>
      <c r="W134" s="1252"/>
      <c r="X134" s="1314" t="n">
        <v>0</v>
      </c>
      <c r="Y134" s="1314" t="n">
        <v>0</v>
      </c>
      <c r="Z134" s="1314" t="n">
        <v>0</v>
      </c>
      <c r="AA134" s="1252" t="n">
        <v>0</v>
      </c>
      <c r="AB134" s="1314" t="n">
        <v>0</v>
      </c>
      <c r="AC134" s="1314" t="n">
        <v>0</v>
      </c>
      <c r="AD134" s="1314" t="n">
        <v>0</v>
      </c>
      <c r="AE134" s="1252"/>
      <c r="AF134" s="1314" t="n">
        <v>0</v>
      </c>
      <c r="AG134" s="1314" t="n">
        <v>0</v>
      </c>
      <c r="AH134" s="1314" t="n">
        <v>0</v>
      </c>
      <c r="AI134" s="1252"/>
      <c r="AJ134" s="1314" t="n">
        <v>0</v>
      </c>
      <c r="AK134" s="1314" t="n">
        <v>0</v>
      </c>
      <c r="AL134" s="1314" t="n">
        <v>0</v>
      </c>
      <c r="AM134" s="1166"/>
      <c r="AN134" s="1253" t="n">
        <v>42</v>
      </c>
      <c r="AO134" s="1316" t="n">
        <v>0.35</v>
      </c>
      <c r="AP134" s="1252"/>
      <c r="AQ134" s="0"/>
      <c r="AR134" s="0"/>
      <c r="AS134" s="0"/>
      <c r="AT134" s="0"/>
      <c r="AU134" s="0" t="str">
        <f aca="false">AV134&amp;"Q"&amp;ROUNDUP(MONTH(AW134)/3,0)</f>
        <v>2010Q3</v>
      </c>
      <c r="AV134" s="0" t="n">
        <f aca="false">YEAR(AW134)</f>
        <v>2010</v>
      </c>
      <c r="AW134" s="1304" t="n">
        <f aca="false">EOMONTH(AW133,0)+1</f>
        <v>40422</v>
      </c>
      <c r="AX134" s="112" t="n">
        <f aca="false">AY134</f>
        <v>3.33581230034621</v>
      </c>
      <c r="AY134" s="1323" t="n">
        <v>3.33581230034621</v>
      </c>
      <c r="AZ134" s="112" t="n">
        <f aca="false">AY134</f>
        <v>3.33581230034621</v>
      </c>
      <c r="BA134" s="163" t="n">
        <v>1</v>
      </c>
      <c r="BB134" s="163" t="n">
        <v>1</v>
      </c>
      <c r="BC134" s="163" t="n">
        <v>1</v>
      </c>
      <c r="BD134" s="163" t="n">
        <v>0</v>
      </c>
      <c r="BE134" s="163"/>
      <c r="BF134" s="163" t="n">
        <v>0</v>
      </c>
      <c r="BG134" s="1290" t="n">
        <v>0</v>
      </c>
      <c r="BH134" s="1262"/>
      <c r="BI134" s="1292"/>
      <c r="BJ134" s="1291"/>
      <c r="BK134" s="1293" t="n">
        <v>0</v>
      </c>
      <c r="BL134" s="1294" t="n">
        <f aca="false">+AY134</f>
        <v>3.33581230034621</v>
      </c>
      <c r="BM134" s="1295" t="n">
        <f aca="false">AY134</f>
        <v>3.33581230034621</v>
      </c>
      <c r="BN134" s="1324" t="n">
        <f aca="false">+BM134/BM122-1</f>
        <v>0.0262836823533905</v>
      </c>
      <c r="BO134" s="1296" t="n">
        <f aca="false">BM134</f>
        <v>3.33581230034621</v>
      </c>
      <c r="BP134" s="1318" t="n">
        <f aca="false">+AY134/AY122-1</f>
        <v>0.0262836823533905</v>
      </c>
      <c r="BQ134" s="1298" t="n">
        <f aca="false">VLOOKUP($AW134,$BU$8:$BZ$291,5,FALSE())</f>
        <v>3.41402698532826</v>
      </c>
      <c r="BR134" s="1298" t="n">
        <f aca="false">VLOOKUP($AW134,$BU$8:$BZ$291,6,FALSE())</f>
        <v>2.81689159543598</v>
      </c>
      <c r="BS134" s="1262" t="n">
        <v>0</v>
      </c>
      <c r="BU134" s="1309" t="n">
        <f aca="false">EDATE(BU133,1)</f>
        <v>39995</v>
      </c>
      <c r="BV134" s="1310" t="n">
        <v>2.49318181276881</v>
      </c>
      <c r="BW134" s="1310" t="n">
        <v>2.13001744699944</v>
      </c>
      <c r="BX134" s="1310"/>
      <c r="BY134" s="1310" t="n">
        <v>3.09995821215355</v>
      </c>
      <c r="BZ134" s="1311" t="n">
        <v>2.64840897003147</v>
      </c>
    </row>
    <row r="135" customFormat="false" ht="12.75" hidden="false" customHeight="false" outlineLevel="0" collapsed="false">
      <c r="A135" s="1246"/>
      <c r="B135" s="1312" t="n">
        <v>39417</v>
      </c>
      <c r="C135" s="1313" t="n">
        <v>47.6440532804828</v>
      </c>
      <c r="D135" s="1313"/>
      <c r="E135" s="1313"/>
      <c r="F135" s="1287"/>
      <c r="G135" s="1313"/>
      <c r="H135" s="1313"/>
      <c r="I135" s="1313"/>
      <c r="J135" s="1253"/>
      <c r="K135" s="1254" t="n">
        <v>40299</v>
      </c>
      <c r="L135" s="1314" t="n">
        <v>0</v>
      </c>
      <c r="M135" s="1314" t="n">
        <v>0</v>
      </c>
      <c r="N135" s="1314" t="n">
        <v>0</v>
      </c>
      <c r="O135" s="1252"/>
      <c r="P135" s="1314" t="n">
        <v>0</v>
      </c>
      <c r="Q135" s="1314" t="n">
        <v>0</v>
      </c>
      <c r="R135" s="1314" t="n">
        <v>0</v>
      </c>
      <c r="S135" s="1252"/>
      <c r="T135" s="1314" t="n">
        <v>0</v>
      </c>
      <c r="U135" s="1314" t="n">
        <v>0</v>
      </c>
      <c r="V135" s="1314" t="n">
        <v>0</v>
      </c>
      <c r="W135" s="1252"/>
      <c r="X135" s="1314" t="n">
        <v>0</v>
      </c>
      <c r="Y135" s="1314" t="n">
        <v>0</v>
      </c>
      <c r="Z135" s="1314" t="n">
        <v>0</v>
      </c>
      <c r="AA135" s="1252" t="n">
        <v>0</v>
      </c>
      <c r="AB135" s="1314" t="n">
        <v>0</v>
      </c>
      <c r="AC135" s="1314" t="n">
        <v>0</v>
      </c>
      <c r="AD135" s="1314" t="n">
        <v>0</v>
      </c>
      <c r="AE135" s="1252"/>
      <c r="AF135" s="1314" t="n">
        <v>0</v>
      </c>
      <c r="AG135" s="1314" t="n">
        <v>0</v>
      </c>
      <c r="AH135" s="1314" t="n">
        <v>0</v>
      </c>
      <c r="AI135" s="1252"/>
      <c r="AJ135" s="1314" t="n">
        <v>0</v>
      </c>
      <c r="AK135" s="1314" t="n">
        <v>0</v>
      </c>
      <c r="AL135" s="1314" t="n">
        <v>0</v>
      </c>
      <c r="AM135" s="1166"/>
      <c r="AN135" s="1253" t="n">
        <v>42</v>
      </c>
      <c r="AO135" s="1316" t="n">
        <v>0.35</v>
      </c>
      <c r="AP135" s="1252"/>
      <c r="AQ135" s="0"/>
      <c r="AR135" s="0"/>
      <c r="AS135" s="0"/>
      <c r="AT135" s="0"/>
      <c r="AU135" s="0" t="str">
        <f aca="false">AV135&amp;"Q"&amp;ROUNDUP(MONTH(AW135)/3,0)</f>
        <v>2010Q4</v>
      </c>
      <c r="AV135" s="0" t="n">
        <f aca="false">YEAR(AW135)</f>
        <v>2010</v>
      </c>
      <c r="AW135" s="1304" t="n">
        <f aca="false">EOMONTH(AW134,0)+1</f>
        <v>40452</v>
      </c>
      <c r="AX135" s="112" t="n">
        <f aca="false">AY135</f>
        <v>3.48405385353614</v>
      </c>
      <c r="AY135" s="1323" t="n">
        <v>3.48405385353614</v>
      </c>
      <c r="AZ135" s="112" t="n">
        <f aca="false">AY135</f>
        <v>3.48405385353614</v>
      </c>
      <c r="BA135" s="163" t="n">
        <v>1</v>
      </c>
      <c r="BB135" s="163" t="n">
        <v>1</v>
      </c>
      <c r="BC135" s="163" t="n">
        <v>1</v>
      </c>
      <c r="BD135" s="163" t="n">
        <v>0</v>
      </c>
      <c r="BE135" s="163"/>
      <c r="BF135" s="163" t="n">
        <v>0</v>
      </c>
      <c r="BG135" s="1290" t="n">
        <v>0</v>
      </c>
      <c r="BH135" s="1262"/>
      <c r="BI135" s="1292"/>
      <c r="BJ135" s="1291"/>
      <c r="BK135" s="1293" t="n">
        <v>0</v>
      </c>
      <c r="BL135" s="1294" t="n">
        <f aca="false">+AY135</f>
        <v>3.48405385353614</v>
      </c>
      <c r="BM135" s="1295" t="n">
        <f aca="false">AY135</f>
        <v>3.48405385353614</v>
      </c>
      <c r="BN135" s="1324" t="n">
        <f aca="false">+BM135/BM123-1</f>
        <v>0.0262836823533903</v>
      </c>
      <c r="BO135" s="1296" t="n">
        <f aca="false">BM135</f>
        <v>3.48405385353614</v>
      </c>
      <c r="BP135" s="1318" t="n">
        <f aca="false">+AY135/AY123-1</f>
        <v>0.0262836823533903</v>
      </c>
      <c r="BQ135" s="1298" t="n">
        <f aca="false">VLOOKUP($AW135,$BU$8:$BZ$291,5,FALSE())</f>
        <v>3.56055471503563</v>
      </c>
      <c r="BR135" s="1298" t="n">
        <f aca="false">VLOOKUP($AW135,$BU$8:$BZ$291,6,FALSE())</f>
        <v>2.8984063801773</v>
      </c>
      <c r="BS135" s="1262" t="n">
        <v>0</v>
      </c>
      <c r="BU135" s="1309" t="n">
        <f aca="false">EDATE(BU134,1)</f>
        <v>40026</v>
      </c>
      <c r="BV135" s="1310" t="n">
        <v>2.55192659147816</v>
      </c>
      <c r="BW135" s="1310" t="n">
        <v>2.18064437605008</v>
      </c>
      <c r="BX135" s="1310"/>
      <c r="BY135" s="1310" t="n">
        <v>3.17299996075307</v>
      </c>
      <c r="BZ135" s="1311" t="n">
        <v>2.71135719292596</v>
      </c>
    </row>
    <row r="136" customFormat="false" ht="12.75" hidden="false" customHeight="false" outlineLevel="0" collapsed="false">
      <c r="A136" s="1246"/>
      <c r="B136" s="1312" t="n">
        <v>39448</v>
      </c>
      <c r="C136" s="1313" t="n">
        <v>43.4648424956705</v>
      </c>
      <c r="D136" s="1313"/>
      <c r="E136" s="1313"/>
      <c r="F136" s="1287"/>
      <c r="G136" s="1313"/>
      <c r="H136" s="1313"/>
      <c r="I136" s="1313"/>
      <c r="J136" s="1253"/>
      <c r="K136" s="1254" t="n">
        <v>40330</v>
      </c>
      <c r="L136" s="1314" t="n">
        <v>0</v>
      </c>
      <c r="M136" s="1314" t="n">
        <v>0</v>
      </c>
      <c r="N136" s="1314" t="n">
        <v>0</v>
      </c>
      <c r="O136" s="1252"/>
      <c r="P136" s="1314" t="n">
        <v>0</v>
      </c>
      <c r="Q136" s="1314" t="n">
        <v>0</v>
      </c>
      <c r="R136" s="1314" t="n">
        <v>0</v>
      </c>
      <c r="S136" s="1252"/>
      <c r="T136" s="1314" t="n">
        <v>0</v>
      </c>
      <c r="U136" s="1314" t="n">
        <v>0</v>
      </c>
      <c r="V136" s="1314" t="n">
        <v>0</v>
      </c>
      <c r="W136" s="1252"/>
      <c r="X136" s="1314" t="n">
        <v>0</v>
      </c>
      <c r="Y136" s="1314" t="n">
        <v>0</v>
      </c>
      <c r="Z136" s="1314" t="n">
        <v>0</v>
      </c>
      <c r="AA136" s="1252" t="n">
        <v>0</v>
      </c>
      <c r="AB136" s="1314" t="n">
        <v>0</v>
      </c>
      <c r="AC136" s="1314" t="n">
        <v>0</v>
      </c>
      <c r="AD136" s="1314" t="n">
        <v>0</v>
      </c>
      <c r="AE136" s="1252"/>
      <c r="AF136" s="1314" t="n">
        <v>0</v>
      </c>
      <c r="AG136" s="1314" t="n">
        <v>0</v>
      </c>
      <c r="AH136" s="1314" t="n">
        <v>0</v>
      </c>
      <c r="AI136" s="1252"/>
      <c r="AJ136" s="1314" t="n">
        <v>0</v>
      </c>
      <c r="AK136" s="1314" t="n">
        <v>0</v>
      </c>
      <c r="AL136" s="1314" t="n">
        <v>0</v>
      </c>
      <c r="AM136" s="1166"/>
      <c r="AN136" s="1253" t="n">
        <v>43</v>
      </c>
      <c r="AO136" s="1316" t="n">
        <v>0.35</v>
      </c>
      <c r="AP136" s="1252"/>
      <c r="AQ136" s="0"/>
      <c r="AR136" s="0"/>
      <c r="AS136" s="0"/>
      <c r="AT136" s="0"/>
      <c r="AU136" s="0" t="str">
        <f aca="false">AV136&amp;"Q"&amp;ROUNDUP(MONTH(AW136)/3,0)</f>
        <v>2010Q4</v>
      </c>
      <c r="AV136" s="0" t="n">
        <f aca="false">YEAR(AW136)</f>
        <v>2010</v>
      </c>
      <c r="AW136" s="1304" t="n">
        <f aca="false">EOMONTH(AW135,0)+1</f>
        <v>40483</v>
      </c>
      <c r="AX136" s="112" t="n">
        <f aca="false">AY136</f>
        <v>3.63023485445627</v>
      </c>
      <c r="AY136" s="1323" t="n">
        <v>3.63023485445627</v>
      </c>
      <c r="AZ136" s="112" t="n">
        <f aca="false">AY136</f>
        <v>3.63023485445627</v>
      </c>
      <c r="BA136" s="163" t="n">
        <v>1</v>
      </c>
      <c r="BB136" s="163" t="n">
        <v>1</v>
      </c>
      <c r="BC136" s="163" t="n">
        <v>1</v>
      </c>
      <c r="BD136" s="163" t="n">
        <v>0</v>
      </c>
      <c r="BE136" s="163"/>
      <c r="BF136" s="163" t="n">
        <v>0</v>
      </c>
      <c r="BG136" s="1290" t="n">
        <v>0</v>
      </c>
      <c r="BH136" s="1262"/>
      <c r="BI136" s="1292"/>
      <c r="BJ136" s="1291"/>
      <c r="BK136" s="1293" t="n">
        <v>0</v>
      </c>
      <c r="BL136" s="1294" t="n">
        <f aca="false">+AY136</f>
        <v>3.63023485445627</v>
      </c>
      <c r="BM136" s="1295" t="n">
        <f aca="false">AY136</f>
        <v>3.63023485445627</v>
      </c>
      <c r="BN136" s="1324" t="n">
        <f aca="false">+BM136/BM124-1</f>
        <v>0.0262836823533907</v>
      </c>
      <c r="BO136" s="1296" t="n">
        <f aca="false">BM136</f>
        <v>3.63023485445627</v>
      </c>
      <c r="BP136" s="1318" t="n">
        <f aca="false">+AY136/AY124-1</f>
        <v>0.0262836823533907</v>
      </c>
      <c r="BQ136" s="1298" t="n">
        <f aca="false">VLOOKUP($AW136,$BU$8:$BZ$291,5,FALSE())</f>
        <v>3.74233204009714</v>
      </c>
      <c r="BR136" s="1298" t="n">
        <f aca="false">VLOOKUP($AW136,$BU$8:$BZ$291,6,FALSE())</f>
        <v>2.9749808749343</v>
      </c>
      <c r="BS136" s="1262" t="n">
        <v>0</v>
      </c>
      <c r="BU136" s="1309" t="n">
        <f aca="false">EDATE(BU135,1)</f>
        <v>40057</v>
      </c>
      <c r="BV136" s="1310" t="n">
        <v>2.63790758577092</v>
      </c>
      <c r="BW136" s="1310" t="n">
        <v>2.24208482392707</v>
      </c>
      <c r="BX136" s="1310"/>
      <c r="BY136" s="1310" t="n">
        <v>3.27990652006693</v>
      </c>
      <c r="BZ136" s="1311" t="n">
        <v>2.78775066731247</v>
      </c>
    </row>
    <row r="137" customFormat="false" ht="12.75" hidden="false" customHeight="false" outlineLevel="0" collapsed="false">
      <c r="A137" s="1246"/>
      <c r="B137" s="1312" t="n">
        <v>39479</v>
      </c>
      <c r="C137" s="1313" t="n">
        <v>35.2263104025682</v>
      </c>
      <c r="D137" s="1313"/>
      <c r="E137" s="1313"/>
      <c r="F137" s="1287"/>
      <c r="G137" s="1313"/>
      <c r="H137" s="1313"/>
      <c r="I137" s="1313"/>
      <c r="J137" s="1253"/>
      <c r="K137" s="1254" t="n">
        <v>40360</v>
      </c>
      <c r="L137" s="1314" t="n">
        <v>0</v>
      </c>
      <c r="M137" s="1314" t="n">
        <v>0</v>
      </c>
      <c r="N137" s="1314" t="n">
        <v>0</v>
      </c>
      <c r="O137" s="1252"/>
      <c r="P137" s="1314" t="n">
        <v>0</v>
      </c>
      <c r="Q137" s="1314" t="n">
        <v>0</v>
      </c>
      <c r="R137" s="1314" t="n">
        <v>0</v>
      </c>
      <c r="S137" s="1252"/>
      <c r="T137" s="1314" t="n">
        <v>0</v>
      </c>
      <c r="U137" s="1314" t="n">
        <v>0</v>
      </c>
      <c r="V137" s="1314" t="n">
        <v>0</v>
      </c>
      <c r="W137" s="1252"/>
      <c r="X137" s="1314" t="n">
        <v>0</v>
      </c>
      <c r="Y137" s="1314" t="n">
        <v>0</v>
      </c>
      <c r="Z137" s="1314" t="n">
        <v>0</v>
      </c>
      <c r="AA137" s="1252" t="n">
        <v>0</v>
      </c>
      <c r="AB137" s="1314" t="n">
        <v>0</v>
      </c>
      <c r="AC137" s="1314" t="n">
        <v>0</v>
      </c>
      <c r="AD137" s="1314" t="n">
        <v>0</v>
      </c>
      <c r="AE137" s="1252"/>
      <c r="AF137" s="1314" t="n">
        <v>0</v>
      </c>
      <c r="AG137" s="1314" t="n">
        <v>0</v>
      </c>
      <c r="AH137" s="1314" t="n">
        <v>0</v>
      </c>
      <c r="AI137" s="1252"/>
      <c r="AJ137" s="1314" t="n">
        <v>0</v>
      </c>
      <c r="AK137" s="1314" t="n">
        <v>0</v>
      </c>
      <c r="AL137" s="1314" t="n">
        <v>0</v>
      </c>
      <c r="AM137" s="1166"/>
      <c r="AN137" s="1253" t="n">
        <v>43</v>
      </c>
      <c r="AO137" s="1316" t="n">
        <v>0.35</v>
      </c>
      <c r="AP137" s="1252"/>
      <c r="AQ137" s="0"/>
      <c r="AR137" s="0"/>
      <c r="AS137" s="0"/>
      <c r="AT137" s="0"/>
      <c r="AU137" s="0" t="str">
        <f aca="false">AV137&amp;"Q"&amp;ROUNDUP(MONTH(AW137)/3,0)</f>
        <v>2010Q4</v>
      </c>
      <c r="AV137" s="0" t="n">
        <f aca="false">YEAR(AW137)</f>
        <v>2010</v>
      </c>
      <c r="AW137" s="1304" t="n">
        <f aca="false">EOMONTH(AW136,0)+1</f>
        <v>40513</v>
      </c>
      <c r="AX137" s="112" t="n">
        <f aca="false">AY137</f>
        <v>3.78464726168256</v>
      </c>
      <c r="AY137" s="1323" t="n">
        <v>3.78464726168256</v>
      </c>
      <c r="AZ137" s="112" t="n">
        <f aca="false">AY137</f>
        <v>3.78464726168256</v>
      </c>
      <c r="BA137" s="163" t="n">
        <v>1</v>
      </c>
      <c r="BB137" s="163" t="n">
        <v>1</v>
      </c>
      <c r="BC137" s="163" t="n">
        <v>1</v>
      </c>
      <c r="BD137" s="163" t="n">
        <v>0</v>
      </c>
      <c r="BE137" s="163"/>
      <c r="BF137" s="163" t="n">
        <v>0</v>
      </c>
      <c r="BG137" s="1290" t="n">
        <v>0</v>
      </c>
      <c r="BH137" s="1262"/>
      <c r="BI137" s="1292"/>
      <c r="BJ137" s="1291"/>
      <c r="BK137" s="1293" t="n">
        <v>0</v>
      </c>
      <c r="BL137" s="1294" t="n">
        <f aca="false">+AY137</f>
        <v>3.78464726168256</v>
      </c>
      <c r="BM137" s="1295" t="n">
        <f aca="false">AY137</f>
        <v>3.78464726168256</v>
      </c>
      <c r="BN137" s="1324" t="n">
        <f aca="false">+BM137/BM125-1</f>
        <v>0.0262836823533905</v>
      </c>
      <c r="BO137" s="1296" t="n">
        <f aca="false">BM137</f>
        <v>3.78464726168256</v>
      </c>
      <c r="BP137" s="1318" t="n">
        <f aca="false">+AY137/AY125-1</f>
        <v>0.0262836823533905</v>
      </c>
      <c r="BQ137" s="1298" t="n">
        <f aca="false">VLOOKUP($AW137,$BU$8:$BZ$291,5,FALSE())</f>
        <v>3.82138789728549</v>
      </c>
      <c r="BR137" s="1298" t="n">
        <f aca="false">VLOOKUP($AW137,$BU$8:$BZ$291,6,FALSE())</f>
        <v>3.03735203598638</v>
      </c>
      <c r="BS137" s="1262" t="n">
        <v>0</v>
      </c>
      <c r="BU137" s="1309" t="n">
        <f aca="false">EDATE(BU136,1)</f>
        <v>40087</v>
      </c>
      <c r="BV137" s="1310" t="n">
        <v>2.75112479564711</v>
      </c>
      <c r="BW137" s="1310" t="n">
        <v>2.30696593688517</v>
      </c>
      <c r="BX137" s="1310"/>
      <c r="BY137" s="1310" t="n">
        <v>3.4206778900951</v>
      </c>
      <c r="BZ137" s="1311" t="n">
        <v>2.86842217626462</v>
      </c>
    </row>
    <row r="138" customFormat="false" ht="12.75" hidden="false" customHeight="false" outlineLevel="0" collapsed="false">
      <c r="A138" s="1246"/>
      <c r="B138" s="1312" t="n">
        <v>39508</v>
      </c>
      <c r="C138" s="1313" t="n">
        <v>34.0241590991658</v>
      </c>
      <c r="D138" s="1313"/>
      <c r="E138" s="1313"/>
      <c r="F138" s="1287"/>
      <c r="G138" s="1313"/>
      <c r="H138" s="1313"/>
      <c r="I138" s="1313"/>
      <c r="J138" s="1253"/>
      <c r="K138" s="1254" t="n">
        <v>40391</v>
      </c>
      <c r="L138" s="1314" t="n">
        <v>0</v>
      </c>
      <c r="M138" s="1314" t="n">
        <v>0</v>
      </c>
      <c r="N138" s="1314" t="n">
        <v>0</v>
      </c>
      <c r="O138" s="1252"/>
      <c r="P138" s="1314" t="n">
        <v>0</v>
      </c>
      <c r="Q138" s="1314" t="n">
        <v>0</v>
      </c>
      <c r="R138" s="1314" t="n">
        <v>0</v>
      </c>
      <c r="S138" s="1252"/>
      <c r="T138" s="1314" t="n">
        <v>0</v>
      </c>
      <c r="U138" s="1314" t="n">
        <v>0</v>
      </c>
      <c r="V138" s="1314" t="n">
        <v>0</v>
      </c>
      <c r="W138" s="1252"/>
      <c r="X138" s="1314" t="n">
        <v>0</v>
      </c>
      <c r="Y138" s="1314" t="n">
        <v>0</v>
      </c>
      <c r="Z138" s="1314" t="n">
        <v>0</v>
      </c>
      <c r="AA138" s="1252" t="n">
        <v>0</v>
      </c>
      <c r="AB138" s="1314" t="n">
        <v>0</v>
      </c>
      <c r="AC138" s="1314" t="n">
        <v>0</v>
      </c>
      <c r="AD138" s="1314" t="n">
        <v>0</v>
      </c>
      <c r="AE138" s="1252"/>
      <c r="AF138" s="1314" t="n">
        <v>0</v>
      </c>
      <c r="AG138" s="1314" t="n">
        <v>0</v>
      </c>
      <c r="AH138" s="1314" t="n">
        <v>0</v>
      </c>
      <c r="AI138" s="1252"/>
      <c r="AJ138" s="1314" t="n">
        <v>0</v>
      </c>
      <c r="AK138" s="1314" t="n">
        <v>0</v>
      </c>
      <c r="AL138" s="1314" t="n">
        <v>0</v>
      </c>
      <c r="AM138" s="1166"/>
      <c r="AN138" s="1253" t="n">
        <v>43</v>
      </c>
      <c r="AO138" s="1316" t="n">
        <v>0.35</v>
      </c>
      <c r="AP138" s="1252"/>
      <c r="AQ138" s="0"/>
      <c r="AR138" s="0"/>
      <c r="AS138" s="0"/>
      <c r="AT138" s="0"/>
      <c r="AU138" s="0" t="str">
        <f aca="false">AV138&amp;"Q"&amp;ROUNDUP(MONTH(AW138)/3,0)</f>
        <v>2011Q1</v>
      </c>
      <c r="AV138" s="0" t="n">
        <f aca="false">YEAR(AW138)</f>
        <v>2011</v>
      </c>
      <c r="AW138" s="1304" t="n">
        <f aca="false">EOMONTH(AW137,0)+1</f>
        <v>40544</v>
      </c>
      <c r="AX138" s="112" t="n">
        <f aca="false">AY138</f>
        <v>3.60772730179545</v>
      </c>
      <c r="AY138" s="1323" t="n">
        <v>3.60772730179545</v>
      </c>
      <c r="AZ138" s="112" t="n">
        <f aca="false">AY138</f>
        <v>3.60772730179545</v>
      </c>
      <c r="BA138" s="163" t="n">
        <v>1</v>
      </c>
      <c r="BB138" s="163" t="n">
        <v>1</v>
      </c>
      <c r="BC138" s="163" t="n">
        <v>1</v>
      </c>
      <c r="BD138" s="163" t="n">
        <v>0</v>
      </c>
      <c r="BE138" s="163"/>
      <c r="BF138" s="163" t="n">
        <v>0</v>
      </c>
      <c r="BG138" s="1290" t="n">
        <v>0</v>
      </c>
      <c r="BH138" s="1262"/>
      <c r="BI138" s="1292"/>
      <c r="BJ138" s="1291"/>
      <c r="BK138" s="1293" t="n">
        <v>0</v>
      </c>
      <c r="BL138" s="1294" t="n">
        <f aca="false">+AY138</f>
        <v>3.60772730179545</v>
      </c>
      <c r="BM138" s="1295" t="n">
        <f aca="false">AY138</f>
        <v>3.60772730179545</v>
      </c>
      <c r="BN138" s="1324" t="n">
        <f aca="false">+BM138/BM126-1</f>
        <v>0.0243500729897364</v>
      </c>
      <c r="BO138" s="1296" t="n">
        <f aca="false">BM138</f>
        <v>3.60772730179545</v>
      </c>
      <c r="BP138" s="1318" t="n">
        <f aca="false">+AY138/AY126-1</f>
        <v>0.0243500729897364</v>
      </c>
      <c r="BQ138" s="1298" t="n">
        <f aca="false">VLOOKUP($AW138,$BU$8:$BZ$291,5,FALSE())</f>
        <v>3.7776482938981</v>
      </c>
      <c r="BR138" s="1298" t="n">
        <f aca="false">VLOOKUP($AW138,$BU$8:$BZ$291,6,FALSE())</f>
        <v>3.22601471187648</v>
      </c>
      <c r="BS138" s="1262" t="n">
        <v>0</v>
      </c>
      <c r="BU138" s="1309" t="n">
        <f aca="false">EDATE(BU137,1)</f>
        <v>40118</v>
      </c>
      <c r="BV138" s="1310" t="n">
        <v>2.89157822110672</v>
      </c>
      <c r="BW138" s="1310" t="n">
        <v>2.36791486117914</v>
      </c>
      <c r="BX138" s="1310"/>
      <c r="BY138" s="1310" t="n">
        <v>3.59531407083761</v>
      </c>
      <c r="BZ138" s="1311" t="n">
        <v>2.94420450285604</v>
      </c>
    </row>
    <row r="139" customFormat="false" ht="12.75" hidden="false" customHeight="false" outlineLevel="0" collapsed="false">
      <c r="A139" s="1246"/>
      <c r="B139" s="1312" t="n">
        <v>39539</v>
      </c>
      <c r="C139" s="1313" t="n">
        <v>32.4213774274291</v>
      </c>
      <c r="D139" s="1313"/>
      <c r="E139" s="1313"/>
      <c r="F139" s="1287"/>
      <c r="G139" s="1313"/>
      <c r="H139" s="1313"/>
      <c r="I139" s="1313"/>
      <c r="J139" s="1253"/>
      <c r="K139" s="1254" t="n">
        <v>40422</v>
      </c>
      <c r="L139" s="1314" t="n">
        <v>0</v>
      </c>
      <c r="M139" s="1314" t="n">
        <v>0</v>
      </c>
      <c r="N139" s="1314" t="n">
        <v>0</v>
      </c>
      <c r="O139" s="1252"/>
      <c r="P139" s="1314" t="n">
        <v>0</v>
      </c>
      <c r="Q139" s="1314" t="n">
        <v>0</v>
      </c>
      <c r="R139" s="1314" t="n">
        <v>0</v>
      </c>
      <c r="S139" s="1252"/>
      <c r="T139" s="1314" t="n">
        <v>0</v>
      </c>
      <c r="U139" s="1314" t="n">
        <v>0</v>
      </c>
      <c r="V139" s="1314" t="n">
        <v>0</v>
      </c>
      <c r="W139" s="1252"/>
      <c r="X139" s="1314" t="n">
        <v>0</v>
      </c>
      <c r="Y139" s="1314" t="n">
        <v>0</v>
      </c>
      <c r="Z139" s="1314" t="n">
        <v>0</v>
      </c>
      <c r="AA139" s="1252" t="n">
        <v>0</v>
      </c>
      <c r="AB139" s="1314" t="n">
        <v>0</v>
      </c>
      <c r="AC139" s="1314" t="n">
        <v>0</v>
      </c>
      <c r="AD139" s="1314" t="n">
        <v>0</v>
      </c>
      <c r="AE139" s="1252"/>
      <c r="AF139" s="1314" t="n">
        <v>0</v>
      </c>
      <c r="AG139" s="1314" t="n">
        <v>0</v>
      </c>
      <c r="AH139" s="1314" t="n">
        <v>0</v>
      </c>
      <c r="AI139" s="1252"/>
      <c r="AJ139" s="1314" t="n">
        <v>0</v>
      </c>
      <c r="AK139" s="1314" t="n">
        <v>0</v>
      </c>
      <c r="AL139" s="1314" t="n">
        <v>0</v>
      </c>
      <c r="AM139" s="1166"/>
      <c r="AN139" s="1253" t="n">
        <v>44</v>
      </c>
      <c r="AO139" s="1316" t="n">
        <v>0.35</v>
      </c>
      <c r="AP139" s="1252"/>
      <c r="AQ139" s="0"/>
      <c r="AR139" s="0"/>
      <c r="AS139" s="0"/>
      <c r="AT139" s="0"/>
      <c r="AU139" s="0" t="str">
        <f aca="false">AV139&amp;"Q"&amp;ROUNDUP(MONTH(AW139)/3,0)</f>
        <v>2011Q1</v>
      </c>
      <c r="AV139" s="0" t="n">
        <f aca="false">YEAR(AW139)</f>
        <v>2011</v>
      </c>
      <c r="AW139" s="1304" t="n">
        <f aca="false">EOMONTH(AW138,0)+1</f>
        <v>40575</v>
      </c>
      <c r="AX139" s="112" t="n">
        <f aca="false">AY139</f>
        <v>3.33215910962207</v>
      </c>
      <c r="AY139" s="1323" t="n">
        <v>3.33215910962207</v>
      </c>
      <c r="AZ139" s="112" t="n">
        <f aca="false">AY139</f>
        <v>3.33215910962207</v>
      </c>
      <c r="BA139" s="163" t="n">
        <v>1</v>
      </c>
      <c r="BB139" s="163" t="n">
        <v>1</v>
      </c>
      <c r="BC139" s="163" t="n">
        <v>1</v>
      </c>
      <c r="BD139" s="163" t="n">
        <v>0</v>
      </c>
      <c r="BE139" s="163"/>
      <c r="BF139" s="163" t="n">
        <v>0</v>
      </c>
      <c r="BG139" s="1290" t="n">
        <v>0</v>
      </c>
      <c r="BH139" s="1262"/>
      <c r="BI139" s="1292"/>
      <c r="BJ139" s="1291"/>
      <c r="BK139" s="1293" t="n">
        <v>0</v>
      </c>
      <c r="BL139" s="1294" t="n">
        <f aca="false">+AY139</f>
        <v>3.33215910962207</v>
      </c>
      <c r="BM139" s="1295" t="n">
        <f aca="false">AY139</f>
        <v>3.33215910962207</v>
      </c>
      <c r="BN139" s="1324" t="n">
        <f aca="false">+BM139/BM127-1</f>
        <v>0.0243500729897359</v>
      </c>
      <c r="BO139" s="1296" t="n">
        <f aca="false">BM139</f>
        <v>3.33215910962207</v>
      </c>
      <c r="BP139" s="1318" t="n">
        <f aca="false">+AY139/AY127-1</f>
        <v>0.0243500729897359</v>
      </c>
      <c r="BQ139" s="1298" t="n">
        <f aca="false">VLOOKUP($AW139,$BU$8:$BZ$291,5,FALSE())</f>
        <v>3.49260760125583</v>
      </c>
      <c r="BR139" s="1298" t="n">
        <f aca="false">VLOOKUP($AW139,$BU$8:$BZ$291,6,FALSE())</f>
        <v>3.00483901463971</v>
      </c>
      <c r="BS139" s="1262" t="n">
        <v>0</v>
      </c>
      <c r="BU139" s="1309" t="n">
        <f aca="false">EDATE(BU138,1)</f>
        <v>40148</v>
      </c>
      <c r="BV139" s="1310" t="n">
        <v>2.95266211009558</v>
      </c>
      <c r="BW139" s="1310" t="n">
        <v>2.41755874306375</v>
      </c>
      <c r="BX139" s="1310"/>
      <c r="BY139" s="1310" t="n">
        <v>3.67126420906319</v>
      </c>
      <c r="BZ139" s="1311" t="n">
        <v>3.00593043016033</v>
      </c>
    </row>
    <row r="140" customFormat="false" ht="12.75" hidden="false" customHeight="false" outlineLevel="0" collapsed="false">
      <c r="A140" s="1246"/>
      <c r="B140" s="1312" t="n">
        <v>39569</v>
      </c>
      <c r="C140" s="1313" t="n">
        <v>33.7860800116813</v>
      </c>
      <c r="D140" s="1313"/>
      <c r="E140" s="1313"/>
      <c r="F140" s="1287"/>
      <c r="G140" s="1313"/>
      <c r="H140" s="1313"/>
      <c r="I140" s="1313"/>
      <c r="J140" s="1253"/>
      <c r="K140" s="1254" t="n">
        <v>40452</v>
      </c>
      <c r="L140" s="1314" t="n">
        <v>0</v>
      </c>
      <c r="M140" s="1314" t="n">
        <v>0</v>
      </c>
      <c r="N140" s="1314" t="n">
        <v>0</v>
      </c>
      <c r="O140" s="1252"/>
      <c r="P140" s="1314" t="n">
        <v>0</v>
      </c>
      <c r="Q140" s="1314" t="n">
        <v>0</v>
      </c>
      <c r="R140" s="1314" t="n">
        <v>0</v>
      </c>
      <c r="S140" s="1252"/>
      <c r="T140" s="1314" t="n">
        <v>0</v>
      </c>
      <c r="U140" s="1314" t="n">
        <v>0</v>
      </c>
      <c r="V140" s="1314" t="n">
        <v>0</v>
      </c>
      <c r="W140" s="1252"/>
      <c r="X140" s="1314" t="n">
        <v>0</v>
      </c>
      <c r="Y140" s="1314" t="n">
        <v>0</v>
      </c>
      <c r="Z140" s="1314" t="n">
        <v>0</v>
      </c>
      <c r="AA140" s="1252" t="n">
        <v>0</v>
      </c>
      <c r="AB140" s="1314" t="n">
        <v>0</v>
      </c>
      <c r="AC140" s="1314" t="n">
        <v>0</v>
      </c>
      <c r="AD140" s="1314" t="n">
        <v>0</v>
      </c>
      <c r="AE140" s="1252"/>
      <c r="AF140" s="1314" t="n">
        <v>0</v>
      </c>
      <c r="AG140" s="1314" t="n">
        <v>0</v>
      </c>
      <c r="AH140" s="1314" t="n">
        <v>0</v>
      </c>
      <c r="AI140" s="1252"/>
      <c r="AJ140" s="1314" t="n">
        <v>0</v>
      </c>
      <c r="AK140" s="1314" t="n">
        <v>0</v>
      </c>
      <c r="AL140" s="1314" t="n">
        <v>0</v>
      </c>
      <c r="AM140" s="1166"/>
      <c r="AN140" s="1253" t="n">
        <v>44</v>
      </c>
      <c r="AO140" s="1316" t="n">
        <v>0.35</v>
      </c>
      <c r="AP140" s="1252"/>
      <c r="AQ140" s="0"/>
      <c r="AR140" s="0"/>
      <c r="AS140" s="0"/>
      <c r="AT140" s="0"/>
      <c r="AU140" s="0" t="str">
        <f aca="false">AV140&amp;"Q"&amp;ROUNDUP(MONTH(AW140)/3,0)</f>
        <v>2011Q1</v>
      </c>
      <c r="AV140" s="0" t="n">
        <f aca="false">YEAR(AW140)</f>
        <v>2011</v>
      </c>
      <c r="AW140" s="1304" t="n">
        <f aca="false">EOMONTH(AW139,0)+1</f>
        <v>40603</v>
      </c>
      <c r="AX140" s="112" t="n">
        <f aca="false">AY140</f>
        <v>3.15327733438925</v>
      </c>
      <c r="AY140" s="1323" t="n">
        <v>3.15327733438925</v>
      </c>
      <c r="AZ140" s="112" t="n">
        <f aca="false">AY140</f>
        <v>3.15327733438925</v>
      </c>
      <c r="BA140" s="163" t="n">
        <v>1</v>
      </c>
      <c r="BB140" s="163" t="n">
        <v>1</v>
      </c>
      <c r="BC140" s="163" t="n">
        <v>1</v>
      </c>
      <c r="BD140" s="163" t="n">
        <v>0</v>
      </c>
      <c r="BE140" s="163"/>
      <c r="BF140" s="163" t="n">
        <v>0</v>
      </c>
      <c r="BG140" s="1290" t="n">
        <v>0</v>
      </c>
      <c r="BH140" s="1262"/>
      <c r="BI140" s="1292"/>
      <c r="BJ140" s="1291"/>
      <c r="BK140" s="1293" t="n">
        <v>0</v>
      </c>
      <c r="BL140" s="1294" t="n">
        <f aca="false">+AY140</f>
        <v>3.15327733438925</v>
      </c>
      <c r="BM140" s="1295" t="n">
        <f aca="false">AY140</f>
        <v>3.15327733438925</v>
      </c>
      <c r="BN140" s="1324" t="n">
        <f aca="false">+BM140/BM128-1</f>
        <v>0.0243500729897359</v>
      </c>
      <c r="BO140" s="1296" t="n">
        <f aca="false">BM140</f>
        <v>3.15327733438925</v>
      </c>
      <c r="BP140" s="1318" t="n">
        <f aca="false">+AY140/AY128-1</f>
        <v>0.0243500729897359</v>
      </c>
      <c r="BQ140" s="1298" t="n">
        <f aca="false">VLOOKUP($AW140,$BU$8:$BZ$291,5,FALSE())</f>
        <v>3.38890572715281</v>
      </c>
      <c r="BR140" s="1298" t="n">
        <f aca="false">VLOOKUP($AW140,$BU$8:$BZ$291,6,FALSE())</f>
        <v>2.85567400952654</v>
      </c>
      <c r="BS140" s="1262" t="n">
        <v>0</v>
      </c>
      <c r="BU140" s="1309" t="n">
        <f aca="false">EDATE(BU139,1)</f>
        <v>40179</v>
      </c>
      <c r="BV140" s="1310" t="n">
        <v>2.87862317655191</v>
      </c>
      <c r="BW140" s="1310" t="n">
        <v>2.44313674082246</v>
      </c>
      <c r="BX140" s="1310"/>
      <c r="BY140" s="1310" t="n">
        <v>3.65079022329953</v>
      </c>
      <c r="BZ140" s="1311" t="n">
        <v>3.09848812454237</v>
      </c>
    </row>
    <row r="141" customFormat="false" ht="12.75" hidden="false" customHeight="false" outlineLevel="0" collapsed="false">
      <c r="A141" s="1246"/>
      <c r="B141" s="1312" t="n">
        <v>39600</v>
      </c>
      <c r="C141" s="1313" t="n">
        <v>33.9325444991447</v>
      </c>
      <c r="D141" s="1313"/>
      <c r="E141" s="1313"/>
      <c r="F141" s="1287"/>
      <c r="G141" s="1313"/>
      <c r="H141" s="1313"/>
      <c r="I141" s="1313"/>
      <c r="J141" s="1253"/>
      <c r="K141" s="1254" t="n">
        <v>40483</v>
      </c>
      <c r="L141" s="1314" t="n">
        <v>0</v>
      </c>
      <c r="M141" s="1314" t="n">
        <v>0</v>
      </c>
      <c r="N141" s="1314" t="n">
        <v>0</v>
      </c>
      <c r="O141" s="1252"/>
      <c r="P141" s="1314" t="n">
        <v>0</v>
      </c>
      <c r="Q141" s="1314" t="n">
        <v>0</v>
      </c>
      <c r="R141" s="1314" t="n">
        <v>0</v>
      </c>
      <c r="S141" s="1252"/>
      <c r="T141" s="1314" t="n">
        <v>0</v>
      </c>
      <c r="U141" s="1314" t="n">
        <v>0</v>
      </c>
      <c r="V141" s="1314" t="n">
        <v>0</v>
      </c>
      <c r="W141" s="1252"/>
      <c r="X141" s="1314" t="n">
        <v>0</v>
      </c>
      <c r="Y141" s="1314" t="n">
        <v>0</v>
      </c>
      <c r="Z141" s="1314" t="n">
        <v>0</v>
      </c>
      <c r="AA141" s="1252" t="n">
        <v>0</v>
      </c>
      <c r="AB141" s="1314" t="n">
        <v>0</v>
      </c>
      <c r="AC141" s="1314" t="n">
        <v>0</v>
      </c>
      <c r="AD141" s="1314" t="n">
        <v>0</v>
      </c>
      <c r="AE141" s="1252"/>
      <c r="AF141" s="1314" t="n">
        <v>0</v>
      </c>
      <c r="AG141" s="1314" t="n">
        <v>0</v>
      </c>
      <c r="AH141" s="1314" t="n">
        <v>0</v>
      </c>
      <c r="AI141" s="1252"/>
      <c r="AJ141" s="1314" t="n">
        <v>0</v>
      </c>
      <c r="AK141" s="1314" t="n">
        <v>0</v>
      </c>
      <c r="AL141" s="1314" t="n">
        <v>0</v>
      </c>
      <c r="AM141" s="1166"/>
      <c r="AN141" s="1253" t="n">
        <v>44</v>
      </c>
      <c r="AO141" s="1316" t="n">
        <v>0.35</v>
      </c>
      <c r="AP141" s="1252"/>
      <c r="AQ141" s="0"/>
      <c r="AR141" s="0"/>
      <c r="AS141" s="0"/>
      <c r="AT141" s="0"/>
      <c r="AU141" s="0" t="str">
        <f aca="false">AV141&amp;"Q"&amp;ROUNDUP(MONTH(AW141)/3,0)</f>
        <v>2011Q2</v>
      </c>
      <c r="AV141" s="0" t="n">
        <f aca="false">YEAR(AW141)</f>
        <v>2011</v>
      </c>
      <c r="AW141" s="1304" t="n">
        <f aca="false">EOMONTH(AW140,0)+1</f>
        <v>40634</v>
      </c>
      <c r="AX141" s="112" t="n">
        <f aca="false">AY141</f>
        <v>3.05867676332002</v>
      </c>
      <c r="AY141" s="1323" t="n">
        <v>3.05867676332002</v>
      </c>
      <c r="AZ141" s="112" t="n">
        <f aca="false">AY141</f>
        <v>3.05867676332002</v>
      </c>
      <c r="BA141" s="163" t="n">
        <v>1</v>
      </c>
      <c r="BB141" s="163" t="n">
        <v>1</v>
      </c>
      <c r="BC141" s="163" t="n">
        <v>1</v>
      </c>
      <c r="BD141" s="163" t="n">
        <v>0</v>
      </c>
      <c r="BE141" s="163"/>
      <c r="BF141" s="163" t="n">
        <v>0</v>
      </c>
      <c r="BG141" s="1290" t="n">
        <v>0</v>
      </c>
      <c r="BH141" s="1262"/>
      <c r="BI141" s="1292"/>
      <c r="BJ141" s="1291"/>
      <c r="BK141" s="1293" t="n">
        <v>0</v>
      </c>
      <c r="BL141" s="1294" t="n">
        <f aca="false">+AY141</f>
        <v>3.05867676332002</v>
      </c>
      <c r="BM141" s="1295" t="n">
        <f aca="false">AY141</f>
        <v>3.05867676332002</v>
      </c>
      <c r="BN141" s="1324" t="n">
        <f aca="false">+BM141/BM129-1</f>
        <v>0.0243500729897359</v>
      </c>
      <c r="BO141" s="1296" t="n">
        <f aca="false">BM141</f>
        <v>3.05867676332002</v>
      </c>
      <c r="BP141" s="1318" t="n">
        <f aca="false">+AY141/AY129-1</f>
        <v>0.0243500729897359</v>
      </c>
      <c r="BQ141" s="1298" t="n">
        <f aca="false">VLOOKUP($AW141,$BU$8:$BZ$291,5,FALSE())</f>
        <v>3.32167830532051</v>
      </c>
      <c r="BR141" s="1298" t="n">
        <f aca="false">VLOOKUP($AW141,$BU$8:$BZ$291,6,FALSE())</f>
        <v>2.76887540741327</v>
      </c>
      <c r="BS141" s="1262" t="n">
        <v>0</v>
      </c>
      <c r="BU141" s="1309" t="n">
        <f aca="false">EDATE(BU140,1)</f>
        <v>40210</v>
      </c>
      <c r="BV141" s="1310" t="n">
        <v>2.66141800543373</v>
      </c>
      <c r="BW141" s="1310" t="n">
        <v>2.27563518848705</v>
      </c>
      <c r="BX141" s="1310"/>
      <c r="BY141" s="1310" t="n">
        <v>3.37532154729234</v>
      </c>
      <c r="BZ141" s="1311" t="n">
        <v>2.88605565521649</v>
      </c>
    </row>
    <row r="142" customFormat="false" ht="12.75" hidden="false" customHeight="false" outlineLevel="0" collapsed="false">
      <c r="A142" s="1246"/>
      <c r="B142" s="1312" t="n">
        <v>39630</v>
      </c>
      <c r="C142" s="1313" t="n">
        <v>47.5157179739534</v>
      </c>
      <c r="D142" s="1313"/>
      <c r="E142" s="1313"/>
      <c r="F142" s="1287"/>
      <c r="G142" s="1313"/>
      <c r="H142" s="1313"/>
      <c r="I142" s="1313"/>
      <c r="J142" s="1253"/>
      <c r="K142" s="1254" t="n">
        <v>40513</v>
      </c>
      <c r="L142" s="1314" t="n">
        <v>0</v>
      </c>
      <c r="M142" s="1314" t="n">
        <v>0</v>
      </c>
      <c r="N142" s="1314" t="n">
        <v>0</v>
      </c>
      <c r="O142" s="1252"/>
      <c r="P142" s="1314" t="n">
        <v>0</v>
      </c>
      <c r="Q142" s="1314" t="n">
        <v>0</v>
      </c>
      <c r="R142" s="1314" t="n">
        <v>0</v>
      </c>
      <c r="S142" s="1252"/>
      <c r="T142" s="1314" t="n">
        <v>0</v>
      </c>
      <c r="U142" s="1314" t="n">
        <v>0</v>
      </c>
      <c r="V142" s="1314" t="n">
        <v>0</v>
      </c>
      <c r="W142" s="1252"/>
      <c r="X142" s="1314" t="n">
        <v>0</v>
      </c>
      <c r="Y142" s="1314" t="n">
        <v>0</v>
      </c>
      <c r="Z142" s="1314" t="n">
        <v>0</v>
      </c>
      <c r="AA142" s="1252" t="n">
        <v>0</v>
      </c>
      <c r="AB142" s="1314" t="n">
        <v>0</v>
      </c>
      <c r="AC142" s="1314" t="n">
        <v>0</v>
      </c>
      <c r="AD142" s="1314" t="n">
        <v>0</v>
      </c>
      <c r="AE142" s="1252"/>
      <c r="AF142" s="1314" t="n">
        <v>0</v>
      </c>
      <c r="AG142" s="1314" t="n">
        <v>0</v>
      </c>
      <c r="AH142" s="1314" t="n">
        <v>0</v>
      </c>
      <c r="AI142" s="1252"/>
      <c r="AJ142" s="1314" t="n">
        <v>0</v>
      </c>
      <c r="AK142" s="1314" t="n">
        <v>0</v>
      </c>
      <c r="AL142" s="1314" t="n">
        <v>0</v>
      </c>
      <c r="AM142" s="1166"/>
      <c r="AN142" s="1253" t="n">
        <v>45</v>
      </c>
      <c r="AO142" s="1316" t="n">
        <v>0.35</v>
      </c>
      <c r="AP142" s="1252"/>
      <c r="AQ142" s="0"/>
      <c r="AR142" s="0"/>
      <c r="AS142" s="0"/>
      <c r="AT142" s="0"/>
      <c r="AU142" s="0" t="str">
        <f aca="false">AV142&amp;"Q"&amp;ROUNDUP(MONTH(AW142)/3,0)</f>
        <v>2011Q2</v>
      </c>
      <c r="AV142" s="0" t="n">
        <f aca="false">YEAR(AW142)</f>
        <v>2011</v>
      </c>
      <c r="AW142" s="1304" t="n">
        <f aca="false">EOMONTH(AW141,0)+1</f>
        <v>40664</v>
      </c>
      <c r="AX142" s="112" t="n">
        <f aca="false">AY142</f>
        <v>3.03560916932453</v>
      </c>
      <c r="AY142" s="1323" t="n">
        <v>3.03560916932453</v>
      </c>
      <c r="AZ142" s="112" t="n">
        <f aca="false">AY142</f>
        <v>3.03560916932453</v>
      </c>
      <c r="BA142" s="163" t="n">
        <v>1</v>
      </c>
      <c r="BB142" s="163" t="n">
        <v>1</v>
      </c>
      <c r="BC142" s="163" t="n">
        <v>1</v>
      </c>
      <c r="BD142" s="163" t="n">
        <v>0</v>
      </c>
      <c r="BE142" s="163"/>
      <c r="BF142" s="163" t="n">
        <v>0</v>
      </c>
      <c r="BG142" s="1290" t="n">
        <v>0</v>
      </c>
      <c r="BH142" s="1262"/>
      <c r="BI142" s="1292"/>
      <c r="BJ142" s="1291"/>
      <c r="BK142" s="1293" t="n">
        <v>0</v>
      </c>
      <c r="BL142" s="1294" t="n">
        <f aca="false">+AY142</f>
        <v>3.03560916932453</v>
      </c>
      <c r="BM142" s="1295" t="n">
        <f aca="false">AY142</f>
        <v>3.03560916932453</v>
      </c>
      <c r="BN142" s="1324" t="n">
        <f aca="false">+BM142/BM130-1</f>
        <v>0.0243500729897364</v>
      </c>
      <c r="BO142" s="1296" t="n">
        <f aca="false">BM142</f>
        <v>3.03560916932453</v>
      </c>
      <c r="BP142" s="1318" t="n">
        <f aca="false">+AY142/AY130-1</f>
        <v>0.0243500729897364</v>
      </c>
      <c r="BQ142" s="1298" t="n">
        <f aca="false">VLOOKUP($AW142,$BU$8:$BZ$291,5,FALSE())</f>
        <v>3.29092533575893</v>
      </c>
      <c r="BR142" s="1298" t="n">
        <f aca="false">VLOOKUP($AW142,$BU$8:$BZ$291,6,FALSE())</f>
        <v>2.73479891917621</v>
      </c>
      <c r="BS142" s="1262" t="n">
        <v>0</v>
      </c>
      <c r="BU142" s="1309" t="n">
        <f aca="false">EDATE(BU141,1)</f>
        <v>40238</v>
      </c>
      <c r="BV142" s="1310" t="n">
        <v>2.58239566269023</v>
      </c>
      <c r="BW142" s="1310" t="n">
        <v>2.1626690252841</v>
      </c>
      <c r="BX142" s="1310"/>
      <c r="BY142" s="1310" t="n">
        <v>3.27510210952079</v>
      </c>
      <c r="BZ142" s="1311" t="n">
        <v>2.74278724567114</v>
      </c>
    </row>
    <row r="143" customFormat="false" ht="12.75" hidden="false" customHeight="false" outlineLevel="0" collapsed="false">
      <c r="A143" s="1246"/>
      <c r="B143" s="1312" t="n">
        <v>39661</v>
      </c>
      <c r="C143" s="1313" t="n">
        <v>81.1369963885108</v>
      </c>
      <c r="D143" s="1313"/>
      <c r="E143" s="1313"/>
      <c r="F143" s="1287"/>
      <c r="G143" s="1313"/>
      <c r="H143" s="1313"/>
      <c r="I143" s="1313"/>
      <c r="J143" s="1253"/>
      <c r="K143" s="1254" t="n">
        <v>40544</v>
      </c>
      <c r="L143" s="1314" t="n">
        <v>0</v>
      </c>
      <c r="M143" s="1314" t="n">
        <v>0</v>
      </c>
      <c r="N143" s="1314" t="n">
        <v>0</v>
      </c>
      <c r="O143" s="1252"/>
      <c r="P143" s="1314" t="n">
        <v>0</v>
      </c>
      <c r="Q143" s="1314" t="n">
        <v>0</v>
      </c>
      <c r="R143" s="1314" t="n">
        <v>0</v>
      </c>
      <c r="S143" s="1252"/>
      <c r="T143" s="1314" t="n">
        <v>0</v>
      </c>
      <c r="U143" s="1314" t="n">
        <v>0</v>
      </c>
      <c r="V143" s="1314" t="n">
        <v>0</v>
      </c>
      <c r="W143" s="1252"/>
      <c r="X143" s="1314" t="n">
        <v>0</v>
      </c>
      <c r="Y143" s="1314" t="n">
        <v>0</v>
      </c>
      <c r="Z143" s="1314" t="n">
        <v>0</v>
      </c>
      <c r="AA143" s="1252" t="n">
        <v>0</v>
      </c>
      <c r="AB143" s="1314" t="n">
        <v>0</v>
      </c>
      <c r="AC143" s="1314" t="n">
        <v>0</v>
      </c>
      <c r="AD143" s="1314" t="n">
        <v>0</v>
      </c>
      <c r="AE143" s="1252"/>
      <c r="AF143" s="1314" t="n">
        <v>0</v>
      </c>
      <c r="AG143" s="1314" t="n">
        <v>0</v>
      </c>
      <c r="AH143" s="1314" t="n">
        <v>0</v>
      </c>
      <c r="AI143" s="1252"/>
      <c r="AJ143" s="1314" t="n">
        <v>0</v>
      </c>
      <c r="AK143" s="1314" t="n">
        <v>0</v>
      </c>
      <c r="AL143" s="1314" t="n">
        <v>0</v>
      </c>
      <c r="AM143" s="1166"/>
      <c r="AN143" s="1253" t="n">
        <v>45</v>
      </c>
      <c r="AO143" s="1316" t="n">
        <v>0.35</v>
      </c>
      <c r="AP143" s="1252"/>
      <c r="AQ143" s="0"/>
      <c r="AR143" s="0"/>
      <c r="AS143" s="0"/>
      <c r="AT143" s="0"/>
      <c r="AU143" s="0" t="str">
        <f aca="false">AV143&amp;"Q"&amp;ROUNDUP(MONTH(AW143)/3,0)</f>
        <v>2011Q2</v>
      </c>
      <c r="AV143" s="0" t="n">
        <f aca="false">YEAR(AW143)</f>
        <v>2011</v>
      </c>
      <c r="AW143" s="1304" t="n">
        <f aca="false">EOMONTH(AW142,0)+1</f>
        <v>40695</v>
      </c>
      <c r="AX143" s="112" t="n">
        <f aca="false">AY143</f>
        <v>3.07227757557298</v>
      </c>
      <c r="AY143" s="1323" t="n">
        <v>3.07227757557298</v>
      </c>
      <c r="AZ143" s="112" t="n">
        <f aca="false">AY143</f>
        <v>3.07227757557298</v>
      </c>
      <c r="BA143" s="163" t="n">
        <v>1</v>
      </c>
      <c r="BB143" s="163" t="n">
        <v>1</v>
      </c>
      <c r="BC143" s="163" t="n">
        <v>1</v>
      </c>
      <c r="BD143" s="163" t="n">
        <v>0</v>
      </c>
      <c r="BE143" s="163"/>
      <c r="BF143" s="163" t="n">
        <v>0</v>
      </c>
      <c r="BG143" s="1290" t="n">
        <v>0</v>
      </c>
      <c r="BH143" s="1262"/>
      <c r="BI143" s="1292"/>
      <c r="BJ143" s="1291"/>
      <c r="BK143" s="1293" t="n">
        <v>0</v>
      </c>
      <c r="BL143" s="1294" t="n">
        <f aca="false">+AY143</f>
        <v>3.07227757557298</v>
      </c>
      <c r="BM143" s="1295" t="n">
        <f aca="false">AY143</f>
        <v>3.07227757557298</v>
      </c>
      <c r="BN143" s="1324" t="n">
        <f aca="false">+BM143/BM131-1</f>
        <v>0.0243500729897359</v>
      </c>
      <c r="BO143" s="1296" t="n">
        <f aca="false">BM143</f>
        <v>3.07227757557298</v>
      </c>
      <c r="BP143" s="1318" t="n">
        <f aca="false">+AY143/AY131-1</f>
        <v>0.0243500729897359</v>
      </c>
      <c r="BQ143" s="1298" t="n">
        <f aca="false">VLOOKUP($AW143,$BU$8:$BZ$291,5,FALSE())</f>
        <v>3.29664681846806</v>
      </c>
      <c r="BR143" s="1298" t="n">
        <f aca="false">VLOOKUP($AW143,$BU$8:$BZ$291,6,FALSE())</f>
        <v>2.74380025569166</v>
      </c>
      <c r="BS143" s="1262" t="n">
        <v>0</v>
      </c>
      <c r="BU143" s="1309" t="n">
        <f aca="false">EDATE(BU142,1)</f>
        <v>40269</v>
      </c>
      <c r="BV143" s="1310" t="n">
        <v>2.53116738532548</v>
      </c>
      <c r="BW143" s="1310" t="n">
        <v>2.0969344044548</v>
      </c>
      <c r="BX143" s="1310"/>
      <c r="BY143" s="1310" t="n">
        <v>3.21013226710337</v>
      </c>
      <c r="BZ143" s="1311" t="n">
        <v>2.65941985218569</v>
      </c>
    </row>
    <row r="144" customFormat="false" ht="12.75" hidden="false" customHeight="false" outlineLevel="0" collapsed="false">
      <c r="A144" s="1246"/>
      <c r="B144" s="1312" t="n">
        <v>39692</v>
      </c>
      <c r="C144" s="1313" t="n">
        <v>52.6367092161517</v>
      </c>
      <c r="D144" s="1313"/>
      <c r="E144" s="1313"/>
      <c r="F144" s="1287"/>
      <c r="G144" s="1313"/>
      <c r="H144" s="1313"/>
      <c r="I144" s="1313"/>
      <c r="J144" s="1253"/>
      <c r="K144" s="1254" t="n">
        <v>40575</v>
      </c>
      <c r="L144" s="1314" t="n">
        <v>0</v>
      </c>
      <c r="M144" s="1314" t="n">
        <v>0</v>
      </c>
      <c r="N144" s="1314" t="n">
        <v>0</v>
      </c>
      <c r="O144" s="1252"/>
      <c r="P144" s="1314" t="n">
        <v>0</v>
      </c>
      <c r="Q144" s="1314" t="n">
        <v>0</v>
      </c>
      <c r="R144" s="1314" t="n">
        <v>0</v>
      </c>
      <c r="S144" s="1252"/>
      <c r="T144" s="1314" t="n">
        <v>0</v>
      </c>
      <c r="U144" s="1314" t="n">
        <v>0</v>
      </c>
      <c r="V144" s="1314" t="n">
        <v>0</v>
      </c>
      <c r="W144" s="1252"/>
      <c r="X144" s="1314" t="n">
        <v>0</v>
      </c>
      <c r="Y144" s="1314" t="n">
        <v>0</v>
      </c>
      <c r="Z144" s="1314" t="n">
        <v>0</v>
      </c>
      <c r="AA144" s="1252" t="n">
        <v>0</v>
      </c>
      <c r="AB144" s="1314" t="n">
        <v>0</v>
      </c>
      <c r="AC144" s="1314" t="n">
        <v>0</v>
      </c>
      <c r="AD144" s="1314" t="n">
        <v>0</v>
      </c>
      <c r="AE144" s="1252"/>
      <c r="AF144" s="1314" t="n">
        <v>0</v>
      </c>
      <c r="AG144" s="1314" t="n">
        <v>0</v>
      </c>
      <c r="AH144" s="1314" t="n">
        <v>0</v>
      </c>
      <c r="AI144" s="1252"/>
      <c r="AJ144" s="1314" t="n">
        <v>0</v>
      </c>
      <c r="AK144" s="1314" t="n">
        <v>0</v>
      </c>
      <c r="AL144" s="1314" t="n">
        <v>0</v>
      </c>
      <c r="AM144" s="1166"/>
      <c r="AN144" s="1253" t="n">
        <v>45</v>
      </c>
      <c r="AO144" s="1316" t="n">
        <v>0.35</v>
      </c>
      <c r="AP144" s="1252"/>
      <c r="AQ144" s="0"/>
      <c r="AR144" s="0"/>
      <c r="AS144" s="0"/>
      <c r="AT144" s="0"/>
      <c r="AU144" s="0" t="str">
        <f aca="false">AV144&amp;"Q"&amp;ROUNDUP(MONTH(AW144)/3,0)</f>
        <v>2011Q3</v>
      </c>
      <c r="AV144" s="0" t="n">
        <f aca="false">YEAR(AW144)</f>
        <v>2011</v>
      </c>
      <c r="AW144" s="1304" t="n">
        <f aca="false">EOMONTH(AW143,0)+1</f>
        <v>40725</v>
      </c>
      <c r="AX144" s="112" t="n">
        <f aca="false">AY144</f>
        <v>3.15613874194806</v>
      </c>
      <c r="AY144" s="1323" t="n">
        <v>3.15613874194806</v>
      </c>
      <c r="AZ144" s="112" t="n">
        <f aca="false">AY144</f>
        <v>3.15613874194806</v>
      </c>
      <c r="BA144" s="163" t="n">
        <v>1</v>
      </c>
      <c r="BB144" s="163" t="n">
        <v>1</v>
      </c>
      <c r="BC144" s="163" t="n">
        <v>1</v>
      </c>
      <c r="BD144" s="163" t="n">
        <v>0</v>
      </c>
      <c r="BE144" s="163"/>
      <c r="BF144" s="163" t="n">
        <v>0</v>
      </c>
      <c r="BG144" s="1290" t="n">
        <v>0</v>
      </c>
      <c r="BH144" s="1262"/>
      <c r="BI144" s="1292"/>
      <c r="BJ144" s="1291"/>
      <c r="BK144" s="1293" t="n">
        <v>0</v>
      </c>
      <c r="BL144" s="1294" t="n">
        <f aca="false">+AY144</f>
        <v>3.15613874194806</v>
      </c>
      <c r="BM144" s="1295" t="n">
        <f aca="false">AY144</f>
        <v>3.15613874194806</v>
      </c>
      <c r="BN144" s="1324" t="n">
        <f aca="false">+BM144/BM132-1</f>
        <v>0.0243500729897361</v>
      </c>
      <c r="BO144" s="1296" t="n">
        <f aca="false">BM144</f>
        <v>3.15613874194806</v>
      </c>
      <c r="BP144" s="1318" t="n">
        <f aca="false">+AY144/AY132-1</f>
        <v>0.0243500729897361</v>
      </c>
      <c r="BQ144" s="1298" t="n">
        <f aca="false">VLOOKUP($AW144,$BU$8:$BZ$291,5,FALSE())</f>
        <v>3.33884275344791</v>
      </c>
      <c r="BR144" s="1298" t="n">
        <f aca="false">VLOOKUP($AW144,$BU$8:$BZ$291,6,FALSE())</f>
        <v>2.78623512783592</v>
      </c>
      <c r="BS144" s="1262" t="n">
        <v>0</v>
      </c>
      <c r="BU144" s="1309" t="n">
        <f aca="false">EDATE(BU143,1)</f>
        <v>40299</v>
      </c>
      <c r="BV144" s="1310" t="n">
        <v>2.50773317333947</v>
      </c>
      <c r="BW144" s="1310" t="n">
        <v>2.07112747924033</v>
      </c>
      <c r="BX144" s="1310"/>
      <c r="BY144" s="1310" t="n">
        <v>3.18041202004008</v>
      </c>
      <c r="BZ144" s="1311" t="n">
        <v>2.62669043103955</v>
      </c>
    </row>
    <row r="145" customFormat="false" ht="12.75" hidden="false" customHeight="false" outlineLevel="0" collapsed="false">
      <c r="A145" s="1246"/>
      <c r="B145" s="1312" t="n">
        <v>39722</v>
      </c>
      <c r="C145" s="1313" t="n">
        <v>43.5053443755862</v>
      </c>
      <c r="D145" s="1313"/>
      <c r="E145" s="1313"/>
      <c r="F145" s="1287"/>
      <c r="G145" s="1313"/>
      <c r="H145" s="1313"/>
      <c r="I145" s="1313"/>
      <c r="J145" s="1253"/>
      <c r="K145" s="1254" t="n">
        <v>40603</v>
      </c>
      <c r="L145" s="1314" t="n">
        <v>0</v>
      </c>
      <c r="M145" s="1314" t="n">
        <v>0</v>
      </c>
      <c r="N145" s="1314" t="n">
        <v>0</v>
      </c>
      <c r="O145" s="1252"/>
      <c r="P145" s="1314" t="n">
        <v>0</v>
      </c>
      <c r="Q145" s="1314" t="n">
        <v>0</v>
      </c>
      <c r="R145" s="1314" t="n">
        <v>0</v>
      </c>
      <c r="S145" s="1252"/>
      <c r="T145" s="1314" t="n">
        <v>0</v>
      </c>
      <c r="U145" s="1314" t="n">
        <v>0</v>
      </c>
      <c r="V145" s="1314" t="n">
        <v>0</v>
      </c>
      <c r="W145" s="1252"/>
      <c r="X145" s="1314" t="n">
        <v>0</v>
      </c>
      <c r="Y145" s="1314" t="n">
        <v>0</v>
      </c>
      <c r="Z145" s="1314" t="n">
        <v>0</v>
      </c>
      <c r="AA145" s="1252" t="n">
        <v>0</v>
      </c>
      <c r="AB145" s="1314" t="n">
        <v>0</v>
      </c>
      <c r="AC145" s="1314" t="n">
        <v>0</v>
      </c>
      <c r="AD145" s="1314" t="n">
        <v>0</v>
      </c>
      <c r="AE145" s="1252"/>
      <c r="AF145" s="1314" t="n">
        <v>0</v>
      </c>
      <c r="AG145" s="1314" t="n">
        <v>0</v>
      </c>
      <c r="AH145" s="1314" t="n">
        <v>0</v>
      </c>
      <c r="AI145" s="1252"/>
      <c r="AJ145" s="1314" t="n">
        <v>0</v>
      </c>
      <c r="AK145" s="1314" t="n">
        <v>0</v>
      </c>
      <c r="AL145" s="1314" t="n">
        <v>0</v>
      </c>
      <c r="AM145" s="1166"/>
      <c r="AN145" s="1253" t="n">
        <v>46</v>
      </c>
      <c r="AO145" s="1316" t="n">
        <v>0.35</v>
      </c>
      <c r="AP145" s="1252"/>
      <c r="AQ145" s="0"/>
      <c r="AR145" s="0"/>
      <c r="AS145" s="0"/>
      <c r="AT145" s="0"/>
      <c r="AU145" s="0" t="str">
        <f aca="false">AV145&amp;"Q"&amp;ROUNDUP(MONTH(AW145)/3,0)</f>
        <v>2011Q3</v>
      </c>
      <c r="AV145" s="0" t="n">
        <f aca="false">YEAR(AW145)</f>
        <v>2011</v>
      </c>
      <c r="AW145" s="1304" t="n">
        <f aca="false">EOMONTH(AW144,0)+1</f>
        <v>40756</v>
      </c>
      <c r="AX145" s="112" t="n">
        <f aca="false">AY145</f>
        <v>3.27523901519133</v>
      </c>
      <c r="AY145" s="1323" t="n">
        <v>3.27523901519133</v>
      </c>
      <c r="AZ145" s="112" t="n">
        <f aca="false">AY145</f>
        <v>3.27523901519133</v>
      </c>
      <c r="BA145" s="163" t="n">
        <v>1</v>
      </c>
      <c r="BB145" s="163" t="n">
        <v>1</v>
      </c>
      <c r="BC145" s="163" t="n">
        <v>1</v>
      </c>
      <c r="BD145" s="163" t="n">
        <v>0</v>
      </c>
      <c r="BE145" s="163"/>
      <c r="BF145" s="163" t="n">
        <v>0</v>
      </c>
      <c r="BG145" s="1290" t="n">
        <v>0</v>
      </c>
      <c r="BH145" s="1262"/>
      <c r="BI145" s="1292"/>
      <c r="BJ145" s="1291"/>
      <c r="BK145" s="1293" t="n">
        <v>0</v>
      </c>
      <c r="BL145" s="1294" t="n">
        <f aca="false">+AY145</f>
        <v>3.27523901519133</v>
      </c>
      <c r="BM145" s="1295" t="n">
        <f aca="false">AY145</f>
        <v>3.27523901519133</v>
      </c>
      <c r="BN145" s="1324" t="n">
        <f aca="false">+BM145/BM133-1</f>
        <v>0.0243500729897361</v>
      </c>
      <c r="BO145" s="1296" t="n">
        <f aca="false">BM145</f>
        <v>3.27523901519133</v>
      </c>
      <c r="BP145" s="1318" t="n">
        <f aca="false">+AY145/AY133-1</f>
        <v>0.0243500729897361</v>
      </c>
      <c r="BQ145" s="1298" t="n">
        <f aca="false">VLOOKUP($AW145,$BU$8:$BZ$291,5,FALSE())</f>
        <v>3.41751314069847</v>
      </c>
      <c r="BR145" s="1298" t="n">
        <f aca="false">VLOOKUP($AW145,$BU$8:$BZ$291,6,FALSE())</f>
        <v>2.85245924648531</v>
      </c>
      <c r="BS145" s="1262" t="n">
        <v>0</v>
      </c>
      <c r="BU145" s="1309" t="n">
        <f aca="false">EDATE(BU144,1)</f>
        <v>40330</v>
      </c>
      <c r="BV145" s="1310" t="n">
        <v>2.51209302673222</v>
      </c>
      <c r="BW145" s="1310" t="n">
        <v>2.07794440288189</v>
      </c>
      <c r="BX145" s="1310"/>
      <c r="BY145" s="1310" t="n">
        <v>3.18594136833092</v>
      </c>
      <c r="BZ145" s="1311" t="n">
        <v>2.63533593851212</v>
      </c>
    </row>
    <row r="146" customFormat="false" ht="12.75" hidden="false" customHeight="false" outlineLevel="0" collapsed="false">
      <c r="A146" s="1246"/>
      <c r="B146" s="1312" t="n">
        <v>39753</v>
      </c>
      <c r="C146" s="1313" t="n">
        <v>48.4557775746709</v>
      </c>
      <c r="D146" s="1313"/>
      <c r="E146" s="1313"/>
      <c r="F146" s="1287"/>
      <c r="G146" s="1313"/>
      <c r="H146" s="1313"/>
      <c r="I146" s="1313"/>
      <c r="J146" s="1253"/>
      <c r="K146" s="1254" t="n">
        <v>40634</v>
      </c>
      <c r="L146" s="1314" t="n">
        <v>0</v>
      </c>
      <c r="M146" s="1314" t="n">
        <v>0</v>
      </c>
      <c r="N146" s="1314" t="n">
        <v>0</v>
      </c>
      <c r="O146" s="1252"/>
      <c r="P146" s="1314" t="n">
        <v>0</v>
      </c>
      <c r="Q146" s="1314" t="n">
        <v>0</v>
      </c>
      <c r="R146" s="1314" t="n">
        <v>0</v>
      </c>
      <c r="S146" s="1252"/>
      <c r="T146" s="1314" t="n">
        <v>0</v>
      </c>
      <c r="U146" s="1314" t="n">
        <v>0</v>
      </c>
      <c r="V146" s="1314" t="n">
        <v>0</v>
      </c>
      <c r="W146" s="1252"/>
      <c r="X146" s="1314" t="n">
        <v>0</v>
      </c>
      <c r="Y146" s="1314" t="n">
        <v>0</v>
      </c>
      <c r="Z146" s="1314" t="n">
        <v>0</v>
      </c>
      <c r="AA146" s="1252" t="n">
        <v>0</v>
      </c>
      <c r="AB146" s="1314" t="n">
        <v>0</v>
      </c>
      <c r="AC146" s="1314" t="n">
        <v>0</v>
      </c>
      <c r="AD146" s="1314" t="n">
        <v>0</v>
      </c>
      <c r="AE146" s="1252"/>
      <c r="AF146" s="1314" t="n">
        <v>0</v>
      </c>
      <c r="AG146" s="1314" t="n">
        <v>0</v>
      </c>
      <c r="AH146" s="1314" t="n">
        <v>0</v>
      </c>
      <c r="AI146" s="1252"/>
      <c r="AJ146" s="1314" t="n">
        <v>0</v>
      </c>
      <c r="AK146" s="1314" t="n">
        <v>0</v>
      </c>
      <c r="AL146" s="1314" t="n">
        <v>0</v>
      </c>
      <c r="AM146" s="1166"/>
      <c r="AN146" s="1253" t="n">
        <v>46</v>
      </c>
      <c r="AO146" s="1316" t="n">
        <v>0.35</v>
      </c>
      <c r="AP146" s="1252"/>
      <c r="AQ146" s="0"/>
      <c r="AR146" s="0"/>
      <c r="AS146" s="0"/>
      <c r="AT146" s="0"/>
      <c r="AU146" s="0" t="str">
        <f aca="false">AV146&amp;"Q"&amp;ROUNDUP(MONTH(AW146)/3,0)</f>
        <v>2011Q3</v>
      </c>
      <c r="AV146" s="0" t="n">
        <f aca="false">YEAR(AW146)</f>
        <v>2011</v>
      </c>
      <c r="AW146" s="1304" t="n">
        <f aca="false">EOMONTH(AW145,0)+1</f>
        <v>40787</v>
      </c>
      <c r="AX146" s="112" t="n">
        <f aca="false">AY146</f>
        <v>3.4170395733397</v>
      </c>
      <c r="AY146" s="1323" t="n">
        <v>3.4170395733397</v>
      </c>
      <c r="AZ146" s="112" t="n">
        <f aca="false">AY146</f>
        <v>3.4170395733397</v>
      </c>
      <c r="BA146" s="163" t="n">
        <v>1</v>
      </c>
      <c r="BB146" s="163" t="n">
        <v>1</v>
      </c>
      <c r="BC146" s="163" t="n">
        <v>1</v>
      </c>
      <c r="BD146" s="163" t="n">
        <v>0</v>
      </c>
      <c r="BE146" s="163"/>
      <c r="BF146" s="163" t="n">
        <v>0</v>
      </c>
      <c r="BG146" s="1290" t="n">
        <v>0</v>
      </c>
      <c r="BH146" s="1262"/>
      <c r="BI146" s="1292"/>
      <c r="BJ146" s="1291"/>
      <c r="BK146" s="1293" t="n">
        <v>0</v>
      </c>
      <c r="BL146" s="1294" t="n">
        <f aca="false">+AY146</f>
        <v>3.4170395733397</v>
      </c>
      <c r="BM146" s="1295" t="n">
        <f aca="false">AY146</f>
        <v>3.4170395733397</v>
      </c>
      <c r="BN146" s="1324" t="n">
        <f aca="false">+BM146/BM134-1</f>
        <v>0.0243500729897361</v>
      </c>
      <c r="BO146" s="1296" t="n">
        <f aca="false">BM146</f>
        <v>3.4170395733397</v>
      </c>
      <c r="BP146" s="1318" t="n">
        <f aca="false">+AY146/AY134-1</f>
        <v>0.0243500729897361</v>
      </c>
      <c r="BQ146" s="1298" t="n">
        <f aca="false">VLOOKUP($AW146,$BU$8:$BZ$291,5,FALSE())</f>
        <v>3.53265798021976</v>
      </c>
      <c r="BR146" s="1298" t="n">
        <f aca="false">VLOOKUP($AW146,$BU$8:$BZ$291,6,FALSE())</f>
        <v>2.93282832251611</v>
      </c>
      <c r="BS146" s="1262" t="n">
        <v>0</v>
      </c>
      <c r="BU146" s="1309" t="n">
        <f aca="false">EDATE(BU145,1)</f>
        <v>40360</v>
      </c>
      <c r="BV146" s="1310" t="n">
        <v>2.54424694550371</v>
      </c>
      <c r="BW146" s="1310" t="n">
        <v>2.11008132862066</v>
      </c>
      <c r="BX146" s="1310"/>
      <c r="BY146" s="1310" t="n">
        <v>3.2267203119759</v>
      </c>
      <c r="BZ146" s="1311" t="n">
        <v>2.67609333088278</v>
      </c>
    </row>
    <row r="147" customFormat="false" ht="12.75" hidden="false" customHeight="false" outlineLevel="0" collapsed="false">
      <c r="A147" s="1246"/>
      <c r="B147" s="1312" t="n">
        <v>39783</v>
      </c>
      <c r="C147" s="1313" t="n">
        <v>47.4168701053088</v>
      </c>
      <c r="D147" s="1313"/>
      <c r="E147" s="1313"/>
      <c r="F147" s="1287"/>
      <c r="G147" s="1313"/>
      <c r="H147" s="1313"/>
      <c r="I147" s="1313"/>
      <c r="J147" s="1253"/>
      <c r="K147" s="1254" t="n">
        <v>40664</v>
      </c>
      <c r="L147" s="1314" t="n">
        <v>0</v>
      </c>
      <c r="M147" s="1314" t="n">
        <v>0</v>
      </c>
      <c r="N147" s="1314" t="n">
        <v>0</v>
      </c>
      <c r="O147" s="1252"/>
      <c r="P147" s="1314" t="n">
        <v>0</v>
      </c>
      <c r="Q147" s="1314" t="n">
        <v>0</v>
      </c>
      <c r="R147" s="1314" t="n">
        <v>0</v>
      </c>
      <c r="S147" s="1252"/>
      <c r="T147" s="1314" t="n">
        <v>0</v>
      </c>
      <c r="U147" s="1314" t="n">
        <v>0</v>
      </c>
      <c r="V147" s="1314" t="n">
        <v>0</v>
      </c>
      <c r="W147" s="1252"/>
      <c r="X147" s="1314" t="n">
        <v>0</v>
      </c>
      <c r="Y147" s="1314" t="n">
        <v>0</v>
      </c>
      <c r="Z147" s="1314" t="n">
        <v>0</v>
      </c>
      <c r="AA147" s="1252" t="n">
        <v>0</v>
      </c>
      <c r="AB147" s="1314" t="n">
        <v>0</v>
      </c>
      <c r="AC147" s="1314" t="n">
        <v>0</v>
      </c>
      <c r="AD147" s="1314" t="n">
        <v>0</v>
      </c>
      <c r="AE147" s="1252"/>
      <c r="AF147" s="1314" t="n">
        <v>0</v>
      </c>
      <c r="AG147" s="1314" t="n">
        <v>0</v>
      </c>
      <c r="AH147" s="1314" t="n">
        <v>0</v>
      </c>
      <c r="AI147" s="1252"/>
      <c r="AJ147" s="1314" t="n">
        <v>0</v>
      </c>
      <c r="AK147" s="1314" t="n">
        <v>0</v>
      </c>
      <c r="AL147" s="1314" t="n">
        <v>0</v>
      </c>
      <c r="AM147" s="1166"/>
      <c r="AN147" s="1253" t="n">
        <v>46</v>
      </c>
      <c r="AO147" s="1316" t="n">
        <v>0.35</v>
      </c>
      <c r="AP147" s="1252"/>
      <c r="AQ147" s="0"/>
      <c r="AR147" s="0"/>
      <c r="AS147" s="0"/>
      <c r="AT147" s="0"/>
      <c r="AU147" s="0" t="str">
        <f aca="false">AV147&amp;"Q"&amp;ROUNDUP(MONTH(AW147)/3,0)</f>
        <v>2011Q4</v>
      </c>
      <c r="AV147" s="0" t="n">
        <f aca="false">YEAR(AW147)</f>
        <v>2011</v>
      </c>
      <c r="AW147" s="1304" t="n">
        <f aca="false">EOMONTH(AW146,0)+1</f>
        <v>40817</v>
      </c>
      <c r="AX147" s="112" t="n">
        <f aca="false">AY147</f>
        <v>3.56889081916992</v>
      </c>
      <c r="AY147" s="1323" t="n">
        <v>3.56889081916992</v>
      </c>
      <c r="AZ147" s="112" t="n">
        <f aca="false">AY147</f>
        <v>3.56889081916992</v>
      </c>
      <c r="BA147" s="163" t="n">
        <v>1</v>
      </c>
      <c r="BB147" s="163" t="n">
        <v>1</v>
      </c>
      <c r="BC147" s="163" t="n">
        <v>1</v>
      </c>
      <c r="BD147" s="163" t="n">
        <v>0</v>
      </c>
      <c r="BE147" s="163"/>
      <c r="BF147" s="163" t="n">
        <v>0</v>
      </c>
      <c r="BG147" s="1290" t="n">
        <v>0</v>
      </c>
      <c r="BH147" s="1262"/>
      <c r="BI147" s="1292"/>
      <c r="BJ147" s="1291"/>
      <c r="BK147" s="1293" t="n">
        <v>0</v>
      </c>
      <c r="BL147" s="1294" t="n">
        <f aca="false">+AY147</f>
        <v>3.56889081916992</v>
      </c>
      <c r="BM147" s="1295" t="n">
        <f aca="false">AY147</f>
        <v>3.56889081916992</v>
      </c>
      <c r="BN147" s="1324" t="n">
        <f aca="false">+BM147/BM135-1</f>
        <v>0.0243500729897361</v>
      </c>
      <c r="BO147" s="1296" t="n">
        <f aca="false">BM147</f>
        <v>3.56889081916992</v>
      </c>
      <c r="BP147" s="1318" t="n">
        <f aca="false">+AY147/AY135-1</f>
        <v>0.0243500729897361</v>
      </c>
      <c r="BQ147" s="1298" t="n">
        <f aca="false">VLOOKUP($AW147,$BU$8:$BZ$291,5,FALSE())</f>
        <v>3.68427727201176</v>
      </c>
      <c r="BR147" s="1298" t="n">
        <f aca="false">VLOOKUP($AW147,$BU$8:$BZ$291,6,FALSE())</f>
        <v>3.01769806680464</v>
      </c>
      <c r="BS147" s="1262" t="n">
        <v>0</v>
      </c>
      <c r="BU147" s="1309" t="n">
        <f aca="false">EDATE(BU146,1)</f>
        <v>40391</v>
      </c>
      <c r="BV147" s="1310" t="n">
        <v>2.60419492965395</v>
      </c>
      <c r="BW147" s="1310" t="n">
        <v>2.16023440969783</v>
      </c>
      <c r="BX147" s="1310"/>
      <c r="BY147" s="1310" t="n">
        <v>3.30274885097501</v>
      </c>
      <c r="BZ147" s="1311" t="n">
        <v>2.73969956443094</v>
      </c>
    </row>
    <row r="148" customFormat="false" ht="12.75" hidden="false" customHeight="false" outlineLevel="0" collapsed="false">
      <c r="A148" s="1246"/>
      <c r="B148" s="1312" t="n">
        <v>39814</v>
      </c>
      <c r="C148" s="1313" t="n">
        <v>42.7633614069764</v>
      </c>
      <c r="D148" s="1313"/>
      <c r="E148" s="1313"/>
      <c r="F148" s="1287"/>
      <c r="G148" s="1313"/>
      <c r="H148" s="1313"/>
      <c r="I148" s="1313"/>
      <c r="J148" s="1253"/>
      <c r="K148" s="1254" t="n">
        <v>40695</v>
      </c>
      <c r="L148" s="1314" t="n">
        <v>0</v>
      </c>
      <c r="M148" s="1314" t="n">
        <v>0</v>
      </c>
      <c r="N148" s="1314" t="n">
        <v>0</v>
      </c>
      <c r="O148" s="1252"/>
      <c r="P148" s="1314" t="n">
        <v>0</v>
      </c>
      <c r="Q148" s="1314" t="n">
        <v>0</v>
      </c>
      <c r="R148" s="1314" t="n">
        <v>0</v>
      </c>
      <c r="S148" s="1252"/>
      <c r="T148" s="1314" t="n">
        <v>0</v>
      </c>
      <c r="U148" s="1314" t="n">
        <v>0</v>
      </c>
      <c r="V148" s="1314" t="n">
        <v>0</v>
      </c>
      <c r="W148" s="1252"/>
      <c r="X148" s="1314" t="n">
        <v>0</v>
      </c>
      <c r="Y148" s="1314" t="n">
        <v>0</v>
      </c>
      <c r="Z148" s="1314" t="n">
        <v>0</v>
      </c>
      <c r="AA148" s="1252" t="n">
        <v>0</v>
      </c>
      <c r="AB148" s="1314" t="n">
        <v>0</v>
      </c>
      <c r="AC148" s="1314" t="n">
        <v>0</v>
      </c>
      <c r="AD148" s="1314" t="n">
        <v>0</v>
      </c>
      <c r="AE148" s="1252"/>
      <c r="AF148" s="1314" t="n">
        <v>0</v>
      </c>
      <c r="AG148" s="1314" t="n">
        <v>0</v>
      </c>
      <c r="AH148" s="1314" t="n">
        <v>0</v>
      </c>
      <c r="AI148" s="1252"/>
      <c r="AJ148" s="1314" t="n">
        <v>0</v>
      </c>
      <c r="AK148" s="1314" t="n">
        <v>0</v>
      </c>
      <c r="AL148" s="1314" t="n">
        <v>0</v>
      </c>
      <c r="AM148" s="1166"/>
      <c r="AN148" s="1253" t="n">
        <v>47</v>
      </c>
      <c r="AO148" s="1316" t="n">
        <v>0.35</v>
      </c>
      <c r="AP148" s="1252"/>
      <c r="AQ148" s="0"/>
      <c r="AR148" s="0"/>
      <c r="AS148" s="0"/>
      <c r="AT148" s="0"/>
      <c r="AU148" s="0" t="str">
        <f aca="false">AV148&amp;"Q"&amp;ROUNDUP(MONTH(AW148)/3,0)</f>
        <v>2011Q4</v>
      </c>
      <c r="AV148" s="0" t="n">
        <f aca="false">YEAR(AW148)</f>
        <v>2011</v>
      </c>
      <c r="AW148" s="1304" t="n">
        <f aca="false">EOMONTH(AW147,0)+1</f>
        <v>40848</v>
      </c>
      <c r="AX148" s="112" t="n">
        <f aca="false">AY148</f>
        <v>3.71863133813216</v>
      </c>
      <c r="AY148" s="1323" t="n">
        <v>3.71863133813216</v>
      </c>
      <c r="AZ148" s="112" t="n">
        <f aca="false">AY148</f>
        <v>3.71863133813216</v>
      </c>
      <c r="BA148" s="163" t="n">
        <v>1</v>
      </c>
      <c r="BB148" s="163" t="n">
        <v>1</v>
      </c>
      <c r="BC148" s="163" t="n">
        <v>1</v>
      </c>
      <c r="BD148" s="163" t="n">
        <v>0</v>
      </c>
      <c r="BE148" s="163"/>
      <c r="BF148" s="163" t="n">
        <v>0</v>
      </c>
      <c r="BG148" s="1290" t="n">
        <v>0</v>
      </c>
      <c r="BH148" s="1262"/>
      <c r="BI148" s="1292"/>
      <c r="BJ148" s="1291"/>
      <c r="BK148" s="1293" t="n">
        <v>0</v>
      </c>
      <c r="BL148" s="1294" t="n">
        <f aca="false">+AY148</f>
        <v>3.71863133813216</v>
      </c>
      <c r="BM148" s="1295" t="n">
        <f aca="false">AY148</f>
        <v>3.71863133813216</v>
      </c>
      <c r="BN148" s="1324" t="n">
        <f aca="false">+BM148/BM136-1</f>
        <v>0.0243500729897361</v>
      </c>
      <c r="BO148" s="1296" t="n">
        <f aca="false">BM148</f>
        <v>3.71863133813216</v>
      </c>
      <c r="BP148" s="1318" t="n">
        <f aca="false">+AY148/AY136-1</f>
        <v>0.0243500729897361</v>
      </c>
      <c r="BQ148" s="1298" t="n">
        <f aca="false">VLOOKUP($AW148,$BU$8:$BZ$291,5,FALSE())</f>
        <v>3.87237101607448</v>
      </c>
      <c r="BR148" s="1298" t="n">
        <f aca="false">VLOOKUP($AW148,$BU$8:$BZ$291,6,FALSE())</f>
        <v>3.0974241902272</v>
      </c>
      <c r="BS148" s="1262" t="n">
        <v>0</v>
      </c>
      <c r="BU148" s="1309" t="n">
        <f aca="false">EDATE(BU147,1)</f>
        <v>40422</v>
      </c>
      <c r="BV148" s="1310" t="n">
        <v>2.69193697918295</v>
      </c>
      <c r="BW148" s="1310" t="n">
        <v>2.22109979935459</v>
      </c>
      <c r="BX148" s="1310"/>
      <c r="BY148" s="1310" t="n">
        <v>3.41402698532826</v>
      </c>
      <c r="BZ148" s="1311" t="n">
        <v>2.81689159543598</v>
      </c>
    </row>
    <row r="149" customFormat="false" ht="12.75" hidden="false" customHeight="false" outlineLevel="0" collapsed="false">
      <c r="A149" s="1246"/>
      <c r="B149" s="1312" t="n">
        <v>39845</v>
      </c>
      <c r="C149" s="1313" t="n">
        <v>37.6073778261427</v>
      </c>
      <c r="D149" s="1313"/>
      <c r="E149" s="1313"/>
      <c r="F149" s="1287"/>
      <c r="G149" s="1313"/>
      <c r="H149" s="1313"/>
      <c r="I149" s="1313"/>
      <c r="J149" s="1253"/>
      <c r="K149" s="1254" t="n">
        <v>40725</v>
      </c>
      <c r="L149" s="1314" t="n">
        <v>0</v>
      </c>
      <c r="M149" s="1314" t="n">
        <v>0</v>
      </c>
      <c r="N149" s="1314" t="n">
        <v>0</v>
      </c>
      <c r="O149" s="1252"/>
      <c r="P149" s="1314" t="n">
        <v>0</v>
      </c>
      <c r="Q149" s="1314" t="n">
        <v>0</v>
      </c>
      <c r="R149" s="1314" t="n">
        <v>0</v>
      </c>
      <c r="S149" s="1252"/>
      <c r="T149" s="1314" t="n">
        <v>0</v>
      </c>
      <c r="U149" s="1314" t="n">
        <v>0</v>
      </c>
      <c r="V149" s="1314" t="n">
        <v>0</v>
      </c>
      <c r="W149" s="1252"/>
      <c r="X149" s="1314" t="n">
        <v>0</v>
      </c>
      <c r="Y149" s="1314" t="n">
        <v>0</v>
      </c>
      <c r="Z149" s="1314" t="n">
        <v>0</v>
      </c>
      <c r="AA149" s="1252" t="n">
        <v>0</v>
      </c>
      <c r="AB149" s="1314" t="n">
        <v>0</v>
      </c>
      <c r="AC149" s="1314" t="n">
        <v>0</v>
      </c>
      <c r="AD149" s="1314" t="n">
        <v>0</v>
      </c>
      <c r="AE149" s="1252"/>
      <c r="AF149" s="1314" t="n">
        <v>0</v>
      </c>
      <c r="AG149" s="1314" t="n">
        <v>0</v>
      </c>
      <c r="AH149" s="1314" t="n">
        <v>0</v>
      </c>
      <c r="AI149" s="1252"/>
      <c r="AJ149" s="1314" t="n">
        <v>0</v>
      </c>
      <c r="AK149" s="1314" t="n">
        <v>0</v>
      </c>
      <c r="AL149" s="1314" t="n">
        <v>0</v>
      </c>
      <c r="AM149" s="1166"/>
      <c r="AN149" s="1253" t="n">
        <v>47</v>
      </c>
      <c r="AO149" s="1316" t="n">
        <v>0.35</v>
      </c>
      <c r="AP149" s="1252"/>
      <c r="AQ149" s="0"/>
      <c r="AR149" s="0"/>
      <c r="AS149" s="0"/>
      <c r="AT149" s="0"/>
      <c r="AU149" s="0" t="str">
        <f aca="false">AV149&amp;"Q"&amp;ROUNDUP(MONTH(AW149)/3,0)</f>
        <v>2011Q4</v>
      </c>
      <c r="AV149" s="0" t="n">
        <f aca="false">YEAR(AW149)</f>
        <v>2011</v>
      </c>
      <c r="AW149" s="1304" t="n">
        <f aca="false">EOMONTH(AW148,0)+1</f>
        <v>40878</v>
      </c>
      <c r="AX149" s="112" t="n">
        <f aca="false">AY149</f>
        <v>3.87680369874494</v>
      </c>
      <c r="AY149" s="1323" t="n">
        <v>3.87680369874494</v>
      </c>
      <c r="AZ149" s="112" t="n">
        <f aca="false">AY149</f>
        <v>3.87680369874494</v>
      </c>
      <c r="BA149" s="163" t="n">
        <v>1</v>
      </c>
      <c r="BB149" s="163" t="n">
        <v>1</v>
      </c>
      <c r="BC149" s="163" t="n">
        <v>1</v>
      </c>
      <c r="BD149" s="163" t="n">
        <v>0</v>
      </c>
      <c r="BE149" s="163"/>
      <c r="BF149" s="163" t="n">
        <v>0</v>
      </c>
      <c r="BG149" s="1290" t="n">
        <v>0</v>
      </c>
      <c r="BH149" s="1262"/>
      <c r="BI149" s="1292"/>
      <c r="BJ149" s="1291"/>
      <c r="BK149" s="1293" t="n">
        <v>0</v>
      </c>
      <c r="BL149" s="1294" t="n">
        <f aca="false">+AY149</f>
        <v>3.87680369874494</v>
      </c>
      <c r="BM149" s="1295" t="n">
        <f aca="false">AY149</f>
        <v>3.87680369874494</v>
      </c>
      <c r="BN149" s="1324" t="n">
        <f aca="false">+BM149/BM137-1</f>
        <v>0.0243500729897364</v>
      </c>
      <c r="BO149" s="1296" t="n">
        <f aca="false">BM149</f>
        <v>3.87680369874494</v>
      </c>
      <c r="BP149" s="1318" t="n">
        <f aca="false">+AY149/AY137-1</f>
        <v>0.0243500729897364</v>
      </c>
      <c r="BQ149" s="1298" t="n">
        <f aca="false">VLOOKUP($AW149,$BU$8:$BZ$291,5,FALSE())</f>
        <v>3.95417391510829</v>
      </c>
      <c r="BR149" s="1298" t="n">
        <f aca="false">VLOOKUP($AW149,$BU$8:$BZ$291,6,FALSE())</f>
        <v>3.16236240366009</v>
      </c>
      <c r="BS149" s="1262" t="n">
        <v>0</v>
      </c>
      <c r="BU149" s="1309" t="n">
        <f aca="false">EDATE(BU148,1)</f>
        <v>40452</v>
      </c>
      <c r="BV149" s="1310" t="n">
        <v>2.80747309409069</v>
      </c>
      <c r="BW149" s="1310" t="n">
        <v>2.28537365083213</v>
      </c>
      <c r="BX149" s="1310"/>
      <c r="BY149" s="1310" t="n">
        <v>3.56055471503563</v>
      </c>
      <c r="BZ149" s="1311" t="n">
        <v>2.8984063801773</v>
      </c>
    </row>
    <row r="150" customFormat="false" ht="12.75" hidden="false" customHeight="false" outlineLevel="0" collapsed="false">
      <c r="A150" s="1246"/>
      <c r="B150" s="1312" t="n">
        <v>39873</v>
      </c>
      <c r="C150" s="1313" t="n">
        <v>34.6498286394751</v>
      </c>
      <c r="D150" s="1313"/>
      <c r="E150" s="1313"/>
      <c r="F150" s="1287"/>
      <c r="G150" s="1313"/>
      <c r="H150" s="1313"/>
      <c r="I150" s="1313"/>
      <c r="J150" s="1253"/>
      <c r="K150" s="1254" t="n">
        <v>40756</v>
      </c>
      <c r="L150" s="1314" t="n">
        <v>0</v>
      </c>
      <c r="M150" s="1314" t="n">
        <v>0</v>
      </c>
      <c r="N150" s="1314" t="n">
        <v>0</v>
      </c>
      <c r="O150" s="1252"/>
      <c r="P150" s="1314" t="n">
        <v>0</v>
      </c>
      <c r="Q150" s="1314" t="n">
        <v>0</v>
      </c>
      <c r="R150" s="1314" t="n">
        <v>0</v>
      </c>
      <c r="S150" s="1252"/>
      <c r="T150" s="1314" t="n">
        <v>0</v>
      </c>
      <c r="U150" s="1314" t="n">
        <v>0</v>
      </c>
      <c r="V150" s="1314" t="n">
        <v>0</v>
      </c>
      <c r="W150" s="1252"/>
      <c r="X150" s="1314" t="n">
        <v>0</v>
      </c>
      <c r="Y150" s="1314" t="n">
        <v>0</v>
      </c>
      <c r="Z150" s="1314" t="n">
        <v>0</v>
      </c>
      <c r="AA150" s="1252" t="n">
        <v>0</v>
      </c>
      <c r="AB150" s="1314" t="n">
        <v>0</v>
      </c>
      <c r="AC150" s="1314" t="n">
        <v>0</v>
      </c>
      <c r="AD150" s="1314" t="n">
        <v>0</v>
      </c>
      <c r="AE150" s="1252"/>
      <c r="AF150" s="1314" t="n">
        <v>0</v>
      </c>
      <c r="AG150" s="1314" t="n">
        <v>0</v>
      </c>
      <c r="AH150" s="1314" t="n">
        <v>0</v>
      </c>
      <c r="AI150" s="1252"/>
      <c r="AJ150" s="1314" t="n">
        <v>0</v>
      </c>
      <c r="AK150" s="1314" t="n">
        <v>0</v>
      </c>
      <c r="AL150" s="1314" t="n">
        <v>0</v>
      </c>
      <c r="AM150" s="1166"/>
      <c r="AN150" s="1253" t="n">
        <v>47</v>
      </c>
      <c r="AO150" s="1316" t="n">
        <v>0.35</v>
      </c>
      <c r="AP150" s="1252"/>
      <c r="AQ150" s="0"/>
      <c r="AR150" s="0"/>
      <c r="AS150" s="0"/>
      <c r="AT150" s="0"/>
      <c r="AU150" s="0" t="str">
        <f aca="false">AV150&amp;"Q"&amp;ROUNDUP(MONTH(AW150)/3,0)</f>
        <v>2012Q1</v>
      </c>
      <c r="AV150" s="0" t="n">
        <f aca="false">YEAR(AW150)</f>
        <v>2012</v>
      </c>
      <c r="AW150" s="1304" t="n">
        <f aca="false">EOMONTH(AW149,0)+1</f>
        <v>40909</v>
      </c>
      <c r="AX150" s="112" t="n">
        <f aca="false">AY150</f>
        <v>3.69328518608478</v>
      </c>
      <c r="AY150" s="1323" t="n">
        <v>3.69328518608478</v>
      </c>
      <c r="AZ150" s="112" t="n">
        <f aca="false">AY150</f>
        <v>3.69328518608478</v>
      </c>
      <c r="BA150" s="163" t="n">
        <v>1</v>
      </c>
      <c r="BB150" s="163" t="n">
        <v>1</v>
      </c>
      <c r="BC150" s="163" t="n">
        <v>1</v>
      </c>
      <c r="BD150" s="163" t="n">
        <v>0</v>
      </c>
      <c r="BE150" s="163"/>
      <c r="BF150" s="163" t="n">
        <v>0</v>
      </c>
      <c r="BG150" s="1290" t="n">
        <v>0</v>
      </c>
      <c r="BH150" s="1262"/>
      <c r="BI150" s="1292"/>
      <c r="BJ150" s="1291"/>
      <c r="BK150" s="1293" t="n">
        <v>0</v>
      </c>
      <c r="BL150" s="1294" t="n">
        <f aca="false">+AY150</f>
        <v>3.69328518608478</v>
      </c>
      <c r="BM150" s="1295" t="n">
        <f aca="false">AY150</f>
        <v>3.69328518608478</v>
      </c>
      <c r="BN150" s="1324" t="n">
        <f aca="false">+BM150/BM138-1</f>
        <v>0.0237151749930642</v>
      </c>
      <c r="BO150" s="1296" t="n">
        <f aca="false">BM150</f>
        <v>3.69328518608478</v>
      </c>
      <c r="BP150" s="1318" t="n">
        <f aca="false">+AY150/AY138-1</f>
        <v>0.0237151749930642</v>
      </c>
      <c r="BQ150" s="1298" t="n">
        <f aca="false">VLOOKUP($AW150,$BU$8:$BZ$291,5,FALSE())</f>
        <v>3.9169790354555</v>
      </c>
      <c r="BR150" s="1298" t="n">
        <f aca="false">VLOOKUP($AW150,$BU$8:$BZ$291,6,FALSE())</f>
        <v>3.29612129612027</v>
      </c>
      <c r="BS150" s="1262" t="n">
        <v>0</v>
      </c>
      <c r="BU150" s="1309" t="n">
        <f aca="false">EDATE(BU149,1)</f>
        <v>40483</v>
      </c>
      <c r="BV150" s="1310" t="n">
        <v>2.95080327437718</v>
      </c>
      <c r="BW150" s="1310" t="n">
        <v>2.34575211737164</v>
      </c>
      <c r="BX150" s="1310"/>
      <c r="BY150" s="1310" t="n">
        <v>3.74233204009714</v>
      </c>
      <c r="BZ150" s="1311" t="n">
        <v>2.9749808749343</v>
      </c>
    </row>
    <row r="151" customFormat="false" ht="12.75" hidden="false" customHeight="false" outlineLevel="0" collapsed="false">
      <c r="A151" s="1246"/>
      <c r="B151" s="1312" t="n">
        <v>39904</v>
      </c>
      <c r="C151" s="1313" t="n">
        <v>34.1174324939124</v>
      </c>
      <c r="D151" s="1313"/>
      <c r="E151" s="1313"/>
      <c r="F151" s="1287"/>
      <c r="G151" s="1313"/>
      <c r="H151" s="1313"/>
      <c r="I151" s="1313"/>
      <c r="J151" s="1253"/>
      <c r="K151" s="1254" t="n">
        <v>40787</v>
      </c>
      <c r="L151" s="1314" t="n">
        <v>0</v>
      </c>
      <c r="M151" s="1314" t="n">
        <v>0</v>
      </c>
      <c r="N151" s="1314" t="n">
        <v>0</v>
      </c>
      <c r="O151" s="1252"/>
      <c r="P151" s="1314" t="n">
        <v>0</v>
      </c>
      <c r="Q151" s="1314" t="n">
        <v>0</v>
      </c>
      <c r="R151" s="1314" t="n">
        <v>0</v>
      </c>
      <c r="S151" s="1252"/>
      <c r="T151" s="1314" t="n">
        <v>0</v>
      </c>
      <c r="U151" s="1314" t="n">
        <v>0</v>
      </c>
      <c r="V151" s="1314" t="n">
        <v>0</v>
      </c>
      <c r="W151" s="1252"/>
      <c r="X151" s="1314" t="n">
        <v>0</v>
      </c>
      <c r="Y151" s="1314" t="n">
        <v>0</v>
      </c>
      <c r="Z151" s="1314" t="n">
        <v>0</v>
      </c>
      <c r="AA151" s="1252" t="n">
        <v>0</v>
      </c>
      <c r="AB151" s="1314" t="n">
        <v>0</v>
      </c>
      <c r="AC151" s="1314" t="n">
        <v>0</v>
      </c>
      <c r="AD151" s="1314" t="n">
        <v>0</v>
      </c>
      <c r="AE151" s="1252"/>
      <c r="AF151" s="1314" t="n">
        <v>0</v>
      </c>
      <c r="AG151" s="1314" t="n">
        <v>0</v>
      </c>
      <c r="AH151" s="1314" t="n">
        <v>0</v>
      </c>
      <c r="AI151" s="1252"/>
      <c r="AJ151" s="1314" t="n">
        <v>0</v>
      </c>
      <c r="AK151" s="1314" t="n">
        <v>0</v>
      </c>
      <c r="AL151" s="1314" t="n">
        <v>0</v>
      </c>
      <c r="AM151" s="1166"/>
      <c r="AN151" s="1253" t="n">
        <v>48</v>
      </c>
      <c r="AO151" s="1316" t="n">
        <v>0.35</v>
      </c>
      <c r="AP151" s="1252"/>
      <c r="AQ151" s="0"/>
      <c r="AR151" s="0"/>
      <c r="AS151" s="0"/>
      <c r="AT151" s="0"/>
      <c r="AU151" s="0" t="str">
        <f aca="false">AV151&amp;"Q"&amp;ROUNDUP(MONTH(AW151)/3,0)</f>
        <v>2012Q1</v>
      </c>
      <c r="AV151" s="0" t="n">
        <f aca="false">YEAR(AW151)</f>
        <v>2012</v>
      </c>
      <c r="AW151" s="1304" t="n">
        <f aca="false">EOMONTH(AW150,0)+1</f>
        <v>40940</v>
      </c>
      <c r="AX151" s="112" t="n">
        <f aca="false">AY151</f>
        <v>3.41118184601149</v>
      </c>
      <c r="AY151" s="1323" t="n">
        <v>3.41118184601149</v>
      </c>
      <c r="AZ151" s="112" t="n">
        <f aca="false">AY151</f>
        <v>3.41118184601149</v>
      </c>
      <c r="BA151" s="163" t="n">
        <v>1</v>
      </c>
      <c r="BB151" s="163" t="n">
        <v>1</v>
      </c>
      <c r="BC151" s="163" t="n">
        <v>1</v>
      </c>
      <c r="BD151" s="163" t="n">
        <v>0</v>
      </c>
      <c r="BE151" s="163"/>
      <c r="BF151" s="163" t="n">
        <v>0</v>
      </c>
      <c r="BG151" s="1290" t="n">
        <v>0</v>
      </c>
      <c r="BH151" s="1262"/>
      <c r="BI151" s="1292"/>
      <c r="BJ151" s="1291"/>
      <c r="BK151" s="1293" t="n">
        <v>0</v>
      </c>
      <c r="BL151" s="1294" t="n">
        <f aca="false">+AY151</f>
        <v>3.41118184601149</v>
      </c>
      <c r="BM151" s="1295" t="n">
        <f aca="false">AY151</f>
        <v>3.41118184601149</v>
      </c>
      <c r="BN151" s="1324" t="n">
        <f aca="false">+BM151/BM139-1</f>
        <v>0.0237151749930644</v>
      </c>
      <c r="BO151" s="1296" t="n">
        <f aca="false">BM151</f>
        <v>3.41118184601149</v>
      </c>
      <c r="BP151" s="1318" t="n">
        <f aca="false">+AY151/AY139-1</f>
        <v>0.0237151749930644</v>
      </c>
      <c r="BQ151" s="1298" t="n">
        <f aca="false">VLOOKUP($AW151,$BU$8:$BZ$291,5,FALSE())</f>
        <v>3.62142520659988</v>
      </c>
      <c r="BR151" s="1298" t="n">
        <f aca="false">VLOOKUP($AW151,$BU$8:$BZ$291,6,FALSE())</f>
        <v>3.07013908867326</v>
      </c>
      <c r="BS151" s="1262" t="n">
        <v>0</v>
      </c>
      <c r="BU151" s="1309" t="n">
        <f aca="false">EDATE(BU150,1)</f>
        <v>40513</v>
      </c>
      <c r="BV151" s="1310" t="n">
        <v>3.01313827825995</v>
      </c>
      <c r="BW151" s="1310" t="n">
        <v>2.39493135221431</v>
      </c>
      <c r="BX151" s="1310"/>
      <c r="BY151" s="1310" t="n">
        <v>3.82138789728549</v>
      </c>
      <c r="BZ151" s="1311" t="n">
        <v>3.03735203598638</v>
      </c>
    </row>
    <row r="152" customFormat="false" ht="12.75" hidden="false" customHeight="false" outlineLevel="0" collapsed="false">
      <c r="A152" s="1246"/>
      <c r="B152" s="1312" t="n">
        <v>39934</v>
      </c>
      <c r="C152" s="1313" t="n">
        <v>34.6002078010341</v>
      </c>
      <c r="D152" s="1313"/>
      <c r="E152" s="1313"/>
      <c r="F152" s="1287"/>
      <c r="G152" s="1313"/>
      <c r="H152" s="1313"/>
      <c r="I152" s="1313"/>
      <c r="J152" s="1253"/>
      <c r="K152" s="1254" t="n">
        <v>40817</v>
      </c>
      <c r="L152" s="1314" t="n">
        <v>0</v>
      </c>
      <c r="M152" s="1314" t="n">
        <v>0</v>
      </c>
      <c r="N152" s="1314" t="n">
        <v>0</v>
      </c>
      <c r="O152" s="1252"/>
      <c r="P152" s="1314" t="n">
        <v>0</v>
      </c>
      <c r="Q152" s="1314" t="n">
        <v>0</v>
      </c>
      <c r="R152" s="1314" t="n">
        <v>0</v>
      </c>
      <c r="S152" s="1252"/>
      <c r="T152" s="1314" t="n">
        <v>0</v>
      </c>
      <c r="U152" s="1314" t="n">
        <v>0</v>
      </c>
      <c r="V152" s="1314" t="n">
        <v>0</v>
      </c>
      <c r="W152" s="1252"/>
      <c r="X152" s="1314" t="n">
        <v>0</v>
      </c>
      <c r="Y152" s="1314" t="n">
        <v>0</v>
      </c>
      <c r="Z152" s="1314" t="n">
        <v>0</v>
      </c>
      <c r="AA152" s="1252" t="n">
        <v>0</v>
      </c>
      <c r="AB152" s="1314" t="n">
        <v>0</v>
      </c>
      <c r="AC152" s="1314" t="n">
        <v>0</v>
      </c>
      <c r="AD152" s="1314" t="n">
        <v>0</v>
      </c>
      <c r="AE152" s="1252"/>
      <c r="AF152" s="1314" t="n">
        <v>0</v>
      </c>
      <c r="AG152" s="1314" t="n">
        <v>0</v>
      </c>
      <c r="AH152" s="1314" t="n">
        <v>0</v>
      </c>
      <c r="AI152" s="1252"/>
      <c r="AJ152" s="1314" t="n">
        <v>0</v>
      </c>
      <c r="AK152" s="1314" t="n">
        <v>0</v>
      </c>
      <c r="AL152" s="1314" t="n">
        <v>0</v>
      </c>
      <c r="AM152" s="1166"/>
      <c r="AN152" s="1253" t="n">
        <v>48</v>
      </c>
      <c r="AO152" s="1316" t="n">
        <v>0.35</v>
      </c>
      <c r="AP152" s="1252"/>
      <c r="AQ152" s="0"/>
      <c r="AR152" s="0"/>
      <c r="AS152" s="0"/>
      <c r="AT152" s="0"/>
      <c r="AU152" s="0" t="str">
        <f aca="false">AV152&amp;"Q"&amp;ROUNDUP(MONTH(AW152)/3,0)</f>
        <v>2012Q1</v>
      </c>
      <c r="AV152" s="0" t="n">
        <f aca="false">YEAR(AW152)</f>
        <v>2012</v>
      </c>
      <c r="AW152" s="1304" t="n">
        <f aca="false">EOMONTH(AW151,0)+1</f>
        <v>40969</v>
      </c>
      <c r="AX152" s="112" t="n">
        <f aca="false">AY152</f>
        <v>3.22823287736708</v>
      </c>
      <c r="AY152" s="1323" t="n">
        <v>3.22823287736708</v>
      </c>
      <c r="AZ152" s="112" t="n">
        <f aca="false">AY152</f>
        <v>3.22823287736708</v>
      </c>
      <c r="BA152" s="163" t="n">
        <v>1</v>
      </c>
      <c r="BB152" s="163" t="n">
        <v>1</v>
      </c>
      <c r="BC152" s="163" t="n">
        <v>1</v>
      </c>
      <c r="BD152" s="163" t="n">
        <v>0</v>
      </c>
      <c r="BE152" s="163"/>
      <c r="BF152" s="163" t="n">
        <v>0</v>
      </c>
      <c r="BG152" s="1290" t="n">
        <v>0</v>
      </c>
      <c r="BH152" s="1262"/>
      <c r="BI152" s="1292"/>
      <c r="BJ152" s="1291"/>
      <c r="BK152" s="1293" t="n">
        <v>0</v>
      </c>
      <c r="BL152" s="1294" t="n">
        <f aca="false">+AY152</f>
        <v>3.22823287736708</v>
      </c>
      <c r="BM152" s="1295" t="n">
        <f aca="false">AY152</f>
        <v>3.22823287736708</v>
      </c>
      <c r="BN152" s="1324" t="n">
        <f aca="false">+BM152/BM140-1</f>
        <v>0.0237706788934733</v>
      </c>
      <c r="BO152" s="1296" t="n">
        <f aca="false">BM152</f>
        <v>3.22823287736708</v>
      </c>
      <c r="BP152" s="1318" t="n">
        <f aca="false">+AY152/AY140-1</f>
        <v>0.0237706788934733</v>
      </c>
      <c r="BQ152" s="1298" t="n">
        <f aca="false">VLOOKUP($AW152,$BU$8:$BZ$291,5,FALSE())</f>
        <v>3.5138985034245</v>
      </c>
      <c r="BR152" s="1298" t="n">
        <f aca="false">VLOOKUP($AW152,$BU$8:$BZ$291,6,FALSE())</f>
        <v>2.91773248365086</v>
      </c>
      <c r="BS152" s="1262" t="n">
        <v>0</v>
      </c>
      <c r="BU152" s="1309" t="n">
        <f aca="false">EDATE(BU151,1)</f>
        <v>40544</v>
      </c>
      <c r="BV152" s="1310" t="n">
        <v>2.92024499949641</v>
      </c>
      <c r="BW152" s="1310" t="n">
        <v>2.49381429866728</v>
      </c>
      <c r="BX152" s="1310"/>
      <c r="BY152" s="1310" t="n">
        <v>3.7776482938981</v>
      </c>
      <c r="BZ152" s="1311" t="n">
        <v>3.22601471187648</v>
      </c>
    </row>
    <row r="153" customFormat="false" ht="12.75" hidden="false" customHeight="false" outlineLevel="0" collapsed="false">
      <c r="A153" s="1246"/>
      <c r="B153" s="1312" t="n">
        <v>39965</v>
      </c>
      <c r="C153" s="1313" t="n">
        <v>34.0967239197904</v>
      </c>
      <c r="D153" s="1313"/>
      <c r="E153" s="1313"/>
      <c r="F153" s="1287"/>
      <c r="G153" s="1313"/>
      <c r="H153" s="1313"/>
      <c r="I153" s="1313"/>
      <c r="J153" s="1253"/>
      <c r="K153" s="1254" t="n">
        <v>40848</v>
      </c>
      <c r="L153" s="1314" t="n">
        <v>0</v>
      </c>
      <c r="M153" s="1314" t="n">
        <v>0</v>
      </c>
      <c r="N153" s="1314" t="n">
        <v>0</v>
      </c>
      <c r="O153" s="1252"/>
      <c r="P153" s="1314" t="n">
        <v>0</v>
      </c>
      <c r="Q153" s="1314" t="n">
        <v>0</v>
      </c>
      <c r="R153" s="1314" t="n">
        <v>0</v>
      </c>
      <c r="S153" s="1252"/>
      <c r="T153" s="1314" t="n">
        <v>0</v>
      </c>
      <c r="U153" s="1314" t="n">
        <v>0</v>
      </c>
      <c r="V153" s="1314" t="n">
        <v>0</v>
      </c>
      <c r="W153" s="1252"/>
      <c r="X153" s="1314" t="n">
        <v>0</v>
      </c>
      <c r="Y153" s="1314" t="n">
        <v>0</v>
      </c>
      <c r="Z153" s="1314" t="n">
        <v>0</v>
      </c>
      <c r="AA153" s="1252" t="n">
        <v>0</v>
      </c>
      <c r="AB153" s="1314" t="n">
        <v>0</v>
      </c>
      <c r="AC153" s="1314" t="n">
        <v>0</v>
      </c>
      <c r="AD153" s="1314" t="n">
        <v>0</v>
      </c>
      <c r="AE153" s="1252"/>
      <c r="AF153" s="1314" t="n">
        <v>0</v>
      </c>
      <c r="AG153" s="1314" t="n">
        <v>0</v>
      </c>
      <c r="AH153" s="1314" t="n">
        <v>0</v>
      </c>
      <c r="AI153" s="1252"/>
      <c r="AJ153" s="1314" t="n">
        <v>0</v>
      </c>
      <c r="AK153" s="1314" t="n">
        <v>0</v>
      </c>
      <c r="AL153" s="1314" t="n">
        <v>0</v>
      </c>
      <c r="AM153" s="1166"/>
      <c r="AN153" s="1253" t="n">
        <v>48</v>
      </c>
      <c r="AO153" s="1316" t="n">
        <v>0.35</v>
      </c>
      <c r="AP153" s="1252"/>
      <c r="AQ153" s="0"/>
      <c r="AR153" s="0"/>
      <c r="AS153" s="0"/>
      <c r="AT153" s="0"/>
      <c r="AU153" s="0" t="str">
        <f aca="false">AV153&amp;"Q"&amp;ROUNDUP(MONTH(AW153)/3,0)</f>
        <v>2012Q2</v>
      </c>
      <c r="AV153" s="0" t="n">
        <f aca="false">YEAR(AW153)</f>
        <v>2012</v>
      </c>
      <c r="AW153" s="1304" t="n">
        <f aca="false">EOMONTH(AW152,0)+1</f>
        <v>41000</v>
      </c>
      <c r="AX153" s="112" t="n">
        <f aca="false">AY153</f>
        <v>3.13138358649983</v>
      </c>
      <c r="AY153" s="1323" t="n">
        <v>3.13138358649983</v>
      </c>
      <c r="AZ153" s="112" t="n">
        <f aca="false">AY153</f>
        <v>3.13138358649983</v>
      </c>
      <c r="BA153" s="163" t="n">
        <v>1</v>
      </c>
      <c r="BB153" s="163" t="n">
        <v>1</v>
      </c>
      <c r="BC153" s="163" t="n">
        <v>1</v>
      </c>
      <c r="BD153" s="163" t="n">
        <v>0</v>
      </c>
      <c r="BE153" s="163"/>
      <c r="BF153" s="163" t="n">
        <v>0</v>
      </c>
      <c r="BG153" s="1290" t="n">
        <v>0</v>
      </c>
      <c r="BH153" s="1262"/>
      <c r="BI153" s="1292"/>
      <c r="BJ153" s="1291"/>
      <c r="BK153" s="1293" t="n">
        <v>0</v>
      </c>
      <c r="BL153" s="1294" t="n">
        <f aca="false">+AY153</f>
        <v>3.13138358649983</v>
      </c>
      <c r="BM153" s="1295" t="n">
        <f aca="false">AY153</f>
        <v>3.13138358649983</v>
      </c>
      <c r="BN153" s="1324" t="n">
        <f aca="false">+BM153/BM141-1</f>
        <v>0.0237706788934733</v>
      </c>
      <c r="BO153" s="1296" t="n">
        <f aca="false">BM153</f>
        <v>3.13138358649983</v>
      </c>
      <c r="BP153" s="1318" t="n">
        <f aca="false">+AY153/AY141-1</f>
        <v>0.0237706788934733</v>
      </c>
      <c r="BQ153" s="1298" t="n">
        <f aca="false">VLOOKUP($AW153,$BU$8:$BZ$291,5,FALSE())</f>
        <v>3.44419153722804</v>
      </c>
      <c r="BR153" s="1298" t="n">
        <f aca="false">VLOOKUP($AW153,$BU$8:$BZ$291,6,FALSE())</f>
        <v>2.82904760572834</v>
      </c>
      <c r="BS153" s="1262" t="n">
        <v>0</v>
      </c>
      <c r="BU153" s="1309" t="n">
        <f aca="false">EDATE(BU152,1)</f>
        <v>40575</v>
      </c>
      <c r="BV153" s="1310" t="n">
        <v>2.69989927311259</v>
      </c>
      <c r="BW153" s="1310" t="n">
        <v>2.322838290946</v>
      </c>
      <c r="BX153" s="1310"/>
      <c r="BY153" s="1310" t="n">
        <v>3.49260760125583</v>
      </c>
      <c r="BZ153" s="1311" t="n">
        <v>3.00483901463971</v>
      </c>
    </row>
    <row r="154" customFormat="false" ht="12.75" hidden="false" customHeight="false" outlineLevel="0" collapsed="false">
      <c r="A154" s="1246"/>
      <c r="B154" s="1312" t="n">
        <v>39995</v>
      </c>
      <c r="C154" s="1313" t="n">
        <v>49.1590495213887</v>
      </c>
      <c r="D154" s="1313"/>
      <c r="E154" s="1313"/>
      <c r="F154" s="1287"/>
      <c r="G154" s="1313"/>
      <c r="H154" s="1313"/>
      <c r="I154" s="1313"/>
      <c r="J154" s="1253"/>
      <c r="K154" s="1254" t="n">
        <v>40878</v>
      </c>
      <c r="L154" s="1314" t="n">
        <v>0</v>
      </c>
      <c r="M154" s="1314" t="n">
        <v>0</v>
      </c>
      <c r="N154" s="1314" t="n">
        <v>0</v>
      </c>
      <c r="O154" s="1252"/>
      <c r="P154" s="1314" t="n">
        <v>0</v>
      </c>
      <c r="Q154" s="1314" t="n">
        <v>0</v>
      </c>
      <c r="R154" s="1314" t="n">
        <v>0</v>
      </c>
      <c r="S154" s="1252"/>
      <c r="T154" s="1314" t="n">
        <v>0</v>
      </c>
      <c r="U154" s="1314" t="n">
        <v>0</v>
      </c>
      <c r="V154" s="1314" t="n">
        <v>0</v>
      </c>
      <c r="W154" s="1252"/>
      <c r="X154" s="1314" t="n">
        <v>0</v>
      </c>
      <c r="Y154" s="1314" t="n">
        <v>0</v>
      </c>
      <c r="Z154" s="1314" t="n">
        <v>0</v>
      </c>
      <c r="AA154" s="1252" t="n">
        <v>0</v>
      </c>
      <c r="AB154" s="1314" t="n">
        <v>0</v>
      </c>
      <c r="AC154" s="1314" t="n">
        <v>0</v>
      </c>
      <c r="AD154" s="1314" t="n">
        <v>0</v>
      </c>
      <c r="AE154" s="1252"/>
      <c r="AF154" s="1314" t="n">
        <v>0</v>
      </c>
      <c r="AG154" s="1314" t="n">
        <v>0</v>
      </c>
      <c r="AH154" s="1314" t="n">
        <v>0</v>
      </c>
      <c r="AI154" s="1252"/>
      <c r="AJ154" s="1314" t="n">
        <v>0</v>
      </c>
      <c r="AK154" s="1314" t="n">
        <v>0</v>
      </c>
      <c r="AL154" s="1314" t="n">
        <v>0</v>
      </c>
      <c r="AM154" s="1166"/>
      <c r="AN154" s="1253" t="n">
        <v>49</v>
      </c>
      <c r="AO154" s="1316" t="n">
        <v>0.35</v>
      </c>
      <c r="AP154" s="1252"/>
      <c r="AQ154" s="0"/>
      <c r="AR154" s="0"/>
      <c r="AS154" s="0"/>
      <c r="AT154" s="0"/>
      <c r="AU154" s="0" t="str">
        <f aca="false">AV154&amp;"Q"&amp;ROUNDUP(MONTH(AW154)/3,0)</f>
        <v>2012Q2</v>
      </c>
      <c r="AV154" s="0" t="n">
        <f aca="false">YEAR(AW154)</f>
        <v>2012</v>
      </c>
      <c r="AW154" s="1304" t="n">
        <f aca="false">EOMONTH(AW153,0)+1</f>
        <v>41030</v>
      </c>
      <c r="AX154" s="112" t="n">
        <f aca="false">AY154</f>
        <v>3.10776766013462</v>
      </c>
      <c r="AY154" s="1323" t="n">
        <v>3.10776766013462</v>
      </c>
      <c r="AZ154" s="112" t="n">
        <f aca="false">AY154</f>
        <v>3.10776766013462</v>
      </c>
      <c r="BA154" s="163" t="n">
        <v>1</v>
      </c>
      <c r="BB154" s="163" t="n">
        <v>1</v>
      </c>
      <c r="BC154" s="163" t="n">
        <v>1</v>
      </c>
      <c r="BD154" s="163" t="n">
        <v>0</v>
      </c>
      <c r="BE154" s="163"/>
      <c r="BF154" s="163" t="n">
        <v>0</v>
      </c>
      <c r="BG154" s="1290" t="n">
        <v>0</v>
      </c>
      <c r="BH154" s="1262"/>
      <c r="BI154" s="1292"/>
      <c r="BJ154" s="1291"/>
      <c r="BK154" s="1293" t="n">
        <v>0</v>
      </c>
      <c r="BL154" s="1294" t="n">
        <f aca="false">+AY154</f>
        <v>3.10776766013462</v>
      </c>
      <c r="BM154" s="1295" t="n">
        <f aca="false">AY154</f>
        <v>3.10776766013462</v>
      </c>
      <c r="BN154" s="1324" t="n">
        <f aca="false">+BM154/BM142-1</f>
        <v>0.0237706788934731</v>
      </c>
      <c r="BO154" s="1296" t="n">
        <f aca="false">BM154</f>
        <v>3.10776766013462</v>
      </c>
      <c r="BP154" s="1318" t="n">
        <f aca="false">+AY154/AY142-1</f>
        <v>0.0237706788934731</v>
      </c>
      <c r="BQ154" s="1298" t="n">
        <f aca="false">VLOOKUP($AW154,$BU$8:$BZ$291,5,FALSE())</f>
        <v>3.41230430801051</v>
      </c>
      <c r="BR154" s="1298" t="n">
        <f aca="false">VLOOKUP($AW154,$BU$8:$BZ$291,6,FALSE())</f>
        <v>2.79423057958098</v>
      </c>
      <c r="BS154" s="1262" t="n">
        <v>0</v>
      </c>
      <c r="BU154" s="1309" t="n">
        <f aca="false">EDATE(BU153,1)</f>
        <v>40603</v>
      </c>
      <c r="BV154" s="1310" t="n">
        <v>2.6197343515192</v>
      </c>
      <c r="BW154" s="1310" t="n">
        <v>2.20752889038979</v>
      </c>
      <c r="BX154" s="1310"/>
      <c r="BY154" s="1310" t="n">
        <v>3.38890572715281</v>
      </c>
      <c r="BZ154" s="1311" t="n">
        <v>2.85567400952654</v>
      </c>
    </row>
    <row r="155" customFormat="false" ht="12.75" hidden="false" customHeight="false" outlineLevel="0" collapsed="false">
      <c r="A155" s="1246"/>
      <c r="B155" s="1312" t="n">
        <v>40026</v>
      </c>
      <c r="C155" s="1313" t="n">
        <v>83.0914667810385</v>
      </c>
      <c r="D155" s="1313"/>
      <c r="E155" s="1313"/>
      <c r="F155" s="1287"/>
      <c r="G155" s="1313"/>
      <c r="H155" s="1313"/>
      <c r="I155" s="1313"/>
      <c r="J155" s="1253"/>
      <c r="K155" s="1254" t="n">
        <v>40909</v>
      </c>
      <c r="L155" s="1314" t="n">
        <v>0</v>
      </c>
      <c r="M155" s="1314" t="n">
        <v>0</v>
      </c>
      <c r="N155" s="1314" t="n">
        <v>0</v>
      </c>
      <c r="O155" s="1252"/>
      <c r="P155" s="1314" t="n">
        <v>0</v>
      </c>
      <c r="Q155" s="1314" t="n">
        <v>0</v>
      </c>
      <c r="R155" s="1314" t="n">
        <v>0</v>
      </c>
      <c r="S155" s="1252"/>
      <c r="T155" s="1314" t="n">
        <v>0</v>
      </c>
      <c r="U155" s="1314" t="n">
        <v>0</v>
      </c>
      <c r="V155" s="1314" t="n">
        <v>0</v>
      </c>
      <c r="W155" s="1252"/>
      <c r="X155" s="1314" t="n">
        <v>0</v>
      </c>
      <c r="Y155" s="1314" t="n">
        <v>0</v>
      </c>
      <c r="Z155" s="1314" t="n">
        <v>0</v>
      </c>
      <c r="AA155" s="1252" t="n">
        <v>0</v>
      </c>
      <c r="AB155" s="1314" t="n">
        <v>0</v>
      </c>
      <c r="AC155" s="1314" t="n">
        <v>0</v>
      </c>
      <c r="AD155" s="1314" t="n">
        <v>0</v>
      </c>
      <c r="AE155" s="1252"/>
      <c r="AF155" s="1314" t="n">
        <v>0</v>
      </c>
      <c r="AG155" s="1314" t="n">
        <v>0</v>
      </c>
      <c r="AH155" s="1314" t="n">
        <v>0</v>
      </c>
      <c r="AI155" s="1252"/>
      <c r="AJ155" s="1314" t="n">
        <v>0</v>
      </c>
      <c r="AK155" s="1314" t="n">
        <v>0</v>
      </c>
      <c r="AL155" s="1314" t="n">
        <v>0</v>
      </c>
      <c r="AM155" s="1166"/>
      <c r="AN155" s="1253" t="n">
        <v>49</v>
      </c>
      <c r="AO155" s="1316" t="n">
        <v>0.35</v>
      </c>
      <c r="AP155" s="1252"/>
      <c r="AQ155" s="0"/>
      <c r="AR155" s="0"/>
      <c r="AS155" s="0"/>
      <c r="AT155" s="0"/>
      <c r="AU155" s="0" t="str">
        <f aca="false">AV155&amp;"Q"&amp;ROUNDUP(MONTH(AW155)/3,0)</f>
        <v>2012Q2</v>
      </c>
      <c r="AV155" s="0" t="n">
        <f aca="false">YEAR(AW155)</f>
        <v>2012</v>
      </c>
      <c r="AW155" s="1304" t="n">
        <f aca="false">EOMONTH(AW154,0)+1</f>
        <v>41061</v>
      </c>
      <c r="AX155" s="112" t="n">
        <f aca="false">AY155</f>
        <v>3.14530769929354</v>
      </c>
      <c r="AY155" s="1323" t="n">
        <v>3.14530769929354</v>
      </c>
      <c r="AZ155" s="112" t="n">
        <f aca="false">AY155</f>
        <v>3.14530769929354</v>
      </c>
      <c r="BA155" s="163" t="n">
        <v>1</v>
      </c>
      <c r="BB155" s="163" t="n">
        <v>1</v>
      </c>
      <c r="BC155" s="163" t="n">
        <v>1</v>
      </c>
      <c r="BD155" s="163" t="n">
        <v>0</v>
      </c>
      <c r="BE155" s="163"/>
      <c r="BF155" s="163" t="n">
        <v>0</v>
      </c>
      <c r="BG155" s="1290" t="n">
        <v>0</v>
      </c>
      <c r="BH155" s="1262"/>
      <c r="BI155" s="1292"/>
      <c r="BJ155" s="1291"/>
      <c r="BK155" s="1293" t="n">
        <v>0</v>
      </c>
      <c r="BL155" s="1294" t="n">
        <f aca="false">+AY155</f>
        <v>3.14530769929354</v>
      </c>
      <c r="BM155" s="1295" t="n">
        <f aca="false">AY155</f>
        <v>3.14530769929354</v>
      </c>
      <c r="BN155" s="1324" t="n">
        <f aca="false">+BM155/BM143-1</f>
        <v>0.0237706788934733</v>
      </c>
      <c r="BO155" s="1296" t="n">
        <f aca="false">BM155</f>
        <v>3.14530769929354</v>
      </c>
      <c r="BP155" s="1318" t="n">
        <f aca="false">+AY155/AY143-1</f>
        <v>0.0237706788934733</v>
      </c>
      <c r="BQ155" s="1298" t="n">
        <f aca="false">VLOOKUP($AW155,$BU$8:$BZ$291,5,FALSE())</f>
        <v>3.41823681577191</v>
      </c>
      <c r="BR155" s="1298" t="n">
        <f aca="false">VLOOKUP($AW155,$BU$8:$BZ$291,6,FALSE())</f>
        <v>2.80342752988406</v>
      </c>
      <c r="BS155" s="1262" t="n">
        <v>0</v>
      </c>
      <c r="BU155" s="1309" t="n">
        <f aca="false">EDATE(BU154,1)</f>
        <v>40634</v>
      </c>
      <c r="BV155" s="1310" t="n">
        <v>2.56776536786555</v>
      </c>
      <c r="BW155" s="1310" t="n">
        <v>2.14043074782475</v>
      </c>
      <c r="BX155" s="1310"/>
      <c r="BY155" s="1310" t="n">
        <v>3.32167830532051</v>
      </c>
      <c r="BZ155" s="1311" t="n">
        <v>2.76887540741327</v>
      </c>
    </row>
    <row r="156" customFormat="false" ht="12.75" hidden="false" customHeight="false" outlineLevel="0" collapsed="false">
      <c r="A156" s="1246"/>
      <c r="B156" s="1312" t="n">
        <v>40057</v>
      </c>
      <c r="C156" s="1313" t="n">
        <v>53.7805961849183</v>
      </c>
      <c r="D156" s="1313"/>
      <c r="E156" s="1313"/>
      <c r="F156" s="1287"/>
      <c r="G156" s="1313"/>
      <c r="H156" s="1313"/>
      <c r="I156" s="1313"/>
      <c r="J156" s="1253"/>
      <c r="K156" s="1254" t="n">
        <v>40940</v>
      </c>
      <c r="L156" s="1314" t="n">
        <v>0</v>
      </c>
      <c r="M156" s="1314" t="n">
        <v>0</v>
      </c>
      <c r="N156" s="1314" t="n">
        <v>0</v>
      </c>
      <c r="O156" s="1252"/>
      <c r="P156" s="1314" t="n">
        <v>0</v>
      </c>
      <c r="Q156" s="1314" t="n">
        <v>0</v>
      </c>
      <c r="R156" s="1314" t="n">
        <v>0</v>
      </c>
      <c r="S156" s="1252"/>
      <c r="T156" s="1314" t="n">
        <v>0</v>
      </c>
      <c r="U156" s="1314" t="n">
        <v>0</v>
      </c>
      <c r="V156" s="1314" t="n">
        <v>0</v>
      </c>
      <c r="W156" s="1252"/>
      <c r="X156" s="1314" t="n">
        <v>0</v>
      </c>
      <c r="Y156" s="1314" t="n">
        <v>0</v>
      </c>
      <c r="Z156" s="1314" t="n">
        <v>0</v>
      </c>
      <c r="AA156" s="1252" t="n">
        <v>0</v>
      </c>
      <c r="AB156" s="1314" t="n">
        <v>0</v>
      </c>
      <c r="AC156" s="1314" t="n">
        <v>0</v>
      </c>
      <c r="AD156" s="1314" t="n">
        <v>0</v>
      </c>
      <c r="AE156" s="1252"/>
      <c r="AF156" s="1314" t="n">
        <v>0</v>
      </c>
      <c r="AG156" s="1314" t="n">
        <v>0</v>
      </c>
      <c r="AH156" s="1314" t="n">
        <v>0</v>
      </c>
      <c r="AI156" s="1252"/>
      <c r="AJ156" s="1314" t="n">
        <v>0</v>
      </c>
      <c r="AK156" s="1314" t="n">
        <v>0</v>
      </c>
      <c r="AL156" s="1314" t="n">
        <v>0</v>
      </c>
      <c r="AM156" s="1166"/>
      <c r="AN156" s="1253" t="n">
        <v>49</v>
      </c>
      <c r="AO156" s="1316" t="n">
        <v>0.35</v>
      </c>
      <c r="AP156" s="1252"/>
      <c r="AQ156" s="0"/>
      <c r="AR156" s="0"/>
      <c r="AS156" s="0"/>
      <c r="AT156" s="0"/>
      <c r="AU156" s="0" t="str">
        <f aca="false">AV156&amp;"Q"&amp;ROUNDUP(MONTH(AW156)/3,0)</f>
        <v>2012Q3</v>
      </c>
      <c r="AV156" s="0" t="n">
        <f aca="false">YEAR(AW156)</f>
        <v>2012</v>
      </c>
      <c r="AW156" s="1304" t="n">
        <f aca="false">EOMONTH(AW155,0)+1</f>
        <v>41091</v>
      </c>
      <c r="AX156" s="112" t="n">
        <f aca="false">AY156</f>
        <v>3.23116230252616</v>
      </c>
      <c r="AY156" s="1323" t="n">
        <v>3.23116230252616</v>
      </c>
      <c r="AZ156" s="112" t="n">
        <f aca="false">AY156</f>
        <v>3.23116230252616</v>
      </c>
      <c r="BA156" s="163" t="n">
        <v>1</v>
      </c>
      <c r="BB156" s="163" t="n">
        <v>1</v>
      </c>
      <c r="BC156" s="163" t="n">
        <v>1</v>
      </c>
      <c r="BD156" s="163" t="n">
        <v>0</v>
      </c>
      <c r="BE156" s="163"/>
      <c r="BF156" s="163" t="n">
        <v>0</v>
      </c>
      <c r="BG156" s="1290" t="n">
        <v>0</v>
      </c>
      <c r="BH156" s="1262"/>
      <c r="BI156" s="1292"/>
      <c r="BJ156" s="1291"/>
      <c r="BK156" s="1293" t="n">
        <v>0</v>
      </c>
      <c r="BL156" s="1294" t="n">
        <f aca="false">+AY156</f>
        <v>3.23116230252616</v>
      </c>
      <c r="BM156" s="1295" t="n">
        <f aca="false">AY156</f>
        <v>3.23116230252616</v>
      </c>
      <c r="BN156" s="1324" t="n">
        <f aca="false">+BM156/BM144-1</f>
        <v>0.0237706788934733</v>
      </c>
      <c r="BO156" s="1296" t="n">
        <f aca="false">BM156</f>
        <v>3.23116230252616</v>
      </c>
      <c r="BP156" s="1318" t="n">
        <f aca="false">+AY156/AY144-1</f>
        <v>0.0237706788934733</v>
      </c>
      <c r="BQ156" s="1298" t="n">
        <f aca="false">VLOOKUP($AW156,$BU$8:$BZ$291,5,FALSE())</f>
        <v>3.46198906051224</v>
      </c>
      <c r="BR156" s="1298" t="n">
        <f aca="false">VLOOKUP($AW156,$BU$8:$BZ$291,6,FALSE())</f>
        <v>2.84678458131284</v>
      </c>
      <c r="BS156" s="1262" t="n">
        <v>0</v>
      </c>
      <c r="BU156" s="1309" t="n">
        <f aca="false">EDATE(BU155,1)</f>
        <v>40664</v>
      </c>
      <c r="BV156" s="1310" t="n">
        <v>2.54399232215165</v>
      </c>
      <c r="BW156" s="1310" t="n">
        <v>2.11408851407699</v>
      </c>
      <c r="BX156" s="1310"/>
      <c r="BY156" s="1310" t="n">
        <v>3.29092533575893</v>
      </c>
      <c r="BZ156" s="1311" t="n">
        <v>2.73479891917621</v>
      </c>
    </row>
    <row r="157" customFormat="false" ht="12.75" hidden="false" customHeight="false" outlineLevel="0" collapsed="false">
      <c r="A157" s="1246"/>
      <c r="B157" s="1312" t="n">
        <v>40087</v>
      </c>
      <c r="C157" s="1313" t="n">
        <v>45.7752706159702</v>
      </c>
      <c r="D157" s="1313"/>
      <c r="E157" s="1313"/>
      <c r="F157" s="1287"/>
      <c r="G157" s="1313"/>
      <c r="H157" s="1313"/>
      <c r="I157" s="1313"/>
      <c r="J157" s="1253"/>
      <c r="K157" s="1254" t="n">
        <v>40969</v>
      </c>
      <c r="L157" s="1314" t="n">
        <v>0</v>
      </c>
      <c r="M157" s="1314" t="n">
        <v>0</v>
      </c>
      <c r="N157" s="1314" t="n">
        <v>0</v>
      </c>
      <c r="O157" s="1252"/>
      <c r="P157" s="1314" t="n">
        <v>0</v>
      </c>
      <c r="Q157" s="1314" t="n">
        <v>0</v>
      </c>
      <c r="R157" s="1314" t="n">
        <v>0</v>
      </c>
      <c r="S157" s="1252"/>
      <c r="T157" s="1314" t="n">
        <v>0</v>
      </c>
      <c r="U157" s="1314" t="n">
        <v>0</v>
      </c>
      <c r="V157" s="1314" t="n">
        <v>0</v>
      </c>
      <c r="W157" s="1252"/>
      <c r="X157" s="1314" t="n">
        <v>0</v>
      </c>
      <c r="Y157" s="1314" t="n">
        <v>0</v>
      </c>
      <c r="Z157" s="1314" t="n">
        <v>0</v>
      </c>
      <c r="AA157" s="1252" t="n">
        <v>0</v>
      </c>
      <c r="AB157" s="1314" t="n">
        <v>0</v>
      </c>
      <c r="AC157" s="1314" t="n">
        <v>0</v>
      </c>
      <c r="AD157" s="1314" t="n">
        <v>0</v>
      </c>
      <c r="AE157" s="1252"/>
      <c r="AF157" s="1314" t="n">
        <v>0</v>
      </c>
      <c r="AG157" s="1314" t="n">
        <v>0</v>
      </c>
      <c r="AH157" s="1314" t="n">
        <v>0</v>
      </c>
      <c r="AI157" s="1252"/>
      <c r="AJ157" s="1314" t="n">
        <v>0</v>
      </c>
      <c r="AK157" s="1314" t="n">
        <v>0</v>
      </c>
      <c r="AL157" s="1314" t="n">
        <v>0</v>
      </c>
      <c r="AM157" s="1166"/>
      <c r="AN157" s="1253" t="n">
        <v>50</v>
      </c>
      <c r="AO157" s="1316" t="n">
        <v>0.35</v>
      </c>
      <c r="AP157" s="1252"/>
      <c r="AQ157" s="0"/>
      <c r="AR157" s="0"/>
      <c r="AS157" s="0"/>
      <c r="AT157" s="0"/>
      <c r="AU157" s="0" t="str">
        <f aca="false">AV157&amp;"Q"&amp;ROUNDUP(MONTH(AW157)/3,0)</f>
        <v>2012Q3</v>
      </c>
      <c r="AV157" s="0" t="n">
        <f aca="false">YEAR(AW157)</f>
        <v>2012</v>
      </c>
      <c r="AW157" s="1304" t="n">
        <f aca="false">EOMONTH(AW156,0)+1</f>
        <v>41122</v>
      </c>
      <c r="AX157" s="112" t="n">
        <f aca="false">AY157</f>
        <v>3.35309367012082</v>
      </c>
      <c r="AY157" s="1323" t="n">
        <v>3.35309367012082</v>
      </c>
      <c r="AZ157" s="112" t="n">
        <f aca="false">AY157</f>
        <v>3.35309367012082</v>
      </c>
      <c r="BA157" s="163" t="n">
        <v>1</v>
      </c>
      <c r="BB157" s="163" t="n">
        <v>1</v>
      </c>
      <c r="BC157" s="163" t="n">
        <v>1</v>
      </c>
      <c r="BD157" s="163" t="n">
        <v>0</v>
      </c>
      <c r="BE157" s="163"/>
      <c r="BF157" s="163" t="n">
        <v>0</v>
      </c>
      <c r="BG157" s="1290" t="n">
        <v>0</v>
      </c>
      <c r="BH157" s="1262"/>
      <c r="BI157" s="1292"/>
      <c r="BJ157" s="1291"/>
      <c r="BK157" s="1293" t="n">
        <v>0</v>
      </c>
      <c r="BL157" s="1294" t="n">
        <f aca="false">+AY157</f>
        <v>3.35309367012082</v>
      </c>
      <c r="BM157" s="1295" t="n">
        <f aca="false">AY157</f>
        <v>3.35309367012082</v>
      </c>
      <c r="BN157" s="1324" t="n">
        <f aca="false">+BM157/BM145-1</f>
        <v>0.0237706788934735</v>
      </c>
      <c r="BO157" s="1296" t="n">
        <f aca="false">BM157</f>
        <v>3.35309367012082</v>
      </c>
      <c r="BP157" s="1318" t="n">
        <f aca="false">+AY157/AY145-1</f>
        <v>0.0237706788934735</v>
      </c>
      <c r="BQ157" s="1298" t="n">
        <f aca="false">VLOOKUP($AW157,$BU$8:$BZ$291,5,FALSE())</f>
        <v>3.5435610422315</v>
      </c>
      <c r="BR157" s="1298" t="n">
        <f aca="false">VLOOKUP($AW157,$BU$8:$BZ$291,6,FALSE())</f>
        <v>2.91444785854262</v>
      </c>
      <c r="BS157" s="1262" t="n">
        <v>0</v>
      </c>
      <c r="BU157" s="1309" t="n">
        <f aca="false">EDATE(BU156,1)</f>
        <v>40695</v>
      </c>
      <c r="BV157" s="1310" t="n">
        <v>2.54841521437749</v>
      </c>
      <c r="BW157" s="1310" t="n">
        <v>2.12104683997262</v>
      </c>
      <c r="BX157" s="1310"/>
      <c r="BY157" s="1310" t="n">
        <v>3.29664681846806</v>
      </c>
      <c r="BZ157" s="1311" t="n">
        <v>2.74380025569166</v>
      </c>
    </row>
    <row r="158" customFormat="false" ht="12.75" hidden="false" customHeight="false" outlineLevel="0" collapsed="false">
      <c r="A158" s="1246"/>
      <c r="B158" s="1312" t="n">
        <v>40118</v>
      </c>
      <c r="C158" s="1313" t="n">
        <v>51.022094235095</v>
      </c>
      <c r="D158" s="1313"/>
      <c r="E158" s="1313"/>
      <c r="F158" s="1287"/>
      <c r="G158" s="1313"/>
      <c r="H158" s="1313"/>
      <c r="I158" s="1313"/>
      <c r="J158" s="1253"/>
      <c r="K158" s="1254" t="n">
        <v>41000</v>
      </c>
      <c r="L158" s="1314" t="n">
        <v>0</v>
      </c>
      <c r="M158" s="1314" t="n">
        <v>0</v>
      </c>
      <c r="N158" s="1314" t="n">
        <v>0</v>
      </c>
      <c r="O158" s="1252"/>
      <c r="P158" s="1314" t="n">
        <v>0</v>
      </c>
      <c r="Q158" s="1314" t="n">
        <v>0</v>
      </c>
      <c r="R158" s="1314" t="n">
        <v>0</v>
      </c>
      <c r="S158" s="1252"/>
      <c r="T158" s="1314" t="n">
        <v>0</v>
      </c>
      <c r="U158" s="1314" t="n">
        <v>0</v>
      </c>
      <c r="V158" s="1314" t="n">
        <v>0</v>
      </c>
      <c r="W158" s="1252"/>
      <c r="X158" s="1314" t="n">
        <v>0</v>
      </c>
      <c r="Y158" s="1314" t="n">
        <v>0</v>
      </c>
      <c r="Z158" s="1314" t="n">
        <v>0</v>
      </c>
      <c r="AA158" s="1252" t="n">
        <v>0</v>
      </c>
      <c r="AB158" s="1314" t="n">
        <v>0</v>
      </c>
      <c r="AC158" s="1314" t="n">
        <v>0</v>
      </c>
      <c r="AD158" s="1314" t="n">
        <v>0</v>
      </c>
      <c r="AE158" s="1252"/>
      <c r="AF158" s="1314" t="n">
        <v>0</v>
      </c>
      <c r="AG158" s="1314" t="n">
        <v>0</v>
      </c>
      <c r="AH158" s="1314" t="n">
        <v>0</v>
      </c>
      <c r="AI158" s="1252"/>
      <c r="AJ158" s="1314" t="n">
        <v>0</v>
      </c>
      <c r="AK158" s="1314" t="n">
        <v>0</v>
      </c>
      <c r="AL158" s="1314" t="n">
        <v>0</v>
      </c>
      <c r="AM158" s="1166"/>
      <c r="AN158" s="1253" t="n">
        <v>50</v>
      </c>
      <c r="AO158" s="1316" t="n">
        <v>0.35</v>
      </c>
      <c r="AP158" s="1252"/>
      <c r="AQ158" s="0"/>
      <c r="AR158" s="0"/>
      <c r="AS158" s="0"/>
      <c r="AT158" s="0"/>
      <c r="AU158" s="0" t="str">
        <f aca="false">AV158&amp;"Q"&amp;ROUNDUP(MONTH(AW158)/3,0)</f>
        <v>2012Q3</v>
      </c>
      <c r="AV158" s="0" t="n">
        <f aca="false">YEAR(AW158)</f>
        <v>2012</v>
      </c>
      <c r="AW158" s="1304" t="n">
        <f aca="false">EOMONTH(AW157,0)+1</f>
        <v>41153</v>
      </c>
      <c r="AX158" s="112" t="n">
        <f aca="false">AY158</f>
        <v>3.49826492380385</v>
      </c>
      <c r="AY158" s="1323" t="n">
        <v>3.49826492380385</v>
      </c>
      <c r="AZ158" s="112" t="n">
        <f aca="false">AY158</f>
        <v>3.49826492380385</v>
      </c>
      <c r="BA158" s="163" t="n">
        <v>1</v>
      </c>
      <c r="BB158" s="163" t="n">
        <v>1</v>
      </c>
      <c r="BC158" s="163" t="n">
        <v>1</v>
      </c>
      <c r="BD158" s="163" t="n">
        <v>0</v>
      </c>
      <c r="BE158" s="163"/>
      <c r="BF158" s="163" t="n">
        <v>0</v>
      </c>
      <c r="BG158" s="1290" t="n">
        <v>0</v>
      </c>
      <c r="BH158" s="1262"/>
      <c r="BI158" s="1292"/>
      <c r="BJ158" s="1291"/>
      <c r="BK158" s="1293" t="n">
        <v>0</v>
      </c>
      <c r="BL158" s="1294" t="n">
        <f aca="false">+AY158</f>
        <v>3.49826492380385</v>
      </c>
      <c r="BM158" s="1295" t="n">
        <f aca="false">AY158</f>
        <v>3.49826492380385</v>
      </c>
      <c r="BN158" s="1324" t="n">
        <f aca="false">+BM158/BM146-1</f>
        <v>0.0237706788934733</v>
      </c>
      <c r="BO158" s="1296" t="n">
        <f aca="false">BM158</f>
        <v>3.49826492380385</v>
      </c>
      <c r="BP158" s="1318" t="n">
        <f aca="false">+AY158/AY146-1</f>
        <v>0.0237706788934733</v>
      </c>
      <c r="BQ158" s="1298" t="n">
        <f aca="false">VLOOKUP($AW158,$BU$8:$BZ$291,5,FALSE())</f>
        <v>3.66295276092968</v>
      </c>
      <c r="BR158" s="1298" t="n">
        <f aca="false">VLOOKUP($AW158,$BU$8:$BZ$291,6,FALSE())</f>
        <v>2.99656348624865</v>
      </c>
      <c r="BS158" s="1262" t="n">
        <v>0</v>
      </c>
      <c r="BU158" s="1309" t="n">
        <f aca="false">EDATE(BU157,1)</f>
        <v>40725</v>
      </c>
      <c r="BV158" s="1310" t="n">
        <v>2.58103404454308</v>
      </c>
      <c r="BW158" s="1310" t="n">
        <v>2.15385037633775</v>
      </c>
      <c r="BX158" s="1310"/>
      <c r="BY158" s="1310" t="n">
        <v>3.33884275344791</v>
      </c>
      <c r="BZ158" s="1311" t="n">
        <v>2.78623512783592</v>
      </c>
    </row>
    <row r="159" customFormat="false" ht="12.75" hidden="false" customHeight="false" outlineLevel="0" collapsed="false">
      <c r="A159" s="1246"/>
      <c r="B159" s="1312" t="n">
        <v>40148</v>
      </c>
      <c r="C159" s="1313" t="n">
        <v>47.6342007944823</v>
      </c>
      <c r="D159" s="1313"/>
      <c r="E159" s="1313"/>
      <c r="F159" s="1287"/>
      <c r="G159" s="1313"/>
      <c r="H159" s="1313"/>
      <c r="I159" s="1313"/>
      <c r="J159" s="1253"/>
      <c r="K159" s="1254" t="n">
        <v>41030</v>
      </c>
      <c r="L159" s="1314" t="n">
        <v>0</v>
      </c>
      <c r="M159" s="1314" t="n">
        <v>0</v>
      </c>
      <c r="N159" s="1314" t="n">
        <v>0</v>
      </c>
      <c r="O159" s="1252"/>
      <c r="P159" s="1314" t="n">
        <v>0</v>
      </c>
      <c r="Q159" s="1314" t="n">
        <v>0</v>
      </c>
      <c r="R159" s="1314" t="n">
        <v>0</v>
      </c>
      <c r="S159" s="1252"/>
      <c r="T159" s="1314" t="n">
        <v>0</v>
      </c>
      <c r="U159" s="1314" t="n">
        <v>0</v>
      </c>
      <c r="V159" s="1314" t="n">
        <v>0</v>
      </c>
      <c r="W159" s="1252"/>
      <c r="X159" s="1314" t="n">
        <v>0</v>
      </c>
      <c r="Y159" s="1314" t="n">
        <v>0</v>
      </c>
      <c r="Z159" s="1314" t="n">
        <v>0</v>
      </c>
      <c r="AA159" s="1252" t="n">
        <v>0</v>
      </c>
      <c r="AB159" s="1314" t="n">
        <v>0</v>
      </c>
      <c r="AC159" s="1314" t="n">
        <v>0</v>
      </c>
      <c r="AD159" s="1314" t="n">
        <v>0</v>
      </c>
      <c r="AE159" s="1252"/>
      <c r="AF159" s="1314" t="n">
        <v>0</v>
      </c>
      <c r="AG159" s="1314" t="n">
        <v>0</v>
      </c>
      <c r="AH159" s="1314" t="n">
        <v>0</v>
      </c>
      <c r="AI159" s="1252"/>
      <c r="AJ159" s="1314" t="n">
        <v>0</v>
      </c>
      <c r="AK159" s="1314" t="n">
        <v>0</v>
      </c>
      <c r="AL159" s="1314" t="n">
        <v>0</v>
      </c>
      <c r="AM159" s="1166"/>
      <c r="AN159" s="1253" t="n">
        <v>50</v>
      </c>
      <c r="AO159" s="1316" t="n">
        <v>0.35</v>
      </c>
      <c r="AP159" s="1252"/>
      <c r="AQ159" s="0"/>
      <c r="AR159" s="0"/>
      <c r="AS159" s="0"/>
      <c r="AT159" s="0"/>
      <c r="AU159" s="0" t="str">
        <f aca="false">AV159&amp;"Q"&amp;ROUNDUP(MONTH(AW159)/3,0)</f>
        <v>2012Q4</v>
      </c>
      <c r="AV159" s="0" t="n">
        <f aca="false">YEAR(AW159)</f>
        <v>2012</v>
      </c>
      <c r="AW159" s="1304" t="n">
        <f aca="false">EOMONTH(AW158,0)+1</f>
        <v>41183</v>
      </c>
      <c r="AX159" s="112" t="n">
        <f aca="false">AY159</f>
        <v>3.65372577683827</v>
      </c>
      <c r="AY159" s="1323" t="n">
        <v>3.65372577683827</v>
      </c>
      <c r="AZ159" s="112" t="n">
        <f aca="false">AY159</f>
        <v>3.65372577683827</v>
      </c>
      <c r="BA159" s="163" t="n">
        <v>1</v>
      </c>
      <c r="BB159" s="163" t="n">
        <v>1</v>
      </c>
      <c r="BC159" s="163" t="n">
        <v>1</v>
      </c>
      <c r="BD159" s="163" t="n">
        <v>0</v>
      </c>
      <c r="BE159" s="163"/>
      <c r="BF159" s="163" t="n">
        <v>0</v>
      </c>
      <c r="BG159" s="1290" t="n">
        <v>0</v>
      </c>
      <c r="BH159" s="1262"/>
      <c r="BI159" s="1292"/>
      <c r="BJ159" s="1291"/>
      <c r="BK159" s="1293" t="n">
        <v>0</v>
      </c>
      <c r="BL159" s="1294" t="n">
        <f aca="false">+AY159</f>
        <v>3.65372577683827</v>
      </c>
      <c r="BM159" s="1295" t="n">
        <f aca="false">AY159</f>
        <v>3.65372577683827</v>
      </c>
      <c r="BN159" s="1324" t="n">
        <f aca="false">+BM159/BM147-1</f>
        <v>0.0237706788934733</v>
      </c>
      <c r="BO159" s="1296" t="n">
        <f aca="false">BM159</f>
        <v>3.65372577683827</v>
      </c>
      <c r="BP159" s="1318" t="n">
        <f aca="false">+AY159/AY147-1</f>
        <v>0.0237706788934733</v>
      </c>
      <c r="BQ159" s="1298" t="n">
        <f aca="false">VLOOKUP($AW159,$BU$8:$BZ$291,5,FALSE())</f>
        <v>3.82016421660679</v>
      </c>
      <c r="BR159" s="1298" t="n">
        <f aca="false">VLOOKUP($AW159,$BU$8:$BZ$291,6,FALSE())</f>
        <v>3.08327758910623</v>
      </c>
      <c r="BS159" s="1262" t="n">
        <v>0</v>
      </c>
      <c r="BU159" s="1309" t="n">
        <f aca="false">EDATE(BU158,1)</f>
        <v>40756</v>
      </c>
      <c r="BV159" s="1310" t="n">
        <v>2.64184881264841</v>
      </c>
      <c r="BW159" s="1310" t="n">
        <v>2.20504377399849</v>
      </c>
      <c r="BX159" s="1310"/>
      <c r="BY159" s="1310" t="n">
        <v>3.41751314069847</v>
      </c>
      <c r="BZ159" s="1311" t="n">
        <v>2.85245924648531</v>
      </c>
    </row>
    <row r="160" customFormat="false" ht="12.75" hidden="false" customHeight="false" outlineLevel="0" collapsed="false">
      <c r="A160" s="1246"/>
      <c r="B160" s="1312" t="n">
        <v>40179</v>
      </c>
      <c r="C160" s="1313" t="n">
        <v>44.4562529510954</v>
      </c>
      <c r="D160" s="1313"/>
      <c r="E160" s="1313"/>
      <c r="F160" s="1287"/>
      <c r="G160" s="1313"/>
      <c r="H160" s="1313"/>
      <c r="I160" s="1313"/>
      <c r="J160" s="1253"/>
      <c r="K160" s="1254" t="n">
        <v>41061</v>
      </c>
      <c r="L160" s="1314" t="n">
        <v>0</v>
      </c>
      <c r="M160" s="1314" t="n">
        <v>0</v>
      </c>
      <c r="N160" s="1314" t="n">
        <v>0</v>
      </c>
      <c r="O160" s="1252"/>
      <c r="P160" s="1314" t="n">
        <v>0</v>
      </c>
      <c r="Q160" s="1314" t="n">
        <v>0</v>
      </c>
      <c r="R160" s="1314" t="n">
        <v>0</v>
      </c>
      <c r="S160" s="1252"/>
      <c r="T160" s="1314" t="n">
        <v>0</v>
      </c>
      <c r="U160" s="1314" t="n">
        <v>0</v>
      </c>
      <c r="V160" s="1314" t="n">
        <v>0</v>
      </c>
      <c r="W160" s="1252"/>
      <c r="X160" s="1314" t="n">
        <v>0</v>
      </c>
      <c r="Y160" s="1314" t="n">
        <v>0</v>
      </c>
      <c r="Z160" s="1314" t="n">
        <v>0</v>
      </c>
      <c r="AA160" s="1252" t="n">
        <v>0</v>
      </c>
      <c r="AB160" s="1314" t="n">
        <v>0</v>
      </c>
      <c r="AC160" s="1314" t="n">
        <v>0</v>
      </c>
      <c r="AD160" s="1314" t="n">
        <v>0</v>
      </c>
      <c r="AE160" s="1252"/>
      <c r="AF160" s="1314" t="n">
        <v>0</v>
      </c>
      <c r="AG160" s="1314" t="n">
        <v>0</v>
      </c>
      <c r="AH160" s="1314" t="n">
        <v>0</v>
      </c>
      <c r="AI160" s="1252"/>
      <c r="AJ160" s="1314" t="n">
        <v>0</v>
      </c>
      <c r="AK160" s="1314" t="n">
        <v>0</v>
      </c>
      <c r="AL160" s="1314" t="n">
        <v>0</v>
      </c>
      <c r="AM160" s="1166"/>
      <c r="AN160" s="1253" t="n">
        <v>51</v>
      </c>
      <c r="AO160" s="1316" t="n">
        <v>0.35</v>
      </c>
      <c r="AP160" s="1252"/>
      <c r="AQ160" s="0"/>
      <c r="AR160" s="0"/>
      <c r="AS160" s="0"/>
      <c r="AT160" s="0"/>
      <c r="AU160" s="0" t="str">
        <f aca="false">AV160&amp;"Q"&amp;ROUNDUP(MONTH(AW160)/3,0)</f>
        <v>2012Q4</v>
      </c>
      <c r="AV160" s="0" t="n">
        <f aca="false">YEAR(AW160)</f>
        <v>2012</v>
      </c>
      <c r="AW160" s="1304" t="n">
        <f aca="false">EOMONTH(AW159,0)+1</f>
        <v>41214</v>
      </c>
      <c r="AX160" s="112" t="n">
        <f aca="false">AY160</f>
        <v>3.80702572959411</v>
      </c>
      <c r="AY160" s="1323" t="n">
        <v>3.80702572959411</v>
      </c>
      <c r="AZ160" s="112" t="n">
        <f aca="false">AY160</f>
        <v>3.80702572959411</v>
      </c>
      <c r="BA160" s="163" t="n">
        <v>1</v>
      </c>
      <c r="BB160" s="163" t="n">
        <v>1</v>
      </c>
      <c r="BC160" s="163" t="n">
        <v>1</v>
      </c>
      <c r="BD160" s="163" t="n">
        <v>0</v>
      </c>
      <c r="BE160" s="163"/>
      <c r="BF160" s="163" t="n">
        <v>0</v>
      </c>
      <c r="BG160" s="1290" t="n">
        <v>0</v>
      </c>
      <c r="BH160" s="1262"/>
      <c r="BI160" s="1292"/>
      <c r="BJ160" s="1291"/>
      <c r="BK160" s="1293" t="n">
        <v>0</v>
      </c>
      <c r="BL160" s="1294" t="n">
        <f aca="false">+AY160</f>
        <v>3.80702572959411</v>
      </c>
      <c r="BM160" s="1295" t="n">
        <f aca="false">AY160</f>
        <v>3.80702572959411</v>
      </c>
      <c r="BN160" s="1324" t="n">
        <f aca="false">+BM160/BM148-1</f>
        <v>0.0237706788934733</v>
      </c>
      <c r="BO160" s="1296" t="n">
        <f aca="false">BM160</f>
        <v>3.80702572959411</v>
      </c>
      <c r="BP160" s="1318" t="n">
        <f aca="false">+AY160/AY148-1</f>
        <v>0.0237706788934733</v>
      </c>
      <c r="BQ160" s="1298" t="n">
        <f aca="false">VLOOKUP($AW160,$BU$8:$BZ$291,5,FALSE())</f>
        <v>4.01519540926283</v>
      </c>
      <c r="BR160" s="1298" t="n">
        <f aca="false">VLOOKUP($AW160,$BU$8:$BZ$291,6,FALSE())</f>
        <v>3.16473629179061</v>
      </c>
      <c r="BS160" s="1262" t="n">
        <v>0</v>
      </c>
      <c r="BU160" s="1309" t="n">
        <f aca="false">EDATE(BU159,1)</f>
        <v>40787</v>
      </c>
      <c r="BV160" s="1310" t="n">
        <v>2.73085951869349</v>
      </c>
      <c r="BW160" s="1310" t="n">
        <v>2.26717168378093</v>
      </c>
      <c r="BX160" s="1310"/>
      <c r="BY160" s="1310" t="n">
        <v>3.53265798021976</v>
      </c>
      <c r="BZ160" s="1311" t="n">
        <v>2.93282832251611</v>
      </c>
    </row>
    <row r="161" customFormat="false" ht="12.75" hidden="false" customHeight="false" outlineLevel="0" collapsed="false">
      <c r="A161" s="1246"/>
      <c r="B161" s="1312" t="n">
        <v>40210</v>
      </c>
      <c r="C161" s="1313" t="n">
        <v>39.3716909498323</v>
      </c>
      <c r="D161" s="1313"/>
      <c r="E161" s="1313"/>
      <c r="F161" s="1287"/>
      <c r="G161" s="1313"/>
      <c r="H161" s="1313"/>
      <c r="I161" s="1313"/>
      <c r="J161" s="1253"/>
      <c r="K161" s="1254" t="n">
        <v>41091</v>
      </c>
      <c r="L161" s="1314" t="n">
        <v>0</v>
      </c>
      <c r="M161" s="1314" t="n">
        <v>0</v>
      </c>
      <c r="N161" s="1314" t="n">
        <v>0</v>
      </c>
      <c r="O161" s="1252"/>
      <c r="P161" s="1314" t="n">
        <v>0</v>
      </c>
      <c r="Q161" s="1314" t="n">
        <v>0</v>
      </c>
      <c r="R161" s="1314" t="n">
        <v>0</v>
      </c>
      <c r="S161" s="1252"/>
      <c r="T161" s="1314" t="n">
        <v>0</v>
      </c>
      <c r="U161" s="1314" t="n">
        <v>0</v>
      </c>
      <c r="V161" s="1314" t="n">
        <v>0</v>
      </c>
      <c r="W161" s="1252"/>
      <c r="X161" s="1314" t="n">
        <v>0</v>
      </c>
      <c r="Y161" s="1314" t="n">
        <v>0</v>
      </c>
      <c r="Z161" s="1314" t="n">
        <v>0</v>
      </c>
      <c r="AA161" s="1252" t="n">
        <v>0</v>
      </c>
      <c r="AB161" s="1314" t="n">
        <v>0</v>
      </c>
      <c r="AC161" s="1314" t="n">
        <v>0</v>
      </c>
      <c r="AD161" s="1314" t="n">
        <v>0</v>
      </c>
      <c r="AE161" s="1252"/>
      <c r="AF161" s="1314" t="n">
        <v>0</v>
      </c>
      <c r="AG161" s="1314" t="n">
        <v>0</v>
      </c>
      <c r="AH161" s="1314" t="n">
        <v>0</v>
      </c>
      <c r="AI161" s="1252"/>
      <c r="AJ161" s="1314" t="n">
        <v>0</v>
      </c>
      <c r="AK161" s="1314" t="n">
        <v>0</v>
      </c>
      <c r="AL161" s="1314" t="n">
        <v>0</v>
      </c>
      <c r="AM161" s="1166"/>
      <c r="AN161" s="1253" t="n">
        <v>51</v>
      </c>
      <c r="AO161" s="1316" t="n">
        <v>0.35</v>
      </c>
      <c r="AP161" s="1252"/>
      <c r="AQ161" s="0"/>
      <c r="AR161" s="0"/>
      <c r="AS161" s="0"/>
      <c r="AT161" s="0"/>
      <c r="AU161" s="0" t="str">
        <f aca="false">AV161&amp;"Q"&amp;ROUNDUP(MONTH(AW161)/3,0)</f>
        <v>2012Q4</v>
      </c>
      <c r="AV161" s="0" t="n">
        <f aca="false">YEAR(AW161)</f>
        <v>2012</v>
      </c>
      <c r="AW161" s="1304" t="n">
        <f aca="false">EOMONTH(AW160,0)+1</f>
        <v>41244</v>
      </c>
      <c r="AX161" s="112" t="n">
        <f aca="false">AY161</f>
        <v>3.96895795460083</v>
      </c>
      <c r="AY161" s="1323" t="n">
        <v>3.96895795460083</v>
      </c>
      <c r="AZ161" s="112" t="n">
        <f aca="false">AY161</f>
        <v>3.96895795460083</v>
      </c>
      <c r="BA161" s="163" t="n">
        <v>1</v>
      </c>
      <c r="BB161" s="163" t="n">
        <v>1</v>
      </c>
      <c r="BC161" s="163" t="n">
        <v>1</v>
      </c>
      <c r="BD161" s="163" t="n">
        <v>0</v>
      </c>
      <c r="BE161" s="163"/>
      <c r="BF161" s="163" t="n">
        <v>0</v>
      </c>
      <c r="BG161" s="1290" t="n">
        <v>0</v>
      </c>
      <c r="BH161" s="1262"/>
      <c r="BI161" s="1292"/>
      <c r="BJ161" s="1291"/>
      <c r="BK161" s="1293" t="n">
        <v>0</v>
      </c>
      <c r="BL161" s="1294" t="n">
        <f aca="false">+AY161</f>
        <v>3.96895795460083</v>
      </c>
      <c r="BM161" s="1295" t="n">
        <f aca="false">AY161</f>
        <v>3.96895795460083</v>
      </c>
      <c r="BN161" s="1324" t="n">
        <f aca="false">+BM161/BM149-1</f>
        <v>0.0237706788934731</v>
      </c>
      <c r="BO161" s="1296" t="n">
        <f aca="false">BM161</f>
        <v>3.96895795460083</v>
      </c>
      <c r="BP161" s="1318" t="n">
        <f aca="false">+AY161/AY149-1</f>
        <v>0.0237706788934731</v>
      </c>
      <c r="BQ161" s="1298" t="n">
        <f aca="false">VLOOKUP($AW161,$BU$8:$BZ$291,5,FALSE())</f>
        <v>4.10001543898146</v>
      </c>
      <c r="BR161" s="1298" t="n">
        <f aca="false">VLOOKUP($AW161,$BU$8:$BZ$291,6,FALSE())</f>
        <v>3.23108571897709</v>
      </c>
      <c r="BS161" s="1262" t="n">
        <v>0</v>
      </c>
      <c r="BU161" s="1309" t="n">
        <f aca="false">EDATE(BU160,1)</f>
        <v>40817</v>
      </c>
      <c r="BV161" s="1310" t="n">
        <v>2.84806616267831</v>
      </c>
      <c r="BW161" s="1310" t="n">
        <v>2.33277875651119</v>
      </c>
      <c r="BX161" s="1310"/>
      <c r="BY161" s="1310" t="n">
        <v>3.68427727201176</v>
      </c>
      <c r="BZ161" s="1311" t="n">
        <v>3.01769806680464</v>
      </c>
    </row>
    <row r="162" customFormat="false" ht="12.75" hidden="false" customHeight="false" outlineLevel="0" collapsed="false">
      <c r="A162" s="1246"/>
      <c r="B162" s="1312" t="n">
        <v>40238</v>
      </c>
      <c r="C162" s="1313" t="n">
        <v>35.7607954377607</v>
      </c>
      <c r="D162" s="1313"/>
      <c r="E162" s="1313"/>
      <c r="F162" s="1287"/>
      <c r="G162" s="1313"/>
      <c r="H162" s="1313"/>
      <c r="I162" s="1313"/>
      <c r="J162" s="1253"/>
      <c r="K162" s="1254" t="n">
        <v>41122</v>
      </c>
      <c r="L162" s="1314" t="n">
        <v>0</v>
      </c>
      <c r="M162" s="1314" t="n">
        <v>0</v>
      </c>
      <c r="N162" s="1314" t="n">
        <v>0</v>
      </c>
      <c r="O162" s="1252"/>
      <c r="P162" s="1314" t="n">
        <v>0</v>
      </c>
      <c r="Q162" s="1314" t="n">
        <v>0</v>
      </c>
      <c r="R162" s="1314" t="n">
        <v>0</v>
      </c>
      <c r="S162" s="1252"/>
      <c r="T162" s="1314" t="n">
        <v>0</v>
      </c>
      <c r="U162" s="1314" t="n">
        <v>0</v>
      </c>
      <c r="V162" s="1314" t="n">
        <v>0</v>
      </c>
      <c r="W162" s="1252"/>
      <c r="X162" s="1314" t="n">
        <v>0</v>
      </c>
      <c r="Y162" s="1314" t="n">
        <v>0</v>
      </c>
      <c r="Z162" s="1314" t="n">
        <v>0</v>
      </c>
      <c r="AA162" s="1252" t="n">
        <v>0</v>
      </c>
      <c r="AB162" s="1314" t="n">
        <v>0</v>
      </c>
      <c r="AC162" s="1314" t="n">
        <v>0</v>
      </c>
      <c r="AD162" s="1314" t="n">
        <v>0</v>
      </c>
      <c r="AE162" s="1252"/>
      <c r="AF162" s="1314" t="n">
        <v>0</v>
      </c>
      <c r="AG162" s="1314" t="n">
        <v>0</v>
      </c>
      <c r="AH162" s="1314" t="n">
        <v>0</v>
      </c>
      <c r="AI162" s="1252"/>
      <c r="AJ162" s="1314" t="n">
        <v>0</v>
      </c>
      <c r="AK162" s="1314" t="n">
        <v>0</v>
      </c>
      <c r="AL162" s="1314" t="n">
        <v>0</v>
      </c>
      <c r="AM162" s="1166"/>
      <c r="AN162" s="1253" t="n">
        <v>51</v>
      </c>
      <c r="AO162" s="1316" t="n">
        <v>0.35</v>
      </c>
      <c r="AP162" s="1252"/>
      <c r="AQ162" s="0"/>
      <c r="AR162" s="0"/>
      <c r="AS162" s="0"/>
      <c r="AT162" s="0"/>
      <c r="AU162" s="0" t="str">
        <f aca="false">AV162&amp;"Q"&amp;ROUNDUP(MONTH(AW162)/3,0)</f>
        <v>2013Q1</v>
      </c>
      <c r="AV162" s="0" t="n">
        <f aca="false">YEAR(AW162)</f>
        <v>2013</v>
      </c>
      <c r="AW162" s="1304" t="n">
        <f aca="false">EOMONTH(AW161,0)+1</f>
        <v>41275</v>
      </c>
      <c r="AX162" s="112" t="n">
        <f aca="false">AY162</f>
        <v>3.77390085998912</v>
      </c>
      <c r="AY162" s="1323" t="n">
        <v>3.77390085998912</v>
      </c>
      <c r="AZ162" s="112" t="n">
        <f aca="false">AY162</f>
        <v>3.77390085998912</v>
      </c>
      <c r="BA162" s="163" t="n">
        <v>1</v>
      </c>
      <c r="BB162" s="163" t="n">
        <v>1</v>
      </c>
      <c r="BC162" s="163" t="n">
        <v>1</v>
      </c>
      <c r="BD162" s="163" t="n">
        <v>0</v>
      </c>
      <c r="BE162" s="163"/>
      <c r="BF162" s="163" t="n">
        <v>0</v>
      </c>
      <c r="BG162" s="1290" t="n">
        <v>0</v>
      </c>
      <c r="BH162" s="1262"/>
      <c r="BI162" s="1292"/>
      <c r="BJ162" s="1291"/>
      <c r="BK162" s="1293" t="n">
        <v>0</v>
      </c>
      <c r="BL162" s="1294" t="n">
        <f aca="false">+AY162</f>
        <v>3.77390085998912</v>
      </c>
      <c r="BM162" s="1295" t="n">
        <f aca="false">AY162</f>
        <v>3.77390085998912</v>
      </c>
      <c r="BN162" s="1324" t="n">
        <f aca="false">+BM162/BM150-1</f>
        <v>0.021827633080725</v>
      </c>
      <c r="BO162" s="1296" t="n">
        <f aca="false">BM162</f>
        <v>3.77390085998912</v>
      </c>
      <c r="BP162" s="1318" t="n">
        <f aca="false">+AY162/AY150-1</f>
        <v>0.021827633080725</v>
      </c>
      <c r="BQ162" s="1298" t="n">
        <f aca="false">VLOOKUP($AW162,$BU$8:$BZ$291,5,FALSE())</f>
        <v>4.0572048180732</v>
      </c>
      <c r="BR162" s="1298" t="n">
        <f aca="false">VLOOKUP($AW162,$BU$8:$BZ$291,6,FALSE())</f>
        <v>3.36314936698687</v>
      </c>
      <c r="BS162" s="1262" t="n">
        <v>0</v>
      </c>
      <c r="BU162" s="1309" t="n">
        <f aca="false">EDATE(BU161,1)</f>
        <v>40848</v>
      </c>
      <c r="BV162" s="1310" t="n">
        <v>2.99346874460287</v>
      </c>
      <c r="BW162" s="1310" t="n">
        <v>2.39440964301538</v>
      </c>
      <c r="BX162" s="1310"/>
      <c r="BY162" s="1310" t="n">
        <v>3.87237101607448</v>
      </c>
      <c r="BZ162" s="1311" t="n">
        <v>3.0974241902272</v>
      </c>
    </row>
    <row r="163" customFormat="false" ht="12.75" hidden="false" customHeight="false" outlineLevel="0" collapsed="false">
      <c r="A163" s="1246"/>
      <c r="B163" s="1312" t="n">
        <v>40269</v>
      </c>
      <c r="C163" s="1313" t="n">
        <v>34.5204815000723</v>
      </c>
      <c r="D163" s="1313"/>
      <c r="E163" s="1313"/>
      <c r="F163" s="1287"/>
      <c r="G163" s="1313"/>
      <c r="H163" s="1313"/>
      <c r="I163" s="1313"/>
      <c r="J163" s="1253"/>
      <c r="K163" s="1254" t="n">
        <v>41153</v>
      </c>
      <c r="L163" s="1314" t="n">
        <v>0</v>
      </c>
      <c r="M163" s="1314" t="n">
        <v>0</v>
      </c>
      <c r="N163" s="1314" t="n">
        <v>0</v>
      </c>
      <c r="O163" s="1252"/>
      <c r="P163" s="1314" t="n">
        <v>0</v>
      </c>
      <c r="Q163" s="1314" t="n">
        <v>0</v>
      </c>
      <c r="R163" s="1314" t="n">
        <v>0</v>
      </c>
      <c r="S163" s="1252"/>
      <c r="T163" s="1314" t="n">
        <v>0</v>
      </c>
      <c r="U163" s="1314" t="n">
        <v>0</v>
      </c>
      <c r="V163" s="1314" t="n">
        <v>0</v>
      </c>
      <c r="W163" s="1252"/>
      <c r="X163" s="1314" t="n">
        <v>0</v>
      </c>
      <c r="Y163" s="1314" t="n">
        <v>0</v>
      </c>
      <c r="Z163" s="1314" t="n">
        <v>0</v>
      </c>
      <c r="AA163" s="1252" t="n">
        <v>0</v>
      </c>
      <c r="AB163" s="1314" t="n">
        <v>0</v>
      </c>
      <c r="AC163" s="1314" t="n">
        <v>0</v>
      </c>
      <c r="AD163" s="1314" t="n">
        <v>0</v>
      </c>
      <c r="AE163" s="1252"/>
      <c r="AF163" s="1314" t="n">
        <v>0</v>
      </c>
      <c r="AG163" s="1314" t="n">
        <v>0</v>
      </c>
      <c r="AH163" s="1314" t="n">
        <v>0</v>
      </c>
      <c r="AI163" s="1252"/>
      <c r="AJ163" s="1314" t="n">
        <v>0</v>
      </c>
      <c r="AK163" s="1314" t="n">
        <v>0</v>
      </c>
      <c r="AL163" s="1314" t="n">
        <v>0</v>
      </c>
      <c r="AM163" s="1166"/>
      <c r="AN163" s="1253" t="n">
        <v>52</v>
      </c>
      <c r="AO163" s="1316" t="n">
        <v>0.35</v>
      </c>
      <c r="AP163" s="1252"/>
      <c r="AQ163" s="0"/>
      <c r="AR163" s="0"/>
      <c r="AS163" s="0"/>
      <c r="AT163" s="0"/>
      <c r="AU163" s="0" t="str">
        <f aca="false">AV163&amp;"Q"&amp;ROUNDUP(MONTH(AW163)/3,0)</f>
        <v>2013Q1</v>
      </c>
      <c r="AV163" s="0" t="n">
        <f aca="false">YEAR(AW163)</f>
        <v>2013</v>
      </c>
      <c r="AW163" s="1304" t="n">
        <f aca="false">EOMONTH(AW162,0)+1</f>
        <v>41306</v>
      </c>
      <c r="AX163" s="112" t="n">
        <f aca="false">AY163</f>
        <v>3.48563987171786</v>
      </c>
      <c r="AY163" s="1323" t="n">
        <v>3.48563987171786</v>
      </c>
      <c r="AZ163" s="112" t="n">
        <f aca="false">AY163</f>
        <v>3.48563987171786</v>
      </c>
      <c r="BA163" s="163" t="n">
        <v>1</v>
      </c>
      <c r="BB163" s="163" t="n">
        <v>1</v>
      </c>
      <c r="BC163" s="163" t="n">
        <v>1</v>
      </c>
      <c r="BD163" s="163" t="n">
        <v>0</v>
      </c>
      <c r="BE163" s="163"/>
      <c r="BF163" s="163" t="n">
        <v>0</v>
      </c>
      <c r="BG163" s="1290" t="n">
        <v>0</v>
      </c>
      <c r="BH163" s="1262"/>
      <c r="BI163" s="1292"/>
      <c r="BJ163" s="1291"/>
      <c r="BK163" s="1293" t="n">
        <v>0</v>
      </c>
      <c r="BL163" s="1294" t="n">
        <f aca="false">+AY163</f>
        <v>3.48563987171786</v>
      </c>
      <c r="BM163" s="1295" t="n">
        <f aca="false">AY163</f>
        <v>3.48563987171786</v>
      </c>
      <c r="BN163" s="1324" t="n">
        <f aca="false">+BM163/BM151-1</f>
        <v>0.0218276330807248</v>
      </c>
      <c r="BO163" s="1296" t="n">
        <f aca="false">BM163</f>
        <v>3.48563987171786</v>
      </c>
      <c r="BP163" s="1318" t="n">
        <f aca="false">+AY163/AY151-1</f>
        <v>0.0218276330807248</v>
      </c>
      <c r="BQ163" s="1298" t="n">
        <f aca="false">VLOOKUP($AW163,$BU$8:$BZ$291,5,FALSE())</f>
        <v>3.75107031809787</v>
      </c>
      <c r="BR163" s="1298" t="n">
        <f aca="false">VLOOKUP($AW163,$BU$8:$BZ$291,6,FALSE())</f>
        <v>3.13257171232947</v>
      </c>
      <c r="BS163" s="1262" t="n">
        <v>0</v>
      </c>
      <c r="BU163" s="1309" t="n">
        <f aca="false">EDATE(BU162,1)</f>
        <v>40878</v>
      </c>
      <c r="BV163" s="1310" t="n">
        <v>3.05670504620185</v>
      </c>
      <c r="BW163" s="1310" t="n">
        <v>2.44460899411959</v>
      </c>
      <c r="BX163" s="1310"/>
      <c r="BY163" s="1310" t="n">
        <v>3.95417391510829</v>
      </c>
      <c r="BZ163" s="1311" t="n">
        <v>3.16236240366009</v>
      </c>
    </row>
    <row r="164" customFormat="false" ht="12.75" hidden="false" customHeight="false" outlineLevel="0" collapsed="false">
      <c r="A164" s="1246"/>
      <c r="B164" s="1312" t="n">
        <v>40299</v>
      </c>
      <c r="C164" s="1313" t="n">
        <v>35.4057584803589</v>
      </c>
      <c r="D164" s="1313"/>
      <c r="E164" s="1313"/>
      <c r="F164" s="1287"/>
      <c r="G164" s="1313"/>
      <c r="H164" s="1313"/>
      <c r="I164" s="1313"/>
      <c r="J164" s="1253"/>
      <c r="K164" s="1254" t="n">
        <v>41183</v>
      </c>
      <c r="L164" s="1314" t="n">
        <v>0</v>
      </c>
      <c r="M164" s="1314" t="n">
        <v>0</v>
      </c>
      <c r="N164" s="1314" t="n">
        <v>0</v>
      </c>
      <c r="O164" s="1252"/>
      <c r="P164" s="1314" t="n">
        <v>0</v>
      </c>
      <c r="Q164" s="1314" t="n">
        <v>0</v>
      </c>
      <c r="R164" s="1314" t="n">
        <v>0</v>
      </c>
      <c r="S164" s="1252"/>
      <c r="T164" s="1314" t="n">
        <v>0</v>
      </c>
      <c r="U164" s="1314" t="n">
        <v>0</v>
      </c>
      <c r="V164" s="1314" t="n">
        <v>0</v>
      </c>
      <c r="W164" s="1252"/>
      <c r="X164" s="1314" t="n">
        <v>0</v>
      </c>
      <c r="Y164" s="1314" t="n">
        <v>0</v>
      </c>
      <c r="Z164" s="1314" t="n">
        <v>0</v>
      </c>
      <c r="AA164" s="1252" t="n">
        <v>0</v>
      </c>
      <c r="AB164" s="1314" t="n">
        <v>0</v>
      </c>
      <c r="AC164" s="1314" t="n">
        <v>0</v>
      </c>
      <c r="AD164" s="1314" t="n">
        <v>0</v>
      </c>
      <c r="AE164" s="1252"/>
      <c r="AF164" s="1314" t="n">
        <v>0</v>
      </c>
      <c r="AG164" s="1314" t="n">
        <v>0</v>
      </c>
      <c r="AH164" s="1314" t="n">
        <v>0</v>
      </c>
      <c r="AI164" s="1252"/>
      <c r="AJ164" s="1314" t="n">
        <v>0</v>
      </c>
      <c r="AK164" s="1314" t="n">
        <v>0</v>
      </c>
      <c r="AL164" s="1314" t="n">
        <v>0</v>
      </c>
      <c r="AM164" s="1166"/>
      <c r="AN164" s="1253" t="n">
        <v>52</v>
      </c>
      <c r="AO164" s="1316" t="n">
        <v>0.35</v>
      </c>
      <c r="AP164" s="1252"/>
      <c r="AQ164" s="0"/>
      <c r="AR164" s="0"/>
      <c r="AS164" s="0"/>
      <c r="AT164" s="0"/>
      <c r="AU164" s="0" t="str">
        <f aca="false">AV164&amp;"Q"&amp;ROUNDUP(MONTH(AW164)/3,0)</f>
        <v>2013Q1</v>
      </c>
      <c r="AV164" s="0" t="n">
        <f aca="false">YEAR(AW164)</f>
        <v>2013</v>
      </c>
      <c r="AW164" s="1304" t="n">
        <f aca="false">EOMONTH(AW163,0)+1</f>
        <v>41334</v>
      </c>
      <c r="AX164" s="112" t="n">
        <f aca="false">AY164</f>
        <v>3.29851872066756</v>
      </c>
      <c r="AY164" s="1323" t="n">
        <v>3.29851872066756</v>
      </c>
      <c r="AZ164" s="112" t="n">
        <f aca="false">AY164</f>
        <v>3.29851872066756</v>
      </c>
      <c r="BA164" s="163" t="n">
        <v>1</v>
      </c>
      <c r="BB164" s="163" t="n">
        <v>1</v>
      </c>
      <c r="BC164" s="163" t="n">
        <v>1</v>
      </c>
      <c r="BD164" s="163" t="n">
        <v>0</v>
      </c>
      <c r="BE164" s="163"/>
      <c r="BF164" s="163" t="n">
        <v>0</v>
      </c>
      <c r="BG164" s="1290" t="n">
        <v>0</v>
      </c>
      <c r="BH164" s="1262"/>
      <c r="BI164" s="1292"/>
      <c r="BJ164" s="1291"/>
      <c r="BK164" s="1293" t="n">
        <v>0</v>
      </c>
      <c r="BL164" s="1294" t="n">
        <f aca="false">+AY164</f>
        <v>3.29851872066756</v>
      </c>
      <c r="BM164" s="1295" t="n">
        <f aca="false">AY164</f>
        <v>3.29851872066756</v>
      </c>
      <c r="BN164" s="1324" t="n">
        <f aca="false">+BM164/BM152-1</f>
        <v>0.0217722345228732</v>
      </c>
      <c r="BO164" s="1296" t="n">
        <f aca="false">BM164</f>
        <v>3.29851872066756</v>
      </c>
      <c r="BP164" s="1318" t="n">
        <f aca="false">+AY164/AY152-1</f>
        <v>0.0217722345228732</v>
      </c>
      <c r="BQ164" s="1298" t="n">
        <f aca="false">VLOOKUP($AW164,$BU$8:$BZ$291,5,FALSE())</f>
        <v>3.63969421568686</v>
      </c>
      <c r="BR164" s="1298" t="n">
        <f aca="false">VLOOKUP($AW164,$BU$8:$BZ$291,6,FALSE())</f>
        <v>2.97706585221169</v>
      </c>
      <c r="BS164" s="1262" t="n">
        <v>0</v>
      </c>
      <c r="BU164" s="1309" t="n">
        <f aca="false">EDATE(BU163,1)</f>
        <v>40909</v>
      </c>
      <c r="BV164" s="1310" t="n">
        <v>2.96858058280765</v>
      </c>
      <c r="BW164" s="1310" t="n">
        <v>2.49804800834313</v>
      </c>
      <c r="BX164" s="1310"/>
      <c r="BY164" s="1310" t="n">
        <v>3.9169790354555</v>
      </c>
      <c r="BZ164" s="1311" t="n">
        <v>3.29612129612027</v>
      </c>
    </row>
    <row r="165" customFormat="false" ht="12.75" hidden="false" customHeight="false" outlineLevel="0" collapsed="false">
      <c r="A165" s="1246"/>
      <c r="B165" s="1312" t="n">
        <v>40330</v>
      </c>
      <c r="C165" s="1313" t="n">
        <v>37.8208364954083</v>
      </c>
      <c r="D165" s="1313"/>
      <c r="E165" s="1313"/>
      <c r="F165" s="1287"/>
      <c r="G165" s="1313"/>
      <c r="H165" s="1313"/>
      <c r="I165" s="1313"/>
      <c r="J165" s="1253"/>
      <c r="K165" s="1254" t="n">
        <v>41214</v>
      </c>
      <c r="L165" s="1314" t="n">
        <v>0</v>
      </c>
      <c r="M165" s="1314" t="n">
        <v>0</v>
      </c>
      <c r="N165" s="1314" t="n">
        <v>0</v>
      </c>
      <c r="O165" s="1252"/>
      <c r="P165" s="1314" t="n">
        <v>0</v>
      </c>
      <c r="Q165" s="1314" t="n">
        <v>0</v>
      </c>
      <c r="R165" s="1314" t="n">
        <v>0</v>
      </c>
      <c r="S165" s="1252"/>
      <c r="T165" s="1314" t="n">
        <v>0</v>
      </c>
      <c r="U165" s="1314" t="n">
        <v>0</v>
      </c>
      <c r="V165" s="1314" t="n">
        <v>0</v>
      </c>
      <c r="W165" s="1252"/>
      <c r="X165" s="1314" t="n">
        <v>0</v>
      </c>
      <c r="Y165" s="1314" t="n">
        <v>0</v>
      </c>
      <c r="Z165" s="1314" t="n">
        <v>0</v>
      </c>
      <c r="AA165" s="1252" t="n">
        <v>0</v>
      </c>
      <c r="AB165" s="1314" t="n">
        <v>0</v>
      </c>
      <c r="AC165" s="1314" t="n">
        <v>0</v>
      </c>
      <c r="AD165" s="1314" t="n">
        <v>0</v>
      </c>
      <c r="AE165" s="1252"/>
      <c r="AF165" s="1314" t="n">
        <v>0</v>
      </c>
      <c r="AG165" s="1314" t="n">
        <v>0</v>
      </c>
      <c r="AH165" s="1314" t="n">
        <v>0</v>
      </c>
      <c r="AI165" s="1252"/>
      <c r="AJ165" s="1314" t="n">
        <v>0</v>
      </c>
      <c r="AK165" s="1314" t="n">
        <v>0</v>
      </c>
      <c r="AL165" s="1314" t="n">
        <v>0</v>
      </c>
      <c r="AM165" s="1166"/>
      <c r="AN165" s="1253" t="n">
        <v>52</v>
      </c>
      <c r="AO165" s="1316" t="n">
        <v>0.35</v>
      </c>
      <c r="AP165" s="1252"/>
      <c r="AQ165" s="0"/>
      <c r="AR165" s="0"/>
      <c r="AS165" s="0"/>
      <c r="AT165" s="0"/>
      <c r="AU165" s="0" t="str">
        <f aca="false">AV165&amp;"Q"&amp;ROUNDUP(MONTH(AW165)/3,0)</f>
        <v>2013Q2</v>
      </c>
      <c r="AV165" s="0" t="n">
        <f aca="false">YEAR(AW165)</f>
        <v>2013</v>
      </c>
      <c r="AW165" s="1304" t="n">
        <f aca="false">EOMONTH(AW164,0)+1</f>
        <v>41365</v>
      </c>
      <c r="AX165" s="112" t="n">
        <f aca="false">AY165</f>
        <v>3.19956080432618</v>
      </c>
      <c r="AY165" s="1323" t="n">
        <v>3.19956080432618</v>
      </c>
      <c r="AZ165" s="112" t="n">
        <f aca="false">AY165</f>
        <v>3.19956080432618</v>
      </c>
      <c r="BA165" s="163" t="n">
        <v>1</v>
      </c>
      <c r="BB165" s="163" t="n">
        <v>1</v>
      </c>
      <c r="BC165" s="163" t="n">
        <v>1</v>
      </c>
      <c r="BD165" s="163" t="n">
        <v>0</v>
      </c>
      <c r="BE165" s="163"/>
      <c r="BF165" s="163" t="n">
        <v>0</v>
      </c>
      <c r="BG165" s="1290" t="n">
        <v>0</v>
      </c>
      <c r="BH165" s="1262"/>
      <c r="BI165" s="1292"/>
      <c r="BJ165" s="1291"/>
      <c r="BK165" s="1293" t="n">
        <v>0</v>
      </c>
      <c r="BL165" s="1294" t="n">
        <f aca="false">+AY165</f>
        <v>3.19956080432618</v>
      </c>
      <c r="BM165" s="1295" t="n">
        <f aca="false">AY165</f>
        <v>3.19956080432618</v>
      </c>
      <c r="BN165" s="1324" t="n">
        <f aca="false">+BM165/BM153-1</f>
        <v>0.0217722345228732</v>
      </c>
      <c r="BO165" s="1296" t="n">
        <f aca="false">BM165</f>
        <v>3.19956080432618</v>
      </c>
      <c r="BP165" s="1318" t="n">
        <f aca="false">+AY165/AY153-1</f>
        <v>0.0217722345228732</v>
      </c>
      <c r="BQ165" s="1298" t="n">
        <f aca="false">VLOOKUP($AW165,$BU$8:$BZ$291,5,FALSE())</f>
        <v>3.56749177688248</v>
      </c>
      <c r="BR165" s="1298" t="n">
        <f aca="false">VLOOKUP($AW165,$BU$8:$BZ$291,6,FALSE())</f>
        <v>2.88657752843626</v>
      </c>
      <c r="BS165" s="1262" t="n">
        <v>0</v>
      </c>
      <c r="BU165" s="1309" t="n">
        <f aca="false">EDATE(BU164,1)</f>
        <v>40940</v>
      </c>
      <c r="BV165" s="1310" t="n">
        <v>2.74458771749653</v>
      </c>
      <c r="BW165" s="1310" t="n">
        <v>2.32678173731772</v>
      </c>
      <c r="BX165" s="1310"/>
      <c r="BY165" s="1310" t="n">
        <v>3.62142520659988</v>
      </c>
      <c r="BZ165" s="1311" t="n">
        <v>3.07013908867326</v>
      </c>
    </row>
    <row r="166" customFormat="false" ht="12.75" hidden="false" customHeight="false" outlineLevel="0" collapsed="false">
      <c r="A166" s="1246"/>
      <c r="B166" s="1312" t="n">
        <v>40360</v>
      </c>
      <c r="C166" s="1313" t="n">
        <v>51.946596897744</v>
      </c>
      <c r="D166" s="1313"/>
      <c r="E166" s="1313"/>
      <c r="F166" s="1287"/>
      <c r="G166" s="1313"/>
      <c r="H166" s="1313"/>
      <c r="I166" s="1313"/>
      <c r="J166" s="1253"/>
      <c r="K166" s="1254" t="n">
        <v>41244</v>
      </c>
      <c r="L166" s="1314" t="n">
        <v>0</v>
      </c>
      <c r="M166" s="1314" t="n">
        <v>0</v>
      </c>
      <c r="N166" s="1314" t="n">
        <v>0</v>
      </c>
      <c r="O166" s="1252"/>
      <c r="P166" s="1314" t="n">
        <v>0</v>
      </c>
      <c r="Q166" s="1314" t="n">
        <v>0</v>
      </c>
      <c r="R166" s="1314" t="n">
        <v>0</v>
      </c>
      <c r="S166" s="1252"/>
      <c r="T166" s="1314" t="n">
        <v>0</v>
      </c>
      <c r="U166" s="1314" t="n">
        <v>0</v>
      </c>
      <c r="V166" s="1314" t="n">
        <v>0</v>
      </c>
      <c r="W166" s="1252"/>
      <c r="X166" s="1314" t="n">
        <v>0</v>
      </c>
      <c r="Y166" s="1314" t="n">
        <v>0</v>
      </c>
      <c r="Z166" s="1314" t="n">
        <v>0</v>
      </c>
      <c r="AA166" s="1252" t="n">
        <v>0</v>
      </c>
      <c r="AB166" s="1314" t="n">
        <v>0</v>
      </c>
      <c r="AC166" s="1314" t="n">
        <v>0</v>
      </c>
      <c r="AD166" s="1314" t="n">
        <v>0</v>
      </c>
      <c r="AE166" s="1252"/>
      <c r="AF166" s="1314" t="n">
        <v>0</v>
      </c>
      <c r="AG166" s="1314" t="n">
        <v>0</v>
      </c>
      <c r="AH166" s="1314" t="n">
        <v>0</v>
      </c>
      <c r="AI166" s="1252"/>
      <c r="AJ166" s="1314" t="n">
        <v>0</v>
      </c>
      <c r="AK166" s="1314" t="n">
        <v>0</v>
      </c>
      <c r="AL166" s="1314" t="n">
        <v>0</v>
      </c>
      <c r="AM166" s="1166"/>
      <c r="AN166" s="1253" t="n">
        <v>53</v>
      </c>
      <c r="AO166" s="1316" t="n">
        <v>0.35</v>
      </c>
      <c r="AP166" s="1252"/>
      <c r="AQ166" s="0"/>
      <c r="AR166" s="0"/>
      <c r="AS166" s="0"/>
      <c r="AT166" s="0"/>
      <c r="AU166" s="0" t="str">
        <f aca="false">AV166&amp;"Q"&amp;ROUNDUP(MONTH(AW166)/3,0)</f>
        <v>2013Q2</v>
      </c>
      <c r="AV166" s="0" t="n">
        <f aca="false">YEAR(AW166)</f>
        <v>2013</v>
      </c>
      <c r="AW166" s="1304" t="n">
        <f aca="false">EOMONTH(AW165,0)+1</f>
        <v>41395</v>
      </c>
      <c r="AX166" s="112" t="n">
        <f aca="false">AY166</f>
        <v>3.17543070647367</v>
      </c>
      <c r="AY166" s="1323" t="n">
        <v>3.17543070647367</v>
      </c>
      <c r="AZ166" s="112" t="n">
        <f aca="false">AY166</f>
        <v>3.17543070647367</v>
      </c>
      <c r="BA166" s="163" t="n">
        <v>1</v>
      </c>
      <c r="BB166" s="163" t="n">
        <v>1</v>
      </c>
      <c r="BC166" s="163" t="n">
        <v>1</v>
      </c>
      <c r="BD166" s="163" t="n">
        <v>0</v>
      </c>
      <c r="BE166" s="163"/>
      <c r="BF166" s="163" t="n">
        <v>0</v>
      </c>
      <c r="BG166" s="1290" t="n">
        <v>0</v>
      </c>
      <c r="BH166" s="1262"/>
      <c r="BI166" s="1292"/>
      <c r="BJ166" s="1291"/>
      <c r="BK166" s="1293" t="n">
        <v>0</v>
      </c>
      <c r="BL166" s="1294" t="n">
        <f aca="false">+AY166</f>
        <v>3.17543070647367</v>
      </c>
      <c r="BM166" s="1295" t="n">
        <f aca="false">AY166</f>
        <v>3.17543070647367</v>
      </c>
      <c r="BN166" s="1324" t="n">
        <f aca="false">+BM166/BM154-1</f>
        <v>0.0217722345228732</v>
      </c>
      <c r="BO166" s="1296" t="n">
        <f aca="false">BM166</f>
        <v>3.17543070647367</v>
      </c>
      <c r="BP166" s="1318" t="n">
        <f aca="false">+AY166/AY154-1</f>
        <v>0.0217722345228732</v>
      </c>
      <c r="BQ166" s="1298" t="n">
        <f aca="false">VLOOKUP($AW166,$BU$8:$BZ$291,5,FALSE())</f>
        <v>3.53446300168473</v>
      </c>
      <c r="BR166" s="1298" t="n">
        <f aca="false">VLOOKUP($AW166,$BU$8:$BZ$291,6,FALSE())</f>
        <v>2.85105248280591</v>
      </c>
      <c r="BS166" s="1262" t="n">
        <v>0</v>
      </c>
      <c r="BU166" s="1309" t="n">
        <f aca="false">EDATE(BU165,1)</f>
        <v>40969</v>
      </c>
      <c r="BV166" s="1310" t="n">
        <v>2.66309591468359</v>
      </c>
      <c r="BW166" s="1310" t="n">
        <v>2.21127657778894</v>
      </c>
      <c r="BX166" s="1310"/>
      <c r="BY166" s="1310" t="n">
        <v>3.5138985034245</v>
      </c>
      <c r="BZ166" s="1311" t="n">
        <v>2.91773248365086</v>
      </c>
    </row>
    <row r="167" customFormat="false" ht="12.75" hidden="false" customHeight="false" outlineLevel="0" collapsed="false">
      <c r="A167" s="1246"/>
      <c r="B167" s="1312" t="n">
        <v>40391</v>
      </c>
      <c r="C167" s="1313" t="n">
        <v>73.427417367766</v>
      </c>
      <c r="D167" s="1313"/>
      <c r="E167" s="1313"/>
      <c r="F167" s="1287"/>
      <c r="G167" s="1313"/>
      <c r="H167" s="1313"/>
      <c r="I167" s="1313"/>
      <c r="J167" s="1253"/>
      <c r="K167" s="1254" t="n">
        <v>41275</v>
      </c>
      <c r="L167" s="1314" t="n">
        <v>0</v>
      </c>
      <c r="M167" s="1314" t="n">
        <v>0</v>
      </c>
      <c r="N167" s="1314" t="n">
        <v>0</v>
      </c>
      <c r="O167" s="1252"/>
      <c r="P167" s="1314" t="n">
        <v>0</v>
      </c>
      <c r="Q167" s="1314" t="n">
        <v>0</v>
      </c>
      <c r="R167" s="1314" t="n">
        <v>0</v>
      </c>
      <c r="S167" s="1252"/>
      <c r="T167" s="1314" t="n">
        <v>0</v>
      </c>
      <c r="U167" s="1314" t="n">
        <v>0</v>
      </c>
      <c r="V167" s="1314" t="n">
        <v>0</v>
      </c>
      <c r="W167" s="1252"/>
      <c r="X167" s="1314" t="n">
        <v>0</v>
      </c>
      <c r="Y167" s="1314" t="n">
        <v>0</v>
      </c>
      <c r="Z167" s="1314" t="n">
        <v>0</v>
      </c>
      <c r="AA167" s="1252" t="n">
        <v>0</v>
      </c>
      <c r="AB167" s="1314" t="n">
        <v>0</v>
      </c>
      <c r="AC167" s="1314" t="n">
        <v>0</v>
      </c>
      <c r="AD167" s="1314" t="n">
        <v>0</v>
      </c>
      <c r="AE167" s="1252"/>
      <c r="AF167" s="1314" t="n">
        <v>0</v>
      </c>
      <c r="AG167" s="1314" t="n">
        <v>0</v>
      </c>
      <c r="AH167" s="1314" t="n">
        <v>0</v>
      </c>
      <c r="AI167" s="1252"/>
      <c r="AJ167" s="1314" t="n">
        <v>0</v>
      </c>
      <c r="AK167" s="1314" t="n">
        <v>0</v>
      </c>
      <c r="AL167" s="1314" t="n">
        <v>0</v>
      </c>
      <c r="AM167" s="1166"/>
      <c r="AN167" s="1253" t="n">
        <v>53</v>
      </c>
      <c r="AO167" s="1316" t="n">
        <v>0.35</v>
      </c>
      <c r="AP167" s="1252"/>
      <c r="AQ167" s="0"/>
      <c r="AR167" s="0"/>
      <c r="AS167" s="0"/>
      <c r="AT167" s="0"/>
      <c r="AU167" s="0" t="str">
        <f aca="false">AV167&amp;"Q"&amp;ROUNDUP(MONTH(AW167)/3,0)</f>
        <v>2013Q2</v>
      </c>
      <c r="AV167" s="0" t="n">
        <f aca="false">YEAR(AW167)</f>
        <v>2013</v>
      </c>
      <c r="AW167" s="1304" t="n">
        <f aca="false">EOMONTH(AW166,0)+1</f>
        <v>41426</v>
      </c>
      <c r="AX167" s="112" t="n">
        <f aca="false">AY167</f>
        <v>3.21378807616916</v>
      </c>
      <c r="AY167" s="1323" t="n">
        <v>3.21378807616916</v>
      </c>
      <c r="AZ167" s="112" t="n">
        <f aca="false">AY167</f>
        <v>3.21378807616916</v>
      </c>
      <c r="BA167" s="163" t="n">
        <v>1</v>
      </c>
      <c r="BB167" s="163" t="n">
        <v>1</v>
      </c>
      <c r="BC167" s="163" t="n">
        <v>1</v>
      </c>
      <c r="BD167" s="163" t="n">
        <v>0</v>
      </c>
      <c r="BE167" s="163"/>
      <c r="BF167" s="163" t="n">
        <v>0</v>
      </c>
      <c r="BG167" s="1290" t="n">
        <v>0</v>
      </c>
      <c r="BH167" s="1262"/>
      <c r="BI167" s="1292"/>
      <c r="BJ167" s="1291"/>
      <c r="BK167" s="1293" t="n">
        <v>0</v>
      </c>
      <c r="BL167" s="1294" t="n">
        <f aca="false">+AY167</f>
        <v>3.21378807616916</v>
      </c>
      <c r="BM167" s="1295" t="n">
        <f aca="false">AY167</f>
        <v>3.21378807616916</v>
      </c>
      <c r="BN167" s="1324" t="n">
        <f aca="false">+BM167/BM155-1</f>
        <v>0.0217722345228735</v>
      </c>
      <c r="BO167" s="1296" t="n">
        <f aca="false">BM167</f>
        <v>3.21378807616916</v>
      </c>
      <c r="BP167" s="1318" t="n">
        <f aca="false">+AY167/AY155-1</f>
        <v>0.0217722345228735</v>
      </c>
      <c r="BQ167" s="1298" t="n">
        <f aca="false">VLOOKUP($AW167,$BU$8:$BZ$291,5,FALSE())</f>
        <v>3.54060789009361</v>
      </c>
      <c r="BR167" s="1298" t="n">
        <f aca="false">VLOOKUP($AW167,$BU$8:$BZ$291,6,FALSE())</f>
        <v>2.86043645712336</v>
      </c>
      <c r="BS167" s="1262" t="n">
        <v>0</v>
      </c>
      <c r="BU167" s="1309" t="n">
        <f aca="false">EDATE(BU166,1)</f>
        <v>41000</v>
      </c>
      <c r="BV167" s="1310" t="n">
        <v>2.61026674596348</v>
      </c>
      <c r="BW167" s="1310" t="n">
        <v>2.14406452375281</v>
      </c>
      <c r="BX167" s="1310"/>
      <c r="BY167" s="1310" t="n">
        <v>3.44419153722804</v>
      </c>
      <c r="BZ167" s="1311" t="n">
        <v>2.82904760572834</v>
      </c>
    </row>
    <row r="168" customFormat="false" ht="12.75" hidden="false" customHeight="false" outlineLevel="0" collapsed="false">
      <c r="A168" s="1246"/>
      <c r="B168" s="1312" t="n">
        <v>40422</v>
      </c>
      <c r="C168" s="1313" t="n">
        <v>58.8322435112262</v>
      </c>
      <c r="D168" s="1313"/>
      <c r="E168" s="1313"/>
      <c r="F168" s="1287"/>
      <c r="G168" s="1313"/>
      <c r="H168" s="1313"/>
      <c r="I168" s="1313"/>
      <c r="J168" s="1253"/>
      <c r="K168" s="1254" t="n">
        <v>41306</v>
      </c>
      <c r="L168" s="1314" t="n">
        <v>0</v>
      </c>
      <c r="M168" s="1314" t="n">
        <v>0</v>
      </c>
      <c r="N168" s="1314" t="n">
        <v>0</v>
      </c>
      <c r="O168" s="1252"/>
      <c r="P168" s="1314" t="n">
        <v>0</v>
      </c>
      <c r="Q168" s="1314" t="n">
        <v>0</v>
      </c>
      <c r="R168" s="1314" t="n">
        <v>0</v>
      </c>
      <c r="S168" s="1252"/>
      <c r="T168" s="1314" t="n">
        <v>0</v>
      </c>
      <c r="U168" s="1314" t="n">
        <v>0</v>
      </c>
      <c r="V168" s="1314" t="n">
        <v>0</v>
      </c>
      <c r="W168" s="1252"/>
      <c r="X168" s="1314" t="n">
        <v>0</v>
      </c>
      <c r="Y168" s="1314" t="n">
        <v>0</v>
      </c>
      <c r="Z168" s="1314" t="n">
        <v>0</v>
      </c>
      <c r="AA168" s="1252" t="n">
        <v>0</v>
      </c>
      <c r="AB168" s="1314" t="n">
        <v>0</v>
      </c>
      <c r="AC168" s="1314" t="n">
        <v>0</v>
      </c>
      <c r="AD168" s="1314" t="n">
        <v>0</v>
      </c>
      <c r="AE168" s="1252"/>
      <c r="AF168" s="1314" t="n">
        <v>0</v>
      </c>
      <c r="AG168" s="1314" t="n">
        <v>0</v>
      </c>
      <c r="AH168" s="1314" t="n">
        <v>0</v>
      </c>
      <c r="AI168" s="1252"/>
      <c r="AJ168" s="1314" t="n">
        <v>0</v>
      </c>
      <c r="AK168" s="1314" t="n">
        <v>0</v>
      </c>
      <c r="AL168" s="1314" t="n">
        <v>0</v>
      </c>
      <c r="AM168" s="1166"/>
      <c r="AN168" s="1253" t="n">
        <v>53</v>
      </c>
      <c r="AO168" s="1316" t="n">
        <v>0.35</v>
      </c>
      <c r="AP168" s="1252"/>
      <c r="AQ168" s="0"/>
      <c r="AR168" s="0"/>
      <c r="AS168" s="0"/>
      <c r="AT168" s="0"/>
      <c r="AU168" s="0" t="str">
        <f aca="false">AV168&amp;"Q"&amp;ROUNDUP(MONTH(AW168)/3,0)</f>
        <v>2013Q3</v>
      </c>
      <c r="AV168" s="0" t="n">
        <f aca="false">YEAR(AW168)</f>
        <v>2013</v>
      </c>
      <c r="AW168" s="1304" t="n">
        <f aca="false">EOMONTH(AW167,0)+1</f>
        <v>41456</v>
      </c>
      <c r="AX168" s="112" t="n">
        <f aca="false">AY168</f>
        <v>3.30151192595823</v>
      </c>
      <c r="AY168" s="1323" t="n">
        <v>3.30151192595823</v>
      </c>
      <c r="AZ168" s="112" t="n">
        <f aca="false">AY168</f>
        <v>3.30151192595823</v>
      </c>
      <c r="BA168" s="163" t="n">
        <v>1</v>
      </c>
      <c r="BB168" s="163" t="n">
        <v>1</v>
      </c>
      <c r="BC168" s="163" t="n">
        <v>1</v>
      </c>
      <c r="BD168" s="163" t="n">
        <v>0</v>
      </c>
      <c r="BE168" s="163"/>
      <c r="BF168" s="163" t="n">
        <v>0</v>
      </c>
      <c r="BG168" s="1290" t="n">
        <v>0</v>
      </c>
      <c r="BH168" s="1262"/>
      <c r="BI168" s="1292"/>
      <c r="BJ168" s="1291"/>
      <c r="BK168" s="1293" t="n">
        <v>0</v>
      </c>
      <c r="BL168" s="1294" t="n">
        <f aca="false">+AY168</f>
        <v>3.30151192595823</v>
      </c>
      <c r="BM168" s="1295" t="n">
        <f aca="false">AY168</f>
        <v>3.30151192595823</v>
      </c>
      <c r="BN168" s="1324" t="n">
        <f aca="false">+BM168/BM156-1</f>
        <v>0.021772234522873</v>
      </c>
      <c r="BO168" s="1296" t="n">
        <f aca="false">BM168</f>
        <v>3.30151192595823</v>
      </c>
      <c r="BP168" s="1318" t="n">
        <f aca="false">+AY168/AY156-1</f>
        <v>0.021772234522873</v>
      </c>
      <c r="BQ168" s="1298" t="n">
        <f aca="false">VLOOKUP($AW168,$BU$8:$BZ$291,5,FALSE())</f>
        <v>3.58592644210913</v>
      </c>
      <c r="BR168" s="1298" t="n">
        <f aca="false">VLOOKUP($AW168,$BU$8:$BZ$291,6,FALSE())</f>
        <v>2.90467519319135</v>
      </c>
      <c r="BS168" s="1262" t="n">
        <v>0</v>
      </c>
      <c r="BU168" s="1309" t="n">
        <f aca="false">EDATE(BU167,1)</f>
        <v>41030</v>
      </c>
      <c r="BV168" s="1310" t="n">
        <v>2.58610021133619</v>
      </c>
      <c r="BW168" s="1310" t="n">
        <v>2.11767756920529</v>
      </c>
      <c r="BX168" s="1310"/>
      <c r="BY168" s="1310" t="n">
        <v>3.41230430801051</v>
      </c>
      <c r="BZ168" s="1311" t="n">
        <v>2.79423057958098</v>
      </c>
    </row>
    <row r="169" customFormat="false" ht="12.75" hidden="false" customHeight="false" outlineLevel="0" collapsed="false">
      <c r="A169" s="1246"/>
      <c r="B169" s="1312" t="n">
        <v>40452</v>
      </c>
      <c r="C169" s="1313" t="n">
        <v>49.1063289760427</v>
      </c>
      <c r="D169" s="1313"/>
      <c r="E169" s="1313"/>
      <c r="F169" s="1287"/>
      <c r="G169" s="1313"/>
      <c r="H169" s="1313"/>
      <c r="I169" s="1313"/>
      <c r="J169" s="1253"/>
      <c r="K169" s="1254" t="n">
        <v>41334</v>
      </c>
      <c r="L169" s="1314" t="n">
        <v>0</v>
      </c>
      <c r="M169" s="1314" t="n">
        <v>0</v>
      </c>
      <c r="N169" s="1314" t="n">
        <v>0</v>
      </c>
      <c r="O169" s="1252"/>
      <c r="P169" s="1314" t="n">
        <v>0</v>
      </c>
      <c r="Q169" s="1314" t="n">
        <v>0</v>
      </c>
      <c r="R169" s="1314" t="n">
        <v>0</v>
      </c>
      <c r="S169" s="1252"/>
      <c r="T169" s="1314" t="n">
        <v>0</v>
      </c>
      <c r="U169" s="1314" t="n">
        <v>0</v>
      </c>
      <c r="V169" s="1314" t="n">
        <v>0</v>
      </c>
      <c r="W169" s="1252"/>
      <c r="X169" s="1314" t="n">
        <v>0</v>
      </c>
      <c r="Y169" s="1314" t="n">
        <v>0</v>
      </c>
      <c r="Z169" s="1314" t="n">
        <v>0</v>
      </c>
      <c r="AA169" s="1252" t="n">
        <v>0</v>
      </c>
      <c r="AB169" s="1314" t="n">
        <v>0</v>
      </c>
      <c r="AC169" s="1314" t="n">
        <v>0</v>
      </c>
      <c r="AD169" s="1314" t="n">
        <v>0</v>
      </c>
      <c r="AE169" s="1252"/>
      <c r="AF169" s="1314" t="n">
        <v>0</v>
      </c>
      <c r="AG169" s="1314" t="n">
        <v>0</v>
      </c>
      <c r="AH169" s="1314" t="n">
        <v>0</v>
      </c>
      <c r="AI169" s="1252"/>
      <c r="AJ169" s="1314" t="n">
        <v>0</v>
      </c>
      <c r="AK169" s="1314" t="n">
        <v>0</v>
      </c>
      <c r="AL169" s="1314" t="n">
        <v>0</v>
      </c>
      <c r="AM169" s="1166"/>
      <c r="AN169" s="1253" t="n">
        <v>54</v>
      </c>
      <c r="AO169" s="1316" t="n">
        <v>0.35</v>
      </c>
      <c r="AP169" s="1252"/>
      <c r="AQ169" s="0"/>
      <c r="AR169" s="0"/>
      <c r="AS169" s="0"/>
      <c r="AT169" s="0"/>
      <c r="AU169" s="0" t="str">
        <f aca="false">AV169&amp;"Q"&amp;ROUNDUP(MONTH(AW169)/3,0)</f>
        <v>2013Q3</v>
      </c>
      <c r="AV169" s="0" t="n">
        <f aca="false">YEAR(AW169)</f>
        <v>2013</v>
      </c>
      <c r="AW169" s="1304" t="n">
        <f aca="false">EOMONTH(AW168,0)+1</f>
        <v>41487</v>
      </c>
      <c r="AX169" s="112" t="n">
        <f aca="false">AY169</f>
        <v>3.42609801188385</v>
      </c>
      <c r="AY169" s="1323" t="n">
        <v>3.42609801188385</v>
      </c>
      <c r="AZ169" s="112" t="n">
        <f aca="false">AY169</f>
        <v>3.42609801188385</v>
      </c>
      <c r="BA169" s="163" t="n">
        <v>1</v>
      </c>
      <c r="BB169" s="163" t="n">
        <v>1</v>
      </c>
      <c r="BC169" s="163" t="n">
        <v>1</v>
      </c>
      <c r="BD169" s="163" t="n">
        <v>0</v>
      </c>
      <c r="BE169" s="163"/>
      <c r="BF169" s="163" t="n">
        <v>0</v>
      </c>
      <c r="BG169" s="1290" t="n">
        <v>0</v>
      </c>
      <c r="BH169" s="1262"/>
      <c r="BI169" s="1292"/>
      <c r="BJ169" s="1291"/>
      <c r="BK169" s="1293" t="n">
        <v>0</v>
      </c>
      <c r="BL169" s="1294" t="n">
        <f aca="false">+AY169</f>
        <v>3.42609801188385</v>
      </c>
      <c r="BM169" s="1295" t="n">
        <f aca="false">AY169</f>
        <v>3.42609801188385</v>
      </c>
      <c r="BN169" s="1324" t="n">
        <f aca="false">+BM169/BM157-1</f>
        <v>0.021772234522873</v>
      </c>
      <c r="BO169" s="1296" t="n">
        <f aca="false">BM169</f>
        <v>3.42609801188385</v>
      </c>
      <c r="BP169" s="1318" t="n">
        <f aca="false">+AY169/AY157-1</f>
        <v>0.021772234522873</v>
      </c>
      <c r="BQ169" s="1298" t="n">
        <f aca="false">VLOOKUP($AW169,$BU$8:$BZ$291,5,FALSE())</f>
        <v>3.67041865773127</v>
      </c>
      <c r="BR169" s="1298" t="n">
        <f aca="false">VLOOKUP($AW169,$BU$8:$BZ$291,6,FALSE())</f>
        <v>2.9737144328126</v>
      </c>
      <c r="BS169" s="1262" t="n">
        <v>0</v>
      </c>
      <c r="BU169" s="1309" t="n">
        <f aca="false">EDATE(BU168,1)</f>
        <v>41061</v>
      </c>
      <c r="BV169" s="1310" t="n">
        <v>2.59059631080174</v>
      </c>
      <c r="BW169" s="1310" t="n">
        <v>2.12464770814237</v>
      </c>
      <c r="BX169" s="1310"/>
      <c r="BY169" s="1310" t="n">
        <v>3.41823681577191</v>
      </c>
      <c r="BZ169" s="1311" t="n">
        <v>2.80342752988406</v>
      </c>
    </row>
    <row r="170" customFormat="false" ht="12.75" hidden="false" customHeight="false" outlineLevel="0" collapsed="false">
      <c r="A170" s="1246"/>
      <c r="B170" s="1312" t="n">
        <v>40483</v>
      </c>
      <c r="C170" s="1313" t="n">
        <v>49.6507106207875</v>
      </c>
      <c r="D170" s="1313"/>
      <c r="E170" s="1313"/>
      <c r="F170" s="1287"/>
      <c r="G170" s="1313"/>
      <c r="H170" s="1313"/>
      <c r="I170" s="1313"/>
      <c r="J170" s="1253"/>
      <c r="K170" s="1254" t="n">
        <v>41365</v>
      </c>
      <c r="L170" s="1314" t="n">
        <v>0</v>
      </c>
      <c r="M170" s="1314" t="n">
        <v>0</v>
      </c>
      <c r="N170" s="1314" t="n">
        <v>0</v>
      </c>
      <c r="O170" s="1252"/>
      <c r="P170" s="1314" t="n">
        <v>0</v>
      </c>
      <c r="Q170" s="1314" t="n">
        <v>0</v>
      </c>
      <c r="R170" s="1314" t="n">
        <v>0</v>
      </c>
      <c r="S170" s="1252"/>
      <c r="T170" s="1314" t="n">
        <v>0</v>
      </c>
      <c r="U170" s="1314" t="n">
        <v>0</v>
      </c>
      <c r="V170" s="1314" t="n">
        <v>0</v>
      </c>
      <c r="W170" s="1252"/>
      <c r="X170" s="1314" t="n">
        <v>0</v>
      </c>
      <c r="Y170" s="1314" t="n">
        <v>0</v>
      </c>
      <c r="Z170" s="1314" t="n">
        <v>0</v>
      </c>
      <c r="AA170" s="1252" t="n">
        <v>0</v>
      </c>
      <c r="AB170" s="1314" t="n">
        <v>0</v>
      </c>
      <c r="AC170" s="1314" t="n">
        <v>0</v>
      </c>
      <c r="AD170" s="1314" t="n">
        <v>0</v>
      </c>
      <c r="AE170" s="1252"/>
      <c r="AF170" s="1314" t="n">
        <v>0</v>
      </c>
      <c r="AG170" s="1314" t="n">
        <v>0</v>
      </c>
      <c r="AH170" s="1314" t="n">
        <v>0</v>
      </c>
      <c r="AI170" s="1252"/>
      <c r="AJ170" s="1314" t="n">
        <v>0</v>
      </c>
      <c r="AK170" s="1314" t="n">
        <v>0</v>
      </c>
      <c r="AL170" s="1314" t="n">
        <v>0</v>
      </c>
      <c r="AM170" s="1166"/>
      <c r="AN170" s="1253" t="n">
        <v>54</v>
      </c>
      <c r="AO170" s="1316" t="n">
        <v>0.35</v>
      </c>
      <c r="AP170" s="1252"/>
      <c r="AQ170" s="0"/>
      <c r="AR170" s="0"/>
      <c r="AS170" s="0"/>
      <c r="AT170" s="0"/>
      <c r="AU170" s="0" t="str">
        <f aca="false">AV170&amp;"Q"&amp;ROUNDUP(MONTH(AW170)/3,0)</f>
        <v>2013Q3</v>
      </c>
      <c r="AV170" s="0" t="n">
        <f aca="false">YEAR(AW170)</f>
        <v>2013</v>
      </c>
      <c r="AW170" s="1304" t="n">
        <f aca="false">EOMONTH(AW169,0)+1</f>
        <v>41518</v>
      </c>
      <c r="AX170" s="112" t="n">
        <f aca="false">AY170</f>
        <v>3.57442996814804</v>
      </c>
      <c r="AY170" s="1323" t="n">
        <v>3.57442996814804</v>
      </c>
      <c r="AZ170" s="112" t="n">
        <f aca="false">AY170</f>
        <v>3.57442996814804</v>
      </c>
      <c r="BA170" s="163" t="n">
        <v>1</v>
      </c>
      <c r="BB170" s="163" t="n">
        <v>1</v>
      </c>
      <c r="BC170" s="163" t="n">
        <v>1</v>
      </c>
      <c r="BD170" s="163" t="n">
        <v>0</v>
      </c>
      <c r="BE170" s="163"/>
      <c r="BF170" s="163" t="n">
        <v>0</v>
      </c>
      <c r="BG170" s="1290" t="n">
        <v>0</v>
      </c>
      <c r="BH170" s="1262"/>
      <c r="BI170" s="1292"/>
      <c r="BJ170" s="1291"/>
      <c r="BK170" s="1293" t="n">
        <v>0</v>
      </c>
      <c r="BL170" s="1294" t="n">
        <f aca="false">+AY170</f>
        <v>3.57442996814804</v>
      </c>
      <c r="BM170" s="1295" t="n">
        <f aca="false">AY170</f>
        <v>3.57442996814804</v>
      </c>
      <c r="BN170" s="1324" t="n">
        <f aca="false">+BM170/BM158-1</f>
        <v>0.0217722345228732</v>
      </c>
      <c r="BO170" s="1296" t="n">
        <f aca="false">BM170</f>
        <v>3.57442996814804</v>
      </c>
      <c r="BP170" s="1318" t="n">
        <f aca="false">+AY170/AY158-1</f>
        <v>0.0217722345228732</v>
      </c>
      <c r="BQ170" s="1298" t="n">
        <f aca="false">VLOOKUP($AW170,$BU$8:$BZ$291,5,FALSE())</f>
        <v>3.79408453696006</v>
      </c>
      <c r="BR170" s="1298" t="n">
        <f aca="false">VLOOKUP($AW170,$BU$8:$BZ$291,6,FALSE())</f>
        <v>3.05749991778985</v>
      </c>
      <c r="BS170" s="1262" t="n">
        <v>0</v>
      </c>
      <c r="BU170" s="1309" t="n">
        <f aca="false">EDATE(BU169,1)</f>
        <v>41091</v>
      </c>
      <c r="BV170" s="1310" t="n">
        <v>2.6237550443601</v>
      </c>
      <c r="BW170" s="1310" t="n">
        <v>2.15750693456003</v>
      </c>
      <c r="BX170" s="1310"/>
      <c r="BY170" s="1310" t="n">
        <v>3.46198906051224</v>
      </c>
      <c r="BZ170" s="1311" t="n">
        <v>2.84678458131284</v>
      </c>
    </row>
    <row r="171" customFormat="false" ht="12.75" hidden="false" customHeight="false" outlineLevel="0" collapsed="false">
      <c r="A171" s="1246"/>
      <c r="B171" s="1312" t="n">
        <v>40513</v>
      </c>
      <c r="C171" s="1313" t="n">
        <v>47.9206851275837</v>
      </c>
      <c r="D171" s="1313"/>
      <c r="E171" s="1313"/>
      <c r="F171" s="1287"/>
      <c r="G171" s="1313"/>
      <c r="H171" s="1313"/>
      <c r="I171" s="1313"/>
      <c r="J171" s="1253"/>
      <c r="K171" s="1254" t="n">
        <v>41395</v>
      </c>
      <c r="L171" s="1314" t="n">
        <v>0</v>
      </c>
      <c r="M171" s="1314" t="n">
        <v>0</v>
      </c>
      <c r="N171" s="1314" t="n">
        <v>0</v>
      </c>
      <c r="O171" s="1252"/>
      <c r="P171" s="1314" t="n">
        <v>0</v>
      </c>
      <c r="Q171" s="1314" t="n">
        <v>0</v>
      </c>
      <c r="R171" s="1314" t="n">
        <v>0</v>
      </c>
      <c r="S171" s="1252"/>
      <c r="T171" s="1314" t="n">
        <v>0</v>
      </c>
      <c r="U171" s="1314" t="n">
        <v>0</v>
      </c>
      <c r="V171" s="1314" t="n">
        <v>0</v>
      </c>
      <c r="W171" s="1252"/>
      <c r="X171" s="1314" t="n">
        <v>0</v>
      </c>
      <c r="Y171" s="1314" t="n">
        <v>0</v>
      </c>
      <c r="Z171" s="1314" t="n">
        <v>0</v>
      </c>
      <c r="AA171" s="1252" t="n">
        <v>0</v>
      </c>
      <c r="AB171" s="1314" t="n">
        <v>0</v>
      </c>
      <c r="AC171" s="1314" t="n">
        <v>0</v>
      </c>
      <c r="AD171" s="1314" t="n">
        <v>0</v>
      </c>
      <c r="AE171" s="1252"/>
      <c r="AF171" s="1314" t="n">
        <v>0</v>
      </c>
      <c r="AG171" s="1314" t="n">
        <v>0</v>
      </c>
      <c r="AH171" s="1314" t="n">
        <v>0</v>
      </c>
      <c r="AI171" s="1252"/>
      <c r="AJ171" s="1314" t="n">
        <v>0</v>
      </c>
      <c r="AK171" s="1314" t="n">
        <v>0</v>
      </c>
      <c r="AL171" s="1314" t="n">
        <v>0</v>
      </c>
      <c r="AM171" s="1166"/>
      <c r="AN171" s="1253" t="n">
        <v>54</v>
      </c>
      <c r="AO171" s="1316" t="n">
        <v>0.35</v>
      </c>
      <c r="AP171" s="1252"/>
      <c r="AQ171" s="0"/>
      <c r="AR171" s="0"/>
      <c r="AS171" s="0"/>
      <c r="AT171" s="0"/>
      <c r="AU171" s="0" t="str">
        <f aca="false">AV171&amp;"Q"&amp;ROUNDUP(MONTH(AW171)/3,0)</f>
        <v>2013Q4</v>
      </c>
      <c r="AV171" s="0" t="n">
        <f aca="false">YEAR(AW171)</f>
        <v>2013</v>
      </c>
      <c r="AW171" s="1304" t="n">
        <f aca="false">EOMONTH(AW170,0)+1</f>
        <v>41548</v>
      </c>
      <c r="AX171" s="112" t="n">
        <f aca="false">AY171</f>
        <v>3.73327555133386</v>
      </c>
      <c r="AY171" s="1323" t="n">
        <v>3.73327555133386</v>
      </c>
      <c r="AZ171" s="112" t="n">
        <f aca="false">AY171</f>
        <v>3.73327555133386</v>
      </c>
      <c r="BA171" s="163" t="n">
        <v>1</v>
      </c>
      <c r="BB171" s="163" t="n">
        <v>1</v>
      </c>
      <c r="BC171" s="163" t="n">
        <v>1</v>
      </c>
      <c r="BD171" s="163" t="n">
        <v>0</v>
      </c>
      <c r="BE171" s="163"/>
      <c r="BF171" s="163" t="n">
        <v>0</v>
      </c>
      <c r="BG171" s="1290" t="n">
        <v>0</v>
      </c>
      <c r="BH171" s="1262"/>
      <c r="BI171" s="1292"/>
      <c r="BJ171" s="1291"/>
      <c r="BK171" s="1293" t="n">
        <v>0</v>
      </c>
      <c r="BL171" s="1294" t="n">
        <f aca="false">+AY171</f>
        <v>3.73327555133386</v>
      </c>
      <c r="BM171" s="1295" t="n">
        <f aca="false">AY171</f>
        <v>3.73327555133386</v>
      </c>
      <c r="BN171" s="1324" t="n">
        <f aca="false">+BM171/BM159-1</f>
        <v>0.021772234522873</v>
      </c>
      <c r="BO171" s="1296" t="n">
        <f aca="false">BM171</f>
        <v>3.73327555133386</v>
      </c>
      <c r="BP171" s="1318" t="n">
        <f aca="false">+AY171/AY159-1</f>
        <v>0.021772234522873</v>
      </c>
      <c r="BQ171" s="1298" t="n">
        <f aca="false">VLOOKUP($AW171,$BU$8:$BZ$291,5,FALSE())</f>
        <v>3.95692407979547</v>
      </c>
      <c r="BR171" s="1298" t="n">
        <f aca="false">VLOOKUP($AW171,$BU$8:$BZ$291,6,FALSE())</f>
        <v>3.14597738992583</v>
      </c>
      <c r="BS171" s="1262" t="n">
        <v>0</v>
      </c>
      <c r="BU171" s="1309" t="n">
        <f aca="false">EDATE(BU170,1)</f>
        <v>41122</v>
      </c>
      <c r="BV171" s="1310" t="n">
        <v>2.6855764120113</v>
      </c>
      <c r="BW171" s="1310" t="n">
        <v>2.20878724245427</v>
      </c>
      <c r="BX171" s="1310"/>
      <c r="BY171" s="1310" t="n">
        <v>3.5435610422315</v>
      </c>
      <c r="BZ171" s="1311" t="n">
        <v>2.91444785854262</v>
      </c>
    </row>
    <row r="172" customFormat="false" ht="12.75" hidden="false" customHeight="false" outlineLevel="0" collapsed="false">
      <c r="A172" s="1246"/>
      <c r="B172" s="1312" t="n">
        <v>40544</v>
      </c>
      <c r="C172" s="1313" t="n">
        <v>47.4932210353064</v>
      </c>
      <c r="D172" s="1313"/>
      <c r="E172" s="1313"/>
      <c r="F172" s="1287"/>
      <c r="G172" s="1313"/>
      <c r="H172" s="1313"/>
      <c r="I172" s="1313"/>
      <c r="J172" s="1253"/>
      <c r="K172" s="1254" t="n">
        <v>41426</v>
      </c>
      <c r="L172" s="1314" t="n">
        <v>0</v>
      </c>
      <c r="M172" s="1314" t="n">
        <v>0</v>
      </c>
      <c r="N172" s="1314" t="n">
        <v>0</v>
      </c>
      <c r="O172" s="1252"/>
      <c r="P172" s="1314" t="n">
        <v>0</v>
      </c>
      <c r="Q172" s="1314" t="n">
        <v>0</v>
      </c>
      <c r="R172" s="1314" t="n">
        <v>0</v>
      </c>
      <c r="S172" s="1252"/>
      <c r="T172" s="1314" t="n">
        <v>0</v>
      </c>
      <c r="U172" s="1314" t="n">
        <v>0</v>
      </c>
      <c r="V172" s="1314" t="n">
        <v>0</v>
      </c>
      <c r="W172" s="1252"/>
      <c r="X172" s="1314" t="n">
        <v>0</v>
      </c>
      <c r="Y172" s="1314" t="n">
        <v>0</v>
      </c>
      <c r="Z172" s="1314" t="n">
        <v>0</v>
      </c>
      <c r="AA172" s="1252" t="n">
        <v>0</v>
      </c>
      <c r="AB172" s="1314" t="n">
        <v>0</v>
      </c>
      <c r="AC172" s="1314" t="n">
        <v>0</v>
      </c>
      <c r="AD172" s="1314" t="n">
        <v>0</v>
      </c>
      <c r="AE172" s="1252"/>
      <c r="AF172" s="1314" t="n">
        <v>0</v>
      </c>
      <c r="AG172" s="1314" t="n">
        <v>0</v>
      </c>
      <c r="AH172" s="1314" t="n">
        <v>0</v>
      </c>
      <c r="AI172" s="1252"/>
      <c r="AJ172" s="1314" t="n">
        <v>0</v>
      </c>
      <c r="AK172" s="1314" t="n">
        <v>0</v>
      </c>
      <c r="AL172" s="1314" t="n">
        <v>0</v>
      </c>
      <c r="AM172" s="1166"/>
      <c r="AN172" s="1253" t="n">
        <v>55</v>
      </c>
      <c r="AO172" s="1316" t="n">
        <v>0.35</v>
      </c>
      <c r="AP172" s="1252"/>
      <c r="AQ172" s="0"/>
      <c r="AR172" s="0"/>
      <c r="AS172" s="0"/>
      <c r="AT172" s="0"/>
      <c r="AU172" s="0" t="str">
        <f aca="false">AV172&amp;"Q"&amp;ROUNDUP(MONTH(AW172)/3,0)</f>
        <v>2013Q4</v>
      </c>
      <c r="AV172" s="0" t="n">
        <f aca="false">YEAR(AW172)</f>
        <v>2013</v>
      </c>
      <c r="AW172" s="1304" t="n">
        <f aca="false">EOMONTH(AW171,0)+1</f>
        <v>41579</v>
      </c>
      <c r="AX172" s="112" t="n">
        <f aca="false">AY172</f>
        <v>3.88991318661344</v>
      </c>
      <c r="AY172" s="1323" t="n">
        <v>3.88991318661344</v>
      </c>
      <c r="AZ172" s="112" t="n">
        <f aca="false">AY172</f>
        <v>3.88991318661344</v>
      </c>
      <c r="BA172" s="163" t="n">
        <v>1</v>
      </c>
      <c r="BB172" s="163" t="n">
        <v>1</v>
      </c>
      <c r="BC172" s="163" t="n">
        <v>1</v>
      </c>
      <c r="BD172" s="163" t="n">
        <v>0</v>
      </c>
      <c r="BE172" s="163"/>
      <c r="BF172" s="163" t="n">
        <v>0</v>
      </c>
      <c r="BG172" s="1290" t="n">
        <v>0</v>
      </c>
      <c r="BH172" s="1262"/>
      <c r="BI172" s="1292"/>
      <c r="BJ172" s="1291"/>
      <c r="BK172" s="1293" t="n">
        <v>0</v>
      </c>
      <c r="BL172" s="1294" t="n">
        <f aca="false">+AY172</f>
        <v>3.88991318661344</v>
      </c>
      <c r="BM172" s="1295" t="n">
        <f aca="false">AY172</f>
        <v>3.88991318661344</v>
      </c>
      <c r="BN172" s="1324" t="n">
        <f aca="false">+BM172/BM160-1</f>
        <v>0.0217722345228732</v>
      </c>
      <c r="BO172" s="1296" t="n">
        <f aca="false">BM172</f>
        <v>3.88991318661344</v>
      </c>
      <c r="BP172" s="1318" t="n">
        <f aca="false">+AY172/AY160-1</f>
        <v>0.0217722345228732</v>
      </c>
      <c r="BQ172" s="1298" t="n">
        <f aca="false">VLOOKUP($AW172,$BU$8:$BZ$291,5,FALSE())</f>
        <v>4.15893728623752</v>
      </c>
      <c r="BR172" s="1298" t="n">
        <f aca="false">VLOOKUP($AW172,$BU$8:$BZ$291,6,FALSE())</f>
        <v>3.22909259102327</v>
      </c>
      <c r="BS172" s="1262" t="n">
        <v>0</v>
      </c>
      <c r="BU172" s="1309" t="n">
        <f aca="false">EDATE(BU171,1)</f>
        <v>41153</v>
      </c>
      <c r="BV172" s="1310" t="n">
        <v>2.77606041375533</v>
      </c>
      <c r="BW172" s="1310" t="n">
        <v>2.27102062582107</v>
      </c>
      <c r="BX172" s="1310"/>
      <c r="BY172" s="1310" t="n">
        <v>3.66295276092968</v>
      </c>
      <c r="BZ172" s="1311" t="n">
        <v>2.99656348624865</v>
      </c>
    </row>
    <row r="173" customFormat="false" ht="12.75" hidden="false" customHeight="false" outlineLevel="0" collapsed="false">
      <c r="A173" s="1246"/>
      <c r="B173" s="1312" t="n">
        <v>40575</v>
      </c>
      <c r="C173" s="1313" t="n">
        <v>39.5020392558313</v>
      </c>
      <c r="D173" s="1313"/>
      <c r="E173" s="1313"/>
      <c r="F173" s="1287"/>
      <c r="G173" s="1313"/>
      <c r="H173" s="1313"/>
      <c r="I173" s="1313"/>
      <c r="J173" s="1253"/>
      <c r="K173" s="1254" t="n">
        <v>41456</v>
      </c>
      <c r="L173" s="1314" t="n">
        <v>0</v>
      </c>
      <c r="M173" s="1314" t="n">
        <v>0</v>
      </c>
      <c r="N173" s="1314" t="n">
        <v>0</v>
      </c>
      <c r="O173" s="1252"/>
      <c r="P173" s="1314" t="n">
        <v>0</v>
      </c>
      <c r="Q173" s="1314" t="n">
        <v>0</v>
      </c>
      <c r="R173" s="1314" t="n">
        <v>0</v>
      </c>
      <c r="S173" s="1252"/>
      <c r="T173" s="1314" t="n">
        <v>0</v>
      </c>
      <c r="U173" s="1314" t="n">
        <v>0</v>
      </c>
      <c r="V173" s="1314" t="n">
        <v>0</v>
      </c>
      <c r="W173" s="1252"/>
      <c r="X173" s="1314" t="n">
        <v>0</v>
      </c>
      <c r="Y173" s="1314" t="n">
        <v>0</v>
      </c>
      <c r="Z173" s="1314" t="n">
        <v>0</v>
      </c>
      <c r="AA173" s="1252" t="n">
        <v>0</v>
      </c>
      <c r="AB173" s="1314" t="n">
        <v>0</v>
      </c>
      <c r="AC173" s="1314" t="n">
        <v>0</v>
      </c>
      <c r="AD173" s="1314" t="n">
        <v>0</v>
      </c>
      <c r="AE173" s="1252"/>
      <c r="AF173" s="1314" t="n">
        <v>0</v>
      </c>
      <c r="AG173" s="1314" t="n">
        <v>0</v>
      </c>
      <c r="AH173" s="1314" t="n">
        <v>0</v>
      </c>
      <c r="AI173" s="1252"/>
      <c r="AJ173" s="1314" t="n">
        <v>0</v>
      </c>
      <c r="AK173" s="1314" t="n">
        <v>0</v>
      </c>
      <c r="AL173" s="1314" t="n">
        <v>0</v>
      </c>
      <c r="AM173" s="1166"/>
      <c r="AN173" s="1253" t="n">
        <v>55</v>
      </c>
      <c r="AO173" s="1316" t="n">
        <v>0.35</v>
      </c>
      <c r="AP173" s="1252"/>
      <c r="AQ173" s="0"/>
      <c r="AR173" s="0"/>
      <c r="AS173" s="0"/>
      <c r="AT173" s="0"/>
      <c r="AU173" s="0" t="str">
        <f aca="false">AV173&amp;"Q"&amp;ROUNDUP(MONTH(AW173)/3,0)</f>
        <v>2013Q4</v>
      </c>
      <c r="AV173" s="0" t="n">
        <f aca="false">YEAR(AW173)</f>
        <v>2013</v>
      </c>
      <c r="AW173" s="1304" t="n">
        <f aca="false">EOMONTH(AW172,0)+1</f>
        <v>41609</v>
      </c>
      <c r="AX173" s="112" t="n">
        <f aca="false">AY173</f>
        <v>4.05537103799982</v>
      </c>
      <c r="AY173" s="1323" t="n">
        <v>4.05537103799982</v>
      </c>
      <c r="AZ173" s="112" t="n">
        <f aca="false">AY173</f>
        <v>4.05537103799982</v>
      </c>
      <c r="BA173" s="163" t="n">
        <v>1</v>
      </c>
      <c r="BB173" s="163" t="n">
        <v>1</v>
      </c>
      <c r="BC173" s="163" t="n">
        <v>1</v>
      </c>
      <c r="BD173" s="163" t="n">
        <v>0</v>
      </c>
      <c r="BE173" s="163"/>
      <c r="BF173" s="163" t="n">
        <v>0</v>
      </c>
      <c r="BG173" s="1290" t="n">
        <v>0</v>
      </c>
      <c r="BH173" s="1262"/>
      <c r="BI173" s="1292"/>
      <c r="BJ173" s="1291"/>
      <c r="BK173" s="1293" t="n">
        <v>0</v>
      </c>
      <c r="BL173" s="1294" t="n">
        <f aca="false">+AY173</f>
        <v>4.05537103799982</v>
      </c>
      <c r="BM173" s="1295" t="n">
        <f aca="false">AY173</f>
        <v>4.05537103799982</v>
      </c>
      <c r="BN173" s="1324" t="n">
        <f aca="false">+BM173/BM161-1</f>
        <v>0.021772234522873</v>
      </c>
      <c r="BO173" s="1296" t="n">
        <f aca="false">BM173</f>
        <v>4.05537103799982</v>
      </c>
      <c r="BP173" s="1318" t="n">
        <f aca="false">+AY173/AY161-1</f>
        <v>0.021772234522873</v>
      </c>
      <c r="BQ173" s="1298" t="n">
        <f aca="false">VLOOKUP($AW173,$BU$8:$BZ$291,5,FALSE())</f>
        <v>4.24679382826353</v>
      </c>
      <c r="BR173" s="1298" t="n">
        <f aca="false">VLOOKUP($AW173,$BU$8:$BZ$291,6,FALSE())</f>
        <v>3.29679126288488</v>
      </c>
      <c r="BS173" s="1262" t="n">
        <v>0</v>
      </c>
      <c r="BU173" s="1309" t="n">
        <f aca="false">EDATE(BU172,1)</f>
        <v>41183</v>
      </c>
      <c r="BV173" s="1310" t="n">
        <v>2.89520704959218</v>
      </c>
      <c r="BW173" s="1310" t="n">
        <v>2.3367390786564</v>
      </c>
      <c r="BX173" s="1310"/>
      <c r="BY173" s="1310" t="n">
        <v>3.82016421660679</v>
      </c>
      <c r="BZ173" s="1311" t="n">
        <v>3.08327758910623</v>
      </c>
    </row>
    <row r="174" customFormat="false" ht="12.75" hidden="false" customHeight="false" outlineLevel="0" collapsed="false">
      <c r="A174" s="1246"/>
      <c r="B174" s="1312" t="n">
        <v>40603</v>
      </c>
      <c r="C174" s="1313" t="n">
        <v>37.5039494175071</v>
      </c>
      <c r="D174" s="1313"/>
      <c r="E174" s="1313"/>
      <c r="F174" s="1287"/>
      <c r="G174" s="1313"/>
      <c r="H174" s="1313"/>
      <c r="I174" s="1313"/>
      <c r="J174" s="1253"/>
      <c r="K174" s="1254" t="n">
        <v>41487</v>
      </c>
      <c r="L174" s="1314" t="n">
        <v>0</v>
      </c>
      <c r="M174" s="1314" t="n">
        <v>0</v>
      </c>
      <c r="N174" s="1314" t="n">
        <v>0</v>
      </c>
      <c r="O174" s="1252"/>
      <c r="P174" s="1314" t="n">
        <v>0</v>
      </c>
      <c r="Q174" s="1314" t="n">
        <v>0</v>
      </c>
      <c r="R174" s="1314" t="n">
        <v>0</v>
      </c>
      <c r="S174" s="1252"/>
      <c r="T174" s="1314" t="n">
        <v>0</v>
      </c>
      <c r="U174" s="1314" t="n">
        <v>0</v>
      </c>
      <c r="V174" s="1314" t="n">
        <v>0</v>
      </c>
      <c r="W174" s="1252"/>
      <c r="X174" s="1314" t="n">
        <v>0</v>
      </c>
      <c r="Y174" s="1314" t="n">
        <v>0</v>
      </c>
      <c r="Z174" s="1314" t="n">
        <v>0</v>
      </c>
      <c r="AA174" s="1252" t="n">
        <v>0</v>
      </c>
      <c r="AB174" s="1314" t="n">
        <v>0</v>
      </c>
      <c r="AC174" s="1314" t="n">
        <v>0</v>
      </c>
      <c r="AD174" s="1314" t="n">
        <v>0</v>
      </c>
      <c r="AE174" s="1252"/>
      <c r="AF174" s="1314" t="n">
        <v>0</v>
      </c>
      <c r="AG174" s="1314" t="n">
        <v>0</v>
      </c>
      <c r="AH174" s="1314" t="n">
        <v>0</v>
      </c>
      <c r="AI174" s="1252"/>
      <c r="AJ174" s="1314" t="n">
        <v>0</v>
      </c>
      <c r="AK174" s="1314" t="n">
        <v>0</v>
      </c>
      <c r="AL174" s="1314" t="n">
        <v>0</v>
      </c>
      <c r="AM174" s="1166"/>
      <c r="AN174" s="1253" t="n">
        <v>55</v>
      </c>
      <c r="AO174" s="1316" t="n">
        <v>0.35</v>
      </c>
      <c r="AP174" s="1252"/>
      <c r="AQ174" s="0"/>
      <c r="AR174" s="0"/>
      <c r="AS174" s="0"/>
      <c r="AT174" s="0"/>
      <c r="AU174" s="0" t="str">
        <f aca="false">AV174&amp;"Q"&amp;ROUNDUP(MONTH(AW174)/3,0)</f>
        <v>2014Q1</v>
      </c>
      <c r="AV174" s="0" t="n">
        <f aca="false">YEAR(AW174)</f>
        <v>2014</v>
      </c>
      <c r="AW174" s="1304" t="n">
        <f aca="false">EOMONTH(AW173,0)+1</f>
        <v>41640</v>
      </c>
      <c r="AX174" s="112" t="n">
        <f aca="false">AY174</f>
        <v>3.84983075650993</v>
      </c>
      <c r="AY174" s="1323" t="n">
        <v>3.84983075650993</v>
      </c>
      <c r="AZ174" s="112" t="n">
        <f aca="false">AY174</f>
        <v>3.84983075650993</v>
      </c>
      <c r="BA174" s="163" t="n">
        <v>1</v>
      </c>
      <c r="BB174" s="163" t="n">
        <v>1</v>
      </c>
      <c r="BC174" s="163" t="n">
        <v>1</v>
      </c>
      <c r="BD174" s="163" t="n">
        <v>0</v>
      </c>
      <c r="BE174" s="163"/>
      <c r="BF174" s="163" t="n">
        <v>0</v>
      </c>
      <c r="BG174" s="1290" t="n">
        <v>0</v>
      </c>
      <c r="BH174" s="1262"/>
      <c r="BI174" s="1292"/>
      <c r="BJ174" s="1291"/>
      <c r="BK174" s="1293" t="n">
        <v>0</v>
      </c>
      <c r="BL174" s="1294" t="n">
        <f aca="false">+AY174</f>
        <v>3.84983075650993</v>
      </c>
      <c r="BM174" s="1295" t="n">
        <f aca="false">AY174</f>
        <v>3.84983075650993</v>
      </c>
      <c r="BN174" s="1324" t="n">
        <f aca="false">+BM174/BM162-1</f>
        <v>0.0201197379946636</v>
      </c>
      <c r="BO174" s="1296" t="n">
        <f aca="false">BM174</f>
        <v>3.84983075650993</v>
      </c>
      <c r="BP174" s="1318" t="n">
        <f aca="false">+AY174/AY162-1</f>
        <v>0.0201197379946636</v>
      </c>
      <c r="BQ174" s="1298" t="n">
        <f aca="false">VLOOKUP($AW174,$BU$8:$BZ$291,5,FALSE())</f>
        <v>4.19053228070123</v>
      </c>
      <c r="BR174" s="1298" t="n">
        <f aca="false">VLOOKUP($AW174,$BU$8:$BZ$291,6,FALSE())</f>
        <v>3.47196980381985</v>
      </c>
      <c r="BS174" s="1262" t="n">
        <v>0</v>
      </c>
      <c r="BU174" s="1309" t="n">
        <f aca="false">EDATE(BU173,1)</f>
        <v>41214</v>
      </c>
      <c r="BV174" s="1310" t="n">
        <v>3.04301631952186</v>
      </c>
      <c r="BW174" s="1310" t="n">
        <v>2.39847459495626</v>
      </c>
      <c r="BX174" s="1310"/>
      <c r="BY174" s="1310" t="n">
        <v>4.01519540926283</v>
      </c>
      <c r="BZ174" s="1311" t="n">
        <v>3.16473629179061</v>
      </c>
    </row>
    <row r="175" customFormat="false" ht="12.75" hidden="false" customHeight="false" outlineLevel="0" collapsed="false">
      <c r="A175" s="1246"/>
      <c r="B175" s="1312" t="n">
        <v>40634</v>
      </c>
      <c r="C175" s="1313" t="n">
        <v>36.0128079252745</v>
      </c>
      <c r="D175" s="1313"/>
      <c r="E175" s="1313"/>
      <c r="F175" s="1287"/>
      <c r="G175" s="1313"/>
      <c r="H175" s="1313"/>
      <c r="I175" s="1313"/>
      <c r="J175" s="1253"/>
      <c r="K175" s="1254" t="n">
        <v>41518</v>
      </c>
      <c r="L175" s="1314" t="n">
        <v>0</v>
      </c>
      <c r="M175" s="1314" t="n">
        <v>0</v>
      </c>
      <c r="N175" s="1314" t="n">
        <v>0</v>
      </c>
      <c r="O175" s="1252"/>
      <c r="P175" s="1314" t="n">
        <v>0</v>
      </c>
      <c r="Q175" s="1314" t="n">
        <v>0</v>
      </c>
      <c r="R175" s="1314" t="n">
        <v>0</v>
      </c>
      <c r="S175" s="1252"/>
      <c r="T175" s="1314" t="n">
        <v>0</v>
      </c>
      <c r="U175" s="1314" t="n">
        <v>0</v>
      </c>
      <c r="V175" s="1314" t="n">
        <v>0</v>
      </c>
      <c r="W175" s="1252"/>
      <c r="X175" s="1314" t="n">
        <v>0</v>
      </c>
      <c r="Y175" s="1314" t="n">
        <v>0</v>
      </c>
      <c r="Z175" s="1314" t="n">
        <v>0</v>
      </c>
      <c r="AA175" s="1252" t="n">
        <v>0</v>
      </c>
      <c r="AB175" s="1314" t="n">
        <v>0</v>
      </c>
      <c r="AC175" s="1314" t="n">
        <v>0</v>
      </c>
      <c r="AD175" s="1314" t="n">
        <v>0</v>
      </c>
      <c r="AE175" s="1252"/>
      <c r="AF175" s="1314" t="n">
        <v>0</v>
      </c>
      <c r="AG175" s="1314" t="n">
        <v>0</v>
      </c>
      <c r="AH175" s="1314" t="n">
        <v>0</v>
      </c>
      <c r="AI175" s="1252"/>
      <c r="AJ175" s="1314" t="n">
        <v>0</v>
      </c>
      <c r="AK175" s="1314" t="n">
        <v>0</v>
      </c>
      <c r="AL175" s="1314" t="n">
        <v>0</v>
      </c>
      <c r="AM175" s="1166"/>
      <c r="AN175" s="1253" t="n">
        <v>56</v>
      </c>
      <c r="AO175" s="1316" t="n">
        <v>0.35</v>
      </c>
      <c r="AP175" s="1252"/>
      <c r="AQ175" s="0"/>
      <c r="AR175" s="0"/>
      <c r="AS175" s="0"/>
      <c r="AT175" s="0"/>
      <c r="AU175" s="0" t="str">
        <f aca="false">AV175&amp;"Q"&amp;ROUNDUP(MONTH(AW175)/3,0)</f>
        <v>2014Q1</v>
      </c>
      <c r="AV175" s="0" t="n">
        <f aca="false">YEAR(AW175)</f>
        <v>2014</v>
      </c>
      <c r="AW175" s="1304" t="n">
        <f aca="false">EOMONTH(AW174,0)+1</f>
        <v>41671</v>
      </c>
      <c r="AX175" s="112" t="n">
        <f aca="false">AY175</f>
        <v>3.55577003268057</v>
      </c>
      <c r="AY175" s="1323" t="n">
        <v>3.55577003268057</v>
      </c>
      <c r="AZ175" s="112" t="n">
        <f aca="false">AY175</f>
        <v>3.55577003268057</v>
      </c>
      <c r="BA175" s="163" t="n">
        <v>1</v>
      </c>
      <c r="BB175" s="163" t="n">
        <v>1</v>
      </c>
      <c r="BC175" s="163" t="n">
        <v>1</v>
      </c>
      <c r="BD175" s="163" t="n">
        <v>0</v>
      </c>
      <c r="BE175" s="163"/>
      <c r="BF175" s="163" t="n">
        <v>0</v>
      </c>
      <c r="BG175" s="1290" t="n">
        <v>0</v>
      </c>
      <c r="BH175" s="1262"/>
      <c r="BI175" s="1292"/>
      <c r="BJ175" s="1291"/>
      <c r="BK175" s="1293" t="n">
        <v>0</v>
      </c>
      <c r="BL175" s="1294" t="n">
        <f aca="false">+AY175</f>
        <v>3.55577003268057</v>
      </c>
      <c r="BM175" s="1295" t="n">
        <f aca="false">AY175</f>
        <v>3.55577003268057</v>
      </c>
      <c r="BN175" s="1324" t="n">
        <f aca="false">+BM175/BM163-1</f>
        <v>0.0201197379946636</v>
      </c>
      <c r="BO175" s="1296" t="n">
        <f aca="false">BM175</f>
        <v>3.55577003268057</v>
      </c>
      <c r="BP175" s="1318" t="n">
        <f aca="false">+AY175/AY163-1</f>
        <v>0.0201197379946636</v>
      </c>
      <c r="BQ175" s="1298" t="n">
        <f aca="false">VLOOKUP($AW175,$BU$8:$BZ$291,5,FALSE())</f>
        <v>3.87433761912825</v>
      </c>
      <c r="BR175" s="1298" t="n">
        <f aca="false">VLOOKUP($AW175,$BU$8:$BZ$291,6,FALSE())</f>
        <v>3.23393141567555</v>
      </c>
      <c r="BS175" s="1262" t="n">
        <v>0</v>
      </c>
      <c r="BU175" s="1309" t="n">
        <f aca="false">EDATE(BU174,1)</f>
        <v>41244</v>
      </c>
      <c r="BV175" s="1310" t="n">
        <v>3.10729930163044</v>
      </c>
      <c r="BW175" s="1310" t="n">
        <v>2.44875916871663</v>
      </c>
      <c r="BX175" s="1310"/>
      <c r="BY175" s="1310" t="n">
        <v>4.10001543898146</v>
      </c>
      <c r="BZ175" s="1311" t="n">
        <v>3.23108571897709</v>
      </c>
    </row>
    <row r="176" customFormat="false" ht="12.75" hidden="false" customHeight="false" outlineLevel="0" collapsed="false">
      <c r="A176" s="1246"/>
      <c r="B176" s="1312" t="n">
        <v>40664</v>
      </c>
      <c r="C176" s="1313" t="n">
        <v>37.5218144585961</v>
      </c>
      <c r="D176" s="1313"/>
      <c r="E176" s="1313"/>
      <c r="F176" s="1287"/>
      <c r="G176" s="1313"/>
      <c r="H176" s="1313"/>
      <c r="I176" s="1313"/>
      <c r="J176" s="1253"/>
      <c r="K176" s="1254" t="n">
        <v>41548</v>
      </c>
      <c r="L176" s="1314" t="n">
        <v>0</v>
      </c>
      <c r="M176" s="1314" t="n">
        <v>0</v>
      </c>
      <c r="N176" s="1314" t="n">
        <v>0</v>
      </c>
      <c r="O176" s="1252"/>
      <c r="P176" s="1314" t="n">
        <v>0</v>
      </c>
      <c r="Q176" s="1314" t="n">
        <v>0</v>
      </c>
      <c r="R176" s="1314" t="n">
        <v>0</v>
      </c>
      <c r="S176" s="1252"/>
      <c r="T176" s="1314" t="n">
        <v>0</v>
      </c>
      <c r="U176" s="1314" t="n">
        <v>0</v>
      </c>
      <c r="V176" s="1314" t="n">
        <v>0</v>
      </c>
      <c r="W176" s="1252"/>
      <c r="X176" s="1314" t="n">
        <v>0</v>
      </c>
      <c r="Y176" s="1314" t="n">
        <v>0</v>
      </c>
      <c r="Z176" s="1314" t="n">
        <v>0</v>
      </c>
      <c r="AA176" s="1252" t="n">
        <v>0</v>
      </c>
      <c r="AB176" s="1314" t="n">
        <v>0</v>
      </c>
      <c r="AC176" s="1314" t="n">
        <v>0</v>
      </c>
      <c r="AD176" s="1314" t="n">
        <v>0</v>
      </c>
      <c r="AE176" s="1252"/>
      <c r="AF176" s="1314" t="n">
        <v>0</v>
      </c>
      <c r="AG176" s="1314" t="n">
        <v>0</v>
      </c>
      <c r="AH176" s="1314" t="n">
        <v>0</v>
      </c>
      <c r="AI176" s="1252"/>
      <c r="AJ176" s="1314" t="n">
        <v>0</v>
      </c>
      <c r="AK176" s="1314" t="n">
        <v>0</v>
      </c>
      <c r="AL176" s="1314" t="n">
        <v>0</v>
      </c>
      <c r="AM176" s="1166"/>
      <c r="AN176" s="1253" t="n">
        <v>56</v>
      </c>
      <c r="AO176" s="1316" t="n">
        <v>0.35</v>
      </c>
      <c r="AP176" s="1252"/>
      <c r="AQ176" s="0"/>
      <c r="AR176" s="0"/>
      <c r="AS176" s="0"/>
      <c r="AT176" s="0"/>
      <c r="AU176" s="0" t="str">
        <f aca="false">AV176&amp;"Q"&amp;ROUNDUP(MONTH(AW176)/3,0)</f>
        <v>2014Q1</v>
      </c>
      <c r="AV176" s="0" t="n">
        <f aca="false">YEAR(AW176)</f>
        <v>2014</v>
      </c>
      <c r="AW176" s="1304" t="n">
        <f aca="false">EOMONTH(AW175,0)+1</f>
        <v>41699</v>
      </c>
      <c r="AX176" s="112" t="n">
        <f aca="false">AY176</f>
        <v>3.36488405309789</v>
      </c>
      <c r="AY176" s="1323" t="n">
        <v>3.36488405309789</v>
      </c>
      <c r="AZ176" s="112" t="n">
        <f aca="false">AY176</f>
        <v>3.36488405309789</v>
      </c>
      <c r="BA176" s="163" t="n">
        <v>1</v>
      </c>
      <c r="BB176" s="163" t="n">
        <v>1</v>
      </c>
      <c r="BC176" s="163" t="n">
        <v>1</v>
      </c>
      <c r="BD176" s="163" t="n">
        <v>0</v>
      </c>
      <c r="BE176" s="163"/>
      <c r="BF176" s="163" t="n">
        <v>0</v>
      </c>
      <c r="BG176" s="1290" t="n">
        <v>0</v>
      </c>
      <c r="BH176" s="1262"/>
      <c r="BI176" s="1292"/>
      <c r="BJ176" s="1291"/>
      <c r="BK176" s="1293" t="n">
        <v>0</v>
      </c>
      <c r="BL176" s="1294" t="n">
        <f aca="false">+AY176</f>
        <v>3.36488405309789</v>
      </c>
      <c r="BM176" s="1295" t="n">
        <f aca="false">AY176</f>
        <v>3.36488405309789</v>
      </c>
      <c r="BN176" s="1324" t="n">
        <f aca="false">+BM176/BM164-1</f>
        <v>0.0201197379946634</v>
      </c>
      <c r="BO176" s="1296" t="n">
        <f aca="false">BM176</f>
        <v>3.36488405309789</v>
      </c>
      <c r="BP176" s="1318" t="n">
        <f aca="false">+AY176/AY164-1</f>
        <v>0.0201197379946634</v>
      </c>
      <c r="BQ176" s="1298" t="n">
        <f aca="false">VLOOKUP($AW176,$BU$8:$BZ$291,5,FALSE())</f>
        <v>3.75930148627812</v>
      </c>
      <c r="BR176" s="1298" t="n">
        <f aca="false">VLOOKUP($AW176,$BU$8:$BZ$291,6,FALSE())</f>
        <v>3.07339389808986</v>
      </c>
      <c r="BS176" s="1262" t="n">
        <v>0</v>
      </c>
      <c r="BU176" s="1309" t="n">
        <f aca="false">EDATE(BU175,1)</f>
        <v>41275</v>
      </c>
      <c r="BV176" s="1310" t="n">
        <v>3.01456294240878</v>
      </c>
      <c r="BW176" s="1310" t="n">
        <v>2.49886951882281</v>
      </c>
      <c r="BX176" s="1310"/>
      <c r="BY176" s="1310" t="n">
        <v>4.0572048180732</v>
      </c>
      <c r="BZ176" s="1311" t="n">
        <v>3.36314936698687</v>
      </c>
    </row>
    <row r="177" customFormat="false" ht="12.75" hidden="false" customHeight="false" outlineLevel="0" collapsed="false">
      <c r="A177" s="1246"/>
      <c r="B177" s="1312" t="n">
        <v>40695</v>
      </c>
      <c r="C177" s="1313" t="n">
        <v>38.3050641070729</v>
      </c>
      <c r="D177" s="1313"/>
      <c r="E177" s="1313"/>
      <c r="F177" s="1287"/>
      <c r="G177" s="1313"/>
      <c r="H177" s="1313"/>
      <c r="I177" s="1313"/>
      <c r="J177" s="1253"/>
      <c r="K177" s="1254" t="n">
        <v>41579</v>
      </c>
      <c r="L177" s="1314" t="n">
        <v>0</v>
      </c>
      <c r="M177" s="1314" t="n">
        <v>0</v>
      </c>
      <c r="N177" s="1314" t="n">
        <v>0</v>
      </c>
      <c r="O177" s="1252"/>
      <c r="P177" s="1314" t="n">
        <v>0</v>
      </c>
      <c r="Q177" s="1314" t="n">
        <v>0</v>
      </c>
      <c r="R177" s="1314" t="n">
        <v>0</v>
      </c>
      <c r="S177" s="1252"/>
      <c r="T177" s="1314" t="n">
        <v>0</v>
      </c>
      <c r="U177" s="1314" t="n">
        <v>0</v>
      </c>
      <c r="V177" s="1314" t="n">
        <v>0</v>
      </c>
      <c r="W177" s="1252"/>
      <c r="X177" s="1314" t="n">
        <v>0</v>
      </c>
      <c r="Y177" s="1314" t="n">
        <v>0</v>
      </c>
      <c r="Z177" s="1314" t="n">
        <v>0</v>
      </c>
      <c r="AA177" s="1252" t="n">
        <v>0</v>
      </c>
      <c r="AB177" s="1314" t="n">
        <v>0</v>
      </c>
      <c r="AC177" s="1314" t="n">
        <v>0</v>
      </c>
      <c r="AD177" s="1314" t="n">
        <v>0</v>
      </c>
      <c r="AE177" s="1252"/>
      <c r="AF177" s="1314" t="n">
        <v>0</v>
      </c>
      <c r="AG177" s="1314" t="n">
        <v>0</v>
      </c>
      <c r="AH177" s="1314" t="n">
        <v>0</v>
      </c>
      <c r="AI177" s="1252"/>
      <c r="AJ177" s="1314" t="n">
        <v>0</v>
      </c>
      <c r="AK177" s="1314" t="n">
        <v>0</v>
      </c>
      <c r="AL177" s="1314" t="n">
        <v>0</v>
      </c>
      <c r="AM177" s="1166"/>
      <c r="AN177" s="1253" t="n">
        <v>56</v>
      </c>
      <c r="AO177" s="1316" t="n">
        <v>0.35</v>
      </c>
      <c r="AP177" s="1252"/>
      <c r="AQ177" s="0"/>
      <c r="AR177" s="0"/>
      <c r="AS177" s="0"/>
      <c r="AT177" s="0"/>
      <c r="AU177" s="0" t="str">
        <f aca="false">AV177&amp;"Q"&amp;ROUNDUP(MONTH(AW177)/3,0)</f>
        <v>2014Q2</v>
      </c>
      <c r="AV177" s="0" t="n">
        <f aca="false">YEAR(AW177)</f>
        <v>2014</v>
      </c>
      <c r="AW177" s="1304" t="n">
        <f aca="false">EOMONTH(AW176,0)+1</f>
        <v>41730</v>
      </c>
      <c r="AX177" s="112" t="n">
        <f aca="false">AY177</f>
        <v>3.26393512940722</v>
      </c>
      <c r="AY177" s="1323" t="n">
        <v>3.26393512940722</v>
      </c>
      <c r="AZ177" s="112" t="n">
        <f aca="false">AY177</f>
        <v>3.26393512940722</v>
      </c>
      <c r="BA177" s="163" t="n">
        <v>1</v>
      </c>
      <c r="BB177" s="163" t="n">
        <v>1</v>
      </c>
      <c r="BC177" s="163" t="n">
        <v>1</v>
      </c>
      <c r="BD177" s="163" t="n">
        <v>0</v>
      </c>
      <c r="BE177" s="163"/>
      <c r="BF177" s="163" t="n">
        <v>0</v>
      </c>
      <c r="BG177" s="1290" t="n">
        <v>0</v>
      </c>
      <c r="BH177" s="1262"/>
      <c r="BI177" s="1292"/>
      <c r="BJ177" s="1291"/>
      <c r="BK177" s="1293" t="n">
        <v>0</v>
      </c>
      <c r="BL177" s="1294" t="n">
        <f aca="false">+AY177</f>
        <v>3.26393512940722</v>
      </c>
      <c r="BM177" s="1295" t="n">
        <f aca="false">AY177</f>
        <v>3.26393512940722</v>
      </c>
      <c r="BN177" s="1324" t="n">
        <f aca="false">+BM177/BM165-1</f>
        <v>0.0201197379946636</v>
      </c>
      <c r="BO177" s="1296" t="n">
        <f aca="false">BM177</f>
        <v>3.26393512940722</v>
      </c>
      <c r="BP177" s="1318" t="n">
        <f aca="false">+AY177/AY165-1</f>
        <v>0.0201197379946636</v>
      </c>
      <c r="BQ177" s="1298" t="n">
        <f aca="false">VLOOKUP($AW177,$BU$8:$BZ$291,5,FALSE())</f>
        <v>3.68472633808563</v>
      </c>
      <c r="BR177" s="1298" t="n">
        <f aca="false">VLOOKUP($AW177,$BU$8:$BZ$291,6,FALSE())</f>
        <v>2.97997767018439</v>
      </c>
      <c r="BS177" s="1262" t="n">
        <v>0</v>
      </c>
      <c r="BU177" s="1309" t="n">
        <f aca="false">EDATE(BU176,1)</f>
        <v>41306</v>
      </c>
      <c r="BV177" s="1310" t="n">
        <v>2.78710049956944</v>
      </c>
      <c r="BW177" s="1310" t="n">
        <v>2.32754692500616</v>
      </c>
      <c r="BX177" s="1310"/>
      <c r="BY177" s="1310" t="n">
        <v>3.75107031809787</v>
      </c>
      <c r="BZ177" s="1311" t="n">
        <v>3.13257171232947</v>
      </c>
    </row>
    <row r="178" customFormat="false" ht="12.75" hidden="false" customHeight="false" outlineLevel="0" collapsed="false">
      <c r="A178" s="1246"/>
      <c r="B178" s="1312" t="n">
        <v>40725</v>
      </c>
      <c r="C178" s="1313" t="n">
        <v>53.9394941833827</v>
      </c>
      <c r="D178" s="1313"/>
      <c r="E178" s="1313"/>
      <c r="F178" s="1287"/>
      <c r="G178" s="1313"/>
      <c r="H178" s="1313"/>
      <c r="I178" s="1313"/>
      <c r="J178" s="1253"/>
      <c r="K178" s="1254" t="n">
        <v>41609</v>
      </c>
      <c r="L178" s="1314" t="n">
        <v>0</v>
      </c>
      <c r="M178" s="1314" t="n">
        <v>0</v>
      </c>
      <c r="N178" s="1314" t="n">
        <v>0</v>
      </c>
      <c r="O178" s="1252"/>
      <c r="P178" s="1314" t="n">
        <v>0</v>
      </c>
      <c r="Q178" s="1314" t="n">
        <v>0</v>
      </c>
      <c r="R178" s="1314" t="n">
        <v>0</v>
      </c>
      <c r="S178" s="1252"/>
      <c r="T178" s="1314" t="n">
        <v>0</v>
      </c>
      <c r="U178" s="1314" t="n">
        <v>0</v>
      </c>
      <c r="V178" s="1314" t="n">
        <v>0</v>
      </c>
      <c r="W178" s="1252"/>
      <c r="X178" s="1314" t="n">
        <v>0</v>
      </c>
      <c r="Y178" s="1314" t="n">
        <v>0</v>
      </c>
      <c r="Z178" s="1314" t="n">
        <v>0</v>
      </c>
      <c r="AA178" s="1252" t="n">
        <v>0</v>
      </c>
      <c r="AB178" s="1314" t="n">
        <v>0</v>
      </c>
      <c r="AC178" s="1314" t="n">
        <v>0</v>
      </c>
      <c r="AD178" s="1314" t="n">
        <v>0</v>
      </c>
      <c r="AE178" s="1252"/>
      <c r="AF178" s="1314" t="n">
        <v>0</v>
      </c>
      <c r="AG178" s="1314" t="n">
        <v>0</v>
      </c>
      <c r="AH178" s="1314" t="n">
        <v>0</v>
      </c>
      <c r="AI178" s="1252"/>
      <c r="AJ178" s="1314" t="n">
        <v>0</v>
      </c>
      <c r="AK178" s="1314" t="n">
        <v>0</v>
      </c>
      <c r="AL178" s="1314" t="n">
        <v>0</v>
      </c>
      <c r="AM178" s="1166"/>
      <c r="AN178" s="1253" t="n">
        <v>57</v>
      </c>
      <c r="AO178" s="1316" t="n">
        <v>0.35</v>
      </c>
      <c r="AP178" s="1252"/>
      <c r="AQ178" s="0"/>
      <c r="AR178" s="0"/>
      <c r="AS178" s="0"/>
      <c r="AT178" s="0"/>
      <c r="AU178" s="0" t="str">
        <f aca="false">AV178&amp;"Q"&amp;ROUNDUP(MONTH(AW178)/3,0)</f>
        <v>2014Q2</v>
      </c>
      <c r="AV178" s="0" t="n">
        <f aca="false">YEAR(AW178)</f>
        <v>2014</v>
      </c>
      <c r="AW178" s="1304" t="n">
        <f aca="false">EOMONTH(AW177,0)+1</f>
        <v>41760</v>
      </c>
      <c r="AX178" s="112" t="n">
        <f aca="false">AY178</f>
        <v>3.23931954030813</v>
      </c>
      <c r="AY178" s="1323" t="n">
        <v>3.23931954030813</v>
      </c>
      <c r="AZ178" s="112" t="n">
        <f aca="false">AY178</f>
        <v>3.23931954030813</v>
      </c>
      <c r="BA178" s="163" t="n">
        <v>1</v>
      </c>
      <c r="BB178" s="163" t="n">
        <v>1</v>
      </c>
      <c r="BC178" s="163" t="n">
        <v>1</v>
      </c>
      <c r="BD178" s="163" t="n">
        <v>0</v>
      </c>
      <c r="BE178" s="163"/>
      <c r="BF178" s="163" t="n">
        <v>0</v>
      </c>
      <c r="BG178" s="1290" t="n">
        <v>0</v>
      </c>
      <c r="BH178" s="1262"/>
      <c r="BI178" s="1292"/>
      <c r="BJ178" s="1291"/>
      <c r="BK178" s="1293" t="n">
        <v>0</v>
      </c>
      <c r="BL178" s="1294" t="n">
        <f aca="false">+AY178</f>
        <v>3.23931954030813</v>
      </c>
      <c r="BM178" s="1295" t="n">
        <f aca="false">AY178</f>
        <v>3.23931954030813</v>
      </c>
      <c r="BN178" s="1324" t="n">
        <f aca="false">+BM178/BM166-1</f>
        <v>0.0201197379946636</v>
      </c>
      <c r="BO178" s="1296" t="n">
        <f aca="false">BM178</f>
        <v>3.23931954030813</v>
      </c>
      <c r="BP178" s="1318" t="n">
        <f aca="false">+AY178/AY166-1</f>
        <v>0.0201197379946636</v>
      </c>
      <c r="BQ178" s="1298" t="n">
        <f aca="false">VLOOKUP($AW178,$BU$8:$BZ$291,5,FALSE())</f>
        <v>3.65061217455076</v>
      </c>
      <c r="BR178" s="1298" t="n">
        <f aca="false">VLOOKUP($AW178,$BU$8:$BZ$291,6,FALSE())</f>
        <v>2.94330315108076</v>
      </c>
      <c r="BS178" s="1262" t="n">
        <v>0</v>
      </c>
      <c r="BU178" s="1309" t="n">
        <f aca="false">EDATE(BU177,1)</f>
        <v>41334</v>
      </c>
      <c r="BV178" s="1310" t="n">
        <v>2.70434641490935</v>
      </c>
      <c r="BW178" s="1310" t="n">
        <v>2.21200378033911</v>
      </c>
      <c r="BX178" s="1310"/>
      <c r="BY178" s="1310" t="n">
        <v>3.63969421568686</v>
      </c>
      <c r="BZ178" s="1311" t="n">
        <v>2.97706585221169</v>
      </c>
    </row>
    <row r="179" customFormat="false" ht="12.75" hidden="false" customHeight="false" outlineLevel="0" collapsed="false">
      <c r="A179" s="1246"/>
      <c r="B179" s="1312" t="n">
        <v>40756</v>
      </c>
      <c r="C179" s="1313" t="n">
        <v>73.2182631103245</v>
      </c>
      <c r="D179" s="1313"/>
      <c r="E179" s="1313"/>
      <c r="F179" s="1287"/>
      <c r="G179" s="1313"/>
      <c r="H179" s="1313"/>
      <c r="I179" s="1313"/>
      <c r="J179" s="1253"/>
      <c r="K179" s="1254" t="n">
        <v>41640</v>
      </c>
      <c r="L179" s="1314" t="n">
        <v>0</v>
      </c>
      <c r="M179" s="1314" t="n">
        <v>0</v>
      </c>
      <c r="N179" s="1314" t="n">
        <v>0</v>
      </c>
      <c r="O179" s="1252"/>
      <c r="P179" s="1314" t="n">
        <v>0</v>
      </c>
      <c r="Q179" s="1314" t="n">
        <v>0</v>
      </c>
      <c r="R179" s="1314" t="n">
        <v>0</v>
      </c>
      <c r="S179" s="1252"/>
      <c r="T179" s="1314" t="n">
        <v>0</v>
      </c>
      <c r="U179" s="1314" t="n">
        <v>0</v>
      </c>
      <c r="V179" s="1314" t="n">
        <v>0</v>
      </c>
      <c r="W179" s="1252"/>
      <c r="X179" s="1314" t="n">
        <v>0</v>
      </c>
      <c r="Y179" s="1314" t="n">
        <v>0</v>
      </c>
      <c r="Z179" s="1314" t="n">
        <v>0</v>
      </c>
      <c r="AA179" s="1252" t="n">
        <v>0</v>
      </c>
      <c r="AB179" s="1314" t="n">
        <v>0</v>
      </c>
      <c r="AC179" s="1314" t="n">
        <v>0</v>
      </c>
      <c r="AD179" s="1314" t="n">
        <v>0</v>
      </c>
      <c r="AE179" s="1252"/>
      <c r="AF179" s="1314" t="n">
        <v>0</v>
      </c>
      <c r="AG179" s="1314" t="n">
        <v>0</v>
      </c>
      <c r="AH179" s="1314" t="n">
        <v>0</v>
      </c>
      <c r="AI179" s="1252"/>
      <c r="AJ179" s="1314" t="n">
        <v>0</v>
      </c>
      <c r="AK179" s="1314" t="n">
        <v>0</v>
      </c>
      <c r="AL179" s="1314" t="n">
        <v>0</v>
      </c>
      <c r="AM179" s="1166"/>
      <c r="AN179" s="1253" t="n">
        <v>57</v>
      </c>
      <c r="AO179" s="1316" t="n">
        <v>0.35</v>
      </c>
      <c r="AP179" s="1252"/>
      <c r="AQ179" s="0"/>
      <c r="AR179" s="0"/>
      <c r="AS179" s="0"/>
      <c r="AT179" s="0"/>
      <c r="AU179" s="0" t="str">
        <f aca="false">AV179&amp;"Q"&amp;ROUNDUP(MONTH(AW179)/3,0)</f>
        <v>2014Q2</v>
      </c>
      <c r="AV179" s="0" t="n">
        <f aca="false">YEAR(AW179)</f>
        <v>2014</v>
      </c>
      <c r="AW179" s="1304" t="n">
        <f aca="false">EOMONTH(AW178,0)+1</f>
        <v>41791</v>
      </c>
      <c r="AX179" s="112" t="n">
        <f aca="false">AY179</f>
        <v>3.27844865023206</v>
      </c>
      <c r="AY179" s="1323" t="n">
        <v>3.27844865023206</v>
      </c>
      <c r="AZ179" s="112" t="n">
        <f aca="false">AY179</f>
        <v>3.27844865023206</v>
      </c>
      <c r="BA179" s="163" t="n">
        <v>1</v>
      </c>
      <c r="BB179" s="163" t="n">
        <v>1</v>
      </c>
      <c r="BC179" s="163" t="n">
        <v>1</v>
      </c>
      <c r="BD179" s="163" t="n">
        <v>0</v>
      </c>
      <c r="BE179" s="163"/>
      <c r="BF179" s="163" t="n">
        <v>0</v>
      </c>
      <c r="BG179" s="1290" t="n">
        <v>0</v>
      </c>
      <c r="BH179" s="1262"/>
      <c r="BI179" s="1292"/>
      <c r="BJ179" s="1291"/>
      <c r="BK179" s="1293" t="n">
        <v>0</v>
      </c>
      <c r="BL179" s="1294" t="n">
        <f aca="false">+AY179</f>
        <v>3.27844865023206</v>
      </c>
      <c r="BM179" s="1295" t="n">
        <f aca="false">AY179</f>
        <v>3.27844865023206</v>
      </c>
      <c r="BN179" s="1324" t="n">
        <f aca="false">+BM179/BM167-1</f>
        <v>0.0201197379946634</v>
      </c>
      <c r="BO179" s="1296" t="n">
        <f aca="false">BM179</f>
        <v>3.27844865023206</v>
      </c>
      <c r="BP179" s="1318" t="n">
        <f aca="false">+AY179/AY167-1</f>
        <v>0.0201197379946634</v>
      </c>
      <c r="BQ179" s="1298" t="n">
        <f aca="false">VLOOKUP($AW179,$BU$8:$BZ$291,5,FALSE())</f>
        <v>3.65695899567353</v>
      </c>
      <c r="BR179" s="1298" t="n">
        <f aca="false">VLOOKUP($AW179,$BU$8:$BZ$291,6,FALSE())</f>
        <v>2.95299075990059</v>
      </c>
      <c r="BS179" s="1262" t="n">
        <v>0</v>
      </c>
      <c r="BU179" s="1309" t="n">
        <f aca="false">EDATE(BU178,1)</f>
        <v>41365</v>
      </c>
      <c r="BV179" s="1310" t="n">
        <v>2.6506989393366</v>
      </c>
      <c r="BW179" s="1310" t="n">
        <v>2.144769622882</v>
      </c>
      <c r="BX179" s="1310"/>
      <c r="BY179" s="1310" t="n">
        <v>3.56749177688248</v>
      </c>
      <c r="BZ179" s="1311" t="n">
        <v>2.88657752843626</v>
      </c>
    </row>
    <row r="180" customFormat="false" ht="12.75" hidden="false" customHeight="false" outlineLevel="0" collapsed="false">
      <c r="A180" s="1246"/>
      <c r="B180" s="1312" t="n">
        <v>40787</v>
      </c>
      <c r="C180" s="1313" t="n">
        <v>59.9303535756717</v>
      </c>
      <c r="D180" s="1313"/>
      <c r="E180" s="1313"/>
      <c r="F180" s="1287"/>
      <c r="G180" s="1313"/>
      <c r="H180" s="1313"/>
      <c r="I180" s="1313"/>
      <c r="J180" s="1253"/>
      <c r="K180" s="1254" t="n">
        <v>41671</v>
      </c>
      <c r="L180" s="1314" t="n">
        <v>0</v>
      </c>
      <c r="M180" s="1314" t="n">
        <v>0</v>
      </c>
      <c r="N180" s="1314" t="n">
        <v>0</v>
      </c>
      <c r="O180" s="1252"/>
      <c r="P180" s="1314" t="n">
        <v>0</v>
      </c>
      <c r="Q180" s="1314" t="n">
        <v>0</v>
      </c>
      <c r="R180" s="1314" t="n">
        <v>0</v>
      </c>
      <c r="S180" s="1252"/>
      <c r="T180" s="1314" t="n">
        <v>0</v>
      </c>
      <c r="U180" s="1314" t="n">
        <v>0</v>
      </c>
      <c r="V180" s="1314" t="n">
        <v>0</v>
      </c>
      <c r="W180" s="1252"/>
      <c r="X180" s="1314" t="n">
        <v>0</v>
      </c>
      <c r="Y180" s="1314" t="n">
        <v>0</v>
      </c>
      <c r="Z180" s="1314" t="n">
        <v>0</v>
      </c>
      <c r="AA180" s="1252" t="n">
        <v>0</v>
      </c>
      <c r="AB180" s="1314" t="n">
        <v>0</v>
      </c>
      <c r="AC180" s="1314" t="n">
        <v>0</v>
      </c>
      <c r="AD180" s="1314" t="n">
        <v>0</v>
      </c>
      <c r="AE180" s="1252"/>
      <c r="AF180" s="1314" t="n">
        <v>0</v>
      </c>
      <c r="AG180" s="1314" t="n">
        <v>0</v>
      </c>
      <c r="AH180" s="1314" t="n">
        <v>0</v>
      </c>
      <c r="AI180" s="1252"/>
      <c r="AJ180" s="1314" t="n">
        <v>0</v>
      </c>
      <c r="AK180" s="1314" t="n">
        <v>0</v>
      </c>
      <c r="AL180" s="1314" t="n">
        <v>0</v>
      </c>
      <c r="AM180" s="1166"/>
      <c r="AN180" s="1253" t="n">
        <v>57</v>
      </c>
      <c r="AO180" s="1316" t="n">
        <v>0.35</v>
      </c>
      <c r="AP180" s="1252"/>
      <c r="AQ180" s="0"/>
      <c r="AR180" s="0"/>
      <c r="AS180" s="0"/>
      <c r="AT180" s="0"/>
      <c r="AU180" s="0" t="str">
        <f aca="false">AV180&amp;"Q"&amp;ROUNDUP(MONTH(AW180)/3,0)</f>
        <v>2014Q3</v>
      </c>
      <c r="AV180" s="0" t="n">
        <f aca="false">YEAR(AW180)</f>
        <v>2014</v>
      </c>
      <c r="AW180" s="1304" t="n">
        <f aca="false">EOMONTH(AW179,0)+1</f>
        <v>41821</v>
      </c>
      <c r="AX180" s="112" t="n">
        <f aca="false">AY180</f>
        <v>3.36793748089476</v>
      </c>
      <c r="AY180" s="1323" t="n">
        <v>3.36793748089476</v>
      </c>
      <c r="AZ180" s="112" t="n">
        <f aca="false">AY180</f>
        <v>3.36793748089476</v>
      </c>
      <c r="BA180" s="163" t="n">
        <v>1</v>
      </c>
      <c r="BB180" s="163" t="n">
        <v>1</v>
      </c>
      <c r="BC180" s="163" t="n">
        <v>1</v>
      </c>
      <c r="BD180" s="163" t="n">
        <v>0</v>
      </c>
      <c r="BE180" s="163"/>
      <c r="BF180" s="163" t="n">
        <v>0</v>
      </c>
      <c r="BG180" s="1290" t="n">
        <v>0</v>
      </c>
      <c r="BH180" s="1262"/>
      <c r="BI180" s="1292"/>
      <c r="BJ180" s="1291"/>
      <c r="BK180" s="1293" t="n">
        <v>0</v>
      </c>
      <c r="BL180" s="1294" t="n">
        <f aca="false">+AY180</f>
        <v>3.36793748089476</v>
      </c>
      <c r="BM180" s="1295" t="n">
        <f aca="false">AY180</f>
        <v>3.36793748089476</v>
      </c>
      <c r="BN180" s="1324" t="n">
        <f aca="false">+BM180/BM168-1</f>
        <v>0.0201197379946636</v>
      </c>
      <c r="BO180" s="1296" t="n">
        <f aca="false">BM180</f>
        <v>3.36793748089476</v>
      </c>
      <c r="BP180" s="1318" t="n">
        <f aca="false">+AY180/AY168-1</f>
        <v>0.0201197379946636</v>
      </c>
      <c r="BQ180" s="1298" t="n">
        <f aca="false">VLOOKUP($AW180,$BU$8:$BZ$291,5,FALSE())</f>
        <v>3.70376680145392</v>
      </c>
      <c r="BR180" s="1298" t="n">
        <f aca="false">VLOOKUP($AW180,$BU$8:$BZ$291,6,FALSE())</f>
        <v>2.99866091576548</v>
      </c>
      <c r="BS180" s="1262" t="n">
        <v>0</v>
      </c>
      <c r="BU180" s="1309" t="n">
        <f aca="false">EDATE(BU179,1)</f>
        <v>41395</v>
      </c>
      <c r="BV180" s="1310" t="n">
        <v>2.62615807285119</v>
      </c>
      <c r="BW180" s="1310" t="n">
        <v>2.11837399069513</v>
      </c>
      <c r="BX180" s="1310"/>
      <c r="BY180" s="1310" t="n">
        <v>3.53446300168473</v>
      </c>
      <c r="BZ180" s="1311" t="n">
        <v>2.85105248280591</v>
      </c>
    </row>
    <row r="181" customFormat="false" ht="12.75" hidden="false" customHeight="false" outlineLevel="0" collapsed="false">
      <c r="A181" s="1246"/>
      <c r="B181" s="1312" t="n">
        <v>40817</v>
      </c>
      <c r="C181" s="1313" t="n">
        <v>48.3203025981544</v>
      </c>
      <c r="D181" s="1313"/>
      <c r="E181" s="1313"/>
      <c r="F181" s="1287"/>
      <c r="G181" s="1313"/>
      <c r="H181" s="1313"/>
      <c r="I181" s="1313"/>
      <c r="J181" s="1253"/>
      <c r="K181" s="1254" t="n">
        <v>41699</v>
      </c>
      <c r="L181" s="1314" t="n">
        <v>0</v>
      </c>
      <c r="M181" s="1314" t="n">
        <v>0</v>
      </c>
      <c r="N181" s="1314" t="n">
        <v>0</v>
      </c>
      <c r="O181" s="1252"/>
      <c r="P181" s="1314" t="n">
        <v>0</v>
      </c>
      <c r="Q181" s="1314" t="n">
        <v>0</v>
      </c>
      <c r="R181" s="1314" t="n">
        <v>0</v>
      </c>
      <c r="S181" s="1252"/>
      <c r="T181" s="1314" t="n">
        <v>0</v>
      </c>
      <c r="U181" s="1314" t="n">
        <v>0</v>
      </c>
      <c r="V181" s="1314" t="n">
        <v>0</v>
      </c>
      <c r="W181" s="1252"/>
      <c r="X181" s="1314" t="n">
        <v>0</v>
      </c>
      <c r="Y181" s="1314" t="n">
        <v>0</v>
      </c>
      <c r="Z181" s="1314" t="n">
        <v>0</v>
      </c>
      <c r="AA181" s="1252" t="n">
        <v>0</v>
      </c>
      <c r="AB181" s="1314" t="n">
        <v>0</v>
      </c>
      <c r="AC181" s="1314" t="n">
        <v>0</v>
      </c>
      <c r="AD181" s="1314" t="n">
        <v>0</v>
      </c>
      <c r="AE181" s="1252"/>
      <c r="AF181" s="1314" t="n">
        <v>0</v>
      </c>
      <c r="AG181" s="1314" t="n">
        <v>0</v>
      </c>
      <c r="AH181" s="1314" t="n">
        <v>0</v>
      </c>
      <c r="AI181" s="1252"/>
      <c r="AJ181" s="1314" t="n">
        <v>0</v>
      </c>
      <c r="AK181" s="1314" t="n">
        <v>0</v>
      </c>
      <c r="AL181" s="1314" t="n">
        <v>0</v>
      </c>
      <c r="AM181" s="1166"/>
      <c r="AN181" s="1253" t="n">
        <v>58</v>
      </c>
      <c r="AO181" s="1316" t="n">
        <v>0.35</v>
      </c>
      <c r="AP181" s="1252"/>
      <c r="AQ181" s="0"/>
      <c r="AR181" s="0"/>
      <c r="AS181" s="0"/>
      <c r="AT181" s="0"/>
      <c r="AU181" s="0" t="str">
        <f aca="false">AV181&amp;"Q"&amp;ROUNDUP(MONTH(AW181)/3,0)</f>
        <v>2014Q3</v>
      </c>
      <c r="AV181" s="0" t="n">
        <f aca="false">YEAR(AW181)</f>
        <v>2014</v>
      </c>
      <c r="AW181" s="1304" t="n">
        <f aca="false">EOMONTH(AW180,0)+1</f>
        <v>41852</v>
      </c>
      <c r="AX181" s="112" t="n">
        <f aca="false">AY181</f>
        <v>3.49503020622699</v>
      </c>
      <c r="AY181" s="1323" t="n">
        <v>3.49503020622699</v>
      </c>
      <c r="AZ181" s="112" t="n">
        <f aca="false">AY181</f>
        <v>3.49503020622699</v>
      </c>
      <c r="BA181" s="163" t="n">
        <v>1</v>
      </c>
      <c r="BB181" s="163" t="n">
        <v>1</v>
      </c>
      <c r="BC181" s="163" t="n">
        <v>1</v>
      </c>
      <c r="BD181" s="163" t="n">
        <v>0</v>
      </c>
      <c r="BE181" s="163"/>
      <c r="BF181" s="163" t="n">
        <v>0</v>
      </c>
      <c r="BG181" s="1290" t="n">
        <v>0</v>
      </c>
      <c r="BH181" s="1262"/>
      <c r="BI181" s="1292"/>
      <c r="BJ181" s="1291"/>
      <c r="BK181" s="1293" t="n">
        <v>0</v>
      </c>
      <c r="BL181" s="1294" t="n">
        <f aca="false">+AY181</f>
        <v>3.49503020622699</v>
      </c>
      <c r="BM181" s="1295" t="n">
        <f aca="false">AY181</f>
        <v>3.49503020622699</v>
      </c>
      <c r="BN181" s="1324" t="n">
        <f aca="false">+BM181/BM169-1</f>
        <v>0.0201197379946634</v>
      </c>
      <c r="BO181" s="1296" t="n">
        <f aca="false">BM181</f>
        <v>3.49503020622699</v>
      </c>
      <c r="BP181" s="1318" t="n">
        <f aca="false">+AY181/AY169-1</f>
        <v>0.0201197379946634</v>
      </c>
      <c r="BQ181" s="1298" t="n">
        <f aca="false">VLOOKUP($AW181,$BU$8:$BZ$291,5,FALSE())</f>
        <v>3.79103559189195</v>
      </c>
      <c r="BR181" s="1298" t="n">
        <f aca="false">VLOOKUP($AW181,$BU$8:$BZ$291,6,FALSE())</f>
        <v>3.06993403779706</v>
      </c>
      <c r="BS181" s="1262" t="n">
        <v>0</v>
      </c>
      <c r="BU181" s="1309" t="n">
        <f aca="false">EDATE(BU180,1)</f>
        <v>41426</v>
      </c>
      <c r="BV181" s="1310" t="n">
        <v>2.63072381545312</v>
      </c>
      <c r="BW181" s="1310" t="n">
        <v>2.12534642183883</v>
      </c>
      <c r="BX181" s="1310"/>
      <c r="BY181" s="1310" t="n">
        <v>3.54060789009361</v>
      </c>
      <c r="BZ181" s="1311" t="n">
        <v>2.86043645712336</v>
      </c>
    </row>
    <row r="182" customFormat="false" ht="12.75" hidden="false" customHeight="false" outlineLevel="0" collapsed="false">
      <c r="A182" s="1246"/>
      <c r="B182" s="1312" t="n">
        <v>40848</v>
      </c>
      <c r="C182" s="1313" t="n">
        <v>49.2644916599155</v>
      </c>
      <c r="D182" s="1313"/>
      <c r="E182" s="1313"/>
      <c r="F182" s="1287"/>
      <c r="G182" s="1313"/>
      <c r="H182" s="1313"/>
      <c r="I182" s="1313"/>
      <c r="J182" s="1253"/>
      <c r="K182" s="1254" t="n">
        <v>41730</v>
      </c>
      <c r="L182" s="1314" t="n">
        <v>0</v>
      </c>
      <c r="M182" s="1314" t="n">
        <v>0</v>
      </c>
      <c r="N182" s="1314" t="n">
        <v>0</v>
      </c>
      <c r="O182" s="1252"/>
      <c r="P182" s="1314" t="n">
        <v>0</v>
      </c>
      <c r="Q182" s="1314" t="n">
        <v>0</v>
      </c>
      <c r="R182" s="1314" t="n">
        <v>0</v>
      </c>
      <c r="S182" s="1252"/>
      <c r="T182" s="1314" t="n">
        <v>0</v>
      </c>
      <c r="U182" s="1314" t="n">
        <v>0</v>
      </c>
      <c r="V182" s="1314" t="n">
        <v>0</v>
      </c>
      <c r="W182" s="1252"/>
      <c r="X182" s="1314" t="n">
        <v>0</v>
      </c>
      <c r="Y182" s="1314" t="n">
        <v>0</v>
      </c>
      <c r="Z182" s="1314" t="n">
        <v>0</v>
      </c>
      <c r="AA182" s="1252" t="n">
        <v>0</v>
      </c>
      <c r="AB182" s="1314" t="n">
        <v>0</v>
      </c>
      <c r="AC182" s="1314" t="n">
        <v>0</v>
      </c>
      <c r="AD182" s="1314" t="n">
        <v>0</v>
      </c>
      <c r="AE182" s="1252"/>
      <c r="AF182" s="1314" t="n">
        <v>0</v>
      </c>
      <c r="AG182" s="1314" t="n">
        <v>0</v>
      </c>
      <c r="AH182" s="1314" t="n">
        <v>0</v>
      </c>
      <c r="AI182" s="1252"/>
      <c r="AJ182" s="1314" t="n">
        <v>0</v>
      </c>
      <c r="AK182" s="1314" t="n">
        <v>0</v>
      </c>
      <c r="AL182" s="1314" t="n">
        <v>0</v>
      </c>
      <c r="AM182" s="1166"/>
      <c r="AN182" s="1253" t="n">
        <v>58</v>
      </c>
      <c r="AO182" s="1316" t="n">
        <v>0.35</v>
      </c>
      <c r="AP182" s="1252"/>
      <c r="AQ182" s="0"/>
      <c r="AR182" s="0"/>
      <c r="AS182" s="0"/>
      <c r="AT182" s="0"/>
      <c r="AU182" s="0" t="str">
        <f aca="false">AV182&amp;"Q"&amp;ROUNDUP(MONTH(AW182)/3,0)</f>
        <v>2014Q3</v>
      </c>
      <c r="AV182" s="0" t="n">
        <f aca="false">YEAR(AW182)</f>
        <v>2014</v>
      </c>
      <c r="AW182" s="1304" t="n">
        <f aca="false">EOMONTH(AW181,0)+1</f>
        <v>41883</v>
      </c>
      <c r="AX182" s="112" t="n">
        <f aca="false">AY182</f>
        <v>3.64634656258746</v>
      </c>
      <c r="AY182" s="1323" t="n">
        <v>3.64634656258746</v>
      </c>
      <c r="AZ182" s="112" t="n">
        <f aca="false">AY182</f>
        <v>3.64634656258746</v>
      </c>
      <c r="BA182" s="163" t="n">
        <v>1</v>
      </c>
      <c r="BB182" s="163" t="n">
        <v>1</v>
      </c>
      <c r="BC182" s="163" t="n">
        <v>1</v>
      </c>
      <c r="BD182" s="163" t="n">
        <v>0</v>
      </c>
      <c r="BE182" s="163"/>
      <c r="BF182" s="163" t="n">
        <v>0</v>
      </c>
      <c r="BG182" s="1290" t="n">
        <v>0</v>
      </c>
      <c r="BH182" s="1262"/>
      <c r="BI182" s="1292"/>
      <c r="BJ182" s="1291"/>
      <c r="BK182" s="1293" t="n">
        <v>0</v>
      </c>
      <c r="BL182" s="1294" t="n">
        <f aca="false">+AY182</f>
        <v>3.64634656258746</v>
      </c>
      <c r="BM182" s="1295" t="n">
        <f aca="false">AY182</f>
        <v>3.64634656258746</v>
      </c>
      <c r="BN182" s="1324" t="n">
        <f aca="false">+BM182/BM170-1</f>
        <v>0.0201197379946634</v>
      </c>
      <c r="BO182" s="1296" t="n">
        <f aca="false">BM182</f>
        <v>3.64634656258746</v>
      </c>
      <c r="BP182" s="1318" t="n">
        <f aca="false">+AY182/AY170-1</f>
        <v>0.0201197379946634</v>
      </c>
      <c r="BQ182" s="1298" t="n">
        <f aca="false">VLOOKUP($AW182,$BU$8:$BZ$291,5,FALSE())</f>
        <v>3.91876536698761</v>
      </c>
      <c r="BR182" s="1298" t="n">
        <f aca="false">VLOOKUP($AW182,$BU$8:$BZ$291,6,FALSE())</f>
        <v>3.15643054511694</v>
      </c>
      <c r="BS182" s="1262" t="n">
        <v>0</v>
      </c>
      <c r="BU182" s="1309" t="n">
        <f aca="false">EDATE(BU181,1)</f>
        <v>41456</v>
      </c>
      <c r="BV182" s="1310" t="n">
        <v>2.6643961671424</v>
      </c>
      <c r="BW182" s="1310" t="n">
        <v>2.15821645437342</v>
      </c>
      <c r="BX182" s="1310"/>
      <c r="BY182" s="1310" t="n">
        <v>3.58592644210913</v>
      </c>
      <c r="BZ182" s="1311" t="n">
        <v>2.90467519319135</v>
      </c>
    </row>
    <row r="183" customFormat="false" ht="12.75" hidden="false" customHeight="false" outlineLevel="0" collapsed="false">
      <c r="A183" s="1246"/>
      <c r="B183" s="1312" t="n">
        <v>40878</v>
      </c>
      <c r="C183" s="1313" t="n">
        <v>49.3724369476032</v>
      </c>
      <c r="D183" s="1313"/>
      <c r="E183" s="1313"/>
      <c r="F183" s="1287"/>
      <c r="G183" s="1313"/>
      <c r="H183" s="1313"/>
      <c r="I183" s="1313"/>
      <c r="J183" s="1253"/>
      <c r="K183" s="1254" t="n">
        <v>41760</v>
      </c>
      <c r="L183" s="1314" t="n">
        <v>0</v>
      </c>
      <c r="M183" s="1314" t="n">
        <v>0</v>
      </c>
      <c r="N183" s="1314" t="n">
        <v>0</v>
      </c>
      <c r="O183" s="1252"/>
      <c r="P183" s="1314" t="n">
        <v>0</v>
      </c>
      <c r="Q183" s="1314" t="n">
        <v>0</v>
      </c>
      <c r="R183" s="1314" t="n">
        <v>0</v>
      </c>
      <c r="S183" s="1252"/>
      <c r="T183" s="1314" t="n">
        <v>0</v>
      </c>
      <c r="U183" s="1314" t="n">
        <v>0</v>
      </c>
      <c r="V183" s="1314" t="n">
        <v>0</v>
      </c>
      <c r="W183" s="1252"/>
      <c r="X183" s="1314" t="n">
        <v>0</v>
      </c>
      <c r="Y183" s="1314" t="n">
        <v>0</v>
      </c>
      <c r="Z183" s="1314" t="n">
        <v>0</v>
      </c>
      <c r="AA183" s="1252" t="n">
        <v>0</v>
      </c>
      <c r="AB183" s="1314" t="n">
        <v>0</v>
      </c>
      <c r="AC183" s="1314" t="n">
        <v>0</v>
      </c>
      <c r="AD183" s="1314" t="n">
        <v>0</v>
      </c>
      <c r="AE183" s="1252"/>
      <c r="AF183" s="1314" t="n">
        <v>0</v>
      </c>
      <c r="AG183" s="1314" t="n">
        <v>0</v>
      </c>
      <c r="AH183" s="1314" t="n">
        <v>0</v>
      </c>
      <c r="AI183" s="1252"/>
      <c r="AJ183" s="1314" t="n">
        <v>0</v>
      </c>
      <c r="AK183" s="1314" t="n">
        <v>0</v>
      </c>
      <c r="AL183" s="1314" t="n">
        <v>0</v>
      </c>
      <c r="AM183" s="1166"/>
      <c r="AN183" s="1253" t="n">
        <v>58</v>
      </c>
      <c r="AO183" s="1316" t="n">
        <v>0.35</v>
      </c>
      <c r="AP183" s="1252"/>
      <c r="AQ183" s="0"/>
      <c r="AR183" s="0"/>
      <c r="AS183" s="0"/>
      <c r="AT183" s="0"/>
      <c r="AU183" s="0" t="str">
        <f aca="false">AV183&amp;"Q"&amp;ROUNDUP(MONTH(AW183)/3,0)</f>
        <v>2014Q4</v>
      </c>
      <c r="AV183" s="0" t="n">
        <f aca="false">YEAR(AW183)</f>
        <v>2014</v>
      </c>
      <c r="AW183" s="1304" t="n">
        <f aca="false">EOMONTH(AW182,0)+1</f>
        <v>41913</v>
      </c>
      <c r="AX183" s="112" t="n">
        <f aca="false">AY183</f>
        <v>3.80838807728858</v>
      </c>
      <c r="AY183" s="1323" t="n">
        <v>3.80838807728858</v>
      </c>
      <c r="AZ183" s="112" t="n">
        <f aca="false">AY183</f>
        <v>3.80838807728858</v>
      </c>
      <c r="BA183" s="163" t="n">
        <v>1</v>
      </c>
      <c r="BB183" s="163" t="n">
        <v>1</v>
      </c>
      <c r="BC183" s="163" t="n">
        <v>1</v>
      </c>
      <c r="BD183" s="163" t="n">
        <v>0</v>
      </c>
      <c r="BE183" s="163"/>
      <c r="BF183" s="163" t="n">
        <v>0</v>
      </c>
      <c r="BG183" s="1290" t="n">
        <v>0</v>
      </c>
      <c r="BH183" s="1262"/>
      <c r="BI183" s="1292"/>
      <c r="BJ183" s="1291"/>
      <c r="BK183" s="1293" t="n">
        <v>0</v>
      </c>
      <c r="BL183" s="1294" t="n">
        <f aca="false">+AY183</f>
        <v>3.80838807728858</v>
      </c>
      <c r="BM183" s="1295" t="n">
        <f aca="false">AY183</f>
        <v>3.80838807728858</v>
      </c>
      <c r="BN183" s="1324" t="n">
        <f aca="false">+BM183/BM171-1</f>
        <v>0.0201197379946636</v>
      </c>
      <c r="BO183" s="1296" t="n">
        <f aca="false">BM183</f>
        <v>3.80838807728858</v>
      </c>
      <c r="BP183" s="1318" t="n">
        <f aca="false">+AY183/AY171-1</f>
        <v>0.0201197379946636</v>
      </c>
      <c r="BQ183" s="1298" t="n">
        <f aca="false">VLOOKUP($AW183,$BU$8:$BZ$291,5,FALSE())</f>
        <v>4.0869561267409</v>
      </c>
      <c r="BR183" s="1298" t="n">
        <f aca="false">VLOOKUP($AW183,$BU$8:$BZ$291,6,FALSE())</f>
        <v>3.24777085684673</v>
      </c>
      <c r="BS183" s="1262" t="n">
        <v>0</v>
      </c>
      <c r="BU183" s="1309" t="n">
        <f aca="false">EDATE(BU182,1)</f>
        <v>41487</v>
      </c>
      <c r="BV183" s="1310" t="n">
        <v>2.72717512791903</v>
      </c>
      <c r="BW183" s="1310" t="n">
        <v>2.20951362635922</v>
      </c>
      <c r="BX183" s="1310"/>
      <c r="BY183" s="1310" t="n">
        <v>3.67041865773127</v>
      </c>
      <c r="BZ183" s="1311" t="n">
        <v>2.9737144328126</v>
      </c>
    </row>
    <row r="184" customFormat="false" ht="12.75" hidden="false" customHeight="false" outlineLevel="0" collapsed="false">
      <c r="A184" s="1246"/>
      <c r="B184" s="1312" t="n">
        <v>40909</v>
      </c>
      <c r="C184" s="1313" t="n">
        <v>48.5488415481651</v>
      </c>
      <c r="D184" s="1313"/>
      <c r="E184" s="1313"/>
      <c r="F184" s="1287"/>
      <c r="G184" s="1313"/>
      <c r="H184" s="1313"/>
      <c r="I184" s="1313"/>
      <c r="J184" s="1253"/>
      <c r="K184" s="1254" t="n">
        <v>41791</v>
      </c>
      <c r="L184" s="1314" t="n">
        <v>0</v>
      </c>
      <c r="M184" s="1314" t="n">
        <v>0</v>
      </c>
      <c r="N184" s="1314" t="n">
        <v>0</v>
      </c>
      <c r="O184" s="1252"/>
      <c r="P184" s="1314" t="n">
        <v>0</v>
      </c>
      <c r="Q184" s="1314" t="n">
        <v>0</v>
      </c>
      <c r="R184" s="1314" t="n">
        <v>0</v>
      </c>
      <c r="S184" s="1252"/>
      <c r="T184" s="1314" t="n">
        <v>0</v>
      </c>
      <c r="U184" s="1314" t="n">
        <v>0</v>
      </c>
      <c r="V184" s="1314" t="n">
        <v>0</v>
      </c>
      <c r="W184" s="1252"/>
      <c r="X184" s="1314" t="n">
        <v>0</v>
      </c>
      <c r="Y184" s="1314" t="n">
        <v>0</v>
      </c>
      <c r="Z184" s="1314" t="n">
        <v>0</v>
      </c>
      <c r="AA184" s="1252" t="n">
        <v>0</v>
      </c>
      <c r="AB184" s="1314" t="n">
        <v>0</v>
      </c>
      <c r="AC184" s="1314" t="n">
        <v>0</v>
      </c>
      <c r="AD184" s="1314" t="n">
        <v>0</v>
      </c>
      <c r="AE184" s="1252"/>
      <c r="AF184" s="1314" t="n">
        <v>0</v>
      </c>
      <c r="AG184" s="1314" t="n">
        <v>0</v>
      </c>
      <c r="AH184" s="1314" t="n">
        <v>0</v>
      </c>
      <c r="AI184" s="1252"/>
      <c r="AJ184" s="1314" t="n">
        <v>0</v>
      </c>
      <c r="AK184" s="1314" t="n">
        <v>0</v>
      </c>
      <c r="AL184" s="1314" t="n">
        <v>0</v>
      </c>
      <c r="AM184" s="1166"/>
      <c r="AN184" s="1253" t="n">
        <v>59</v>
      </c>
      <c r="AO184" s="1316" t="n">
        <v>0.35</v>
      </c>
      <c r="AP184" s="1252"/>
      <c r="AQ184" s="0"/>
      <c r="AR184" s="0"/>
      <c r="AS184" s="0"/>
      <c r="AT184" s="0"/>
      <c r="AU184" s="0" t="str">
        <f aca="false">AV184&amp;"Q"&amp;ROUNDUP(MONTH(AW184)/3,0)</f>
        <v>2014Q4</v>
      </c>
      <c r="AV184" s="0" t="n">
        <f aca="false">YEAR(AW184)</f>
        <v>2014</v>
      </c>
      <c r="AW184" s="1304" t="n">
        <f aca="false">EOMONTH(AW183,0)+1</f>
        <v>41944</v>
      </c>
      <c r="AX184" s="112" t="n">
        <f aca="false">AY184</f>
        <v>3.96817722075009</v>
      </c>
      <c r="AY184" s="1323" t="n">
        <v>3.96817722075009</v>
      </c>
      <c r="AZ184" s="112" t="n">
        <f aca="false">AY184</f>
        <v>3.96817722075009</v>
      </c>
      <c r="BA184" s="163" t="n">
        <v>1</v>
      </c>
      <c r="BB184" s="163" t="n">
        <v>1</v>
      </c>
      <c r="BC184" s="163" t="n">
        <v>1</v>
      </c>
      <c r="BD184" s="163" t="n">
        <v>0</v>
      </c>
      <c r="BE184" s="163"/>
      <c r="BF184" s="163" t="n">
        <v>0</v>
      </c>
      <c r="BG184" s="1290" t="n">
        <v>0</v>
      </c>
      <c r="BH184" s="1262"/>
      <c r="BI184" s="1292"/>
      <c r="BJ184" s="1291"/>
      <c r="BK184" s="1293" t="n">
        <v>0</v>
      </c>
      <c r="BL184" s="1294" t="n">
        <f aca="false">+AY184</f>
        <v>3.96817722075009</v>
      </c>
      <c r="BM184" s="1295" t="n">
        <f aca="false">AY184</f>
        <v>3.96817722075009</v>
      </c>
      <c r="BN184" s="1324" t="n">
        <f aca="false">+BM184/BM172-1</f>
        <v>0.0201197379946634</v>
      </c>
      <c r="BO184" s="1296" t="n">
        <f aca="false">BM184</f>
        <v>3.96817722075009</v>
      </c>
      <c r="BP184" s="1318" t="n">
        <f aca="false">+AY184/AY172-1</f>
        <v>0.0201197379946634</v>
      </c>
      <c r="BQ184" s="1298" t="n">
        <f aca="false">VLOOKUP($AW184,$BU$8:$BZ$291,5,FALSE())</f>
        <v>4.29560787115182</v>
      </c>
      <c r="BR184" s="1298" t="n">
        <f aca="false">VLOOKUP($AW184,$BU$8:$BZ$291,6,FALSE())</f>
        <v>3.33357539210805</v>
      </c>
      <c r="BS184" s="1262" t="n">
        <v>0</v>
      </c>
      <c r="BU184" s="1309" t="n">
        <f aca="false">EDATE(BU183,1)</f>
        <v>41518</v>
      </c>
      <c r="BV184" s="1310" t="n">
        <v>2.81906069778299</v>
      </c>
      <c r="BW184" s="1310" t="n">
        <v>2.27176747585655</v>
      </c>
      <c r="BX184" s="1310"/>
      <c r="BY184" s="1310" t="n">
        <v>3.79408453696006</v>
      </c>
      <c r="BZ184" s="1311" t="n">
        <v>3.05749991778985</v>
      </c>
    </row>
    <row r="185" customFormat="false" ht="12.75" hidden="false" customHeight="false" outlineLevel="0" collapsed="false">
      <c r="A185" s="1246"/>
      <c r="B185" s="1312" t="n">
        <v>40940</v>
      </c>
      <c r="C185" s="1313" t="n">
        <v>39.8232108431325</v>
      </c>
      <c r="D185" s="1313"/>
      <c r="E185" s="1313"/>
      <c r="F185" s="1287"/>
      <c r="G185" s="1313"/>
      <c r="H185" s="1313"/>
      <c r="I185" s="1313"/>
      <c r="J185" s="1253"/>
      <c r="K185" s="1254" t="n">
        <v>41821</v>
      </c>
      <c r="L185" s="1314" t="n">
        <v>0</v>
      </c>
      <c r="M185" s="1314" t="n">
        <v>0</v>
      </c>
      <c r="N185" s="1314" t="n">
        <v>0</v>
      </c>
      <c r="O185" s="1252"/>
      <c r="P185" s="1314" t="n">
        <v>0</v>
      </c>
      <c r="Q185" s="1314" t="n">
        <v>0</v>
      </c>
      <c r="R185" s="1314" t="n">
        <v>0</v>
      </c>
      <c r="S185" s="1252"/>
      <c r="T185" s="1314" t="n">
        <v>0</v>
      </c>
      <c r="U185" s="1314" t="n">
        <v>0</v>
      </c>
      <c r="V185" s="1314" t="n">
        <v>0</v>
      </c>
      <c r="W185" s="1252"/>
      <c r="X185" s="1314" t="n">
        <v>0</v>
      </c>
      <c r="Y185" s="1314" t="n">
        <v>0</v>
      </c>
      <c r="Z185" s="1314" t="n">
        <v>0</v>
      </c>
      <c r="AA185" s="1252" t="n">
        <v>0</v>
      </c>
      <c r="AB185" s="1314" t="n">
        <v>0</v>
      </c>
      <c r="AC185" s="1314" t="n">
        <v>0</v>
      </c>
      <c r="AD185" s="1314" t="n">
        <v>0</v>
      </c>
      <c r="AE185" s="1252"/>
      <c r="AF185" s="1314" t="n">
        <v>0</v>
      </c>
      <c r="AG185" s="1314" t="n">
        <v>0</v>
      </c>
      <c r="AH185" s="1314" t="n">
        <v>0</v>
      </c>
      <c r="AI185" s="1252"/>
      <c r="AJ185" s="1314" t="n">
        <v>0</v>
      </c>
      <c r="AK185" s="1314" t="n">
        <v>0</v>
      </c>
      <c r="AL185" s="1314" t="n">
        <v>0</v>
      </c>
      <c r="AM185" s="1166"/>
      <c r="AN185" s="1253" t="n">
        <v>59</v>
      </c>
      <c r="AO185" s="1316" t="n">
        <v>0.35</v>
      </c>
      <c r="AP185" s="1252"/>
      <c r="AQ185" s="0"/>
      <c r="AR185" s="0"/>
      <c r="AS185" s="0"/>
      <c r="AT185" s="0"/>
      <c r="AU185" s="0" t="str">
        <f aca="false">AV185&amp;"Q"&amp;ROUNDUP(MONTH(AW185)/3,0)</f>
        <v>2014Q4</v>
      </c>
      <c r="AV185" s="0" t="n">
        <f aca="false">YEAR(AW185)</f>
        <v>2014</v>
      </c>
      <c r="AW185" s="1304" t="n">
        <f aca="false">EOMONTH(AW184,0)+1</f>
        <v>41974</v>
      </c>
      <c r="AX185" s="112" t="n">
        <f aca="false">AY185</f>
        <v>4.13696404075553</v>
      </c>
      <c r="AY185" s="1323" t="n">
        <v>4.13696404075553</v>
      </c>
      <c r="AZ185" s="112" t="n">
        <f aca="false">AY185</f>
        <v>4.13696404075553</v>
      </c>
      <c r="BA185" s="163" t="n">
        <v>1</v>
      </c>
      <c r="BB185" s="163" t="n">
        <v>1</v>
      </c>
      <c r="BC185" s="163" t="n">
        <v>1</v>
      </c>
      <c r="BD185" s="163" t="n">
        <v>0</v>
      </c>
      <c r="BE185" s="163"/>
      <c r="BF185" s="163" t="n">
        <v>0</v>
      </c>
      <c r="BG185" s="1290" t="n">
        <v>0</v>
      </c>
      <c r="BH185" s="1262"/>
      <c r="BI185" s="1292"/>
      <c r="BJ185" s="1291"/>
      <c r="BK185" s="1293" t="n">
        <v>0</v>
      </c>
      <c r="BL185" s="1294" t="n">
        <f aca="false">+AY185</f>
        <v>4.13696404075553</v>
      </c>
      <c r="BM185" s="1295" t="n">
        <f aca="false">AY185</f>
        <v>4.13696404075553</v>
      </c>
      <c r="BN185" s="1324" t="n">
        <f aca="false">+BM185/BM173-1</f>
        <v>0.0201197379946638</v>
      </c>
      <c r="BO185" s="1296" t="n">
        <f aca="false">BM185</f>
        <v>4.13696404075553</v>
      </c>
      <c r="BP185" s="1318" t="n">
        <f aca="false">+AY185/AY173-1</f>
        <v>0.0201197379946638</v>
      </c>
      <c r="BQ185" s="1298" t="n">
        <f aca="false">VLOOKUP($AW185,$BU$8:$BZ$291,5,FALSE())</f>
        <v>4.38635154615456</v>
      </c>
      <c r="BR185" s="1298" t="n">
        <f aca="false">VLOOKUP($AW185,$BU$8:$BZ$291,6,FALSE())</f>
        <v>3.4034645700225</v>
      </c>
      <c r="BS185" s="1262" t="n">
        <v>0</v>
      </c>
      <c r="BU185" s="1309" t="n">
        <f aca="false">EDATE(BU184,1)</f>
        <v>41548</v>
      </c>
      <c r="BV185" s="1310" t="n">
        <v>2.9400528767343</v>
      </c>
      <c r="BW185" s="1310" t="n">
        <v>2.33750754092573</v>
      </c>
      <c r="BX185" s="1310"/>
      <c r="BY185" s="1310" t="n">
        <v>3.95692407979547</v>
      </c>
      <c r="BZ185" s="1311" t="n">
        <v>3.14597738992583</v>
      </c>
    </row>
    <row r="186" customFormat="false" ht="12.75" hidden="false" customHeight="false" outlineLevel="0" collapsed="false">
      <c r="A186" s="1246"/>
      <c r="B186" s="1312" t="n">
        <v>40969</v>
      </c>
      <c r="C186" s="1313" t="n">
        <v>37.6242395402771</v>
      </c>
      <c r="D186" s="1313"/>
      <c r="E186" s="1313"/>
      <c r="F186" s="1287"/>
      <c r="G186" s="1313"/>
      <c r="H186" s="1313"/>
      <c r="I186" s="1313"/>
      <c r="J186" s="1253"/>
      <c r="K186" s="1254" t="n">
        <v>41852</v>
      </c>
      <c r="L186" s="1314" t="n">
        <v>0</v>
      </c>
      <c r="M186" s="1314" t="n">
        <v>0</v>
      </c>
      <c r="N186" s="1314" t="n">
        <v>0</v>
      </c>
      <c r="O186" s="1252"/>
      <c r="P186" s="1314" t="n">
        <v>0</v>
      </c>
      <c r="Q186" s="1314" t="n">
        <v>0</v>
      </c>
      <c r="R186" s="1314" t="n">
        <v>0</v>
      </c>
      <c r="S186" s="1252"/>
      <c r="T186" s="1314" t="n">
        <v>0</v>
      </c>
      <c r="U186" s="1314" t="n">
        <v>0</v>
      </c>
      <c r="V186" s="1314" t="n">
        <v>0</v>
      </c>
      <c r="W186" s="1252"/>
      <c r="X186" s="1314" t="n">
        <v>0</v>
      </c>
      <c r="Y186" s="1314" t="n">
        <v>0</v>
      </c>
      <c r="Z186" s="1314" t="n">
        <v>0</v>
      </c>
      <c r="AA186" s="1252" t="n">
        <v>0</v>
      </c>
      <c r="AB186" s="1314" t="n">
        <v>0</v>
      </c>
      <c r="AC186" s="1314" t="n">
        <v>0</v>
      </c>
      <c r="AD186" s="1314" t="n">
        <v>0</v>
      </c>
      <c r="AE186" s="1252"/>
      <c r="AF186" s="1314" t="n">
        <v>0</v>
      </c>
      <c r="AG186" s="1314" t="n">
        <v>0</v>
      </c>
      <c r="AH186" s="1314" t="n">
        <v>0</v>
      </c>
      <c r="AI186" s="1252"/>
      <c r="AJ186" s="1314" t="n">
        <v>0</v>
      </c>
      <c r="AK186" s="1314" t="n">
        <v>0</v>
      </c>
      <c r="AL186" s="1314" t="n">
        <v>0</v>
      </c>
      <c r="AM186" s="1166"/>
      <c r="AN186" s="1253" t="n">
        <v>59</v>
      </c>
      <c r="AO186" s="1316" t="n">
        <v>0.35</v>
      </c>
      <c r="AP186" s="1252"/>
      <c r="AQ186" s="0"/>
      <c r="AR186" s="0"/>
      <c r="AS186" s="0"/>
      <c r="AT186" s="0"/>
      <c r="AU186" s="0" t="str">
        <f aca="false">AV186&amp;"Q"&amp;ROUNDUP(MONTH(AW186)/3,0)</f>
        <v>2015Q1</v>
      </c>
      <c r="AV186" s="0" t="n">
        <f aca="false">YEAR(AW186)</f>
        <v>2015</v>
      </c>
      <c r="AW186" s="1304" t="n">
        <f aca="false">EOMONTH(AW185,0)+1</f>
        <v>42005</v>
      </c>
      <c r="AX186" s="112" t="n">
        <f aca="false">AY186</f>
        <v>3.91776204499126</v>
      </c>
      <c r="AY186" s="1323" t="n">
        <v>3.91776204499126</v>
      </c>
      <c r="AZ186" s="112" t="n">
        <f aca="false">AY186</f>
        <v>3.91776204499126</v>
      </c>
      <c r="BA186" s="163" t="n">
        <v>1</v>
      </c>
      <c r="BB186" s="163" t="n">
        <v>1</v>
      </c>
      <c r="BC186" s="163" t="n">
        <v>1</v>
      </c>
      <c r="BD186" s="163" t="n">
        <v>0</v>
      </c>
      <c r="BE186" s="163"/>
      <c r="BF186" s="163" t="n">
        <v>0</v>
      </c>
      <c r="BG186" s="1290" t="n">
        <v>0</v>
      </c>
      <c r="BH186" s="1262"/>
      <c r="BI186" s="1292"/>
      <c r="BJ186" s="1291"/>
      <c r="BK186" s="1293" t="n">
        <v>0</v>
      </c>
      <c r="BL186" s="1294" t="n">
        <f aca="false">+AY186</f>
        <v>3.91776204499126</v>
      </c>
      <c r="BM186" s="1295" t="n">
        <f aca="false">AY186</f>
        <v>3.91776204499126</v>
      </c>
      <c r="BN186" s="1324" t="n">
        <f aca="false">+BM186/BM174-1</f>
        <v>0.0176452661890292</v>
      </c>
      <c r="BO186" s="1296" t="n">
        <f aca="false">BM186</f>
        <v>3.91776204499126</v>
      </c>
      <c r="BP186" s="1318" t="n">
        <f aca="false">+AY186/AY174-1</f>
        <v>0.0176452661890292</v>
      </c>
      <c r="BQ186" s="1298" t="n">
        <f aca="false">VLOOKUP($AW186,$BU$8:$BZ$291,5,FALSE())</f>
        <v>4.32770417809312</v>
      </c>
      <c r="BR186" s="1298" t="n">
        <f aca="false">VLOOKUP($AW186,$BU$8:$BZ$291,6,FALSE())</f>
        <v>3.56076484767933</v>
      </c>
      <c r="BS186" s="1262" t="n">
        <v>0</v>
      </c>
      <c r="BU186" s="1309" t="n">
        <f aca="false">EDATE(BU185,1)</f>
        <v>41579</v>
      </c>
      <c r="BV186" s="1310" t="n">
        <v>3.09015166477296</v>
      </c>
      <c r="BW186" s="1310" t="n">
        <v>2.39926335962708</v>
      </c>
      <c r="BX186" s="1310"/>
      <c r="BY186" s="1310" t="n">
        <v>4.15893728623752</v>
      </c>
      <c r="BZ186" s="1311" t="n">
        <v>3.22909259102327</v>
      </c>
    </row>
    <row r="187" customFormat="false" ht="12.75" hidden="false" customHeight="false" outlineLevel="0" collapsed="false">
      <c r="A187" s="1246"/>
      <c r="B187" s="1312" t="n">
        <v>41000</v>
      </c>
      <c r="C187" s="1313" t="n">
        <v>37.052720257656</v>
      </c>
      <c r="D187" s="1313"/>
      <c r="E187" s="1313"/>
      <c r="F187" s="1287"/>
      <c r="G187" s="1313"/>
      <c r="H187" s="1313"/>
      <c r="I187" s="1313"/>
      <c r="J187" s="1253"/>
      <c r="K187" s="1254" t="n">
        <v>41883</v>
      </c>
      <c r="L187" s="1314" t="n">
        <v>0</v>
      </c>
      <c r="M187" s="1314" t="n">
        <v>0</v>
      </c>
      <c r="N187" s="1314" t="n">
        <v>0</v>
      </c>
      <c r="O187" s="1252"/>
      <c r="P187" s="1314" t="n">
        <v>0</v>
      </c>
      <c r="Q187" s="1314" t="n">
        <v>0</v>
      </c>
      <c r="R187" s="1314" t="n">
        <v>0</v>
      </c>
      <c r="S187" s="1252"/>
      <c r="T187" s="1314" t="n">
        <v>0</v>
      </c>
      <c r="U187" s="1314" t="n">
        <v>0</v>
      </c>
      <c r="V187" s="1314" t="n">
        <v>0</v>
      </c>
      <c r="W187" s="1252"/>
      <c r="X187" s="1314" t="n">
        <v>0</v>
      </c>
      <c r="Y187" s="1314" t="n">
        <v>0</v>
      </c>
      <c r="Z187" s="1314" t="n">
        <v>0</v>
      </c>
      <c r="AA187" s="1252" t="n">
        <v>0</v>
      </c>
      <c r="AB187" s="1314" t="n">
        <v>0</v>
      </c>
      <c r="AC187" s="1314" t="n">
        <v>0</v>
      </c>
      <c r="AD187" s="1314" t="n">
        <v>0</v>
      </c>
      <c r="AE187" s="1252"/>
      <c r="AF187" s="1314" t="n">
        <v>0</v>
      </c>
      <c r="AG187" s="1314" t="n">
        <v>0</v>
      </c>
      <c r="AH187" s="1314" t="n">
        <v>0</v>
      </c>
      <c r="AI187" s="1252"/>
      <c r="AJ187" s="1314" t="n">
        <v>0</v>
      </c>
      <c r="AK187" s="1314" t="n">
        <v>0</v>
      </c>
      <c r="AL187" s="1314" t="n">
        <v>0</v>
      </c>
      <c r="AM187" s="1166"/>
      <c r="AN187" s="1253" t="n">
        <v>60</v>
      </c>
      <c r="AO187" s="1316" t="n">
        <v>0.35</v>
      </c>
      <c r="AP187" s="1252"/>
      <c r="AQ187" s="0"/>
      <c r="AR187" s="0"/>
      <c r="AS187" s="0"/>
      <c r="AT187" s="0"/>
      <c r="AU187" s="0" t="str">
        <f aca="false">AV187&amp;"Q"&amp;ROUNDUP(MONTH(AW187)/3,0)</f>
        <v>2015Q1</v>
      </c>
      <c r="AV187" s="0" t="n">
        <f aca="false">YEAR(AW187)</f>
        <v>2015</v>
      </c>
      <c r="AW187" s="1304" t="n">
        <f aca="false">EOMONTH(AW186,0)+1</f>
        <v>42036</v>
      </c>
      <c r="AX187" s="112" t="n">
        <f aca="false">AY187</f>
        <v>3.61851254141419</v>
      </c>
      <c r="AY187" s="1323" t="n">
        <v>3.61851254141419</v>
      </c>
      <c r="AZ187" s="112" t="n">
        <f aca="false">AY187</f>
        <v>3.61851254141419</v>
      </c>
      <c r="BA187" s="163" t="n">
        <v>1</v>
      </c>
      <c r="BB187" s="163" t="n">
        <v>1</v>
      </c>
      <c r="BC187" s="163" t="n">
        <v>1</v>
      </c>
      <c r="BD187" s="163" t="n">
        <v>0</v>
      </c>
      <c r="BE187" s="163"/>
      <c r="BF187" s="163" t="n">
        <v>0</v>
      </c>
      <c r="BG187" s="1290" t="n">
        <v>0</v>
      </c>
      <c r="BH187" s="1262"/>
      <c r="BI187" s="1292"/>
      <c r="BJ187" s="1291"/>
      <c r="BK187" s="1293" t="n">
        <v>0</v>
      </c>
      <c r="BL187" s="1294" t="n">
        <f aca="false">+AY187</f>
        <v>3.61851254141419</v>
      </c>
      <c r="BM187" s="1295" t="n">
        <f aca="false">AY187</f>
        <v>3.61851254141419</v>
      </c>
      <c r="BN187" s="1324" t="n">
        <f aca="false">+BM187/BM175-1</f>
        <v>0.0176452661890294</v>
      </c>
      <c r="BO187" s="1296" t="n">
        <f aca="false">BM187</f>
        <v>3.61851254141419</v>
      </c>
      <c r="BP187" s="1318" t="n">
        <f aca="false">+AY187/AY175-1</f>
        <v>0.0176452661890294</v>
      </c>
      <c r="BQ187" s="1298" t="n">
        <f aca="false">VLOOKUP($AW187,$BU$8:$BZ$291,5,FALSE())</f>
        <v>4.00115927488785</v>
      </c>
      <c r="BR187" s="1298" t="n">
        <f aca="false">VLOOKUP($AW187,$BU$8:$BZ$291,6,FALSE())</f>
        <v>3.31663866778861</v>
      </c>
      <c r="BS187" s="1262" t="n">
        <v>0</v>
      </c>
      <c r="BU187" s="1309" t="n">
        <f aca="false">EDATE(BU186,1)</f>
        <v>41609</v>
      </c>
      <c r="BV187" s="1310" t="n">
        <v>3.15543036962414</v>
      </c>
      <c r="BW187" s="1310" t="n">
        <v>2.44956447002092</v>
      </c>
      <c r="BX187" s="1310"/>
      <c r="BY187" s="1310" t="n">
        <v>4.24679382826353</v>
      </c>
      <c r="BZ187" s="1311" t="n">
        <v>3.29679126288488</v>
      </c>
    </row>
    <row r="188" customFormat="false" ht="12.75" hidden="false" customHeight="false" outlineLevel="0" collapsed="false">
      <c r="A188" s="1246"/>
      <c r="B188" s="1312" t="n">
        <v>41030</v>
      </c>
      <c r="C188" s="1313" t="n">
        <v>39.4752207300334</v>
      </c>
      <c r="D188" s="1313"/>
      <c r="E188" s="1313"/>
      <c r="F188" s="1287"/>
      <c r="G188" s="1313"/>
      <c r="H188" s="1313"/>
      <c r="I188" s="1313"/>
      <c r="J188" s="1253"/>
      <c r="K188" s="1254" t="n">
        <v>41913</v>
      </c>
      <c r="L188" s="1314" t="n">
        <v>0</v>
      </c>
      <c r="M188" s="1314" t="n">
        <v>0</v>
      </c>
      <c r="N188" s="1314" t="n">
        <v>0</v>
      </c>
      <c r="O188" s="1252"/>
      <c r="P188" s="1314" t="n">
        <v>0</v>
      </c>
      <c r="Q188" s="1314" t="n">
        <v>0</v>
      </c>
      <c r="R188" s="1314" t="n">
        <v>0</v>
      </c>
      <c r="S188" s="1252"/>
      <c r="T188" s="1314" t="n">
        <v>0</v>
      </c>
      <c r="U188" s="1314" t="n">
        <v>0</v>
      </c>
      <c r="V188" s="1314" t="n">
        <v>0</v>
      </c>
      <c r="W188" s="1252"/>
      <c r="X188" s="1314" t="n">
        <v>0</v>
      </c>
      <c r="Y188" s="1314" t="n">
        <v>0</v>
      </c>
      <c r="Z188" s="1314" t="n">
        <v>0</v>
      </c>
      <c r="AA188" s="1252" t="n">
        <v>0</v>
      </c>
      <c r="AB188" s="1314" t="n">
        <v>0</v>
      </c>
      <c r="AC188" s="1314" t="n">
        <v>0</v>
      </c>
      <c r="AD188" s="1314" t="n">
        <v>0</v>
      </c>
      <c r="AE188" s="1252"/>
      <c r="AF188" s="1314" t="n">
        <v>0</v>
      </c>
      <c r="AG188" s="1314" t="n">
        <v>0</v>
      </c>
      <c r="AH188" s="1314" t="n">
        <v>0</v>
      </c>
      <c r="AI188" s="1252"/>
      <c r="AJ188" s="1314" t="n">
        <v>0</v>
      </c>
      <c r="AK188" s="1314" t="n">
        <v>0</v>
      </c>
      <c r="AL188" s="1314" t="n">
        <v>0</v>
      </c>
      <c r="AM188" s="1166"/>
      <c r="AN188" s="1253" t="n">
        <v>60</v>
      </c>
      <c r="AO188" s="1316" t="n">
        <v>0.35</v>
      </c>
      <c r="AP188" s="1252"/>
      <c r="AQ188" s="0"/>
      <c r="AR188" s="0"/>
      <c r="AS188" s="0"/>
      <c r="AT188" s="0"/>
      <c r="AU188" s="0" t="str">
        <f aca="false">AV188&amp;"Q"&amp;ROUNDUP(MONTH(AW188)/3,0)</f>
        <v>2015Q1</v>
      </c>
      <c r="AV188" s="0" t="n">
        <f aca="false">YEAR(AW188)</f>
        <v>2015</v>
      </c>
      <c r="AW188" s="1304" t="n">
        <f aca="false">EOMONTH(AW187,0)+1</f>
        <v>42064</v>
      </c>
      <c r="AX188" s="112" t="n">
        <f aca="false">AY188</f>
        <v>3.42425832791002</v>
      </c>
      <c r="AY188" s="1323" t="n">
        <v>3.42425832791002</v>
      </c>
      <c r="AZ188" s="112" t="n">
        <f aca="false">AY188</f>
        <v>3.42425832791002</v>
      </c>
      <c r="BA188" s="163" t="n">
        <v>1</v>
      </c>
      <c r="BB188" s="163" t="n">
        <v>1</v>
      </c>
      <c r="BC188" s="163" t="n">
        <v>1</v>
      </c>
      <c r="BD188" s="163" t="n">
        <v>0</v>
      </c>
      <c r="BE188" s="163"/>
      <c r="BF188" s="163" t="n">
        <v>0</v>
      </c>
      <c r="BG188" s="1290" t="n">
        <v>0</v>
      </c>
      <c r="BH188" s="1262"/>
      <c r="BI188" s="1292"/>
      <c r="BJ188" s="1291"/>
      <c r="BK188" s="1293" t="n">
        <v>0</v>
      </c>
      <c r="BL188" s="1294" t="n">
        <f aca="false">+AY188</f>
        <v>3.42425832791002</v>
      </c>
      <c r="BM188" s="1295" t="n">
        <f aca="false">AY188</f>
        <v>3.42425832791002</v>
      </c>
      <c r="BN188" s="1324" t="n">
        <f aca="false">+BM188/BM176-1</f>
        <v>0.0176452661890296</v>
      </c>
      <c r="BO188" s="1296" t="n">
        <f aca="false">BM188</f>
        <v>3.42425832791002</v>
      </c>
      <c r="BP188" s="1318" t="n">
        <f aca="false">+AY188/AY176-1</f>
        <v>0.0176452661890296</v>
      </c>
      <c r="BQ188" s="1298" t="n">
        <f aca="false">VLOOKUP($AW188,$BU$8:$BZ$291,5,FALSE())</f>
        <v>3.88235757633994</v>
      </c>
      <c r="BR188" s="1298" t="n">
        <f aca="false">VLOOKUP($AW188,$BU$8:$BZ$291,6,FALSE())</f>
        <v>3.15199543018789</v>
      </c>
      <c r="BS188" s="1262" t="n">
        <v>0</v>
      </c>
      <c r="BU188" s="1309" t="n">
        <f aca="false">EDATE(BU187,1)</f>
        <v>41640</v>
      </c>
      <c r="BV188" s="1310" t="n">
        <v>3.05257569711118</v>
      </c>
      <c r="BW188" s="1310" t="n">
        <v>2.5291418689348</v>
      </c>
      <c r="BX188" s="1310"/>
      <c r="BY188" s="1310" t="n">
        <v>4.19053228070123</v>
      </c>
      <c r="BZ188" s="1311" t="n">
        <v>3.47196980381985</v>
      </c>
    </row>
    <row r="189" customFormat="false" ht="12.75" hidden="false" customHeight="false" outlineLevel="0" collapsed="false">
      <c r="A189" s="1246"/>
      <c r="B189" s="1312" t="n">
        <v>41061</v>
      </c>
      <c r="C189" s="1313" t="n">
        <v>40.2373805919064</v>
      </c>
      <c r="D189" s="1313"/>
      <c r="E189" s="1313"/>
      <c r="F189" s="1287"/>
      <c r="G189" s="1313"/>
      <c r="H189" s="1313"/>
      <c r="I189" s="1313"/>
      <c r="J189" s="1253"/>
      <c r="K189" s="1254" t="n">
        <v>41944</v>
      </c>
      <c r="L189" s="1314" t="n">
        <v>0</v>
      </c>
      <c r="M189" s="1314" t="n">
        <v>0</v>
      </c>
      <c r="N189" s="1314" t="n">
        <v>0</v>
      </c>
      <c r="O189" s="1252"/>
      <c r="P189" s="1314" t="n">
        <v>0</v>
      </c>
      <c r="Q189" s="1314" t="n">
        <v>0</v>
      </c>
      <c r="R189" s="1314" t="n">
        <v>0</v>
      </c>
      <c r="S189" s="1252"/>
      <c r="T189" s="1314" t="n">
        <v>0</v>
      </c>
      <c r="U189" s="1314" t="n">
        <v>0</v>
      </c>
      <c r="V189" s="1314" t="n">
        <v>0</v>
      </c>
      <c r="W189" s="1252"/>
      <c r="X189" s="1314" t="n">
        <v>0</v>
      </c>
      <c r="Y189" s="1314" t="n">
        <v>0</v>
      </c>
      <c r="Z189" s="1314" t="n">
        <v>0</v>
      </c>
      <c r="AA189" s="1252" t="n">
        <v>0</v>
      </c>
      <c r="AB189" s="1314" t="n">
        <v>0</v>
      </c>
      <c r="AC189" s="1314" t="n">
        <v>0</v>
      </c>
      <c r="AD189" s="1314" t="n">
        <v>0</v>
      </c>
      <c r="AE189" s="1252"/>
      <c r="AF189" s="1314" t="n">
        <v>0</v>
      </c>
      <c r="AG189" s="1314" t="n">
        <v>0</v>
      </c>
      <c r="AH189" s="1314" t="n">
        <v>0</v>
      </c>
      <c r="AI189" s="1252"/>
      <c r="AJ189" s="1314" t="n">
        <v>0</v>
      </c>
      <c r="AK189" s="1314" t="n">
        <v>0</v>
      </c>
      <c r="AL189" s="1314" t="n">
        <v>0</v>
      </c>
      <c r="AM189" s="1166"/>
      <c r="AN189" s="1253" t="n">
        <v>60</v>
      </c>
      <c r="AO189" s="1316" t="n">
        <v>0.35</v>
      </c>
      <c r="AP189" s="1252"/>
      <c r="AQ189" s="0"/>
      <c r="AR189" s="0"/>
      <c r="AS189" s="0"/>
      <c r="AT189" s="0"/>
      <c r="AU189" s="0" t="str">
        <f aca="false">AV189&amp;"Q"&amp;ROUNDUP(MONTH(AW189)/3,0)</f>
        <v>2015Q2</v>
      </c>
      <c r="AV189" s="0" t="n">
        <f aca="false">YEAR(AW189)</f>
        <v>2015</v>
      </c>
      <c r="AW189" s="1304" t="n">
        <f aca="false">EOMONTH(AW188,0)+1</f>
        <v>42095</v>
      </c>
      <c r="AX189" s="112" t="n">
        <f aca="false">AY189</f>
        <v>3.32152813358933</v>
      </c>
      <c r="AY189" s="1323" t="n">
        <v>3.32152813358933</v>
      </c>
      <c r="AZ189" s="112" t="n">
        <f aca="false">AY189</f>
        <v>3.32152813358933</v>
      </c>
      <c r="BA189" s="163" t="n">
        <v>1</v>
      </c>
      <c r="BB189" s="163" t="n">
        <v>1</v>
      </c>
      <c r="BC189" s="163" t="n">
        <v>1</v>
      </c>
      <c r="BD189" s="163" t="n">
        <v>0</v>
      </c>
      <c r="BE189" s="163"/>
      <c r="BF189" s="163" t="n">
        <v>0</v>
      </c>
      <c r="BG189" s="1290" t="n">
        <v>0</v>
      </c>
      <c r="BH189" s="1262"/>
      <c r="BI189" s="1292"/>
      <c r="BJ189" s="1291"/>
      <c r="BK189" s="1293" t="n">
        <v>0</v>
      </c>
      <c r="BL189" s="1294" t="n">
        <f aca="false">+AY189</f>
        <v>3.32152813358933</v>
      </c>
      <c r="BM189" s="1295" t="n">
        <f aca="false">AY189</f>
        <v>3.32152813358933</v>
      </c>
      <c r="BN189" s="1324" t="n">
        <f aca="false">+BM189/BM177-1</f>
        <v>0.0176452661890294</v>
      </c>
      <c r="BO189" s="1296" t="n">
        <f aca="false">BM189</f>
        <v>3.32152813358933</v>
      </c>
      <c r="BP189" s="1318" t="n">
        <f aca="false">+AY189/AY177-1</f>
        <v>0.0176452661890294</v>
      </c>
      <c r="BQ189" s="1298" t="n">
        <f aca="false">VLOOKUP($AW189,$BU$8:$BZ$291,5,FALSE())</f>
        <v>3.80534130279853</v>
      </c>
      <c r="BR189" s="1298" t="n">
        <f aca="false">VLOOKUP($AW189,$BU$8:$BZ$291,6,FALSE())</f>
        <v>3.05619009796333</v>
      </c>
      <c r="BS189" s="1262" t="n">
        <v>0</v>
      </c>
      <c r="BU189" s="1309" t="n">
        <f aca="false">EDATE(BU188,1)</f>
        <v>41671</v>
      </c>
      <c r="BV189" s="1310" t="n">
        <v>2.82224501956955</v>
      </c>
      <c r="BW189" s="1310" t="n">
        <v>2.3557438015878</v>
      </c>
      <c r="BX189" s="1310"/>
      <c r="BY189" s="1310" t="n">
        <v>3.87433761912825</v>
      </c>
      <c r="BZ189" s="1311" t="n">
        <v>3.23393141567555</v>
      </c>
    </row>
    <row r="190" customFormat="false" ht="12.75" hidden="false" customHeight="false" outlineLevel="0" collapsed="false">
      <c r="A190" s="1246"/>
      <c r="B190" s="1312" t="n">
        <v>41091</v>
      </c>
      <c r="C190" s="1313" t="n">
        <v>55.5958430007984</v>
      </c>
      <c r="D190" s="1313"/>
      <c r="E190" s="1313"/>
      <c r="F190" s="1287"/>
      <c r="G190" s="1313"/>
      <c r="H190" s="1313"/>
      <c r="I190" s="1313"/>
      <c r="J190" s="1253"/>
      <c r="K190" s="1254" t="n">
        <v>41974</v>
      </c>
      <c r="L190" s="1314" t="n">
        <v>0</v>
      </c>
      <c r="M190" s="1314" t="n">
        <v>0</v>
      </c>
      <c r="N190" s="1314" t="n">
        <v>0</v>
      </c>
      <c r="O190" s="1252"/>
      <c r="P190" s="1314" t="n">
        <v>0</v>
      </c>
      <c r="Q190" s="1314" t="n">
        <v>0</v>
      </c>
      <c r="R190" s="1314" t="n">
        <v>0</v>
      </c>
      <c r="S190" s="1252"/>
      <c r="T190" s="1314" t="n">
        <v>0</v>
      </c>
      <c r="U190" s="1314" t="n">
        <v>0</v>
      </c>
      <c r="V190" s="1314" t="n">
        <v>0</v>
      </c>
      <c r="W190" s="1252"/>
      <c r="X190" s="1314" t="n">
        <v>0</v>
      </c>
      <c r="Y190" s="1314" t="n">
        <v>0</v>
      </c>
      <c r="Z190" s="1314" t="n">
        <v>0</v>
      </c>
      <c r="AA190" s="1252" t="n">
        <v>0</v>
      </c>
      <c r="AB190" s="1314" t="n">
        <v>0</v>
      </c>
      <c r="AC190" s="1314" t="n">
        <v>0</v>
      </c>
      <c r="AD190" s="1314" t="n">
        <v>0</v>
      </c>
      <c r="AE190" s="1252"/>
      <c r="AF190" s="1314" t="n">
        <v>0</v>
      </c>
      <c r="AG190" s="1314" t="n">
        <v>0</v>
      </c>
      <c r="AH190" s="1314" t="n">
        <v>0</v>
      </c>
      <c r="AI190" s="1252"/>
      <c r="AJ190" s="1314" t="n">
        <v>0</v>
      </c>
      <c r="AK190" s="1314" t="n">
        <v>0</v>
      </c>
      <c r="AL190" s="1314" t="n">
        <v>0</v>
      </c>
      <c r="AM190" s="1166"/>
      <c r="AN190" s="1253" t="n">
        <v>61</v>
      </c>
      <c r="AO190" s="1316" t="n">
        <v>0.35</v>
      </c>
      <c r="AP190" s="1252"/>
      <c r="AQ190" s="0"/>
      <c r="AR190" s="0"/>
      <c r="AS190" s="0"/>
      <c r="AT190" s="0"/>
      <c r="AU190" s="0" t="str">
        <f aca="false">AV190&amp;"Q"&amp;ROUNDUP(MONTH(AW190)/3,0)</f>
        <v>2015Q2</v>
      </c>
      <c r="AV190" s="0" t="n">
        <f aca="false">YEAR(AW190)</f>
        <v>2015</v>
      </c>
      <c r="AW190" s="1304" t="n">
        <f aca="false">EOMONTH(AW189,0)+1</f>
        <v>42125</v>
      </c>
      <c r="AX190" s="112" t="n">
        <f aca="false">AY190</f>
        <v>3.29647819586819</v>
      </c>
      <c r="AY190" s="1323" t="n">
        <v>3.29647819586819</v>
      </c>
      <c r="AZ190" s="112" t="n">
        <f aca="false">AY190</f>
        <v>3.29647819586819</v>
      </c>
      <c r="BA190" s="163" t="n">
        <v>1</v>
      </c>
      <c r="BB190" s="163" t="n">
        <v>1</v>
      </c>
      <c r="BC190" s="163" t="n">
        <v>1</v>
      </c>
      <c r="BD190" s="163" t="n">
        <v>0</v>
      </c>
      <c r="BE190" s="163"/>
      <c r="BF190" s="163" t="n">
        <v>0</v>
      </c>
      <c r="BG190" s="1290" t="n">
        <v>0</v>
      </c>
      <c r="BH190" s="1262"/>
      <c r="BI190" s="1292"/>
      <c r="BJ190" s="1291"/>
      <c r="BK190" s="1293" t="n">
        <v>0</v>
      </c>
      <c r="BL190" s="1294" t="n">
        <f aca="false">+AY190</f>
        <v>3.29647819586819</v>
      </c>
      <c r="BM190" s="1295" t="n">
        <f aca="false">AY190</f>
        <v>3.29647819586819</v>
      </c>
      <c r="BN190" s="1324" t="n">
        <f aca="false">+BM190/BM178-1</f>
        <v>0.0176452661890292</v>
      </c>
      <c r="BO190" s="1296" t="n">
        <f aca="false">BM190</f>
        <v>3.29647819586819</v>
      </c>
      <c r="BP190" s="1318" t="n">
        <f aca="false">+AY190/AY178-1</f>
        <v>0.0176452661890292</v>
      </c>
      <c r="BQ190" s="1298" t="n">
        <f aca="false">VLOOKUP($AW190,$BU$8:$BZ$291,5,FALSE())</f>
        <v>3.77011045426363</v>
      </c>
      <c r="BR190" s="1298" t="n">
        <f aca="false">VLOOKUP($AW190,$BU$8:$BZ$291,6,FALSE())</f>
        <v>3.0185776342011</v>
      </c>
      <c r="BS190" s="1262" t="n">
        <v>0</v>
      </c>
      <c r="BU190" s="1309" t="n">
        <f aca="false">EDATE(BU189,1)</f>
        <v>41699</v>
      </c>
      <c r="BV190" s="1310" t="n">
        <v>2.738447430169</v>
      </c>
      <c r="BW190" s="1310" t="n">
        <v>2.23880091895843</v>
      </c>
      <c r="BX190" s="1310"/>
      <c r="BY190" s="1310" t="n">
        <v>3.75930148627812</v>
      </c>
      <c r="BZ190" s="1311" t="n">
        <v>3.07339389808986</v>
      </c>
    </row>
    <row r="191" customFormat="false" ht="12.75" hidden="false" customHeight="false" outlineLevel="0" collapsed="false">
      <c r="A191" s="1246"/>
      <c r="B191" s="1312" t="n">
        <v>41122</v>
      </c>
      <c r="C191" s="1313" t="n">
        <v>69.7475680859283</v>
      </c>
      <c r="D191" s="1313"/>
      <c r="E191" s="1313"/>
      <c r="F191" s="1287"/>
      <c r="G191" s="1313"/>
      <c r="H191" s="1313"/>
      <c r="I191" s="1313"/>
      <c r="J191" s="1253"/>
      <c r="K191" s="1254" t="n">
        <v>42005</v>
      </c>
      <c r="L191" s="1314" t="n">
        <v>0</v>
      </c>
      <c r="M191" s="1314" t="n">
        <v>0</v>
      </c>
      <c r="N191" s="1314" t="n">
        <v>0</v>
      </c>
      <c r="O191" s="1252"/>
      <c r="P191" s="1314" t="n">
        <v>0</v>
      </c>
      <c r="Q191" s="1314" t="n">
        <v>0</v>
      </c>
      <c r="R191" s="1314" t="n">
        <v>0</v>
      </c>
      <c r="S191" s="1252"/>
      <c r="T191" s="1314" t="n">
        <v>0</v>
      </c>
      <c r="U191" s="1314" t="n">
        <v>0</v>
      </c>
      <c r="V191" s="1314" t="n">
        <v>0</v>
      </c>
      <c r="W191" s="1252"/>
      <c r="X191" s="1314" t="n">
        <v>0</v>
      </c>
      <c r="Y191" s="1314" t="n">
        <v>0</v>
      </c>
      <c r="Z191" s="1314" t="n">
        <v>0</v>
      </c>
      <c r="AA191" s="1252" t="n">
        <v>0</v>
      </c>
      <c r="AB191" s="1314" t="n">
        <v>0</v>
      </c>
      <c r="AC191" s="1314" t="n">
        <v>0</v>
      </c>
      <c r="AD191" s="1314" t="n">
        <v>0</v>
      </c>
      <c r="AE191" s="1252"/>
      <c r="AF191" s="1314" t="n">
        <v>0</v>
      </c>
      <c r="AG191" s="1314" t="n">
        <v>0</v>
      </c>
      <c r="AH191" s="1314" t="n">
        <v>0</v>
      </c>
      <c r="AI191" s="1252"/>
      <c r="AJ191" s="1314" t="n">
        <v>0</v>
      </c>
      <c r="AK191" s="1314" t="n">
        <v>0</v>
      </c>
      <c r="AL191" s="1314" t="n">
        <v>0</v>
      </c>
      <c r="AM191" s="1166"/>
      <c r="AN191" s="1253" t="n">
        <v>61</v>
      </c>
      <c r="AO191" s="1316" t="n">
        <v>0.35</v>
      </c>
      <c r="AP191" s="1252"/>
      <c r="AQ191" s="0"/>
      <c r="AR191" s="0"/>
      <c r="AS191" s="0"/>
      <c r="AT191" s="0"/>
      <c r="AU191" s="0" t="str">
        <f aca="false">AV191&amp;"Q"&amp;ROUNDUP(MONTH(AW191)/3,0)</f>
        <v>2015Q2</v>
      </c>
      <c r="AV191" s="0" t="n">
        <f aca="false">YEAR(AW191)</f>
        <v>2015</v>
      </c>
      <c r="AW191" s="1304" t="n">
        <f aca="false">EOMONTH(AW190,0)+1</f>
        <v>42156</v>
      </c>
      <c r="AX191" s="112" t="n">
        <f aca="false">AY191</f>
        <v>3.33629774935247</v>
      </c>
      <c r="AY191" s="1323" t="n">
        <v>3.33629774935247</v>
      </c>
      <c r="AZ191" s="112" t="n">
        <f aca="false">AY191</f>
        <v>3.33629774935247</v>
      </c>
      <c r="BA191" s="163" t="n">
        <v>1</v>
      </c>
      <c r="BB191" s="163" t="n">
        <v>1</v>
      </c>
      <c r="BC191" s="163" t="n">
        <v>1</v>
      </c>
      <c r="BD191" s="163" t="n">
        <v>0</v>
      </c>
      <c r="BE191" s="163"/>
      <c r="BF191" s="163" t="n">
        <v>0</v>
      </c>
      <c r="BG191" s="1290" t="n">
        <v>0</v>
      </c>
      <c r="BH191" s="1262"/>
      <c r="BI191" s="1292"/>
      <c r="BJ191" s="1291"/>
      <c r="BK191" s="1293" t="n">
        <v>0</v>
      </c>
      <c r="BL191" s="1294" t="n">
        <f aca="false">+AY191</f>
        <v>3.33629774935247</v>
      </c>
      <c r="BM191" s="1295" t="n">
        <f aca="false">AY191</f>
        <v>3.33629774935247</v>
      </c>
      <c r="BN191" s="1324" t="n">
        <f aca="false">+BM191/BM179-1</f>
        <v>0.0176452661890296</v>
      </c>
      <c r="BO191" s="1296" t="n">
        <f aca="false">BM191</f>
        <v>3.33629774935247</v>
      </c>
      <c r="BP191" s="1318" t="n">
        <f aca="false">+AY191/AY179-1</f>
        <v>0.0176452661890296</v>
      </c>
      <c r="BQ191" s="1298" t="n">
        <f aca="false">VLOOKUP($AW191,$BU$8:$BZ$291,5,FALSE())</f>
        <v>3.77666503073524</v>
      </c>
      <c r="BR191" s="1298" t="n">
        <f aca="false">VLOOKUP($AW191,$BU$8:$BZ$291,6,FALSE())</f>
        <v>3.02851300198735</v>
      </c>
      <c r="BS191" s="1262" t="n">
        <v>0</v>
      </c>
      <c r="BU191" s="1309" t="n">
        <f aca="false">EDATE(BU190,1)</f>
        <v>41730</v>
      </c>
      <c r="BV191" s="1310" t="n">
        <v>2.68412347566106</v>
      </c>
      <c r="BW191" s="1310" t="n">
        <v>2.17075225880772</v>
      </c>
      <c r="BX191" s="1310"/>
      <c r="BY191" s="1310" t="n">
        <v>3.68472633808563</v>
      </c>
      <c r="BZ191" s="1311" t="n">
        <v>2.97997767018439</v>
      </c>
    </row>
    <row r="192" customFormat="false" ht="12.75" hidden="false" customHeight="false" outlineLevel="0" collapsed="false">
      <c r="A192" s="1246"/>
      <c r="B192" s="1312" t="n">
        <v>41153</v>
      </c>
      <c r="C192" s="1313" t="n">
        <v>61.3863630527377</v>
      </c>
      <c r="D192" s="1313"/>
      <c r="E192" s="1313"/>
      <c r="F192" s="1287"/>
      <c r="G192" s="1313"/>
      <c r="H192" s="1313"/>
      <c r="I192" s="1313"/>
      <c r="J192" s="1253"/>
      <c r="K192" s="1254" t="n">
        <v>42036</v>
      </c>
      <c r="L192" s="1314" t="n">
        <v>0</v>
      </c>
      <c r="M192" s="1314" t="n">
        <v>0</v>
      </c>
      <c r="N192" s="1314" t="n">
        <v>0</v>
      </c>
      <c r="O192" s="1252"/>
      <c r="P192" s="1314" t="n">
        <v>0</v>
      </c>
      <c r="Q192" s="1314" t="n">
        <v>0</v>
      </c>
      <c r="R192" s="1314" t="n">
        <v>0</v>
      </c>
      <c r="S192" s="1252"/>
      <c r="T192" s="1314" t="n">
        <v>0</v>
      </c>
      <c r="U192" s="1314" t="n">
        <v>0</v>
      </c>
      <c r="V192" s="1314" t="n">
        <v>0</v>
      </c>
      <c r="W192" s="1252"/>
      <c r="X192" s="1314" t="n">
        <v>0</v>
      </c>
      <c r="Y192" s="1314" t="n">
        <v>0</v>
      </c>
      <c r="Z192" s="1314" t="n">
        <v>0</v>
      </c>
      <c r="AA192" s="1252" t="n">
        <v>0</v>
      </c>
      <c r="AB192" s="1314" t="n">
        <v>0</v>
      </c>
      <c r="AC192" s="1314" t="n">
        <v>0</v>
      </c>
      <c r="AD192" s="1314" t="n">
        <v>0</v>
      </c>
      <c r="AE192" s="1252"/>
      <c r="AF192" s="1314" t="n">
        <v>0</v>
      </c>
      <c r="AG192" s="1314" t="n">
        <v>0</v>
      </c>
      <c r="AH192" s="1314" t="n">
        <v>0</v>
      </c>
      <c r="AI192" s="1252"/>
      <c r="AJ192" s="1314" t="n">
        <v>0</v>
      </c>
      <c r="AK192" s="1314" t="n">
        <v>0</v>
      </c>
      <c r="AL192" s="1314" t="n">
        <v>0</v>
      </c>
      <c r="AM192" s="1166"/>
      <c r="AN192" s="1253" t="n">
        <v>61</v>
      </c>
      <c r="AO192" s="1316" t="n">
        <v>0.35</v>
      </c>
      <c r="AP192" s="1252"/>
      <c r="AQ192" s="0"/>
      <c r="AR192" s="0"/>
      <c r="AS192" s="0"/>
      <c r="AT192" s="0"/>
      <c r="AU192" s="0" t="str">
        <f aca="false">AV192&amp;"Q"&amp;ROUNDUP(MONTH(AW192)/3,0)</f>
        <v>2015Q3</v>
      </c>
      <c r="AV192" s="0" t="n">
        <f aca="false">YEAR(AW192)</f>
        <v>2015</v>
      </c>
      <c r="AW192" s="1304" t="n">
        <f aca="false">EOMONTH(AW191,0)+1</f>
        <v>42186</v>
      </c>
      <c r="AX192" s="112" t="n">
        <f aca="false">AY192</f>
        <v>3.42736563425316</v>
      </c>
      <c r="AY192" s="1323" t="n">
        <v>3.42736563425316</v>
      </c>
      <c r="AZ192" s="112" t="n">
        <f aca="false">AY192</f>
        <v>3.42736563425316</v>
      </c>
      <c r="BA192" s="163" t="n">
        <v>1</v>
      </c>
      <c r="BB192" s="163" t="n">
        <v>1</v>
      </c>
      <c r="BC192" s="163" t="n">
        <v>1</v>
      </c>
      <c r="BD192" s="163" t="n">
        <v>0</v>
      </c>
      <c r="BE192" s="163"/>
      <c r="BF192" s="163" t="n">
        <v>0</v>
      </c>
      <c r="BG192" s="1290" t="n">
        <v>0</v>
      </c>
      <c r="BH192" s="1262"/>
      <c r="BI192" s="1292"/>
      <c r="BJ192" s="1291"/>
      <c r="BK192" s="1293" t="n">
        <v>0</v>
      </c>
      <c r="BL192" s="1294" t="n">
        <f aca="false">+AY192</f>
        <v>3.42736563425316</v>
      </c>
      <c r="BM192" s="1295" t="n">
        <f aca="false">AY192</f>
        <v>3.42736563425316</v>
      </c>
      <c r="BN192" s="1324" t="n">
        <f aca="false">+BM192/BM180-1</f>
        <v>0.0176452661890296</v>
      </c>
      <c r="BO192" s="1296" t="n">
        <f aca="false">BM192</f>
        <v>3.42736563425316</v>
      </c>
      <c r="BP192" s="1318" t="n">
        <f aca="false">+AY192/AY180-1</f>
        <v>0.0176452661890296</v>
      </c>
      <c r="BQ192" s="1298" t="n">
        <f aca="false">VLOOKUP($AW192,$BU$8:$BZ$291,5,FALSE())</f>
        <v>3.82500503221336</v>
      </c>
      <c r="BR192" s="1298" t="n">
        <f aca="false">VLOOKUP($AW192,$BU$8:$BZ$291,6,FALSE())</f>
        <v>3.07535116440825</v>
      </c>
      <c r="BS192" s="1262" t="n">
        <v>0</v>
      </c>
      <c r="BU192" s="1309" t="n">
        <f aca="false">EDATE(BU191,1)</f>
        <v>41760</v>
      </c>
      <c r="BV192" s="1310" t="n">
        <v>2.65927315604572</v>
      </c>
      <c r="BW192" s="1310" t="n">
        <v>2.1440368588967</v>
      </c>
      <c r="BX192" s="1310"/>
      <c r="BY192" s="1310" t="n">
        <v>3.65061217455076</v>
      </c>
      <c r="BZ192" s="1311" t="n">
        <v>2.94330315108076</v>
      </c>
    </row>
    <row r="193" customFormat="false" ht="12.75" hidden="false" customHeight="false" outlineLevel="0" collapsed="false">
      <c r="A193" s="1246"/>
      <c r="B193" s="1312" t="n">
        <v>41183</v>
      </c>
      <c r="C193" s="1313" t="n">
        <v>50.1577341123914</v>
      </c>
      <c r="D193" s="1313"/>
      <c r="E193" s="1313"/>
      <c r="F193" s="1287"/>
      <c r="G193" s="1313"/>
      <c r="H193" s="1313"/>
      <c r="I193" s="1313"/>
      <c r="J193" s="1253"/>
      <c r="K193" s="1254" t="n">
        <v>42064</v>
      </c>
      <c r="L193" s="1314" t="n">
        <v>0</v>
      </c>
      <c r="M193" s="1314" t="n">
        <v>0</v>
      </c>
      <c r="N193" s="1314" t="n">
        <v>0</v>
      </c>
      <c r="O193" s="1252"/>
      <c r="P193" s="1314" t="n">
        <v>0</v>
      </c>
      <c r="Q193" s="1314" t="n">
        <v>0</v>
      </c>
      <c r="R193" s="1314" t="n">
        <v>0</v>
      </c>
      <c r="S193" s="1252"/>
      <c r="T193" s="1314" t="n">
        <v>0</v>
      </c>
      <c r="U193" s="1314" t="n">
        <v>0</v>
      </c>
      <c r="V193" s="1314" t="n">
        <v>0</v>
      </c>
      <c r="W193" s="1252"/>
      <c r="X193" s="1314" t="n">
        <v>0</v>
      </c>
      <c r="Y193" s="1314" t="n">
        <v>0</v>
      </c>
      <c r="Z193" s="1314" t="n">
        <v>0</v>
      </c>
      <c r="AA193" s="1252" t="n">
        <v>0</v>
      </c>
      <c r="AB193" s="1314" t="n">
        <v>0</v>
      </c>
      <c r="AC193" s="1314" t="n">
        <v>0</v>
      </c>
      <c r="AD193" s="1314" t="n">
        <v>0</v>
      </c>
      <c r="AE193" s="1252"/>
      <c r="AF193" s="1314" t="n">
        <v>0</v>
      </c>
      <c r="AG193" s="1314" t="n">
        <v>0</v>
      </c>
      <c r="AH193" s="1314" t="n">
        <v>0</v>
      </c>
      <c r="AI193" s="1252"/>
      <c r="AJ193" s="1314" t="n">
        <v>0</v>
      </c>
      <c r="AK193" s="1314" t="n">
        <v>0</v>
      </c>
      <c r="AL193" s="1314" t="n">
        <v>0</v>
      </c>
      <c r="AM193" s="1166"/>
      <c r="AN193" s="1253" t="n">
        <v>62</v>
      </c>
      <c r="AO193" s="1316" t="n">
        <v>0.35</v>
      </c>
      <c r="AP193" s="1252"/>
      <c r="AQ193" s="0"/>
      <c r="AR193" s="0"/>
      <c r="AS193" s="0"/>
      <c r="AT193" s="0"/>
      <c r="AU193" s="0" t="str">
        <f aca="false">AV193&amp;"Q"&amp;ROUNDUP(MONTH(AW193)/3,0)</f>
        <v>2015Q3</v>
      </c>
      <c r="AV193" s="0" t="n">
        <f aca="false">YEAR(AW193)</f>
        <v>2015</v>
      </c>
      <c r="AW193" s="1304" t="n">
        <f aca="false">EOMONTH(AW192,0)+1</f>
        <v>42217</v>
      </c>
      <c r="AX193" s="112" t="n">
        <f aca="false">AY193</f>
        <v>3.55670094455456</v>
      </c>
      <c r="AY193" s="1323" t="n">
        <v>3.55670094455456</v>
      </c>
      <c r="AZ193" s="112" t="n">
        <f aca="false">AY193</f>
        <v>3.55670094455456</v>
      </c>
      <c r="BA193" s="163" t="n">
        <v>1</v>
      </c>
      <c r="BB193" s="163" t="n">
        <v>1</v>
      </c>
      <c r="BC193" s="163" t="n">
        <v>1</v>
      </c>
      <c r="BD193" s="163" t="n">
        <v>0</v>
      </c>
      <c r="BE193" s="163"/>
      <c r="BF193" s="163" t="n">
        <v>0</v>
      </c>
      <c r="BG193" s="1290" t="n">
        <v>0</v>
      </c>
      <c r="BH193" s="1262"/>
      <c r="BI193" s="1292"/>
      <c r="BJ193" s="1291"/>
      <c r="BK193" s="1293" t="n">
        <v>0</v>
      </c>
      <c r="BL193" s="1294" t="n">
        <f aca="false">+AY193</f>
        <v>3.55670094455456</v>
      </c>
      <c r="BM193" s="1295" t="n">
        <f aca="false">AY193</f>
        <v>3.55670094455456</v>
      </c>
      <c r="BN193" s="1324" t="n">
        <f aca="false">+BM193/BM181-1</f>
        <v>0.0176452661890296</v>
      </c>
      <c r="BO193" s="1296" t="n">
        <f aca="false">BM193</f>
        <v>3.55670094455456</v>
      </c>
      <c r="BP193" s="1318" t="n">
        <f aca="false">+AY193/AY181-1</f>
        <v>0.0176452661890296</v>
      </c>
      <c r="BQ193" s="1298" t="n">
        <f aca="false">VLOOKUP($AW193,$BU$8:$BZ$291,5,FALSE())</f>
        <v>3.91513045869798</v>
      </c>
      <c r="BR193" s="1298" t="n">
        <f aca="false">VLOOKUP($AW193,$BU$8:$BZ$291,6,FALSE())</f>
        <v>3.14844708454994</v>
      </c>
      <c r="BS193" s="1262" t="n">
        <v>0</v>
      </c>
      <c r="BU193" s="1309" t="n">
        <f aca="false">EDATE(BU192,1)</f>
        <v>41791</v>
      </c>
      <c r="BV193" s="1310" t="n">
        <v>2.66389647132299</v>
      </c>
      <c r="BW193" s="1310" t="n">
        <v>2.1510937569864</v>
      </c>
      <c r="BX193" s="1310"/>
      <c r="BY193" s="1310" t="n">
        <v>3.65695899567353</v>
      </c>
      <c r="BZ193" s="1311" t="n">
        <v>2.95299075990059</v>
      </c>
    </row>
    <row r="194" customFormat="false" ht="12.75" hidden="false" customHeight="false" outlineLevel="0" collapsed="false">
      <c r="A194" s="1246"/>
      <c r="B194" s="1312" t="n">
        <v>41214</v>
      </c>
      <c r="C194" s="1313" t="n">
        <v>53.6340103937788</v>
      </c>
      <c r="D194" s="1313"/>
      <c r="E194" s="1313"/>
      <c r="F194" s="1287"/>
      <c r="G194" s="1313"/>
      <c r="H194" s="1313"/>
      <c r="I194" s="1313"/>
      <c r="J194" s="1253"/>
      <c r="K194" s="1254" t="n">
        <v>42095</v>
      </c>
      <c r="L194" s="1314" t="n">
        <v>0</v>
      </c>
      <c r="M194" s="1314" t="n">
        <v>0</v>
      </c>
      <c r="N194" s="1314" t="n">
        <v>0</v>
      </c>
      <c r="O194" s="1252"/>
      <c r="P194" s="1314" t="n">
        <v>0</v>
      </c>
      <c r="Q194" s="1314" t="n">
        <v>0</v>
      </c>
      <c r="R194" s="1314" t="n">
        <v>0</v>
      </c>
      <c r="S194" s="1252"/>
      <c r="T194" s="1314" t="n">
        <v>0</v>
      </c>
      <c r="U194" s="1314" t="n">
        <v>0</v>
      </c>
      <c r="V194" s="1314" t="n">
        <v>0</v>
      </c>
      <c r="W194" s="1252"/>
      <c r="X194" s="1314" t="n">
        <v>0</v>
      </c>
      <c r="Y194" s="1314" t="n">
        <v>0</v>
      </c>
      <c r="Z194" s="1314" t="n">
        <v>0</v>
      </c>
      <c r="AA194" s="1252" t="n">
        <v>0</v>
      </c>
      <c r="AB194" s="1314" t="n">
        <v>0</v>
      </c>
      <c r="AC194" s="1314" t="n">
        <v>0</v>
      </c>
      <c r="AD194" s="1314" t="n">
        <v>0</v>
      </c>
      <c r="AE194" s="1252"/>
      <c r="AF194" s="1314" t="n">
        <v>0</v>
      </c>
      <c r="AG194" s="1314" t="n">
        <v>0</v>
      </c>
      <c r="AH194" s="1314" t="n">
        <v>0</v>
      </c>
      <c r="AI194" s="1252"/>
      <c r="AJ194" s="1314" t="n">
        <v>0</v>
      </c>
      <c r="AK194" s="1314" t="n">
        <v>0</v>
      </c>
      <c r="AL194" s="1314" t="n">
        <v>0</v>
      </c>
      <c r="AM194" s="1166"/>
      <c r="AN194" s="1253" t="n">
        <v>62</v>
      </c>
      <c r="AO194" s="1316" t="n">
        <v>0.35</v>
      </c>
      <c r="AP194" s="1252"/>
      <c r="AQ194" s="0"/>
      <c r="AR194" s="0"/>
      <c r="AS194" s="0"/>
      <c r="AT194" s="0"/>
      <c r="AU194" s="0" t="str">
        <f aca="false">AV194&amp;"Q"&amp;ROUNDUP(MONTH(AW194)/3,0)</f>
        <v>2015Q3</v>
      </c>
      <c r="AV194" s="0" t="n">
        <f aca="false">YEAR(AW194)</f>
        <v>2015</v>
      </c>
      <c r="AW194" s="1304" t="n">
        <f aca="false">EOMONTH(AW193,0)+1</f>
        <v>42248</v>
      </c>
      <c r="AX194" s="112" t="n">
        <f aca="false">AY194</f>
        <v>3.71068731830176</v>
      </c>
      <c r="AY194" s="1323" t="n">
        <v>3.71068731830176</v>
      </c>
      <c r="AZ194" s="112" t="n">
        <f aca="false">AY194</f>
        <v>3.71068731830176</v>
      </c>
      <c r="BA194" s="163" t="n">
        <v>1</v>
      </c>
      <c r="BB194" s="163" t="n">
        <v>1</v>
      </c>
      <c r="BC194" s="163" t="n">
        <v>1</v>
      </c>
      <c r="BD194" s="163" t="n">
        <v>0</v>
      </c>
      <c r="BE194" s="163"/>
      <c r="BF194" s="163" t="n">
        <v>0</v>
      </c>
      <c r="BG194" s="1290" t="n">
        <v>0</v>
      </c>
      <c r="BH194" s="1262"/>
      <c r="BI194" s="1292"/>
      <c r="BJ194" s="1291"/>
      <c r="BK194" s="1293" t="n">
        <v>0</v>
      </c>
      <c r="BL194" s="1294" t="n">
        <f aca="false">+AY194</f>
        <v>3.71068731830176</v>
      </c>
      <c r="BM194" s="1295" t="n">
        <f aca="false">AY194</f>
        <v>3.71068731830176</v>
      </c>
      <c r="BN194" s="1324" t="n">
        <f aca="false">+BM194/BM182-1</f>
        <v>0.0176452661890296</v>
      </c>
      <c r="BO194" s="1296" t="n">
        <f aca="false">BM194</f>
        <v>3.71068731830176</v>
      </c>
      <c r="BP194" s="1318" t="n">
        <f aca="false">+AY194/AY182-1</f>
        <v>0.0176452661890296</v>
      </c>
      <c r="BQ194" s="1298" t="n">
        <f aca="false">VLOOKUP($AW194,$BU$8:$BZ$291,5,FALSE())</f>
        <v>4.04704131018912</v>
      </c>
      <c r="BR194" s="1298" t="n">
        <f aca="false">VLOOKUP($AW194,$BU$8:$BZ$291,6,FALSE())</f>
        <v>3.23715572549861</v>
      </c>
      <c r="BS194" s="1262" t="n">
        <v>0</v>
      </c>
      <c r="BU194" s="1309" t="n">
        <f aca="false">EDATE(BU193,1)</f>
        <v>41821</v>
      </c>
      <c r="BV194" s="1310" t="n">
        <v>2.69799342149287</v>
      </c>
      <c r="BW194" s="1310" t="n">
        <v>2.18436199083786</v>
      </c>
      <c r="BX194" s="1310"/>
      <c r="BY194" s="1310" t="n">
        <v>3.70376680145392</v>
      </c>
      <c r="BZ194" s="1311" t="n">
        <v>2.99866091576548</v>
      </c>
    </row>
    <row r="195" customFormat="false" ht="12.75" hidden="false" customHeight="false" outlineLevel="0" collapsed="false">
      <c r="A195" s="1246"/>
      <c r="B195" s="1312" t="n">
        <v>41244</v>
      </c>
      <c r="C195" s="1313" t="n">
        <v>50.1461039475457</v>
      </c>
      <c r="D195" s="1313"/>
      <c r="E195" s="1313"/>
      <c r="F195" s="1287"/>
      <c r="G195" s="1313"/>
      <c r="H195" s="1313"/>
      <c r="I195" s="1313"/>
      <c r="J195" s="1253"/>
      <c r="K195" s="1254" t="n">
        <v>42125</v>
      </c>
      <c r="L195" s="1314" t="n">
        <v>0</v>
      </c>
      <c r="M195" s="1314" t="n">
        <v>0</v>
      </c>
      <c r="N195" s="1314" t="n">
        <v>0</v>
      </c>
      <c r="O195" s="1252"/>
      <c r="P195" s="1314" t="n">
        <v>0</v>
      </c>
      <c r="Q195" s="1314" t="n">
        <v>0</v>
      </c>
      <c r="R195" s="1314" t="n">
        <v>0</v>
      </c>
      <c r="S195" s="1252"/>
      <c r="T195" s="1314" t="n">
        <v>0</v>
      </c>
      <c r="U195" s="1314" t="n">
        <v>0</v>
      </c>
      <c r="V195" s="1314" t="n">
        <v>0</v>
      </c>
      <c r="W195" s="1252"/>
      <c r="X195" s="1314" t="n">
        <v>0</v>
      </c>
      <c r="Y195" s="1314" t="n">
        <v>0</v>
      </c>
      <c r="Z195" s="1314" t="n">
        <v>0</v>
      </c>
      <c r="AA195" s="1252" t="n">
        <v>0</v>
      </c>
      <c r="AB195" s="1314" t="n">
        <v>0</v>
      </c>
      <c r="AC195" s="1314" t="n">
        <v>0</v>
      </c>
      <c r="AD195" s="1314" t="n">
        <v>0</v>
      </c>
      <c r="AE195" s="1252"/>
      <c r="AF195" s="1314" t="n">
        <v>0</v>
      </c>
      <c r="AG195" s="1314" t="n">
        <v>0</v>
      </c>
      <c r="AH195" s="1314" t="n">
        <v>0</v>
      </c>
      <c r="AI195" s="1252"/>
      <c r="AJ195" s="1314" t="n">
        <v>0</v>
      </c>
      <c r="AK195" s="1314" t="n">
        <v>0</v>
      </c>
      <c r="AL195" s="1314" t="n">
        <v>0</v>
      </c>
      <c r="AM195" s="1166"/>
      <c r="AN195" s="1253" t="n">
        <v>62</v>
      </c>
      <c r="AO195" s="1316" t="n">
        <v>0.35</v>
      </c>
      <c r="AP195" s="1252"/>
      <c r="AQ195" s="0"/>
      <c r="AR195" s="0"/>
      <c r="AS195" s="0"/>
      <c r="AT195" s="0"/>
      <c r="AU195" s="0" t="str">
        <f aca="false">AV195&amp;"Q"&amp;ROUNDUP(MONTH(AW195)/3,0)</f>
        <v>2015Q4</v>
      </c>
      <c r="AV195" s="0" t="n">
        <f aca="false">YEAR(AW195)</f>
        <v>2015</v>
      </c>
      <c r="AW195" s="1304" t="n">
        <f aca="false">EOMONTH(AW194,0)+1</f>
        <v>42278</v>
      </c>
      <c r="AX195" s="112" t="n">
        <f aca="false">AY195</f>
        <v>3.87558809866347</v>
      </c>
      <c r="AY195" s="1323" t="n">
        <v>3.87558809866347</v>
      </c>
      <c r="AZ195" s="112" t="n">
        <f aca="false">AY195</f>
        <v>3.87558809866347</v>
      </c>
      <c r="BA195" s="163" t="n">
        <v>1</v>
      </c>
      <c r="BB195" s="163" t="n">
        <v>1</v>
      </c>
      <c r="BC195" s="163" t="n">
        <v>1</v>
      </c>
      <c r="BD195" s="163" t="n">
        <v>0</v>
      </c>
      <c r="BE195" s="163"/>
      <c r="BF195" s="163" t="n">
        <v>0</v>
      </c>
      <c r="BG195" s="1290" t="n">
        <v>0</v>
      </c>
      <c r="BH195" s="1262"/>
      <c r="BI195" s="1292"/>
      <c r="BJ195" s="1291"/>
      <c r="BK195" s="1293" t="n">
        <v>0</v>
      </c>
      <c r="BL195" s="1294" t="n">
        <f aca="false">+AY195</f>
        <v>3.87558809866347</v>
      </c>
      <c r="BM195" s="1295" t="n">
        <f aca="false">AY195</f>
        <v>3.87558809866347</v>
      </c>
      <c r="BN195" s="1324" t="n">
        <f aca="false">+BM195/BM183-1</f>
        <v>0.0176452661890294</v>
      </c>
      <c r="BO195" s="1296" t="n">
        <f aca="false">BM195</f>
        <v>3.87558809866347</v>
      </c>
      <c r="BP195" s="1318" t="n">
        <f aca="false">+AY195/AY183-1</f>
        <v>0.0176452661890294</v>
      </c>
      <c r="BQ195" s="1298" t="n">
        <f aca="false">VLOOKUP($AW195,$BU$8:$BZ$291,5,FALSE())</f>
        <v>4.22073758668676</v>
      </c>
      <c r="BR195" s="1298" t="n">
        <f aca="false">VLOOKUP($AW195,$BU$8:$BZ$291,6,FALSE())</f>
        <v>3.3308320503404</v>
      </c>
      <c r="BS195" s="1262" t="n">
        <v>0</v>
      </c>
      <c r="BU195" s="1309" t="n">
        <f aca="false">EDATE(BU194,1)</f>
        <v>41852</v>
      </c>
      <c r="BV195" s="1310" t="n">
        <v>2.76156400655536</v>
      </c>
      <c r="BW195" s="1310" t="n">
        <v>2.23628059821211</v>
      </c>
      <c r="BX195" s="1310"/>
      <c r="BY195" s="1310" t="n">
        <v>3.79103559189195</v>
      </c>
      <c r="BZ195" s="1311" t="n">
        <v>3.06993403779706</v>
      </c>
    </row>
    <row r="196" customFormat="false" ht="12.75" hidden="false" customHeight="false" outlineLevel="0" collapsed="false">
      <c r="A196" s="1246"/>
      <c r="B196" s="1312" t="n">
        <v>41275</v>
      </c>
      <c r="C196" s="1313" t="n">
        <v>50.9131628571781</v>
      </c>
      <c r="D196" s="1313"/>
      <c r="E196" s="1313"/>
      <c r="F196" s="1287"/>
      <c r="G196" s="1313"/>
      <c r="H196" s="1313"/>
      <c r="I196" s="1313"/>
      <c r="J196" s="1253"/>
      <c r="K196" s="1254" t="n">
        <v>42156</v>
      </c>
      <c r="L196" s="1314" t="n">
        <v>0</v>
      </c>
      <c r="M196" s="1314" t="n">
        <v>0</v>
      </c>
      <c r="N196" s="1314" t="n">
        <v>0</v>
      </c>
      <c r="O196" s="1252"/>
      <c r="P196" s="1314" t="n">
        <v>0</v>
      </c>
      <c r="Q196" s="1314" t="n">
        <v>0</v>
      </c>
      <c r="R196" s="1314" t="n">
        <v>0</v>
      </c>
      <c r="S196" s="1252"/>
      <c r="T196" s="1314" t="n">
        <v>0</v>
      </c>
      <c r="U196" s="1314" t="n">
        <v>0</v>
      </c>
      <c r="V196" s="1314" t="n">
        <v>0</v>
      </c>
      <c r="W196" s="1252"/>
      <c r="X196" s="1314" t="n">
        <v>0</v>
      </c>
      <c r="Y196" s="1314" t="n">
        <v>0</v>
      </c>
      <c r="Z196" s="1314" t="n">
        <v>0</v>
      </c>
      <c r="AA196" s="1252" t="n">
        <v>0</v>
      </c>
      <c r="AB196" s="1314" t="n">
        <v>0</v>
      </c>
      <c r="AC196" s="1314" t="n">
        <v>0</v>
      </c>
      <c r="AD196" s="1314" t="n">
        <v>0</v>
      </c>
      <c r="AE196" s="1252"/>
      <c r="AF196" s="1314" t="n">
        <v>0</v>
      </c>
      <c r="AG196" s="1314" t="n">
        <v>0</v>
      </c>
      <c r="AH196" s="1314" t="n">
        <v>0</v>
      </c>
      <c r="AI196" s="1252"/>
      <c r="AJ196" s="1314" t="n">
        <v>0</v>
      </c>
      <c r="AK196" s="1314" t="n">
        <v>0</v>
      </c>
      <c r="AL196" s="1314" t="n">
        <v>0</v>
      </c>
      <c r="AM196" s="1166"/>
      <c r="AN196" s="1253" t="n">
        <v>63</v>
      </c>
      <c r="AO196" s="1316" t="n">
        <v>0.35</v>
      </c>
      <c r="AP196" s="1252"/>
      <c r="AQ196" s="0"/>
      <c r="AR196" s="0"/>
      <c r="AS196" s="0"/>
      <c r="AT196" s="0"/>
      <c r="AU196" s="0" t="str">
        <f aca="false">AV196&amp;"Q"&amp;ROUNDUP(MONTH(AW196)/3,0)</f>
        <v>2015Q4</v>
      </c>
      <c r="AV196" s="0" t="n">
        <f aca="false">YEAR(AW196)</f>
        <v>2015</v>
      </c>
      <c r="AW196" s="1304" t="n">
        <f aca="false">EOMONTH(AW195,0)+1</f>
        <v>42309</v>
      </c>
      <c r="AX196" s="112" t="n">
        <f aca="false">AY196</f>
        <v>4.03819676409547</v>
      </c>
      <c r="AY196" s="1323" t="n">
        <v>4.03819676409547</v>
      </c>
      <c r="AZ196" s="112" t="n">
        <f aca="false">AY196</f>
        <v>4.03819676409547</v>
      </c>
      <c r="BA196" s="163" t="n">
        <v>1</v>
      </c>
      <c r="BB196" s="163" t="n">
        <v>1</v>
      </c>
      <c r="BC196" s="163" t="n">
        <v>1</v>
      </c>
      <c r="BD196" s="163" t="n">
        <v>0</v>
      </c>
      <c r="BE196" s="163"/>
      <c r="BF196" s="163" t="n">
        <v>0</v>
      </c>
      <c r="BG196" s="1290" t="n">
        <v>0</v>
      </c>
      <c r="BH196" s="1262"/>
      <c r="BI196" s="1292"/>
      <c r="BJ196" s="1291"/>
      <c r="BK196" s="1293" t="n">
        <v>0</v>
      </c>
      <c r="BL196" s="1294" t="n">
        <f aca="false">+AY196</f>
        <v>4.03819676409547</v>
      </c>
      <c r="BM196" s="1295" t="n">
        <f aca="false">AY196</f>
        <v>4.03819676409547</v>
      </c>
      <c r="BN196" s="1324" t="n">
        <f aca="false">+BM196/BM184-1</f>
        <v>0.0176452661890294</v>
      </c>
      <c r="BO196" s="1296" t="n">
        <f aca="false">BM196</f>
        <v>4.03819676409547</v>
      </c>
      <c r="BP196" s="1318" t="n">
        <f aca="false">+AY196/AY184-1</f>
        <v>0.0176452661890294</v>
      </c>
      <c r="BQ196" s="1298" t="n">
        <f aca="false">VLOOKUP($AW196,$BU$8:$BZ$291,5,FALSE())</f>
        <v>4.43621928819091</v>
      </c>
      <c r="BR196" s="1298" t="n">
        <f aca="false">VLOOKUP($AW196,$BU$8:$BZ$291,6,FALSE())</f>
        <v>3.41883102216147</v>
      </c>
      <c r="BS196" s="1262" t="n">
        <v>0</v>
      </c>
      <c r="BU196" s="1309" t="n">
        <f aca="false">EDATE(BU195,1)</f>
        <v>41883</v>
      </c>
      <c r="BV196" s="1310" t="n">
        <v>2.85460822651045</v>
      </c>
      <c r="BW196" s="1310" t="n">
        <v>2.29928861687017</v>
      </c>
      <c r="BX196" s="1310"/>
      <c r="BY196" s="1310" t="n">
        <v>3.91876536698761</v>
      </c>
      <c r="BZ196" s="1311" t="n">
        <v>3.15643054511694</v>
      </c>
    </row>
    <row r="197" customFormat="false" ht="12.75" hidden="false" customHeight="false" outlineLevel="0" collapsed="false">
      <c r="A197" s="1246"/>
      <c r="B197" s="1312" t="n">
        <v>41306</v>
      </c>
      <c r="C197" s="1313" t="n">
        <v>41.8618021475557</v>
      </c>
      <c r="D197" s="1313"/>
      <c r="E197" s="1313"/>
      <c r="F197" s="1287"/>
      <c r="G197" s="1313"/>
      <c r="H197" s="1313"/>
      <c r="I197" s="1313"/>
      <c r="J197" s="1253"/>
      <c r="K197" s="1254" t="n">
        <v>42186</v>
      </c>
      <c r="L197" s="1314" t="n">
        <v>0</v>
      </c>
      <c r="M197" s="1314" t="n">
        <v>0</v>
      </c>
      <c r="N197" s="1314" t="n">
        <v>0</v>
      </c>
      <c r="O197" s="1252"/>
      <c r="P197" s="1314" t="n">
        <v>0</v>
      </c>
      <c r="Q197" s="1314" t="n">
        <v>0</v>
      </c>
      <c r="R197" s="1314" t="n">
        <v>0</v>
      </c>
      <c r="S197" s="1252"/>
      <c r="T197" s="1314" t="n">
        <v>0</v>
      </c>
      <c r="U197" s="1314" t="n">
        <v>0</v>
      </c>
      <c r="V197" s="1314" t="n">
        <v>0</v>
      </c>
      <c r="W197" s="1252"/>
      <c r="X197" s="1314" t="n">
        <v>0</v>
      </c>
      <c r="Y197" s="1314" t="n">
        <v>0</v>
      </c>
      <c r="Z197" s="1314" t="n">
        <v>0</v>
      </c>
      <c r="AA197" s="1252" t="n">
        <v>0</v>
      </c>
      <c r="AB197" s="1314" t="n">
        <v>0</v>
      </c>
      <c r="AC197" s="1314" t="n">
        <v>0</v>
      </c>
      <c r="AD197" s="1314" t="n">
        <v>0</v>
      </c>
      <c r="AE197" s="1252"/>
      <c r="AF197" s="1314" t="n">
        <v>0</v>
      </c>
      <c r="AG197" s="1314" t="n">
        <v>0</v>
      </c>
      <c r="AH197" s="1314" t="n">
        <v>0</v>
      </c>
      <c r="AI197" s="1252"/>
      <c r="AJ197" s="1314" t="n">
        <v>0</v>
      </c>
      <c r="AK197" s="1314" t="n">
        <v>0</v>
      </c>
      <c r="AL197" s="1314" t="n">
        <v>0</v>
      </c>
      <c r="AM197" s="1166"/>
      <c r="AN197" s="1253" t="n">
        <v>63</v>
      </c>
      <c r="AO197" s="1316" t="n">
        <v>0.35</v>
      </c>
      <c r="AP197" s="1252"/>
      <c r="AQ197" s="0"/>
      <c r="AR197" s="0"/>
      <c r="AS197" s="0"/>
      <c r="AT197" s="0"/>
      <c r="AU197" s="0" t="str">
        <f aca="false">AV197&amp;"Q"&amp;ROUNDUP(MONTH(AW197)/3,0)</f>
        <v>2015Q4</v>
      </c>
      <c r="AV197" s="0" t="n">
        <f aca="false">YEAR(AW197)</f>
        <v>2015</v>
      </c>
      <c r="AW197" s="1304" t="n">
        <f aca="false">EOMONTH(AW196,0)+1</f>
        <v>42339</v>
      </c>
      <c r="AX197" s="112" t="n">
        <f aca="false">AY197</f>
        <v>4.2099618724691</v>
      </c>
      <c r="AY197" s="1323" t="n">
        <v>4.2099618724691</v>
      </c>
      <c r="AZ197" s="112" t="n">
        <f aca="false">AY197</f>
        <v>4.2099618724691</v>
      </c>
      <c r="BA197" s="163" t="n">
        <v>1</v>
      </c>
      <c r="BB197" s="163" t="n">
        <v>1</v>
      </c>
      <c r="BC197" s="163" t="n">
        <v>1</v>
      </c>
      <c r="BD197" s="163" t="n">
        <v>0</v>
      </c>
      <c r="BE197" s="163"/>
      <c r="BF197" s="163" t="n">
        <v>0</v>
      </c>
      <c r="BG197" s="1290" t="n">
        <v>0</v>
      </c>
      <c r="BH197" s="1262"/>
      <c r="BI197" s="1292"/>
      <c r="BJ197" s="1291"/>
      <c r="BK197" s="1293" t="n">
        <v>0</v>
      </c>
      <c r="BL197" s="1294" t="n">
        <f aca="false">+AY197</f>
        <v>4.2099618724691</v>
      </c>
      <c r="BM197" s="1295" t="n">
        <f aca="false">AY197</f>
        <v>4.2099618724691</v>
      </c>
      <c r="BN197" s="1324" t="n">
        <f aca="false">+BM197/BM185-1</f>
        <v>0.0176452661890294</v>
      </c>
      <c r="BO197" s="1296" t="n">
        <f aca="false">BM197</f>
        <v>4.2099618724691</v>
      </c>
      <c r="BP197" s="1318" t="n">
        <f aca="false">+AY197/AY185-1</f>
        <v>0.0176452661890294</v>
      </c>
      <c r="BQ197" s="1298" t="n">
        <f aca="false">VLOOKUP($AW197,$BU$8:$BZ$291,5,FALSE())</f>
        <v>4.52993334529374</v>
      </c>
      <c r="BR197" s="1298" t="n">
        <f aca="false">VLOOKUP($AW197,$BU$8:$BZ$291,6,FALSE())</f>
        <v>3.49050760404799</v>
      </c>
      <c r="BS197" s="1262" t="n">
        <v>0</v>
      </c>
      <c r="BU197" s="1309" t="n">
        <f aca="false">EDATE(BU196,1)</f>
        <v>41913</v>
      </c>
      <c r="BV197" s="1310" t="n">
        <v>2.97712608135815</v>
      </c>
      <c r="BW197" s="1310" t="n">
        <v>2.36582508457309</v>
      </c>
      <c r="BX197" s="1310"/>
      <c r="BY197" s="1310" t="n">
        <v>4.0869561267409</v>
      </c>
      <c r="BZ197" s="1311" t="n">
        <v>3.24777085684673</v>
      </c>
    </row>
    <row r="198" customFormat="false" ht="12.75" hidden="false" customHeight="false" outlineLevel="0" collapsed="false">
      <c r="A198" s="1246"/>
      <c r="B198" s="1312" t="n">
        <v>41334</v>
      </c>
      <c r="C198" s="1313" t="n">
        <v>37.9002150541407</v>
      </c>
      <c r="D198" s="1313"/>
      <c r="E198" s="1313"/>
      <c r="F198" s="1287"/>
      <c r="G198" s="1313"/>
      <c r="H198" s="1313"/>
      <c r="I198" s="1313"/>
      <c r="J198" s="1253"/>
      <c r="K198" s="1254" t="n">
        <v>42217</v>
      </c>
      <c r="L198" s="1314" t="n">
        <v>0</v>
      </c>
      <c r="M198" s="1314" t="n">
        <v>0</v>
      </c>
      <c r="N198" s="1314" t="n">
        <v>0</v>
      </c>
      <c r="O198" s="1252"/>
      <c r="P198" s="1314" t="n">
        <v>0</v>
      </c>
      <c r="Q198" s="1314" t="n">
        <v>0</v>
      </c>
      <c r="R198" s="1314" t="n">
        <v>0</v>
      </c>
      <c r="S198" s="1252"/>
      <c r="T198" s="1314" t="n">
        <v>0</v>
      </c>
      <c r="U198" s="1314" t="n">
        <v>0</v>
      </c>
      <c r="V198" s="1314" t="n">
        <v>0</v>
      </c>
      <c r="W198" s="1252"/>
      <c r="X198" s="1314" t="n">
        <v>0</v>
      </c>
      <c r="Y198" s="1314" t="n">
        <v>0</v>
      </c>
      <c r="Z198" s="1314" t="n">
        <v>0</v>
      </c>
      <c r="AA198" s="1252" t="n">
        <v>0</v>
      </c>
      <c r="AB198" s="1314" t="n">
        <v>0</v>
      </c>
      <c r="AC198" s="1314" t="n">
        <v>0</v>
      </c>
      <c r="AD198" s="1314" t="n">
        <v>0</v>
      </c>
      <c r="AE198" s="1252"/>
      <c r="AF198" s="1314" t="n">
        <v>0</v>
      </c>
      <c r="AG198" s="1314" t="n">
        <v>0</v>
      </c>
      <c r="AH198" s="1314" t="n">
        <v>0</v>
      </c>
      <c r="AI198" s="1252"/>
      <c r="AJ198" s="1314" t="n">
        <v>0</v>
      </c>
      <c r="AK198" s="1314" t="n">
        <v>0</v>
      </c>
      <c r="AL198" s="1314" t="n">
        <v>0</v>
      </c>
      <c r="AM198" s="1166"/>
      <c r="AN198" s="1253" t="n">
        <v>63</v>
      </c>
      <c r="AO198" s="1316" t="n">
        <v>0.35</v>
      </c>
      <c r="AP198" s="1252"/>
      <c r="AQ198" s="0"/>
      <c r="AR198" s="0"/>
      <c r="AS198" s="0"/>
      <c r="AT198" s="0"/>
      <c r="AU198" s="0" t="str">
        <f aca="false">AV198&amp;"Q"&amp;ROUNDUP(MONTH(AW198)/3,0)</f>
        <v>2016Q1</v>
      </c>
      <c r="AV198" s="0" t="n">
        <f aca="false">YEAR(AW198)</f>
        <v>2016</v>
      </c>
      <c r="AW198" s="1304" t="n">
        <f aca="false">EOMONTH(AW197,0)+1</f>
        <v>42370</v>
      </c>
      <c r="AX198" s="112" t="n">
        <f aca="false">AY198</f>
        <v>3.98888267639165</v>
      </c>
      <c r="AY198" s="1323" t="n">
        <v>3.98888267639165</v>
      </c>
      <c r="AZ198" s="112" t="n">
        <f aca="false">AY198</f>
        <v>3.98888267639165</v>
      </c>
      <c r="BA198" s="163" t="n">
        <v>1</v>
      </c>
      <c r="BB198" s="163" t="n">
        <v>1</v>
      </c>
      <c r="BC198" s="163" t="n">
        <v>1</v>
      </c>
      <c r="BD198" s="163" t="n">
        <v>0</v>
      </c>
      <c r="BE198" s="163"/>
      <c r="BF198" s="163" t="n">
        <v>0</v>
      </c>
      <c r="BG198" s="1290" t="n">
        <v>0</v>
      </c>
      <c r="BH198" s="1262"/>
      <c r="BI198" s="1292"/>
      <c r="BJ198" s="1291"/>
      <c r="BK198" s="1293" t="n">
        <v>0</v>
      </c>
      <c r="BL198" s="1294" t="n">
        <f aca="false">+AY198</f>
        <v>3.98888267639165</v>
      </c>
      <c r="BM198" s="1295" t="n">
        <f aca="false">AY198</f>
        <v>3.98888267639165</v>
      </c>
      <c r="BN198" s="1324" t="n">
        <f aca="false">+BM198/BM186-1</f>
        <v>0.0181533821053062</v>
      </c>
      <c r="BO198" s="1296" t="n">
        <f aca="false">BM198</f>
        <v>3.98888267639165</v>
      </c>
      <c r="BP198" s="1318" t="n">
        <f aca="false">+AY198/AY186-1</f>
        <v>0.0181533821053062</v>
      </c>
      <c r="BQ198" s="1298" t="n">
        <f aca="false">VLOOKUP($AW198,$BU$8:$BZ$291,5,FALSE())</f>
        <v>4.46674251550062</v>
      </c>
      <c r="BR198" s="1298" t="n">
        <f aca="false">VLOOKUP($AW198,$BU$8:$BZ$291,6,FALSE())</f>
        <v>3.66884340569659</v>
      </c>
      <c r="BS198" s="1262" t="n">
        <v>0</v>
      </c>
      <c r="BU198" s="1309" t="n">
        <f aca="false">EDATE(BU197,1)</f>
        <v>41944</v>
      </c>
      <c r="BV198" s="1310" t="n">
        <v>3.12911757109846</v>
      </c>
      <c r="BW198" s="1310" t="n">
        <v>2.42832903908189</v>
      </c>
      <c r="BX198" s="1310"/>
      <c r="BY198" s="1310" t="n">
        <v>4.29560787115182</v>
      </c>
      <c r="BZ198" s="1311" t="n">
        <v>3.33357539210805</v>
      </c>
    </row>
    <row r="199" customFormat="false" ht="12.75" hidden="false" customHeight="false" outlineLevel="0" collapsed="false">
      <c r="A199" s="1246"/>
      <c r="B199" s="1312" t="n">
        <v>41365</v>
      </c>
      <c r="C199" s="1313" t="n">
        <v>37.6899880327262</v>
      </c>
      <c r="D199" s="1313"/>
      <c r="E199" s="1313"/>
      <c r="F199" s="1287"/>
      <c r="G199" s="1313"/>
      <c r="H199" s="1313"/>
      <c r="I199" s="1313"/>
      <c r="J199" s="1253"/>
      <c r="K199" s="1254" t="n">
        <v>42248</v>
      </c>
      <c r="L199" s="1314" t="n">
        <v>0</v>
      </c>
      <c r="M199" s="1314" t="n">
        <v>0</v>
      </c>
      <c r="N199" s="1314" t="n">
        <v>0</v>
      </c>
      <c r="O199" s="1252"/>
      <c r="P199" s="1314" t="n">
        <v>0</v>
      </c>
      <c r="Q199" s="1314" t="n">
        <v>0</v>
      </c>
      <c r="R199" s="1314" t="n">
        <v>0</v>
      </c>
      <c r="S199" s="1252"/>
      <c r="T199" s="1314" t="n">
        <v>0</v>
      </c>
      <c r="U199" s="1314" t="n">
        <v>0</v>
      </c>
      <c r="V199" s="1314" t="n">
        <v>0</v>
      </c>
      <c r="W199" s="1252"/>
      <c r="X199" s="1314" t="n">
        <v>0</v>
      </c>
      <c r="Y199" s="1314" t="n">
        <v>0</v>
      </c>
      <c r="Z199" s="1314" t="n">
        <v>0</v>
      </c>
      <c r="AA199" s="1252" t="n">
        <v>0</v>
      </c>
      <c r="AB199" s="1314" t="n">
        <v>0</v>
      </c>
      <c r="AC199" s="1314" t="n">
        <v>0</v>
      </c>
      <c r="AD199" s="1314" t="n">
        <v>0</v>
      </c>
      <c r="AE199" s="1252"/>
      <c r="AF199" s="1314" t="n">
        <v>0</v>
      </c>
      <c r="AG199" s="1314" t="n">
        <v>0</v>
      </c>
      <c r="AH199" s="1314" t="n">
        <v>0</v>
      </c>
      <c r="AI199" s="1252"/>
      <c r="AJ199" s="1314" t="n">
        <v>0</v>
      </c>
      <c r="AK199" s="1314" t="n">
        <v>0</v>
      </c>
      <c r="AL199" s="1314" t="n">
        <v>0</v>
      </c>
      <c r="AM199" s="1166"/>
      <c r="AN199" s="1253" t="n">
        <v>64</v>
      </c>
      <c r="AO199" s="1316" t="n">
        <v>0.35</v>
      </c>
      <c r="AP199" s="1252"/>
      <c r="AQ199" s="0"/>
      <c r="AR199" s="0"/>
      <c r="AS199" s="0"/>
      <c r="AT199" s="0"/>
      <c r="AU199" s="0" t="str">
        <f aca="false">AV199&amp;"Q"&amp;ROUNDUP(MONTH(AW199)/3,0)</f>
        <v>2016Q1</v>
      </c>
      <c r="AV199" s="0" t="n">
        <f aca="false">YEAR(AW199)</f>
        <v>2016</v>
      </c>
      <c r="AW199" s="1304" t="n">
        <f aca="false">EOMONTH(AW198,0)+1</f>
        <v>42401</v>
      </c>
      <c r="AX199" s="112" t="n">
        <f aca="false">AY199</f>
        <v>3.68420078223133</v>
      </c>
      <c r="AY199" s="1323" t="n">
        <v>3.68420078223133</v>
      </c>
      <c r="AZ199" s="112" t="n">
        <f aca="false">AY199</f>
        <v>3.68420078223133</v>
      </c>
      <c r="BA199" s="163" t="n">
        <v>1</v>
      </c>
      <c r="BB199" s="163" t="n">
        <v>1</v>
      </c>
      <c r="BC199" s="163" t="n">
        <v>1</v>
      </c>
      <c r="BD199" s="163" t="n">
        <v>0</v>
      </c>
      <c r="BE199" s="163"/>
      <c r="BF199" s="163" t="n">
        <v>0</v>
      </c>
      <c r="BG199" s="1290" t="n">
        <v>0</v>
      </c>
      <c r="BH199" s="1262"/>
      <c r="BI199" s="1292"/>
      <c r="BJ199" s="1291"/>
      <c r="BK199" s="1293" t="n">
        <v>0</v>
      </c>
      <c r="BL199" s="1294" t="n">
        <f aca="false">+AY199</f>
        <v>3.68420078223133</v>
      </c>
      <c r="BM199" s="1295" t="n">
        <f aca="false">AY199</f>
        <v>3.68420078223133</v>
      </c>
      <c r="BN199" s="1324" t="n">
        <f aca="false">+BM199/BM187-1</f>
        <v>0.0181533821053062</v>
      </c>
      <c r="BO199" s="1296" t="n">
        <f aca="false">BM199</f>
        <v>3.68420078223133</v>
      </c>
      <c r="BP199" s="1318" t="n">
        <f aca="false">+AY199/AY187-1</f>
        <v>0.0181533821053062</v>
      </c>
      <c r="BQ199" s="1298" t="n">
        <f aca="false">VLOOKUP($AW199,$BU$8:$BZ$291,5,FALSE())</f>
        <v>4.12970653930095</v>
      </c>
      <c r="BR199" s="1298" t="n">
        <f aca="false">VLOOKUP($AW199,$BU$8:$BZ$291,6,FALSE())</f>
        <v>3.41730735556015</v>
      </c>
      <c r="BS199" s="1262" t="n">
        <v>0</v>
      </c>
      <c r="BU199" s="1309" t="n">
        <f aca="false">EDATE(BU198,1)</f>
        <v>41974</v>
      </c>
      <c r="BV199" s="1310" t="n">
        <v>3.19521942127525</v>
      </c>
      <c r="BW199" s="1310" t="n">
        <v>2.47923951815761</v>
      </c>
      <c r="BX199" s="1310"/>
      <c r="BY199" s="1310" t="n">
        <v>4.38635154615456</v>
      </c>
      <c r="BZ199" s="1311" t="n">
        <v>3.4034645700225</v>
      </c>
    </row>
    <row r="200" customFormat="false" ht="12.75" hidden="false" customHeight="false" outlineLevel="0" collapsed="false">
      <c r="A200" s="1246"/>
      <c r="B200" s="1312" t="n">
        <v>41395</v>
      </c>
      <c r="C200" s="1313" t="n">
        <v>40.1671939945993</v>
      </c>
      <c r="D200" s="1313"/>
      <c r="E200" s="1313"/>
      <c r="F200" s="1287"/>
      <c r="G200" s="1313"/>
      <c r="H200" s="1313"/>
      <c r="I200" s="1313"/>
      <c r="J200" s="1253"/>
      <c r="K200" s="1254" t="n">
        <v>42278</v>
      </c>
      <c r="L200" s="1314" t="n">
        <v>0</v>
      </c>
      <c r="M200" s="1314" t="n">
        <v>0</v>
      </c>
      <c r="N200" s="1314" t="n">
        <v>0</v>
      </c>
      <c r="O200" s="1252"/>
      <c r="P200" s="1314" t="n">
        <v>0</v>
      </c>
      <c r="Q200" s="1314" t="n">
        <v>0</v>
      </c>
      <c r="R200" s="1314" t="n">
        <v>0</v>
      </c>
      <c r="S200" s="1252"/>
      <c r="T200" s="1314" t="n">
        <v>0</v>
      </c>
      <c r="U200" s="1314" t="n">
        <v>0</v>
      </c>
      <c r="V200" s="1314" t="n">
        <v>0</v>
      </c>
      <c r="W200" s="1252"/>
      <c r="X200" s="1314" t="n">
        <v>0</v>
      </c>
      <c r="Y200" s="1314" t="n">
        <v>0</v>
      </c>
      <c r="Z200" s="1314" t="n">
        <v>0</v>
      </c>
      <c r="AA200" s="1252" t="n">
        <v>0</v>
      </c>
      <c r="AB200" s="1314" t="n">
        <v>0</v>
      </c>
      <c r="AC200" s="1314" t="n">
        <v>0</v>
      </c>
      <c r="AD200" s="1314" t="n">
        <v>0</v>
      </c>
      <c r="AE200" s="1252"/>
      <c r="AF200" s="1314" t="n">
        <v>0</v>
      </c>
      <c r="AG200" s="1314" t="n">
        <v>0</v>
      </c>
      <c r="AH200" s="1314" t="n">
        <v>0</v>
      </c>
      <c r="AI200" s="1252"/>
      <c r="AJ200" s="1314" t="n">
        <v>0</v>
      </c>
      <c r="AK200" s="1314" t="n">
        <v>0</v>
      </c>
      <c r="AL200" s="1314" t="n">
        <v>0</v>
      </c>
      <c r="AM200" s="1166"/>
      <c r="AN200" s="1253" t="n">
        <v>64</v>
      </c>
      <c r="AO200" s="1316" t="n">
        <v>0.35</v>
      </c>
      <c r="AP200" s="1252"/>
      <c r="AQ200" s="0"/>
      <c r="AR200" s="0"/>
      <c r="AS200" s="0"/>
      <c r="AT200" s="0"/>
      <c r="AU200" s="0" t="str">
        <f aca="false">AV200&amp;"Q"&amp;ROUNDUP(MONTH(AW200)/3,0)</f>
        <v>2016Q1</v>
      </c>
      <c r="AV200" s="0" t="n">
        <f aca="false">YEAR(AW200)</f>
        <v>2016</v>
      </c>
      <c r="AW200" s="1304" t="n">
        <f aca="false">EOMONTH(AW199,0)+1</f>
        <v>42430</v>
      </c>
      <c r="AX200" s="112" t="n">
        <f aca="false">AY200</f>
        <v>3.48660922487233</v>
      </c>
      <c r="AY200" s="1323" t="n">
        <v>3.48660922487233</v>
      </c>
      <c r="AZ200" s="112" t="n">
        <f aca="false">AY200</f>
        <v>3.48660922487233</v>
      </c>
      <c r="BA200" s="163" t="n">
        <v>1</v>
      </c>
      <c r="BB200" s="163" t="n">
        <v>1</v>
      </c>
      <c r="BC200" s="163" t="n">
        <v>1</v>
      </c>
      <c r="BD200" s="163" t="n">
        <v>0</v>
      </c>
      <c r="BE200" s="163"/>
      <c r="BF200" s="163" t="n">
        <v>0</v>
      </c>
      <c r="BG200" s="1290" t="n">
        <v>0</v>
      </c>
      <c r="BH200" s="1262"/>
      <c r="BI200" s="1292"/>
      <c r="BJ200" s="1291"/>
      <c r="BK200" s="1293" t="n">
        <v>0</v>
      </c>
      <c r="BL200" s="1294" t="n">
        <f aca="false">+AY200</f>
        <v>3.48660922487233</v>
      </c>
      <c r="BM200" s="1295" t="n">
        <f aca="false">AY200</f>
        <v>3.48660922487233</v>
      </c>
      <c r="BN200" s="1324" t="n">
        <f aca="false">+BM200/BM188-1</f>
        <v>0.0182085844558249</v>
      </c>
      <c r="BO200" s="1296" t="n">
        <f aca="false">BM200</f>
        <v>3.48660922487233</v>
      </c>
      <c r="BP200" s="1318" t="n">
        <f aca="false">+AY200/AY188-1</f>
        <v>0.0182085844558249</v>
      </c>
      <c r="BQ200" s="1298" t="n">
        <f aca="false">VLOOKUP($AW200,$BU$8:$BZ$291,5,FALSE())</f>
        <v>4.00708803859476</v>
      </c>
      <c r="BR200" s="1298" t="n">
        <f aca="false">VLOOKUP($AW200,$BU$8:$BZ$291,6,FALSE())</f>
        <v>3.24766676360766</v>
      </c>
      <c r="BS200" s="1262" t="n">
        <v>0</v>
      </c>
      <c r="BU200" s="1309" t="n">
        <f aca="false">EDATE(BU199,1)</f>
        <v>42005</v>
      </c>
      <c r="BV200" s="1310" t="n">
        <v>3.09068430541719</v>
      </c>
      <c r="BW200" s="1310" t="n">
        <v>2.54296494795374</v>
      </c>
      <c r="BX200" s="1310"/>
      <c r="BY200" s="1310" t="n">
        <v>4.32770417809312</v>
      </c>
      <c r="BZ200" s="1311" t="n">
        <v>3.56076484767933</v>
      </c>
    </row>
    <row r="201" customFormat="false" ht="12.75" hidden="false" customHeight="false" outlineLevel="0" collapsed="false">
      <c r="A201" s="1246"/>
      <c r="B201" s="1312" t="n">
        <v>41426</v>
      </c>
      <c r="C201" s="1313" t="n">
        <v>41.8170785794999</v>
      </c>
      <c r="D201" s="1313"/>
      <c r="E201" s="1313"/>
      <c r="F201" s="1287"/>
      <c r="G201" s="1313"/>
      <c r="H201" s="1313"/>
      <c r="I201" s="1313"/>
      <c r="J201" s="1253"/>
      <c r="K201" s="1254" t="n">
        <v>42309</v>
      </c>
      <c r="L201" s="1314" t="n">
        <v>0</v>
      </c>
      <c r="M201" s="1314" t="n">
        <v>0</v>
      </c>
      <c r="N201" s="1314" t="n">
        <v>0</v>
      </c>
      <c r="O201" s="1252"/>
      <c r="P201" s="1314" t="n">
        <v>0</v>
      </c>
      <c r="Q201" s="1314" t="n">
        <v>0</v>
      </c>
      <c r="R201" s="1314" t="n">
        <v>0</v>
      </c>
      <c r="S201" s="1252"/>
      <c r="T201" s="1314" t="n">
        <v>0</v>
      </c>
      <c r="U201" s="1314" t="n">
        <v>0</v>
      </c>
      <c r="V201" s="1314" t="n">
        <v>0</v>
      </c>
      <c r="W201" s="1252"/>
      <c r="X201" s="1314" t="n">
        <v>0</v>
      </c>
      <c r="Y201" s="1314" t="n">
        <v>0</v>
      </c>
      <c r="Z201" s="1314" t="n">
        <v>0</v>
      </c>
      <c r="AA201" s="1252" t="n">
        <v>0</v>
      </c>
      <c r="AB201" s="1314" t="n">
        <v>0</v>
      </c>
      <c r="AC201" s="1314" t="n">
        <v>0</v>
      </c>
      <c r="AD201" s="1314" t="n">
        <v>0</v>
      </c>
      <c r="AE201" s="1252"/>
      <c r="AF201" s="1314" t="n">
        <v>0</v>
      </c>
      <c r="AG201" s="1314" t="n">
        <v>0</v>
      </c>
      <c r="AH201" s="1314" t="n">
        <v>0</v>
      </c>
      <c r="AI201" s="1252"/>
      <c r="AJ201" s="1314" t="n">
        <v>0</v>
      </c>
      <c r="AK201" s="1314" t="n">
        <v>0</v>
      </c>
      <c r="AL201" s="1314" t="n">
        <v>0</v>
      </c>
      <c r="AM201" s="1166"/>
      <c r="AN201" s="1253" t="n">
        <v>64</v>
      </c>
      <c r="AO201" s="1316" t="n">
        <v>0.35</v>
      </c>
      <c r="AP201" s="1252"/>
      <c r="AQ201" s="0"/>
      <c r="AR201" s="0"/>
      <c r="AS201" s="0"/>
      <c r="AT201" s="0"/>
      <c r="AU201" s="0" t="str">
        <f aca="false">AV201&amp;"Q"&amp;ROUNDUP(MONTH(AW201)/3,0)</f>
        <v>2016Q2</v>
      </c>
      <c r="AV201" s="0" t="n">
        <f aca="false">YEAR(AW201)</f>
        <v>2016</v>
      </c>
      <c r="AW201" s="1304" t="n">
        <f aca="false">EOMONTH(AW200,0)+1</f>
        <v>42461</v>
      </c>
      <c r="AX201" s="112" t="n">
        <f aca="false">AY201</f>
        <v>3.38200845913219</v>
      </c>
      <c r="AY201" s="1323" t="n">
        <v>3.38200845913219</v>
      </c>
      <c r="AZ201" s="112" t="n">
        <f aca="false">AY201</f>
        <v>3.38200845913219</v>
      </c>
      <c r="BA201" s="163" t="n">
        <v>1</v>
      </c>
      <c r="BB201" s="163" t="n">
        <v>1</v>
      </c>
      <c r="BC201" s="163" t="n">
        <v>1</v>
      </c>
      <c r="BD201" s="163" t="n">
        <v>0</v>
      </c>
      <c r="BE201" s="163"/>
      <c r="BF201" s="163" t="n">
        <v>0</v>
      </c>
      <c r="BG201" s="1290" t="n">
        <v>0</v>
      </c>
      <c r="BH201" s="1262"/>
      <c r="BI201" s="1292"/>
      <c r="BJ201" s="1291"/>
      <c r="BK201" s="1293" t="n">
        <v>0</v>
      </c>
      <c r="BL201" s="1294" t="n">
        <f aca="false">+AY201</f>
        <v>3.38200845913219</v>
      </c>
      <c r="BM201" s="1295" t="n">
        <f aca="false">AY201</f>
        <v>3.38200845913219</v>
      </c>
      <c r="BN201" s="1324" t="n">
        <f aca="false">+BM201/BM189-1</f>
        <v>0.0182085844558249</v>
      </c>
      <c r="BO201" s="1296" t="n">
        <f aca="false">BM201</f>
        <v>3.38200845913219</v>
      </c>
      <c r="BP201" s="1318" t="n">
        <f aca="false">+AY201/AY189-1</f>
        <v>0.0182085844558249</v>
      </c>
      <c r="BQ201" s="1298" t="n">
        <f aca="false">VLOOKUP($AW201,$BU$8:$BZ$291,5,FALSE())</f>
        <v>3.92759742434386</v>
      </c>
      <c r="BR201" s="1298" t="n">
        <f aca="false">VLOOKUP($AW201,$BU$8:$BZ$291,6,FALSE())</f>
        <v>3.14895348811806</v>
      </c>
      <c r="BS201" s="1262" t="n">
        <v>0</v>
      </c>
      <c r="BU201" s="1309" t="n">
        <f aca="false">EDATE(BU200,1)</f>
        <v>42036</v>
      </c>
      <c r="BV201" s="1310" t="n">
        <v>2.85747816058425</v>
      </c>
      <c r="BW201" s="1310" t="n">
        <v>2.3686191697582</v>
      </c>
      <c r="BX201" s="1310"/>
      <c r="BY201" s="1310" t="n">
        <v>4.00115927488785</v>
      </c>
      <c r="BZ201" s="1311" t="n">
        <v>3.31663866778861</v>
      </c>
    </row>
    <row r="202" customFormat="false" ht="12.75" hidden="false" customHeight="false" outlineLevel="0" collapsed="false">
      <c r="A202" s="1246"/>
      <c r="B202" s="1312" t="n">
        <v>41456</v>
      </c>
      <c r="C202" s="1313" t="n">
        <v>58.5661837521698</v>
      </c>
      <c r="D202" s="1313"/>
      <c r="E202" s="1313"/>
      <c r="F202" s="1287"/>
      <c r="G202" s="1313"/>
      <c r="H202" s="1313"/>
      <c r="I202" s="1313"/>
      <c r="J202" s="1253"/>
      <c r="K202" s="1254" t="n">
        <v>42339</v>
      </c>
      <c r="L202" s="1314" t="n">
        <v>0</v>
      </c>
      <c r="M202" s="1314" t="n">
        <v>0</v>
      </c>
      <c r="N202" s="1314" t="n">
        <v>0</v>
      </c>
      <c r="O202" s="1252"/>
      <c r="P202" s="1314" t="n">
        <v>0</v>
      </c>
      <c r="Q202" s="1314" t="n">
        <v>0</v>
      </c>
      <c r="R202" s="1314" t="n">
        <v>0</v>
      </c>
      <c r="S202" s="1252"/>
      <c r="T202" s="1314" t="n">
        <v>0</v>
      </c>
      <c r="U202" s="1314" t="n">
        <v>0</v>
      </c>
      <c r="V202" s="1314" t="n">
        <v>0</v>
      </c>
      <c r="W202" s="1252"/>
      <c r="X202" s="1314" t="n">
        <v>0</v>
      </c>
      <c r="Y202" s="1314" t="n">
        <v>0</v>
      </c>
      <c r="Z202" s="1314" t="n">
        <v>0</v>
      </c>
      <c r="AA202" s="1252" t="n">
        <v>0</v>
      </c>
      <c r="AB202" s="1314" t="n">
        <v>0</v>
      </c>
      <c r="AC202" s="1314" t="n">
        <v>0</v>
      </c>
      <c r="AD202" s="1314" t="n">
        <v>0</v>
      </c>
      <c r="AE202" s="1252"/>
      <c r="AF202" s="1314" t="n">
        <v>0</v>
      </c>
      <c r="AG202" s="1314" t="n">
        <v>0</v>
      </c>
      <c r="AH202" s="1314" t="n">
        <v>0</v>
      </c>
      <c r="AI202" s="1252"/>
      <c r="AJ202" s="1314" t="n">
        <v>0</v>
      </c>
      <c r="AK202" s="1314" t="n">
        <v>0</v>
      </c>
      <c r="AL202" s="1314" t="n">
        <v>0</v>
      </c>
      <c r="AM202" s="1166"/>
      <c r="AN202" s="1253" t="n">
        <v>65</v>
      </c>
      <c r="AO202" s="1316" t="n">
        <v>0.35</v>
      </c>
      <c r="AP202" s="1252"/>
      <c r="AQ202" s="0"/>
      <c r="AR202" s="0"/>
      <c r="AS202" s="0"/>
      <c r="AT202" s="0"/>
      <c r="AU202" s="0" t="str">
        <f aca="false">AV202&amp;"Q"&amp;ROUNDUP(MONTH(AW202)/3,0)</f>
        <v>2016Q2</v>
      </c>
      <c r="AV202" s="0" t="n">
        <f aca="false">YEAR(AW202)</f>
        <v>2016</v>
      </c>
      <c r="AW202" s="1304" t="n">
        <f aca="false">EOMONTH(AW201,0)+1</f>
        <v>42491</v>
      </c>
      <c r="AX202" s="112" t="n">
        <f aca="false">AY202</f>
        <v>3.35650239750445</v>
      </c>
      <c r="AY202" s="1323" t="n">
        <v>3.35650239750445</v>
      </c>
      <c r="AZ202" s="112" t="n">
        <f aca="false">AY202</f>
        <v>3.35650239750445</v>
      </c>
      <c r="BA202" s="163" t="n">
        <v>1</v>
      </c>
      <c r="BB202" s="163" t="n">
        <v>1</v>
      </c>
      <c r="BC202" s="163" t="n">
        <v>1</v>
      </c>
      <c r="BD202" s="163" t="n">
        <v>0</v>
      </c>
      <c r="BE202" s="163"/>
      <c r="BF202" s="163" t="n">
        <v>0</v>
      </c>
      <c r="BG202" s="1290" t="n">
        <v>0</v>
      </c>
      <c r="BH202" s="1262"/>
      <c r="BI202" s="1292"/>
      <c r="BJ202" s="1291"/>
      <c r="BK202" s="1293" t="n">
        <v>0</v>
      </c>
      <c r="BL202" s="1294" t="n">
        <f aca="false">+AY202</f>
        <v>3.35650239750445</v>
      </c>
      <c r="BM202" s="1295" t="n">
        <f aca="false">AY202</f>
        <v>3.35650239750445</v>
      </c>
      <c r="BN202" s="1324" t="n">
        <f aca="false">+BM202/BM190-1</f>
        <v>0.0182085844558251</v>
      </c>
      <c r="BO202" s="1296" t="n">
        <f aca="false">BM202</f>
        <v>3.35650239750445</v>
      </c>
      <c r="BP202" s="1318" t="n">
        <f aca="false">+AY202/AY190-1</f>
        <v>0.0182085844558251</v>
      </c>
      <c r="BQ202" s="1298" t="n">
        <f aca="false">VLOOKUP($AW202,$BU$8:$BZ$291,5,FALSE())</f>
        <v>3.89123469654823</v>
      </c>
      <c r="BR202" s="1298" t="n">
        <f aca="false">VLOOKUP($AW202,$BU$8:$BZ$291,6,FALSE())</f>
        <v>3.1101993873703</v>
      </c>
      <c r="BS202" s="1262" t="n">
        <v>0</v>
      </c>
      <c r="BU202" s="1309" t="n">
        <f aca="false">EDATE(BU201,1)</f>
        <v>42064</v>
      </c>
      <c r="BV202" s="1310" t="n">
        <v>2.77263443512409</v>
      </c>
      <c r="BW202" s="1310" t="n">
        <v>2.25103713330075</v>
      </c>
      <c r="BX202" s="1310"/>
      <c r="BY202" s="1310" t="n">
        <v>3.88235757633994</v>
      </c>
      <c r="BZ202" s="1311" t="n">
        <v>3.15199543018789</v>
      </c>
    </row>
    <row r="203" customFormat="false" ht="12.75" hidden="false" customHeight="false" outlineLevel="0" collapsed="false">
      <c r="A203" s="1246"/>
      <c r="B203" s="1312" t="n">
        <v>41487</v>
      </c>
      <c r="C203" s="1313" t="n">
        <v>70.3746412199935</v>
      </c>
      <c r="D203" s="1313"/>
      <c r="E203" s="1313"/>
      <c r="F203" s="1287"/>
      <c r="G203" s="1313"/>
      <c r="H203" s="1313"/>
      <c r="I203" s="1313"/>
      <c r="J203" s="1253"/>
      <c r="K203" s="1254" t="n">
        <v>42370</v>
      </c>
      <c r="L203" s="1314" t="n">
        <v>0</v>
      </c>
      <c r="M203" s="1314" t="n">
        <v>0</v>
      </c>
      <c r="N203" s="1314" t="n">
        <v>0</v>
      </c>
      <c r="O203" s="1252"/>
      <c r="P203" s="1314" t="n">
        <v>0</v>
      </c>
      <c r="Q203" s="1314" t="n">
        <v>0</v>
      </c>
      <c r="R203" s="1314" t="n">
        <v>0</v>
      </c>
      <c r="S203" s="1252"/>
      <c r="T203" s="1314" t="n">
        <v>0</v>
      </c>
      <c r="U203" s="1314" t="n">
        <v>0</v>
      </c>
      <c r="V203" s="1314" t="n">
        <v>0</v>
      </c>
      <c r="W203" s="1252"/>
      <c r="X203" s="1314" t="n">
        <v>0</v>
      </c>
      <c r="Y203" s="1314" t="n">
        <v>0</v>
      </c>
      <c r="Z203" s="1314" t="n">
        <v>0</v>
      </c>
      <c r="AA203" s="1252" t="n">
        <v>0</v>
      </c>
      <c r="AB203" s="1314" t="n">
        <v>0</v>
      </c>
      <c r="AC203" s="1314" t="n">
        <v>0</v>
      </c>
      <c r="AD203" s="1314" t="n">
        <v>0</v>
      </c>
      <c r="AE203" s="1252"/>
      <c r="AF203" s="1314" t="n">
        <v>0</v>
      </c>
      <c r="AG203" s="1314" t="n">
        <v>0</v>
      </c>
      <c r="AH203" s="1314" t="n">
        <v>0</v>
      </c>
      <c r="AI203" s="1252"/>
      <c r="AJ203" s="1314" t="n">
        <v>0</v>
      </c>
      <c r="AK203" s="1314" t="n">
        <v>0</v>
      </c>
      <c r="AL203" s="1314" t="n">
        <v>0</v>
      </c>
      <c r="AM203" s="1166"/>
      <c r="AN203" s="1253" t="n">
        <v>65</v>
      </c>
      <c r="AO203" s="1316" t="n">
        <v>0.35</v>
      </c>
      <c r="AP203" s="1252"/>
      <c r="AQ203" s="0"/>
      <c r="AR203" s="0"/>
      <c r="AS203" s="0"/>
      <c r="AT203" s="0"/>
      <c r="AU203" s="0" t="str">
        <f aca="false">AV203&amp;"Q"&amp;ROUNDUP(MONTH(AW203)/3,0)</f>
        <v>2016Q2</v>
      </c>
      <c r="AV203" s="0" t="n">
        <f aca="false">YEAR(AW203)</f>
        <v>2016</v>
      </c>
      <c r="AW203" s="1304" t="n">
        <f aca="false">EOMONTH(AW202,0)+1</f>
        <v>42522</v>
      </c>
      <c r="AX203" s="112" t="n">
        <f aca="false">AY203</f>
        <v>3.39704700869133</v>
      </c>
      <c r="AY203" s="1323" t="n">
        <v>3.39704700869133</v>
      </c>
      <c r="AZ203" s="112" t="n">
        <f aca="false">AY203</f>
        <v>3.39704700869133</v>
      </c>
      <c r="BA203" s="163" t="n">
        <v>1</v>
      </c>
      <c r="BB203" s="163" t="n">
        <v>1</v>
      </c>
      <c r="BC203" s="163" t="n">
        <v>1</v>
      </c>
      <c r="BD203" s="163" t="n">
        <v>0</v>
      </c>
      <c r="BE203" s="163"/>
      <c r="BF203" s="163" t="n">
        <v>0</v>
      </c>
      <c r="BG203" s="1290" t="n">
        <v>0</v>
      </c>
      <c r="BH203" s="1262"/>
      <c r="BI203" s="1292"/>
      <c r="BJ203" s="1291"/>
      <c r="BK203" s="1293" t="n">
        <v>0</v>
      </c>
      <c r="BL203" s="1294" t="n">
        <f aca="false">+AY203</f>
        <v>3.39704700869133</v>
      </c>
      <c r="BM203" s="1295" t="n">
        <f aca="false">AY203</f>
        <v>3.39704700869133</v>
      </c>
      <c r="BN203" s="1324" t="n">
        <f aca="false">+BM203/BM191-1</f>
        <v>0.0182085844558246</v>
      </c>
      <c r="BO203" s="1296" t="n">
        <f aca="false">BM203</f>
        <v>3.39704700869133</v>
      </c>
      <c r="BP203" s="1318" t="n">
        <f aca="false">+AY203/AY191-1</f>
        <v>0.0182085844558246</v>
      </c>
      <c r="BQ203" s="1298" t="n">
        <f aca="false">VLOOKUP($AW203,$BU$8:$BZ$291,5,FALSE())</f>
        <v>3.89799985520789</v>
      </c>
      <c r="BR203" s="1298" t="n">
        <f aca="false">VLOOKUP($AW203,$BU$8:$BZ$291,6,FALSE())</f>
        <v>3.12043631964329</v>
      </c>
      <c r="BS203" s="1262" t="n">
        <v>0</v>
      </c>
      <c r="BU203" s="1309" t="n">
        <f aca="false">EDATE(BU202,1)</f>
        <v>42095</v>
      </c>
      <c r="BV203" s="1310" t="n">
        <v>2.71763229586026</v>
      </c>
      <c r="BW203" s="1310" t="n">
        <v>2.18261655174146</v>
      </c>
      <c r="BX203" s="1310"/>
      <c r="BY203" s="1310" t="n">
        <v>3.80534130279853</v>
      </c>
      <c r="BZ203" s="1311" t="n">
        <v>3.05619009796333</v>
      </c>
    </row>
    <row r="204" customFormat="false" ht="12.75" hidden="false" customHeight="false" outlineLevel="0" collapsed="false">
      <c r="A204" s="1246"/>
      <c r="B204" s="1312" t="n">
        <v>41518</v>
      </c>
      <c r="C204" s="1313" t="n">
        <v>62.3568702896297</v>
      </c>
      <c r="D204" s="1313"/>
      <c r="E204" s="1313"/>
      <c r="F204" s="1287"/>
      <c r="G204" s="1313"/>
      <c r="H204" s="1313"/>
      <c r="I204" s="1313"/>
      <c r="J204" s="1253"/>
      <c r="K204" s="1254" t="n">
        <v>42401</v>
      </c>
      <c r="L204" s="1314" t="n">
        <v>0</v>
      </c>
      <c r="M204" s="1314" t="n">
        <v>0</v>
      </c>
      <c r="N204" s="1314" t="n">
        <v>0</v>
      </c>
      <c r="O204" s="1252"/>
      <c r="P204" s="1314" t="n">
        <v>0</v>
      </c>
      <c r="Q204" s="1314" t="n">
        <v>0</v>
      </c>
      <c r="R204" s="1314" t="n">
        <v>0</v>
      </c>
      <c r="S204" s="1252"/>
      <c r="T204" s="1314" t="n">
        <v>0</v>
      </c>
      <c r="U204" s="1314" t="n">
        <v>0</v>
      </c>
      <c r="V204" s="1314" t="n">
        <v>0</v>
      </c>
      <c r="W204" s="1252"/>
      <c r="X204" s="1314" t="n">
        <v>0</v>
      </c>
      <c r="Y204" s="1314" t="n">
        <v>0</v>
      </c>
      <c r="Z204" s="1314" t="n">
        <v>0</v>
      </c>
      <c r="AA204" s="1252" t="n">
        <v>0</v>
      </c>
      <c r="AB204" s="1314" t="n">
        <v>0</v>
      </c>
      <c r="AC204" s="1314" t="n">
        <v>0</v>
      </c>
      <c r="AD204" s="1314" t="n">
        <v>0</v>
      </c>
      <c r="AE204" s="1252"/>
      <c r="AF204" s="1314" t="n">
        <v>0</v>
      </c>
      <c r="AG204" s="1314" t="n">
        <v>0</v>
      </c>
      <c r="AH204" s="1314" t="n">
        <v>0</v>
      </c>
      <c r="AI204" s="1252"/>
      <c r="AJ204" s="1314" t="n">
        <v>0</v>
      </c>
      <c r="AK204" s="1314" t="n">
        <v>0</v>
      </c>
      <c r="AL204" s="1314" t="n">
        <v>0</v>
      </c>
      <c r="AM204" s="1166"/>
      <c r="AN204" s="1253" t="n">
        <v>65</v>
      </c>
      <c r="AO204" s="1316" t="n">
        <v>0.35</v>
      </c>
      <c r="AP204" s="1252"/>
      <c r="AQ204" s="0"/>
      <c r="AR204" s="0"/>
      <c r="AS204" s="0"/>
      <c r="AT204" s="0"/>
      <c r="AU204" s="0" t="str">
        <f aca="false">AV204&amp;"Q"&amp;ROUNDUP(MONTH(AW204)/3,0)</f>
        <v>2016Q3</v>
      </c>
      <c r="AV204" s="0" t="n">
        <f aca="false">YEAR(AW204)</f>
        <v>2016</v>
      </c>
      <c r="AW204" s="1304" t="n">
        <f aca="false">EOMONTH(AW203,0)+1</f>
        <v>42552</v>
      </c>
      <c r="AX204" s="112" t="n">
        <f aca="false">AY204</f>
        <v>3.48977311086545</v>
      </c>
      <c r="AY204" s="1323" t="n">
        <v>3.48977311086545</v>
      </c>
      <c r="AZ204" s="112" t="n">
        <f aca="false">AY204</f>
        <v>3.48977311086545</v>
      </c>
      <c r="BA204" s="163" t="n">
        <v>1</v>
      </c>
      <c r="BB204" s="163" t="n">
        <v>1</v>
      </c>
      <c r="BC204" s="163" t="n">
        <v>1</v>
      </c>
      <c r="BD204" s="163" t="n">
        <v>0</v>
      </c>
      <c r="BE204" s="163"/>
      <c r="BF204" s="163" t="n">
        <v>0</v>
      </c>
      <c r="BG204" s="1290" t="n">
        <v>0</v>
      </c>
      <c r="BH204" s="1262"/>
      <c r="BI204" s="1292"/>
      <c r="BJ204" s="1291"/>
      <c r="BK204" s="1293" t="n">
        <v>0</v>
      </c>
      <c r="BL204" s="1294" t="n">
        <f aca="false">+AY204</f>
        <v>3.48977311086545</v>
      </c>
      <c r="BM204" s="1295" t="n">
        <f aca="false">AY204</f>
        <v>3.48977311086545</v>
      </c>
      <c r="BN204" s="1324" t="n">
        <f aca="false">+BM204/BM192-1</f>
        <v>0.0182085844558251</v>
      </c>
      <c r="BO204" s="1296" t="n">
        <f aca="false">BM204</f>
        <v>3.48977311086545</v>
      </c>
      <c r="BP204" s="1318" t="n">
        <f aca="false">+AY204/AY192-1</f>
        <v>0.0182085844558251</v>
      </c>
      <c r="BQ204" s="1298" t="n">
        <f aca="false">VLOOKUP($AW204,$BU$8:$BZ$291,5,FALSE())</f>
        <v>3.94789290032282</v>
      </c>
      <c r="BR204" s="1298" t="n">
        <f aca="false">VLOOKUP($AW204,$BU$8:$BZ$291,6,FALSE())</f>
        <v>3.16869614321598</v>
      </c>
      <c r="BS204" s="1262" t="n">
        <v>0</v>
      </c>
      <c r="BU204" s="1309" t="n">
        <f aca="false">EDATE(BU203,1)</f>
        <v>42125</v>
      </c>
      <c r="BV204" s="1310" t="n">
        <v>2.69247174279276</v>
      </c>
      <c r="BW204" s="1310" t="n">
        <v>2.1557551382404</v>
      </c>
      <c r="BX204" s="1310"/>
      <c r="BY204" s="1310" t="n">
        <v>3.77011045426363</v>
      </c>
      <c r="BZ204" s="1311" t="n">
        <v>3.0185776342011</v>
      </c>
    </row>
    <row r="205" customFormat="false" ht="12.75" hidden="false" customHeight="false" outlineLevel="0" collapsed="false">
      <c r="A205" s="1246"/>
      <c r="B205" s="1312" t="n">
        <v>41548</v>
      </c>
      <c r="C205" s="1313" t="n">
        <v>51.020732541276</v>
      </c>
      <c r="D205" s="1313"/>
      <c r="E205" s="1313"/>
      <c r="F205" s="1287"/>
      <c r="G205" s="1313"/>
      <c r="H205" s="1313"/>
      <c r="I205" s="1313"/>
      <c r="J205" s="1253"/>
      <c r="K205" s="1254" t="n">
        <v>42430</v>
      </c>
      <c r="L205" s="1314" t="n">
        <v>0</v>
      </c>
      <c r="M205" s="1314" t="n">
        <v>0</v>
      </c>
      <c r="N205" s="1314" t="n">
        <v>0</v>
      </c>
      <c r="O205" s="1252"/>
      <c r="P205" s="1314" t="n">
        <v>0</v>
      </c>
      <c r="Q205" s="1314" t="n">
        <v>0</v>
      </c>
      <c r="R205" s="1314" t="n">
        <v>0</v>
      </c>
      <c r="S205" s="1252"/>
      <c r="T205" s="1314" t="n">
        <v>0</v>
      </c>
      <c r="U205" s="1314" t="n">
        <v>0</v>
      </c>
      <c r="V205" s="1314" t="n">
        <v>0</v>
      </c>
      <c r="W205" s="1252"/>
      <c r="X205" s="1314" t="n">
        <v>0</v>
      </c>
      <c r="Y205" s="1314" t="n">
        <v>0</v>
      </c>
      <c r="Z205" s="1314" t="n">
        <v>0</v>
      </c>
      <c r="AA205" s="1252" t="n">
        <v>0</v>
      </c>
      <c r="AB205" s="1314" t="n">
        <v>0</v>
      </c>
      <c r="AC205" s="1314" t="n">
        <v>0</v>
      </c>
      <c r="AD205" s="1314" t="n">
        <v>0</v>
      </c>
      <c r="AE205" s="1252"/>
      <c r="AF205" s="1314" t="n">
        <v>0</v>
      </c>
      <c r="AG205" s="1314" t="n">
        <v>0</v>
      </c>
      <c r="AH205" s="1314" t="n">
        <v>0</v>
      </c>
      <c r="AI205" s="1252"/>
      <c r="AJ205" s="1314" t="n">
        <v>0</v>
      </c>
      <c r="AK205" s="1314" t="n">
        <v>0</v>
      </c>
      <c r="AL205" s="1314" t="n">
        <v>0</v>
      </c>
      <c r="AM205" s="1166"/>
      <c r="AN205" s="1253" t="n">
        <v>66</v>
      </c>
      <c r="AO205" s="1316" t="n">
        <v>0.35</v>
      </c>
      <c r="AP205" s="1252"/>
      <c r="AQ205" s="0"/>
      <c r="AR205" s="0"/>
      <c r="AS205" s="0"/>
      <c r="AT205" s="0"/>
      <c r="AU205" s="0" t="str">
        <f aca="false">AV205&amp;"Q"&amp;ROUNDUP(MONTH(AW205)/3,0)</f>
        <v>2016Q3</v>
      </c>
      <c r="AV205" s="0" t="n">
        <f aca="false">YEAR(AW205)</f>
        <v>2016</v>
      </c>
      <c r="AW205" s="1304" t="n">
        <f aca="false">EOMONTH(AW204,0)+1</f>
        <v>42583</v>
      </c>
      <c r="AX205" s="112" t="n">
        <f aca="false">AY205</f>
        <v>3.6214634340876</v>
      </c>
      <c r="AY205" s="1323" t="n">
        <v>3.6214634340876</v>
      </c>
      <c r="AZ205" s="112" t="n">
        <f aca="false">AY205</f>
        <v>3.6214634340876</v>
      </c>
      <c r="BA205" s="163" t="n">
        <v>1</v>
      </c>
      <c r="BB205" s="163" t="n">
        <v>1</v>
      </c>
      <c r="BC205" s="163" t="n">
        <v>1</v>
      </c>
      <c r="BD205" s="163" t="n">
        <v>0</v>
      </c>
      <c r="BE205" s="163"/>
      <c r="BF205" s="163" t="n">
        <v>0</v>
      </c>
      <c r="BG205" s="1290" t="n">
        <v>0</v>
      </c>
      <c r="BH205" s="1262"/>
      <c r="BI205" s="1292"/>
      <c r="BJ205" s="1291"/>
      <c r="BK205" s="1293" t="n">
        <v>0</v>
      </c>
      <c r="BL205" s="1294" t="n">
        <f aca="false">+AY205</f>
        <v>3.6214634340876</v>
      </c>
      <c r="BM205" s="1295" t="n">
        <f aca="false">AY205</f>
        <v>3.6214634340876</v>
      </c>
      <c r="BN205" s="1324" t="n">
        <f aca="false">+BM205/BM193-1</f>
        <v>0.0182085844558249</v>
      </c>
      <c r="BO205" s="1296" t="n">
        <f aca="false">BM205</f>
        <v>3.6214634340876</v>
      </c>
      <c r="BP205" s="1318" t="n">
        <f aca="false">+AY205/AY193-1</f>
        <v>0.0182085844558249</v>
      </c>
      <c r="BQ205" s="1298" t="n">
        <f aca="false">VLOOKUP($AW205,$BU$8:$BZ$291,5,FALSE())</f>
        <v>4.04091383189302</v>
      </c>
      <c r="BR205" s="1298" t="n">
        <f aca="false">VLOOKUP($AW205,$BU$8:$BZ$291,6,FALSE())</f>
        <v>3.2440107163673</v>
      </c>
      <c r="BS205" s="1262" t="n">
        <v>0</v>
      </c>
      <c r="BU205" s="1309" t="n">
        <f aca="false">EDATE(BU204,1)</f>
        <v>42156</v>
      </c>
      <c r="BV205" s="1310" t="n">
        <v>2.6971527759216</v>
      </c>
      <c r="BW205" s="1310" t="n">
        <v>2.16285060595766</v>
      </c>
      <c r="BX205" s="1310"/>
      <c r="BY205" s="1310" t="n">
        <v>3.77666503073524</v>
      </c>
      <c r="BZ205" s="1311" t="n">
        <v>3.02851300198735</v>
      </c>
    </row>
    <row r="206" customFormat="false" ht="12.75" hidden="false" customHeight="false" outlineLevel="0" collapsed="false">
      <c r="A206" s="1246"/>
      <c r="B206" s="1312" t="n">
        <v>41579</v>
      </c>
      <c r="C206" s="1313" t="n">
        <v>52.6108792679542</v>
      </c>
      <c r="D206" s="1313"/>
      <c r="E206" s="1313"/>
      <c r="F206" s="1287"/>
      <c r="G206" s="1313"/>
      <c r="H206" s="1313"/>
      <c r="I206" s="1313"/>
      <c r="J206" s="1253"/>
      <c r="K206" s="1254" t="n">
        <v>42461</v>
      </c>
      <c r="L206" s="1314" t="n">
        <v>0</v>
      </c>
      <c r="M206" s="1314" t="n">
        <v>0</v>
      </c>
      <c r="N206" s="1314" t="n">
        <v>0</v>
      </c>
      <c r="O206" s="1252"/>
      <c r="P206" s="1314" t="n">
        <v>0</v>
      </c>
      <c r="Q206" s="1314" t="n">
        <v>0</v>
      </c>
      <c r="R206" s="1314" t="n">
        <v>0</v>
      </c>
      <c r="S206" s="1252"/>
      <c r="T206" s="1314" t="n">
        <v>0</v>
      </c>
      <c r="U206" s="1314" t="n">
        <v>0</v>
      </c>
      <c r="V206" s="1314" t="n">
        <v>0</v>
      </c>
      <c r="W206" s="1252"/>
      <c r="X206" s="1314" t="n">
        <v>0</v>
      </c>
      <c r="Y206" s="1314" t="n">
        <v>0</v>
      </c>
      <c r="Z206" s="1314" t="n">
        <v>0</v>
      </c>
      <c r="AA206" s="1252" t="n">
        <v>0</v>
      </c>
      <c r="AB206" s="1314" t="n">
        <v>0</v>
      </c>
      <c r="AC206" s="1314" t="n">
        <v>0</v>
      </c>
      <c r="AD206" s="1314" t="n">
        <v>0</v>
      </c>
      <c r="AE206" s="1252"/>
      <c r="AF206" s="1314" t="n">
        <v>0</v>
      </c>
      <c r="AG206" s="1314" t="n">
        <v>0</v>
      </c>
      <c r="AH206" s="1314" t="n">
        <v>0</v>
      </c>
      <c r="AI206" s="1252"/>
      <c r="AJ206" s="1314" t="n">
        <v>0</v>
      </c>
      <c r="AK206" s="1314" t="n">
        <v>0</v>
      </c>
      <c r="AL206" s="1314" t="n">
        <v>0</v>
      </c>
      <c r="AM206" s="1166"/>
      <c r="AN206" s="1253" t="n">
        <v>66</v>
      </c>
      <c r="AO206" s="1316" t="n">
        <v>0.35</v>
      </c>
      <c r="AP206" s="1252"/>
      <c r="AQ206" s="0"/>
      <c r="AR206" s="0"/>
      <c r="AS206" s="0"/>
      <c r="AT206" s="0"/>
      <c r="AU206" s="0" t="str">
        <f aca="false">AV206&amp;"Q"&amp;ROUNDUP(MONTH(AW206)/3,0)</f>
        <v>2016Q3</v>
      </c>
      <c r="AV206" s="0" t="n">
        <f aca="false">YEAR(AW206)</f>
        <v>2016</v>
      </c>
      <c r="AW206" s="1304" t="n">
        <f aca="false">EOMONTH(AW205,0)+1</f>
        <v>42614</v>
      </c>
      <c r="AX206" s="112" t="n">
        <f aca="false">AY206</f>
        <v>3.77825368172622</v>
      </c>
      <c r="AY206" s="1323" t="n">
        <v>3.77825368172622</v>
      </c>
      <c r="AZ206" s="112" t="n">
        <f aca="false">AY206</f>
        <v>3.77825368172622</v>
      </c>
      <c r="BA206" s="163" t="n">
        <v>1</v>
      </c>
      <c r="BB206" s="163" t="n">
        <v>1</v>
      </c>
      <c r="BC206" s="163" t="n">
        <v>1</v>
      </c>
      <c r="BD206" s="163" t="n">
        <v>0</v>
      </c>
      <c r="BE206" s="163"/>
      <c r="BF206" s="163" t="n">
        <v>0</v>
      </c>
      <c r="BG206" s="1290" t="n">
        <v>0</v>
      </c>
      <c r="BH206" s="1262"/>
      <c r="BI206" s="1292"/>
      <c r="BJ206" s="1291"/>
      <c r="BK206" s="1293" t="n">
        <v>0</v>
      </c>
      <c r="BL206" s="1294" t="n">
        <f aca="false">+AY206</f>
        <v>3.77825368172622</v>
      </c>
      <c r="BM206" s="1295" t="n">
        <f aca="false">AY206</f>
        <v>3.77825368172622</v>
      </c>
      <c r="BN206" s="1324" t="n">
        <f aca="false">+BM206/BM194-1</f>
        <v>0.0182085844558249</v>
      </c>
      <c r="BO206" s="1296" t="n">
        <f aca="false">BM206</f>
        <v>3.77825368172622</v>
      </c>
      <c r="BP206" s="1318" t="n">
        <f aca="false">+AY206/AY194-1</f>
        <v>0.0182085844558249</v>
      </c>
      <c r="BQ206" s="1298" t="n">
        <f aca="false">VLOOKUP($AW206,$BU$8:$BZ$291,5,FALSE())</f>
        <v>4.17706264991851</v>
      </c>
      <c r="BR206" s="1298" t="n">
        <f aca="false">VLOOKUP($AW206,$BU$8:$BZ$291,6,FALSE())</f>
        <v>3.33541189737619</v>
      </c>
      <c r="BS206" s="1262" t="n">
        <v>0</v>
      </c>
      <c r="BU206" s="1309" t="n">
        <f aca="false">EDATE(BU205,1)</f>
        <v>42186</v>
      </c>
      <c r="BV206" s="1310" t="n">
        <v>2.73167539524677</v>
      </c>
      <c r="BW206" s="1310" t="n">
        <v>2.19630066805332</v>
      </c>
      <c r="BX206" s="1310"/>
      <c r="BY206" s="1310" t="n">
        <v>3.82500503221336</v>
      </c>
      <c r="BZ206" s="1311" t="n">
        <v>3.07535116440825</v>
      </c>
    </row>
    <row r="207" customFormat="false" ht="12.75" hidden="false" customHeight="false" outlineLevel="0" collapsed="false">
      <c r="A207" s="1246"/>
      <c r="B207" s="1312" t="n">
        <v>41609</v>
      </c>
      <c r="C207" s="1313" t="n">
        <v>51.2758459300458</v>
      </c>
      <c r="D207" s="1313"/>
      <c r="E207" s="1313"/>
      <c r="F207" s="1287"/>
      <c r="G207" s="1313"/>
      <c r="H207" s="1313"/>
      <c r="I207" s="1313"/>
      <c r="J207" s="1253"/>
      <c r="K207" s="1254" t="n">
        <v>42491</v>
      </c>
      <c r="L207" s="1314" t="n">
        <v>0</v>
      </c>
      <c r="M207" s="1314" t="n">
        <v>0</v>
      </c>
      <c r="N207" s="1314" t="n">
        <v>0</v>
      </c>
      <c r="O207" s="1252"/>
      <c r="P207" s="1314" t="n">
        <v>0</v>
      </c>
      <c r="Q207" s="1314" t="n">
        <v>0</v>
      </c>
      <c r="R207" s="1314" t="n">
        <v>0</v>
      </c>
      <c r="S207" s="1252"/>
      <c r="T207" s="1314" t="n">
        <v>0</v>
      </c>
      <c r="U207" s="1314" t="n">
        <v>0</v>
      </c>
      <c r="V207" s="1314" t="n">
        <v>0</v>
      </c>
      <c r="W207" s="1252"/>
      <c r="X207" s="1314" t="n">
        <v>0</v>
      </c>
      <c r="Y207" s="1314" t="n">
        <v>0</v>
      </c>
      <c r="Z207" s="1314" t="n">
        <v>0</v>
      </c>
      <c r="AA207" s="1252" t="n">
        <v>0</v>
      </c>
      <c r="AB207" s="1314" t="n">
        <v>0</v>
      </c>
      <c r="AC207" s="1314" t="n">
        <v>0</v>
      </c>
      <c r="AD207" s="1314" t="n">
        <v>0</v>
      </c>
      <c r="AE207" s="1252"/>
      <c r="AF207" s="1314" t="n">
        <v>0</v>
      </c>
      <c r="AG207" s="1314" t="n">
        <v>0</v>
      </c>
      <c r="AH207" s="1314" t="n">
        <v>0</v>
      </c>
      <c r="AI207" s="1252"/>
      <c r="AJ207" s="1314" t="n">
        <v>0</v>
      </c>
      <c r="AK207" s="1314" t="n">
        <v>0</v>
      </c>
      <c r="AL207" s="1314" t="n">
        <v>0</v>
      </c>
      <c r="AM207" s="1166"/>
      <c r="AN207" s="1253" t="n">
        <v>66</v>
      </c>
      <c r="AO207" s="1316" t="n">
        <v>0.35</v>
      </c>
      <c r="AP207" s="1252"/>
      <c r="AQ207" s="0"/>
      <c r="AR207" s="0"/>
      <c r="AS207" s="0"/>
      <c r="AT207" s="0"/>
      <c r="AU207" s="0" t="str">
        <f aca="false">AV207&amp;"Q"&amp;ROUNDUP(MONTH(AW207)/3,0)</f>
        <v>2016Q4</v>
      </c>
      <c r="AV207" s="0" t="n">
        <f aca="false">YEAR(AW207)</f>
        <v>2016</v>
      </c>
      <c r="AW207" s="1304" t="n">
        <f aca="false">EOMONTH(AW206,0)+1</f>
        <v>42644</v>
      </c>
      <c r="AX207" s="112" t="n">
        <f aca="false">AY207</f>
        <v>3.94615707187397</v>
      </c>
      <c r="AY207" s="1323" t="n">
        <v>3.94615707187397</v>
      </c>
      <c r="AZ207" s="112" t="n">
        <f aca="false">AY207</f>
        <v>3.94615707187397</v>
      </c>
      <c r="BA207" s="163" t="n">
        <v>1</v>
      </c>
      <c r="BB207" s="163" t="n">
        <v>1</v>
      </c>
      <c r="BC207" s="163" t="n">
        <v>1</v>
      </c>
      <c r="BD207" s="163" t="n">
        <v>0</v>
      </c>
      <c r="BE207" s="163"/>
      <c r="BF207" s="163" t="n">
        <v>0</v>
      </c>
      <c r="BG207" s="1290" t="n">
        <v>0</v>
      </c>
      <c r="BH207" s="1262"/>
      <c r="BI207" s="1292"/>
      <c r="BJ207" s="1291"/>
      <c r="BK207" s="1293" t="n">
        <v>0</v>
      </c>
      <c r="BL207" s="1294" t="n">
        <f aca="false">+AY207</f>
        <v>3.94615707187397</v>
      </c>
      <c r="BM207" s="1295" t="n">
        <f aca="false">AY207</f>
        <v>3.94615707187397</v>
      </c>
      <c r="BN207" s="1324" t="n">
        <f aca="false">+BM207/BM195-1</f>
        <v>0.0182085844558249</v>
      </c>
      <c r="BO207" s="1296" t="n">
        <f aca="false">BM207</f>
        <v>3.94615707187397</v>
      </c>
      <c r="BP207" s="1318" t="n">
        <f aca="false">+AY207/AY195-1</f>
        <v>0.0182085844558249</v>
      </c>
      <c r="BQ207" s="1298" t="n">
        <f aca="false">VLOOKUP($AW207,$BU$8:$BZ$291,5,FALSE())</f>
        <v>4.35633935439927</v>
      </c>
      <c r="BR207" s="1298" t="n">
        <f aca="false">VLOOKUP($AW207,$BU$8:$BZ$291,6,FALSE())</f>
        <v>3.43193154452157</v>
      </c>
      <c r="BS207" s="1262" t="n">
        <v>0</v>
      </c>
      <c r="BU207" s="1309" t="n">
        <f aca="false">EDATE(BU206,1)</f>
        <v>42217</v>
      </c>
      <c r="BV207" s="1310" t="n">
        <v>2.79603960076827</v>
      </c>
      <c r="BW207" s="1310" t="n">
        <v>2.24850303768744</v>
      </c>
      <c r="BX207" s="1310"/>
      <c r="BY207" s="1310" t="n">
        <v>3.91513045869798</v>
      </c>
      <c r="BZ207" s="1311" t="n">
        <v>3.14844708454994</v>
      </c>
    </row>
    <row r="208" customFormat="false" ht="12.75" hidden="false" customHeight="false" outlineLevel="0" collapsed="false">
      <c r="A208" s="1246"/>
      <c r="B208" s="1312" t="n">
        <v>41640</v>
      </c>
      <c r="C208" s="1313" t="n">
        <v>50.8662376987705</v>
      </c>
      <c r="D208" s="1313"/>
      <c r="E208" s="1313"/>
      <c r="F208" s="1287"/>
      <c r="G208" s="1313"/>
      <c r="H208" s="1313"/>
      <c r="I208" s="1313"/>
      <c r="J208" s="1253"/>
      <c r="K208" s="1254" t="n">
        <v>42522</v>
      </c>
      <c r="L208" s="1314" t="n">
        <v>0</v>
      </c>
      <c r="M208" s="1314" t="n">
        <v>0</v>
      </c>
      <c r="N208" s="1314" t="n">
        <v>0</v>
      </c>
      <c r="O208" s="1252"/>
      <c r="P208" s="1314" t="n">
        <v>0</v>
      </c>
      <c r="Q208" s="1314" t="n">
        <v>0</v>
      </c>
      <c r="R208" s="1314" t="n">
        <v>0</v>
      </c>
      <c r="S208" s="1252"/>
      <c r="T208" s="1314" t="n">
        <v>0</v>
      </c>
      <c r="U208" s="1314" t="n">
        <v>0</v>
      </c>
      <c r="V208" s="1314" t="n">
        <v>0</v>
      </c>
      <c r="W208" s="1252"/>
      <c r="X208" s="1314" t="n">
        <v>0</v>
      </c>
      <c r="Y208" s="1314" t="n">
        <v>0</v>
      </c>
      <c r="Z208" s="1314" t="n">
        <v>0</v>
      </c>
      <c r="AA208" s="1252" t="n">
        <v>0</v>
      </c>
      <c r="AB208" s="1314" t="n">
        <v>0</v>
      </c>
      <c r="AC208" s="1314" t="n">
        <v>0</v>
      </c>
      <c r="AD208" s="1314" t="n">
        <v>0</v>
      </c>
      <c r="AE208" s="1252"/>
      <c r="AF208" s="1314" t="n">
        <v>0</v>
      </c>
      <c r="AG208" s="1314" t="n">
        <v>0</v>
      </c>
      <c r="AH208" s="1314" t="n">
        <v>0</v>
      </c>
      <c r="AI208" s="1252"/>
      <c r="AJ208" s="1314" t="n">
        <v>0</v>
      </c>
      <c r="AK208" s="1314" t="n">
        <v>0</v>
      </c>
      <c r="AL208" s="1314" t="n">
        <v>0</v>
      </c>
      <c r="AM208" s="1166"/>
      <c r="AN208" s="1253" t="n">
        <v>67</v>
      </c>
      <c r="AO208" s="1316" t="n">
        <v>0.35</v>
      </c>
      <c r="AP208" s="1252"/>
      <c r="AQ208" s="0"/>
      <c r="AR208" s="0"/>
      <c r="AS208" s="0"/>
      <c r="AT208" s="0"/>
      <c r="AU208" s="0" t="str">
        <f aca="false">AV208&amp;"Q"&amp;ROUNDUP(MONTH(AW208)/3,0)</f>
        <v>2016Q4</v>
      </c>
      <c r="AV208" s="0" t="n">
        <f aca="false">YEAR(AW208)</f>
        <v>2016</v>
      </c>
      <c r="AW208" s="1304" t="n">
        <f aca="false">EOMONTH(AW207,0)+1</f>
        <v>42675</v>
      </c>
      <c r="AX208" s="112" t="n">
        <f aca="false">AY208</f>
        <v>4.11172661092374</v>
      </c>
      <c r="AY208" s="1323" t="n">
        <v>4.11172661092374</v>
      </c>
      <c r="AZ208" s="112" t="n">
        <f aca="false">AY208</f>
        <v>4.11172661092374</v>
      </c>
      <c r="BA208" s="163" t="n">
        <v>1</v>
      </c>
      <c r="BB208" s="163" t="n">
        <v>1</v>
      </c>
      <c r="BC208" s="163" t="n">
        <v>1</v>
      </c>
      <c r="BD208" s="163" t="n">
        <v>0</v>
      </c>
      <c r="BE208" s="163"/>
      <c r="BF208" s="163" t="n">
        <v>0</v>
      </c>
      <c r="BG208" s="1290" t="n">
        <v>0</v>
      </c>
      <c r="BH208" s="1262"/>
      <c r="BI208" s="1292"/>
      <c r="BJ208" s="1291"/>
      <c r="BK208" s="1293" t="n">
        <v>0</v>
      </c>
      <c r="BL208" s="1294" t="n">
        <f aca="false">+AY208</f>
        <v>4.11172661092374</v>
      </c>
      <c r="BM208" s="1295" t="n">
        <f aca="false">AY208</f>
        <v>4.11172661092374</v>
      </c>
      <c r="BN208" s="1324" t="n">
        <f aca="false">+BM208/BM196-1</f>
        <v>0.0182085844558251</v>
      </c>
      <c r="BO208" s="1296" t="n">
        <f aca="false">BM208</f>
        <v>4.11172661092374</v>
      </c>
      <c r="BP208" s="1318" t="n">
        <f aca="false">+AY208/AY196-1</f>
        <v>0.0182085844558251</v>
      </c>
      <c r="BQ208" s="1298" t="n">
        <f aca="false">VLOOKUP($AW208,$BU$8:$BZ$291,5,FALSE())</f>
        <v>4.57874394533531</v>
      </c>
      <c r="BR208" s="1298" t="n">
        <f aca="false">VLOOKUP($AW208,$BU$8:$BZ$291,6,FALSE())</f>
        <v>3.52260151608238</v>
      </c>
      <c r="BS208" s="1262" t="n">
        <v>0</v>
      </c>
      <c r="BU208" s="1309" t="n">
        <f aca="false">EDATE(BU207,1)</f>
        <v>42248</v>
      </c>
      <c r="BV208" s="1310" t="n">
        <v>2.89024539248611</v>
      </c>
      <c r="BW208" s="1310" t="n">
        <v>2.31185542802012</v>
      </c>
      <c r="BX208" s="1310"/>
      <c r="BY208" s="1310" t="n">
        <v>4.04704131018912</v>
      </c>
      <c r="BZ208" s="1311" t="n">
        <v>3.23715572549861</v>
      </c>
    </row>
    <row r="209" customFormat="false" ht="12.75" hidden="false" customHeight="false" outlineLevel="0" collapsed="false">
      <c r="A209" s="1246"/>
      <c r="B209" s="1312" t="n">
        <v>41671</v>
      </c>
      <c r="C209" s="1313" t="n">
        <v>43.4161698404008</v>
      </c>
      <c r="D209" s="1313"/>
      <c r="E209" s="1313"/>
      <c r="F209" s="1287"/>
      <c r="G209" s="1313"/>
      <c r="H209" s="1313"/>
      <c r="I209" s="1313"/>
      <c r="J209" s="1253"/>
      <c r="K209" s="1254" t="n">
        <v>42552</v>
      </c>
      <c r="L209" s="1314" t="n">
        <v>0</v>
      </c>
      <c r="M209" s="1314" t="n">
        <v>0</v>
      </c>
      <c r="N209" s="1314" t="n">
        <v>0</v>
      </c>
      <c r="O209" s="1252"/>
      <c r="P209" s="1314" t="n">
        <v>0</v>
      </c>
      <c r="Q209" s="1314" t="n">
        <v>0</v>
      </c>
      <c r="R209" s="1314" t="n">
        <v>0</v>
      </c>
      <c r="S209" s="1252"/>
      <c r="T209" s="1314" t="n">
        <v>0</v>
      </c>
      <c r="U209" s="1314" t="n">
        <v>0</v>
      </c>
      <c r="V209" s="1314" t="n">
        <v>0</v>
      </c>
      <c r="W209" s="1252"/>
      <c r="X209" s="1314" t="n">
        <v>0</v>
      </c>
      <c r="Y209" s="1314" t="n">
        <v>0</v>
      </c>
      <c r="Z209" s="1314" t="n">
        <v>0</v>
      </c>
      <c r="AA209" s="1252" t="n">
        <v>0</v>
      </c>
      <c r="AB209" s="1314" t="n">
        <v>0</v>
      </c>
      <c r="AC209" s="1314" t="n">
        <v>0</v>
      </c>
      <c r="AD209" s="1314" t="n">
        <v>0</v>
      </c>
      <c r="AE209" s="1252"/>
      <c r="AF209" s="1314" t="n">
        <v>0</v>
      </c>
      <c r="AG209" s="1314" t="n">
        <v>0</v>
      </c>
      <c r="AH209" s="1314" t="n">
        <v>0</v>
      </c>
      <c r="AI209" s="1252"/>
      <c r="AJ209" s="1314" t="n">
        <v>0</v>
      </c>
      <c r="AK209" s="1314" t="n">
        <v>0</v>
      </c>
      <c r="AL209" s="1314" t="n">
        <v>0</v>
      </c>
      <c r="AM209" s="1166"/>
      <c r="AN209" s="1253" t="n">
        <v>67</v>
      </c>
      <c r="AO209" s="1316" t="n">
        <v>0.35</v>
      </c>
      <c r="AP209" s="1252"/>
      <c r="AQ209" s="0"/>
      <c r="AR209" s="0"/>
      <c r="AS209" s="0"/>
      <c r="AT209" s="0"/>
      <c r="AU209" s="0" t="str">
        <f aca="false">AV209&amp;"Q"&amp;ROUNDUP(MONTH(AW209)/3,0)</f>
        <v>2016Q4</v>
      </c>
      <c r="AV209" s="0" t="n">
        <f aca="false">YEAR(AW209)</f>
        <v>2016</v>
      </c>
      <c r="AW209" s="1304" t="n">
        <f aca="false">EOMONTH(AW208,0)+1</f>
        <v>42705</v>
      </c>
      <c r="AX209" s="112" t="n">
        <f aca="false">AY209</f>
        <v>4.28661931877976</v>
      </c>
      <c r="AY209" s="1323" t="n">
        <v>4.28661931877976</v>
      </c>
      <c r="AZ209" s="112" t="n">
        <f aca="false">AY209</f>
        <v>4.28661931877976</v>
      </c>
      <c r="BA209" s="163" t="n">
        <v>1</v>
      </c>
      <c r="BB209" s="163" t="n">
        <v>1</v>
      </c>
      <c r="BC209" s="163" t="n">
        <v>1</v>
      </c>
      <c r="BD209" s="163" t="n">
        <v>0</v>
      </c>
      <c r="BE209" s="163"/>
      <c r="BF209" s="163" t="n">
        <v>0</v>
      </c>
      <c r="BG209" s="1290" t="n">
        <v>0</v>
      </c>
      <c r="BH209" s="1262"/>
      <c r="BI209" s="1292"/>
      <c r="BJ209" s="1291"/>
      <c r="BK209" s="1293" t="n">
        <v>0</v>
      </c>
      <c r="BL209" s="1294" t="n">
        <f aca="false">+AY209</f>
        <v>4.28661931877976</v>
      </c>
      <c r="BM209" s="1295" t="n">
        <f aca="false">AY209</f>
        <v>4.28661931877976</v>
      </c>
      <c r="BN209" s="1324" t="n">
        <f aca="false">+BM209/BM197-1</f>
        <v>0.0182085844558251</v>
      </c>
      <c r="BO209" s="1296" t="n">
        <f aca="false">BM209</f>
        <v>4.28661931877976</v>
      </c>
      <c r="BP209" s="1318" t="n">
        <f aca="false">+AY209/AY197-1</f>
        <v>0.0182085844558251</v>
      </c>
      <c r="BQ209" s="1298" t="n">
        <f aca="false">VLOOKUP($AW209,$BU$8:$BZ$291,5,FALSE())</f>
        <v>4.67546880127167</v>
      </c>
      <c r="BR209" s="1298" t="n">
        <f aca="false">VLOOKUP($AW209,$BU$8:$BZ$291,6,FALSE())</f>
        <v>3.59645367033756</v>
      </c>
      <c r="BS209" s="1262" t="n">
        <v>0</v>
      </c>
      <c r="BU209" s="1309" t="n">
        <f aca="false">EDATE(BU208,1)</f>
        <v>42278</v>
      </c>
      <c r="BV209" s="1310" t="n">
        <v>3.01429277040028</v>
      </c>
      <c r="BW209" s="1310" t="n">
        <v>2.37875555221143</v>
      </c>
      <c r="BX209" s="1310"/>
      <c r="BY209" s="1310" t="n">
        <v>4.22073758668676</v>
      </c>
      <c r="BZ209" s="1311" t="n">
        <v>3.3308320503404</v>
      </c>
    </row>
    <row r="210" customFormat="false" ht="12.75" hidden="false" customHeight="false" outlineLevel="0" collapsed="false">
      <c r="A210" s="1246"/>
      <c r="B210" s="1312" t="n">
        <v>41699</v>
      </c>
      <c r="C210" s="1313" t="n">
        <v>39.1475301947167</v>
      </c>
      <c r="D210" s="1313"/>
      <c r="E210" s="1313"/>
      <c r="F210" s="1287"/>
      <c r="G210" s="1313"/>
      <c r="H210" s="1313"/>
      <c r="I210" s="1313"/>
      <c r="J210" s="1253"/>
      <c r="K210" s="1254" t="n">
        <v>42583</v>
      </c>
      <c r="L210" s="1314" t="n">
        <v>0</v>
      </c>
      <c r="M210" s="1314" t="n">
        <v>0</v>
      </c>
      <c r="N210" s="1314" t="n">
        <v>0</v>
      </c>
      <c r="O210" s="1252"/>
      <c r="P210" s="1314" t="n">
        <v>0</v>
      </c>
      <c r="Q210" s="1314" t="n">
        <v>0</v>
      </c>
      <c r="R210" s="1314" t="n">
        <v>0</v>
      </c>
      <c r="S210" s="1252"/>
      <c r="T210" s="1314" t="n">
        <v>0</v>
      </c>
      <c r="U210" s="1314" t="n">
        <v>0</v>
      </c>
      <c r="V210" s="1314" t="n">
        <v>0</v>
      </c>
      <c r="W210" s="1252"/>
      <c r="X210" s="1314" t="n">
        <v>0</v>
      </c>
      <c r="Y210" s="1314" t="n">
        <v>0</v>
      </c>
      <c r="Z210" s="1314" t="n">
        <v>0</v>
      </c>
      <c r="AA210" s="1252" t="n">
        <v>0</v>
      </c>
      <c r="AB210" s="1314" t="n">
        <v>0</v>
      </c>
      <c r="AC210" s="1314" t="n">
        <v>0</v>
      </c>
      <c r="AD210" s="1314" t="n">
        <v>0</v>
      </c>
      <c r="AE210" s="1252"/>
      <c r="AF210" s="1314" t="n">
        <v>0</v>
      </c>
      <c r="AG210" s="1314" t="n">
        <v>0</v>
      </c>
      <c r="AH210" s="1314" t="n">
        <v>0</v>
      </c>
      <c r="AI210" s="1252"/>
      <c r="AJ210" s="1314" t="n">
        <v>0</v>
      </c>
      <c r="AK210" s="1314" t="n">
        <v>0</v>
      </c>
      <c r="AL210" s="1314" t="n">
        <v>0</v>
      </c>
      <c r="AM210" s="1166"/>
      <c r="AN210" s="1253" t="n">
        <v>67</v>
      </c>
      <c r="AO210" s="1316" t="n">
        <v>0.35</v>
      </c>
      <c r="AP210" s="1252"/>
      <c r="AQ210" s="0"/>
      <c r="AR210" s="0"/>
      <c r="AS210" s="0"/>
      <c r="AT210" s="0"/>
      <c r="AU210" s="0" t="str">
        <f aca="false">AV210&amp;"Q"&amp;ROUNDUP(MONTH(AW210)/3,0)</f>
        <v>2017Q1</v>
      </c>
      <c r="AV210" s="0" t="n">
        <f aca="false">YEAR(AW210)</f>
        <v>2017</v>
      </c>
      <c r="AW210" s="1304" t="n">
        <f aca="false">EOMONTH(AW209,0)+1</f>
        <v>42736</v>
      </c>
      <c r="AX210" s="112" t="n">
        <f aca="false">AY210</f>
        <v>4.07126349592839</v>
      </c>
      <c r="AY210" s="1323" t="n">
        <v>4.07126349592839</v>
      </c>
      <c r="AZ210" s="112" t="n">
        <f aca="false">AY210</f>
        <v>4.07126349592839</v>
      </c>
      <c r="BA210" s="163" t="n">
        <v>1</v>
      </c>
      <c r="BB210" s="163" t="n">
        <v>1</v>
      </c>
      <c r="BC210" s="163" t="n">
        <v>1</v>
      </c>
      <c r="BD210" s="163" t="n">
        <v>0</v>
      </c>
      <c r="BE210" s="163"/>
      <c r="BF210" s="163" t="n">
        <v>0</v>
      </c>
      <c r="BG210" s="1290" t="n">
        <v>0</v>
      </c>
      <c r="BH210" s="1262"/>
      <c r="BI210" s="1292"/>
      <c r="BJ210" s="1291"/>
      <c r="BK210" s="1293" t="n">
        <v>0</v>
      </c>
      <c r="BL210" s="1294" t="n">
        <f aca="false">+AY210</f>
        <v>4.07126349592839</v>
      </c>
      <c r="BM210" s="1295" t="n">
        <f aca="false">AY210</f>
        <v>4.07126349592839</v>
      </c>
      <c r="BN210" s="1324" t="n">
        <f aca="false">+BM210/BM198-1</f>
        <v>0.0206526053083256</v>
      </c>
      <c r="BO210" s="1296" t="n">
        <f aca="false">BM210</f>
        <v>4.07126349592839</v>
      </c>
      <c r="BP210" s="1318" t="n">
        <f aca="false">+AY210/AY198-1</f>
        <v>0.0206526053083256</v>
      </c>
      <c r="BQ210" s="1298" t="n">
        <f aca="false">VLOOKUP($AW210,$BU$8:$BZ$291,5,FALSE())</f>
        <v>4.61723293310349</v>
      </c>
      <c r="BR210" s="1298" t="n">
        <f aca="false">VLOOKUP($AW210,$BU$8:$BZ$291,6,FALSE())</f>
        <v>3.80118257015847</v>
      </c>
      <c r="BS210" s="1262" t="n">
        <v>0</v>
      </c>
      <c r="BU210" s="1309" t="n">
        <f aca="false">EDATE(BU209,1)</f>
        <v>42309</v>
      </c>
      <c r="BV210" s="1310" t="n">
        <v>3.16818173451079</v>
      </c>
      <c r="BW210" s="1310" t="n">
        <v>2.44160112342145</v>
      </c>
      <c r="BX210" s="1310"/>
      <c r="BY210" s="1310" t="n">
        <v>4.43621928819091</v>
      </c>
      <c r="BZ210" s="1311" t="n">
        <v>3.41883102216147</v>
      </c>
    </row>
    <row r="211" customFormat="false" ht="12.75" hidden="false" customHeight="false" outlineLevel="0" collapsed="false">
      <c r="A211" s="1246"/>
      <c r="B211" s="1312" t="n">
        <v>41730</v>
      </c>
      <c r="C211" s="1313" t="n">
        <v>39.0958126553689</v>
      </c>
      <c r="D211" s="1313"/>
      <c r="E211" s="1313"/>
      <c r="F211" s="1287"/>
      <c r="G211" s="1313"/>
      <c r="H211" s="1313"/>
      <c r="I211" s="1313"/>
      <c r="J211" s="1253"/>
      <c r="K211" s="1254" t="n">
        <v>42614</v>
      </c>
      <c r="L211" s="1314" t="n">
        <v>0</v>
      </c>
      <c r="M211" s="1314" t="n">
        <v>0</v>
      </c>
      <c r="N211" s="1314" t="n">
        <v>0</v>
      </c>
      <c r="O211" s="1252"/>
      <c r="P211" s="1314" t="n">
        <v>0</v>
      </c>
      <c r="Q211" s="1314" t="n">
        <v>0</v>
      </c>
      <c r="R211" s="1314" t="n">
        <v>0</v>
      </c>
      <c r="S211" s="1252"/>
      <c r="T211" s="1314" t="n">
        <v>0</v>
      </c>
      <c r="U211" s="1314" t="n">
        <v>0</v>
      </c>
      <c r="V211" s="1314" t="n">
        <v>0</v>
      </c>
      <c r="W211" s="1252"/>
      <c r="X211" s="1314" t="n">
        <v>0</v>
      </c>
      <c r="Y211" s="1314" t="n">
        <v>0</v>
      </c>
      <c r="Z211" s="1314" t="n">
        <v>0</v>
      </c>
      <c r="AA211" s="1252" t="n">
        <v>0</v>
      </c>
      <c r="AB211" s="1314" t="n">
        <v>0</v>
      </c>
      <c r="AC211" s="1314" t="n">
        <v>0</v>
      </c>
      <c r="AD211" s="1314" t="n">
        <v>0</v>
      </c>
      <c r="AE211" s="1252"/>
      <c r="AF211" s="1314" t="n">
        <v>0</v>
      </c>
      <c r="AG211" s="1314" t="n">
        <v>0</v>
      </c>
      <c r="AH211" s="1314" t="n">
        <v>0</v>
      </c>
      <c r="AI211" s="1252"/>
      <c r="AJ211" s="1314" t="n">
        <v>0</v>
      </c>
      <c r="AK211" s="1314" t="n">
        <v>0</v>
      </c>
      <c r="AL211" s="1314" t="n">
        <v>0</v>
      </c>
      <c r="AM211" s="1166"/>
      <c r="AN211" s="1253" t="n">
        <v>68</v>
      </c>
      <c r="AO211" s="1316" t="n">
        <v>0.35</v>
      </c>
      <c r="AP211" s="1252"/>
      <c r="AQ211" s="0"/>
      <c r="AR211" s="0"/>
      <c r="AS211" s="0"/>
      <c r="AT211" s="0"/>
      <c r="AU211" s="0" t="str">
        <f aca="false">AV211&amp;"Q"&amp;ROUNDUP(MONTH(AW211)/3,0)</f>
        <v>2017Q1</v>
      </c>
      <c r="AV211" s="0" t="n">
        <f aca="false">YEAR(AW211)</f>
        <v>2017</v>
      </c>
      <c r="AW211" s="1304" t="n">
        <f aca="false">EOMONTH(AW210,0)+1</f>
        <v>42767</v>
      </c>
      <c r="AX211" s="112" t="n">
        <f aca="false">AY211</f>
        <v>3.76028912686338</v>
      </c>
      <c r="AY211" s="1323" t="n">
        <v>3.76028912686338</v>
      </c>
      <c r="AZ211" s="112" t="n">
        <f aca="false">AY211</f>
        <v>3.76028912686338</v>
      </c>
      <c r="BA211" s="163" t="n">
        <v>1</v>
      </c>
      <c r="BB211" s="163" t="n">
        <v>1</v>
      </c>
      <c r="BC211" s="163" t="n">
        <v>1</v>
      </c>
      <c r="BD211" s="163" t="n">
        <v>0</v>
      </c>
      <c r="BE211" s="163"/>
      <c r="BF211" s="163" t="n">
        <v>0</v>
      </c>
      <c r="BG211" s="1290" t="n">
        <v>0</v>
      </c>
      <c r="BH211" s="1262"/>
      <c r="BI211" s="1292"/>
      <c r="BJ211" s="1291"/>
      <c r="BK211" s="1293" t="n">
        <v>0</v>
      </c>
      <c r="BL211" s="1294" t="n">
        <f aca="false">+AY211</f>
        <v>3.76028912686338</v>
      </c>
      <c r="BM211" s="1295" t="n">
        <f aca="false">AY211</f>
        <v>3.76028912686338</v>
      </c>
      <c r="BN211" s="1324" t="n">
        <f aca="false">+BM211/BM199-1</f>
        <v>0.0206526053083258</v>
      </c>
      <c r="BO211" s="1296" t="n">
        <f aca="false">BM211</f>
        <v>3.76028912686338</v>
      </c>
      <c r="BP211" s="1318" t="n">
        <f aca="false">+AY211/AY199-1</f>
        <v>0.0206526053083258</v>
      </c>
      <c r="BQ211" s="1298" t="n">
        <f aca="false">VLOOKUP($AW211,$BU$8:$BZ$291,5,FALSE())</f>
        <v>4.26884177253188</v>
      </c>
      <c r="BR211" s="1298" t="n">
        <f aca="false">VLOOKUP($AW211,$BU$8:$BZ$291,6,FALSE())</f>
        <v>3.54057334163141</v>
      </c>
      <c r="BS211" s="1262" t="n">
        <v>0</v>
      </c>
      <c r="BU211" s="1309" t="n">
        <f aca="false">EDATE(BU210,1)</f>
        <v>42339</v>
      </c>
      <c r="BV211" s="1310" t="n">
        <v>3.23510880567033</v>
      </c>
      <c r="BW211" s="1310" t="n">
        <v>2.49278985481025</v>
      </c>
      <c r="BX211" s="1310"/>
      <c r="BY211" s="1310" t="n">
        <v>4.52993334529374</v>
      </c>
      <c r="BZ211" s="1311" t="n">
        <v>3.49050760404799</v>
      </c>
    </row>
    <row r="212" customFormat="false" ht="12.75" hidden="false" customHeight="false" outlineLevel="0" collapsed="false">
      <c r="A212" s="1246"/>
      <c r="B212" s="1312" t="n">
        <v>41760</v>
      </c>
      <c r="C212" s="1313" t="n">
        <v>39.0042843340337</v>
      </c>
      <c r="D212" s="1313"/>
      <c r="E212" s="1313"/>
      <c r="F212" s="1287"/>
      <c r="G212" s="1313"/>
      <c r="H212" s="1313"/>
      <c r="I212" s="1313"/>
      <c r="J212" s="1253"/>
      <c r="K212" s="1254" t="n">
        <v>42644</v>
      </c>
      <c r="L212" s="1314" t="n">
        <v>0</v>
      </c>
      <c r="M212" s="1314" t="n">
        <v>0</v>
      </c>
      <c r="N212" s="1314" t="n">
        <v>0</v>
      </c>
      <c r="O212" s="1252"/>
      <c r="P212" s="1314" t="n">
        <v>0</v>
      </c>
      <c r="Q212" s="1314" t="n">
        <v>0</v>
      </c>
      <c r="R212" s="1314" t="n">
        <v>0</v>
      </c>
      <c r="S212" s="1252"/>
      <c r="T212" s="1314" t="n">
        <v>0</v>
      </c>
      <c r="U212" s="1314" t="n">
        <v>0</v>
      </c>
      <c r="V212" s="1314" t="n">
        <v>0</v>
      </c>
      <c r="W212" s="1252"/>
      <c r="X212" s="1314" t="n">
        <v>0</v>
      </c>
      <c r="Y212" s="1314" t="n">
        <v>0</v>
      </c>
      <c r="Z212" s="1314" t="n">
        <v>0</v>
      </c>
      <c r="AA212" s="1252" t="n">
        <v>0</v>
      </c>
      <c r="AB212" s="1314" t="n">
        <v>0</v>
      </c>
      <c r="AC212" s="1314" t="n">
        <v>0</v>
      </c>
      <c r="AD212" s="1314" t="n">
        <v>0</v>
      </c>
      <c r="AE212" s="1252"/>
      <c r="AF212" s="1314" t="n">
        <v>0</v>
      </c>
      <c r="AG212" s="1314" t="n">
        <v>0</v>
      </c>
      <c r="AH212" s="1314" t="n">
        <v>0</v>
      </c>
      <c r="AI212" s="1252"/>
      <c r="AJ212" s="1314" t="n">
        <v>0</v>
      </c>
      <c r="AK212" s="1314" t="n">
        <v>0</v>
      </c>
      <c r="AL212" s="1314" t="n">
        <v>0</v>
      </c>
      <c r="AM212" s="1166"/>
      <c r="AN212" s="1253" t="n">
        <v>68</v>
      </c>
      <c r="AO212" s="1316" t="n">
        <v>0.35</v>
      </c>
      <c r="AP212" s="1252"/>
      <c r="AQ212" s="0"/>
      <c r="AR212" s="0"/>
      <c r="AS212" s="0"/>
      <c r="AT212" s="0"/>
      <c r="AU212" s="0" t="str">
        <f aca="false">AV212&amp;"Q"&amp;ROUNDUP(MONTH(AW212)/3,0)</f>
        <v>2017Q1</v>
      </c>
      <c r="AV212" s="0" t="n">
        <f aca="false">YEAR(AW212)</f>
        <v>2017</v>
      </c>
      <c r="AW212" s="1304" t="n">
        <f aca="false">EOMONTH(AW211,0)+1</f>
        <v>42795</v>
      </c>
      <c r="AX212" s="112" t="n">
        <f aca="false">AY212</f>
        <v>3.55842385804724</v>
      </c>
      <c r="AY212" s="1323" t="n">
        <v>3.55842385804724</v>
      </c>
      <c r="AZ212" s="112" t="n">
        <f aca="false">AY212</f>
        <v>3.55842385804724</v>
      </c>
      <c r="BA212" s="163" t="n">
        <v>1</v>
      </c>
      <c r="BB212" s="163" t="n">
        <v>1</v>
      </c>
      <c r="BC212" s="163" t="n">
        <v>1</v>
      </c>
      <c r="BD212" s="163" t="n">
        <v>0</v>
      </c>
      <c r="BE212" s="163"/>
      <c r="BF212" s="163" t="n">
        <v>0</v>
      </c>
      <c r="BG212" s="1290" t="n">
        <v>0</v>
      </c>
      <c r="BH212" s="1262"/>
      <c r="BI212" s="1292"/>
      <c r="BJ212" s="1291"/>
      <c r="BK212" s="1293" t="n">
        <v>0</v>
      </c>
      <c r="BL212" s="1294" t="n">
        <f aca="false">+AY212</f>
        <v>3.55842385804724</v>
      </c>
      <c r="BM212" s="1295" t="n">
        <f aca="false">AY212</f>
        <v>3.55842385804724</v>
      </c>
      <c r="BN212" s="1324" t="n">
        <f aca="false">+BM212/BM200-1</f>
        <v>0.0205972704548028</v>
      </c>
      <c r="BO212" s="1296" t="n">
        <f aca="false">BM212</f>
        <v>3.55842385804724</v>
      </c>
      <c r="BP212" s="1318" t="n">
        <f aca="false">+AY212/AY200-1</f>
        <v>0.0205972704548028</v>
      </c>
      <c r="BQ212" s="1298" t="n">
        <f aca="false">VLOOKUP($AW212,$BU$8:$BZ$291,5,FALSE())</f>
        <v>4.14209209360957</v>
      </c>
      <c r="BR212" s="1298" t="n">
        <f aca="false">VLOOKUP($AW212,$BU$8:$BZ$291,6,FALSE())</f>
        <v>3.36481362936898</v>
      </c>
      <c r="BS212" s="1262" t="n">
        <v>0</v>
      </c>
      <c r="BU212" s="1309" t="n">
        <f aca="false">EDATE(BU211,1)</f>
        <v>42370</v>
      </c>
      <c r="BV212" s="1310" t="n">
        <v>3.12743164778529</v>
      </c>
      <c r="BW212" s="1310" t="n">
        <v>2.56877510577927</v>
      </c>
      <c r="BX212" s="1310"/>
      <c r="BY212" s="1310" t="n">
        <v>4.46674251550062</v>
      </c>
      <c r="BZ212" s="1311" t="n">
        <v>3.66884340569659</v>
      </c>
    </row>
    <row r="213" customFormat="false" ht="12.75" hidden="false" customHeight="false" outlineLevel="0" collapsed="false">
      <c r="A213" s="1246"/>
      <c r="B213" s="1312" t="n">
        <v>41791</v>
      </c>
      <c r="C213" s="1313" t="n">
        <v>42.9324319943162</v>
      </c>
      <c r="D213" s="1313"/>
      <c r="E213" s="1313"/>
      <c r="F213" s="1287"/>
      <c r="G213" s="1313"/>
      <c r="H213" s="1313"/>
      <c r="I213" s="1313"/>
      <c r="J213" s="1253"/>
      <c r="K213" s="1254" t="n">
        <v>42675</v>
      </c>
      <c r="L213" s="1314" t="n">
        <v>0</v>
      </c>
      <c r="M213" s="1314" t="n">
        <v>0</v>
      </c>
      <c r="N213" s="1314" t="n">
        <v>0</v>
      </c>
      <c r="O213" s="1252"/>
      <c r="P213" s="1314" t="n">
        <v>0</v>
      </c>
      <c r="Q213" s="1314" t="n">
        <v>0</v>
      </c>
      <c r="R213" s="1314" t="n">
        <v>0</v>
      </c>
      <c r="S213" s="1252"/>
      <c r="T213" s="1314" t="n">
        <v>0</v>
      </c>
      <c r="U213" s="1314" t="n">
        <v>0</v>
      </c>
      <c r="V213" s="1314" t="n">
        <v>0</v>
      </c>
      <c r="W213" s="1252"/>
      <c r="X213" s="1314" t="n">
        <v>0</v>
      </c>
      <c r="Y213" s="1314" t="n">
        <v>0</v>
      </c>
      <c r="Z213" s="1314" t="n">
        <v>0</v>
      </c>
      <c r="AA213" s="1252" t="n">
        <v>0</v>
      </c>
      <c r="AB213" s="1314" t="n">
        <v>0</v>
      </c>
      <c r="AC213" s="1314" t="n">
        <v>0</v>
      </c>
      <c r="AD213" s="1314" t="n">
        <v>0</v>
      </c>
      <c r="AE213" s="1252"/>
      <c r="AF213" s="1314" t="n">
        <v>0</v>
      </c>
      <c r="AG213" s="1314" t="n">
        <v>0</v>
      </c>
      <c r="AH213" s="1314" t="n">
        <v>0</v>
      </c>
      <c r="AI213" s="1252"/>
      <c r="AJ213" s="1314" t="n">
        <v>0</v>
      </c>
      <c r="AK213" s="1314" t="n">
        <v>0</v>
      </c>
      <c r="AL213" s="1314" t="n">
        <v>0</v>
      </c>
      <c r="AM213" s="1166"/>
      <c r="AN213" s="1253" t="n">
        <v>68</v>
      </c>
      <c r="AO213" s="1316" t="n">
        <v>0.35</v>
      </c>
      <c r="AP213" s="1252"/>
      <c r="AQ213" s="0"/>
      <c r="AR213" s="0"/>
      <c r="AS213" s="0"/>
      <c r="AT213" s="0"/>
      <c r="AU213" s="0" t="str">
        <f aca="false">AV213&amp;"Q"&amp;ROUNDUP(MONTH(AW213)/3,0)</f>
        <v>2017Q2</v>
      </c>
      <c r="AV213" s="0" t="n">
        <f aca="false">YEAR(AW213)</f>
        <v>2017</v>
      </c>
      <c r="AW213" s="1304" t="n">
        <f aca="false">EOMONTH(AW212,0)+1</f>
        <v>42826</v>
      </c>
      <c r="AX213" s="112" t="n">
        <f aca="false">AY213</f>
        <v>3.45166860204537</v>
      </c>
      <c r="AY213" s="1323" t="n">
        <v>3.45166860204537</v>
      </c>
      <c r="AZ213" s="112" t="n">
        <f aca="false">AY213</f>
        <v>3.45166860204537</v>
      </c>
      <c r="BA213" s="163" t="n">
        <v>1</v>
      </c>
      <c r="BB213" s="163" t="n">
        <v>1</v>
      </c>
      <c r="BC213" s="163" t="n">
        <v>1</v>
      </c>
      <c r="BD213" s="163" t="n">
        <v>0</v>
      </c>
      <c r="BE213" s="163"/>
      <c r="BF213" s="163" t="n">
        <v>0</v>
      </c>
      <c r="BG213" s="1290" t="n">
        <v>0</v>
      </c>
      <c r="BH213" s="1262"/>
      <c r="BI213" s="1292"/>
      <c r="BJ213" s="1291"/>
      <c r="BK213" s="1293" t="n">
        <v>0</v>
      </c>
      <c r="BL213" s="1294" t="n">
        <f aca="false">+AY213</f>
        <v>3.45166860204537</v>
      </c>
      <c r="BM213" s="1295" t="n">
        <f aca="false">AY213</f>
        <v>3.45166860204537</v>
      </c>
      <c r="BN213" s="1324" t="n">
        <f aca="false">+BM213/BM201-1</f>
        <v>0.020597270454803</v>
      </c>
      <c r="BO213" s="1296" t="n">
        <f aca="false">BM213</f>
        <v>3.45166860204537</v>
      </c>
      <c r="BP213" s="1318" t="n">
        <f aca="false">+AY213/AY201-1</f>
        <v>0.020597270454803</v>
      </c>
      <c r="BQ213" s="1298" t="n">
        <f aca="false">VLOOKUP($AW213,$BU$8:$BZ$291,5,FALSE())</f>
        <v>4.05992333623924</v>
      </c>
      <c r="BR213" s="1298" t="n">
        <f aca="false">VLOOKUP($AW213,$BU$8:$BZ$291,6,FALSE())</f>
        <v>3.26253965887144</v>
      </c>
      <c r="BS213" s="1262" t="n">
        <v>0</v>
      </c>
      <c r="BU213" s="1309" t="n">
        <f aca="false">EDATE(BU212,1)</f>
        <v>42401</v>
      </c>
      <c r="BV213" s="1310" t="n">
        <v>2.8914527493484</v>
      </c>
      <c r="BW213" s="1310" t="n">
        <v>2.39265978213442</v>
      </c>
      <c r="BX213" s="1310"/>
      <c r="BY213" s="1310" t="n">
        <v>4.12970653930095</v>
      </c>
      <c r="BZ213" s="1311" t="n">
        <v>3.41730735556015</v>
      </c>
    </row>
    <row r="214" customFormat="false" ht="12.75" hidden="false" customHeight="false" outlineLevel="0" collapsed="false">
      <c r="A214" s="1246"/>
      <c r="B214" s="1312" t="n">
        <v>41821</v>
      </c>
      <c r="C214" s="1313" t="n">
        <v>59.2210130054174</v>
      </c>
      <c r="D214" s="1313"/>
      <c r="E214" s="1313"/>
      <c r="F214" s="1287"/>
      <c r="G214" s="1313"/>
      <c r="H214" s="1313"/>
      <c r="I214" s="1313"/>
      <c r="J214" s="1253"/>
      <c r="K214" s="1254" t="n">
        <v>42705</v>
      </c>
      <c r="L214" s="1314" t="n">
        <v>0</v>
      </c>
      <c r="M214" s="1314" t="n">
        <v>0</v>
      </c>
      <c r="N214" s="1314" t="n">
        <v>0</v>
      </c>
      <c r="O214" s="1252"/>
      <c r="P214" s="1314" t="n">
        <v>0</v>
      </c>
      <c r="Q214" s="1314" t="n">
        <v>0</v>
      </c>
      <c r="R214" s="1314" t="n">
        <v>0</v>
      </c>
      <c r="S214" s="1252"/>
      <c r="T214" s="1314" t="n">
        <v>0</v>
      </c>
      <c r="U214" s="1314" t="n">
        <v>0</v>
      </c>
      <c r="V214" s="1314" t="n">
        <v>0</v>
      </c>
      <c r="W214" s="1252"/>
      <c r="X214" s="1314" t="n">
        <v>0</v>
      </c>
      <c r="Y214" s="1314" t="n">
        <v>0</v>
      </c>
      <c r="Z214" s="1314" t="n">
        <v>0</v>
      </c>
      <c r="AA214" s="1252" t="n">
        <v>0</v>
      </c>
      <c r="AB214" s="1314" t="n">
        <v>0</v>
      </c>
      <c r="AC214" s="1314" t="n">
        <v>0</v>
      </c>
      <c r="AD214" s="1314" t="n">
        <v>0</v>
      </c>
      <c r="AE214" s="1252"/>
      <c r="AF214" s="1314" t="n">
        <v>0</v>
      </c>
      <c r="AG214" s="1314" t="n">
        <v>0</v>
      </c>
      <c r="AH214" s="1314" t="n">
        <v>0</v>
      </c>
      <c r="AI214" s="1252"/>
      <c r="AJ214" s="1314" t="n">
        <v>0</v>
      </c>
      <c r="AK214" s="1314" t="n">
        <v>0</v>
      </c>
      <c r="AL214" s="1314" t="n">
        <v>0</v>
      </c>
      <c r="AM214" s="1166"/>
      <c r="AN214" s="1253" t="n">
        <v>69</v>
      </c>
      <c r="AO214" s="1316" t="n">
        <v>0.35</v>
      </c>
      <c r="AP214" s="1252"/>
      <c r="AQ214" s="0"/>
      <c r="AR214" s="0"/>
      <c r="AS214" s="0"/>
      <c r="AT214" s="0"/>
      <c r="AU214" s="0" t="str">
        <f aca="false">AV214&amp;"Q"&amp;ROUNDUP(MONTH(AW214)/3,0)</f>
        <v>2017Q2</v>
      </c>
      <c r="AV214" s="0" t="n">
        <f aca="false">YEAR(AW214)</f>
        <v>2017</v>
      </c>
      <c r="AW214" s="1304" t="n">
        <f aca="false">EOMONTH(AW213,0)+1</f>
        <v>42856</v>
      </c>
      <c r="AX214" s="112" t="n">
        <f aca="false">AY214</f>
        <v>3.42563718516804</v>
      </c>
      <c r="AY214" s="1323" t="n">
        <v>3.42563718516804</v>
      </c>
      <c r="AZ214" s="112" t="n">
        <f aca="false">AY214</f>
        <v>3.42563718516804</v>
      </c>
      <c r="BA214" s="163" t="n">
        <v>1</v>
      </c>
      <c r="BB214" s="163" t="n">
        <v>1</v>
      </c>
      <c r="BC214" s="163" t="n">
        <v>1</v>
      </c>
      <c r="BD214" s="163" t="n">
        <v>0</v>
      </c>
      <c r="BE214" s="163"/>
      <c r="BF214" s="163" t="n">
        <v>0</v>
      </c>
      <c r="BG214" s="1290" t="n">
        <v>0</v>
      </c>
      <c r="BH214" s="1262"/>
      <c r="BI214" s="1292"/>
      <c r="BJ214" s="1291"/>
      <c r="BK214" s="1293" t="n">
        <v>0</v>
      </c>
      <c r="BL214" s="1294" t="n">
        <f aca="false">+AY214</f>
        <v>3.42563718516804</v>
      </c>
      <c r="BM214" s="1295" t="n">
        <f aca="false">AY214</f>
        <v>3.42563718516804</v>
      </c>
      <c r="BN214" s="1324" t="n">
        <f aca="false">+BM214/BM202-1</f>
        <v>0.020597270454803</v>
      </c>
      <c r="BO214" s="1296" t="n">
        <f aca="false">BM214</f>
        <v>3.42563718516804</v>
      </c>
      <c r="BP214" s="1318" t="n">
        <f aca="false">+AY214/AY202-1</f>
        <v>0.020597270454803</v>
      </c>
      <c r="BQ214" s="1298" t="n">
        <f aca="false">VLOOKUP($AW214,$BU$8:$BZ$291,5,FALSE())</f>
        <v>4.0223355004209</v>
      </c>
      <c r="BR214" s="1298" t="n">
        <f aca="false">VLOOKUP($AW214,$BU$8:$BZ$291,6,FALSE())</f>
        <v>3.22238765563907</v>
      </c>
      <c r="BS214" s="1262" t="n">
        <v>0</v>
      </c>
      <c r="BU214" s="1309" t="n">
        <f aca="false">EDATE(BU213,1)</f>
        <v>42430</v>
      </c>
      <c r="BV214" s="1310" t="n">
        <v>2.80560025653474</v>
      </c>
      <c r="BW214" s="1310" t="n">
        <v>2.27388433130417</v>
      </c>
      <c r="BX214" s="1310"/>
      <c r="BY214" s="1310" t="n">
        <v>4.00708803859476</v>
      </c>
      <c r="BZ214" s="1311" t="n">
        <v>3.24766676360766</v>
      </c>
    </row>
    <row r="215" customFormat="false" ht="12.75" hidden="false" customHeight="false" outlineLevel="0" collapsed="false">
      <c r="A215" s="1246"/>
      <c r="B215" s="1312" t="n">
        <v>41852</v>
      </c>
      <c r="C215" s="1313" t="n">
        <v>69.2812709355534</v>
      </c>
      <c r="D215" s="1313"/>
      <c r="E215" s="1313"/>
      <c r="F215" s="1287"/>
      <c r="G215" s="1313"/>
      <c r="H215" s="1313"/>
      <c r="I215" s="1313"/>
      <c r="J215" s="1253"/>
      <c r="K215" s="1254" t="n">
        <v>42736</v>
      </c>
      <c r="L215" s="1314" t="n">
        <v>0</v>
      </c>
      <c r="M215" s="1314" t="n">
        <v>0</v>
      </c>
      <c r="N215" s="1314" t="n">
        <v>0</v>
      </c>
      <c r="O215" s="1252"/>
      <c r="P215" s="1314" t="n">
        <v>0</v>
      </c>
      <c r="Q215" s="1314" t="n">
        <v>0</v>
      </c>
      <c r="R215" s="1314" t="n">
        <v>0</v>
      </c>
      <c r="S215" s="1252"/>
      <c r="T215" s="1314" t="n">
        <v>0</v>
      </c>
      <c r="U215" s="1314" t="n">
        <v>0</v>
      </c>
      <c r="V215" s="1314" t="n">
        <v>0</v>
      </c>
      <c r="W215" s="1252"/>
      <c r="X215" s="1314" t="n">
        <v>0</v>
      </c>
      <c r="Y215" s="1314" t="n">
        <v>0</v>
      </c>
      <c r="Z215" s="1314" t="n">
        <v>0</v>
      </c>
      <c r="AA215" s="1252" t="n">
        <v>0</v>
      </c>
      <c r="AB215" s="1314" t="n">
        <v>0</v>
      </c>
      <c r="AC215" s="1314" t="n">
        <v>0</v>
      </c>
      <c r="AD215" s="1314" t="n">
        <v>0</v>
      </c>
      <c r="AE215" s="1252"/>
      <c r="AF215" s="1314" t="n">
        <v>0</v>
      </c>
      <c r="AG215" s="1314" t="n">
        <v>0</v>
      </c>
      <c r="AH215" s="1314" t="n">
        <v>0</v>
      </c>
      <c r="AI215" s="1252"/>
      <c r="AJ215" s="1314" t="n">
        <v>0</v>
      </c>
      <c r="AK215" s="1314" t="n">
        <v>0</v>
      </c>
      <c r="AL215" s="1314" t="n">
        <v>0</v>
      </c>
      <c r="AM215" s="1166"/>
      <c r="AN215" s="1253" t="n">
        <v>69</v>
      </c>
      <c r="AO215" s="1316" t="n">
        <v>0.35</v>
      </c>
      <c r="AP215" s="1252"/>
      <c r="AQ215" s="0"/>
      <c r="AR215" s="0"/>
      <c r="AS215" s="0"/>
      <c r="AT215" s="0"/>
      <c r="AU215" s="0" t="str">
        <f aca="false">AV215&amp;"Q"&amp;ROUNDUP(MONTH(AW215)/3,0)</f>
        <v>2017Q2</v>
      </c>
      <c r="AV215" s="0" t="n">
        <f aca="false">YEAR(AW215)</f>
        <v>2017</v>
      </c>
      <c r="AW215" s="1304" t="n">
        <f aca="false">EOMONTH(AW214,0)+1</f>
        <v>42887</v>
      </c>
      <c r="AX215" s="112" t="n">
        <f aca="false">AY215</f>
        <v>3.46701690467702</v>
      </c>
      <c r="AY215" s="1323" t="n">
        <v>3.46701690467702</v>
      </c>
      <c r="AZ215" s="112" t="n">
        <f aca="false">AY215</f>
        <v>3.46701690467702</v>
      </c>
      <c r="BA215" s="163" t="n">
        <v>1</v>
      </c>
      <c r="BB215" s="163" t="n">
        <v>1</v>
      </c>
      <c r="BC215" s="163" t="n">
        <v>1</v>
      </c>
      <c r="BD215" s="163" t="n">
        <v>0</v>
      </c>
      <c r="BE215" s="163"/>
      <c r="BF215" s="163" t="n">
        <v>0</v>
      </c>
      <c r="BG215" s="1290" t="n">
        <v>0</v>
      </c>
      <c r="BH215" s="1262"/>
      <c r="BI215" s="1292"/>
      <c r="BJ215" s="1291"/>
      <c r="BK215" s="1293" t="n">
        <v>0</v>
      </c>
      <c r="BL215" s="1294" t="n">
        <f aca="false">+AY215</f>
        <v>3.46701690467702</v>
      </c>
      <c r="BM215" s="1295" t="n">
        <f aca="false">AY215</f>
        <v>3.46701690467702</v>
      </c>
      <c r="BN215" s="1324" t="n">
        <f aca="false">+BM215/BM203-1</f>
        <v>0.0205972704548032</v>
      </c>
      <c r="BO215" s="1296" t="n">
        <f aca="false">BM215</f>
        <v>3.46701690467702</v>
      </c>
      <c r="BP215" s="1318" t="n">
        <f aca="false">+AY215/AY203-1</f>
        <v>0.0205972704548032</v>
      </c>
      <c r="BQ215" s="1298" t="n">
        <f aca="false">VLOOKUP($AW215,$BU$8:$BZ$291,5,FALSE())</f>
        <v>4.02932858615454</v>
      </c>
      <c r="BR215" s="1298" t="n">
        <f aca="false">VLOOKUP($AW215,$BU$8:$BZ$291,6,FALSE())</f>
        <v>3.23299384517215</v>
      </c>
      <c r="BS215" s="1262" t="n">
        <v>0</v>
      </c>
      <c r="BU215" s="1309" t="n">
        <f aca="false">EDATE(BU214,1)</f>
        <v>42461</v>
      </c>
      <c r="BV215" s="1310" t="n">
        <v>2.74994415774519</v>
      </c>
      <c r="BW215" s="1310" t="n">
        <v>2.20476930603656</v>
      </c>
      <c r="BX215" s="1310"/>
      <c r="BY215" s="1310" t="n">
        <v>3.92759742434386</v>
      </c>
      <c r="BZ215" s="1311" t="n">
        <v>3.14895348811806</v>
      </c>
    </row>
    <row r="216" customFormat="false" ht="12.75" hidden="false" customHeight="false" outlineLevel="0" collapsed="false">
      <c r="A216" s="1246"/>
      <c r="B216" s="1312" t="n">
        <v>41883</v>
      </c>
      <c r="C216" s="1313" t="n">
        <v>61.8384506044487</v>
      </c>
      <c r="D216" s="1313"/>
      <c r="E216" s="1313"/>
      <c r="F216" s="1287"/>
      <c r="G216" s="1313"/>
      <c r="H216" s="1313"/>
      <c r="I216" s="1313"/>
      <c r="J216" s="1253"/>
      <c r="K216" s="1254" t="n">
        <v>42767</v>
      </c>
      <c r="L216" s="1314" t="n">
        <v>0</v>
      </c>
      <c r="M216" s="1314" t="n">
        <v>0</v>
      </c>
      <c r="N216" s="1314" t="n">
        <v>0</v>
      </c>
      <c r="O216" s="1252"/>
      <c r="P216" s="1314" t="n">
        <v>0</v>
      </c>
      <c r="Q216" s="1314" t="n">
        <v>0</v>
      </c>
      <c r="R216" s="1314" t="n">
        <v>0</v>
      </c>
      <c r="S216" s="1252"/>
      <c r="T216" s="1314" t="n">
        <v>0</v>
      </c>
      <c r="U216" s="1314" t="n">
        <v>0</v>
      </c>
      <c r="V216" s="1314" t="n">
        <v>0</v>
      </c>
      <c r="W216" s="1252"/>
      <c r="X216" s="1314" t="n">
        <v>0</v>
      </c>
      <c r="Y216" s="1314" t="n">
        <v>0</v>
      </c>
      <c r="Z216" s="1314" t="n">
        <v>0</v>
      </c>
      <c r="AA216" s="1252" t="n">
        <v>0</v>
      </c>
      <c r="AB216" s="1314" t="n">
        <v>0</v>
      </c>
      <c r="AC216" s="1314" t="n">
        <v>0</v>
      </c>
      <c r="AD216" s="1314" t="n">
        <v>0</v>
      </c>
      <c r="AE216" s="1252"/>
      <c r="AF216" s="1314" t="n">
        <v>0</v>
      </c>
      <c r="AG216" s="1314" t="n">
        <v>0</v>
      </c>
      <c r="AH216" s="1314" t="n">
        <v>0</v>
      </c>
      <c r="AI216" s="1252"/>
      <c r="AJ216" s="1314" t="n">
        <v>0</v>
      </c>
      <c r="AK216" s="1314" t="n">
        <v>0</v>
      </c>
      <c r="AL216" s="1314" t="n">
        <v>0</v>
      </c>
      <c r="AM216" s="1166"/>
      <c r="AN216" s="1253" t="n">
        <v>69</v>
      </c>
      <c r="AO216" s="1316" t="n">
        <v>0.35</v>
      </c>
      <c r="AP216" s="1252"/>
      <c r="AQ216" s="0"/>
      <c r="AR216" s="0"/>
      <c r="AS216" s="0"/>
      <c r="AT216" s="0"/>
      <c r="AU216" s="0" t="str">
        <f aca="false">AV216&amp;"Q"&amp;ROUNDUP(MONTH(AW216)/3,0)</f>
        <v>2017Q3</v>
      </c>
      <c r="AV216" s="0" t="n">
        <f aca="false">YEAR(AW216)</f>
        <v>2017</v>
      </c>
      <c r="AW216" s="1304" t="n">
        <f aca="false">EOMONTH(AW215,0)+1</f>
        <v>42917</v>
      </c>
      <c r="AX216" s="112" t="n">
        <f aca="false">AY216</f>
        <v>3.56165291145584</v>
      </c>
      <c r="AY216" s="1323" t="n">
        <v>3.56165291145584</v>
      </c>
      <c r="AZ216" s="112" t="n">
        <f aca="false">AY216</f>
        <v>3.56165291145584</v>
      </c>
      <c r="BA216" s="163" t="n">
        <v>1</v>
      </c>
      <c r="BB216" s="163" t="n">
        <v>1</v>
      </c>
      <c r="BC216" s="163" t="n">
        <v>1</v>
      </c>
      <c r="BD216" s="163" t="n">
        <v>0</v>
      </c>
      <c r="BE216" s="163"/>
      <c r="BF216" s="163" t="n">
        <v>0</v>
      </c>
      <c r="BG216" s="1290" t="n">
        <v>0</v>
      </c>
      <c r="BH216" s="1262"/>
      <c r="BI216" s="1292"/>
      <c r="BJ216" s="1291"/>
      <c r="BK216" s="1293" t="n">
        <v>0</v>
      </c>
      <c r="BL216" s="1294" t="n">
        <f aca="false">+AY216</f>
        <v>3.56165291145584</v>
      </c>
      <c r="BM216" s="1295" t="n">
        <f aca="false">AY216</f>
        <v>3.56165291145584</v>
      </c>
      <c r="BN216" s="1324" t="n">
        <f aca="false">+BM216/BM204-1</f>
        <v>0.020597270454803</v>
      </c>
      <c r="BO216" s="1296" t="n">
        <f aca="false">BM216</f>
        <v>3.56165291145584</v>
      </c>
      <c r="BP216" s="1318" t="n">
        <f aca="false">+AY216/AY204-1</f>
        <v>0.020597270454803</v>
      </c>
      <c r="BQ216" s="1298" t="n">
        <f aca="false">VLOOKUP($AW216,$BU$8:$BZ$291,5,FALSE())</f>
        <v>4.08090259344017</v>
      </c>
      <c r="BR216" s="1298" t="n">
        <f aca="false">VLOOKUP($AW216,$BU$8:$BZ$291,6,FALSE())</f>
        <v>3.28299445297095</v>
      </c>
      <c r="BS216" s="1262" t="n">
        <v>0</v>
      </c>
      <c r="BU216" s="1309" t="n">
        <f aca="false">EDATE(BU215,1)</f>
        <v>42491</v>
      </c>
      <c r="BV216" s="1310" t="n">
        <v>2.72448445297976</v>
      </c>
      <c r="BW216" s="1310" t="n">
        <v>2.17763525907965</v>
      </c>
      <c r="BX216" s="1310"/>
      <c r="BY216" s="1310" t="n">
        <v>3.89123469654823</v>
      </c>
      <c r="BZ216" s="1311" t="n">
        <v>3.1101993873703</v>
      </c>
    </row>
    <row r="217" customFormat="false" ht="12.75" hidden="false" customHeight="false" outlineLevel="0" collapsed="false">
      <c r="A217" s="1246"/>
      <c r="B217" s="1312" t="n">
        <v>41913</v>
      </c>
      <c r="C217" s="1313" t="n">
        <v>52.6159505730247</v>
      </c>
      <c r="D217" s="1313"/>
      <c r="E217" s="1313"/>
      <c r="F217" s="1287"/>
      <c r="G217" s="1313"/>
      <c r="H217" s="1313"/>
      <c r="I217" s="1313"/>
      <c r="J217" s="1253"/>
      <c r="K217" s="1254" t="n">
        <v>42795</v>
      </c>
      <c r="L217" s="1314" t="n">
        <v>0</v>
      </c>
      <c r="M217" s="1314" t="n">
        <v>0</v>
      </c>
      <c r="N217" s="1314" t="n">
        <v>0</v>
      </c>
      <c r="O217" s="1252"/>
      <c r="P217" s="1314" t="n">
        <v>0</v>
      </c>
      <c r="Q217" s="1314" t="n">
        <v>0</v>
      </c>
      <c r="R217" s="1314" t="n">
        <v>0</v>
      </c>
      <c r="S217" s="1252"/>
      <c r="T217" s="1314" t="n">
        <v>0</v>
      </c>
      <c r="U217" s="1314" t="n">
        <v>0</v>
      </c>
      <c r="V217" s="1314" t="n">
        <v>0</v>
      </c>
      <c r="W217" s="1252"/>
      <c r="X217" s="1314" t="n">
        <v>0</v>
      </c>
      <c r="Y217" s="1314" t="n">
        <v>0</v>
      </c>
      <c r="Z217" s="1314" t="n">
        <v>0</v>
      </c>
      <c r="AA217" s="1252" t="n">
        <v>0</v>
      </c>
      <c r="AB217" s="1314" t="n">
        <v>0</v>
      </c>
      <c r="AC217" s="1314" t="n">
        <v>0</v>
      </c>
      <c r="AD217" s="1314" t="n">
        <v>0</v>
      </c>
      <c r="AE217" s="1252"/>
      <c r="AF217" s="1314" t="n">
        <v>0</v>
      </c>
      <c r="AG217" s="1314" t="n">
        <v>0</v>
      </c>
      <c r="AH217" s="1314" t="n">
        <v>0</v>
      </c>
      <c r="AI217" s="1252"/>
      <c r="AJ217" s="1314" t="n">
        <v>0</v>
      </c>
      <c r="AK217" s="1314" t="n">
        <v>0</v>
      </c>
      <c r="AL217" s="1314" t="n">
        <v>0</v>
      </c>
      <c r="AM217" s="1166"/>
      <c r="AN217" s="1253" t="n">
        <v>70</v>
      </c>
      <c r="AO217" s="1316" t="n">
        <v>0.35</v>
      </c>
      <c r="AP217" s="1252"/>
      <c r="AQ217" s="0"/>
      <c r="AR217" s="0"/>
      <c r="AS217" s="0"/>
      <c r="AT217" s="0"/>
      <c r="AU217" s="0" t="str">
        <f aca="false">AV217&amp;"Q"&amp;ROUNDUP(MONTH(AW217)/3,0)</f>
        <v>2017Q3</v>
      </c>
      <c r="AV217" s="0" t="n">
        <f aca="false">YEAR(AW217)</f>
        <v>2017</v>
      </c>
      <c r="AW217" s="1304" t="n">
        <f aca="false">EOMONTH(AW216,0)+1</f>
        <v>42948</v>
      </c>
      <c r="AX217" s="112" t="n">
        <f aca="false">AY217</f>
        <v>3.69605569588168</v>
      </c>
      <c r="AY217" s="1323" t="n">
        <v>3.69605569588168</v>
      </c>
      <c r="AZ217" s="112" t="n">
        <f aca="false">AY217</f>
        <v>3.69605569588168</v>
      </c>
      <c r="BA217" s="163" t="n">
        <v>1</v>
      </c>
      <c r="BB217" s="163" t="n">
        <v>1</v>
      </c>
      <c r="BC217" s="163" t="n">
        <v>1</v>
      </c>
      <c r="BD217" s="163" t="n">
        <v>0</v>
      </c>
      <c r="BE217" s="163"/>
      <c r="BF217" s="163" t="n">
        <v>0</v>
      </c>
      <c r="BG217" s="1290" t="n">
        <v>0</v>
      </c>
      <c r="BH217" s="1262"/>
      <c r="BI217" s="1292"/>
      <c r="BJ217" s="1291"/>
      <c r="BK217" s="1293" t="n">
        <v>0</v>
      </c>
      <c r="BL217" s="1294" t="n">
        <f aca="false">+AY217</f>
        <v>3.69605569588168</v>
      </c>
      <c r="BM217" s="1295" t="n">
        <f aca="false">AY217</f>
        <v>3.69605569588168</v>
      </c>
      <c r="BN217" s="1324" t="n">
        <f aca="false">+BM217/BM205-1</f>
        <v>0.0205972704548032</v>
      </c>
      <c r="BO217" s="1296" t="n">
        <f aca="false">BM217</f>
        <v>3.69605569588168</v>
      </c>
      <c r="BP217" s="1318" t="n">
        <f aca="false">+AY217/AY205-1</f>
        <v>0.0205972704548032</v>
      </c>
      <c r="BQ217" s="1298" t="n">
        <f aca="false">VLOOKUP($AW217,$BU$8:$BZ$291,5,FALSE())</f>
        <v>4.17705752227779</v>
      </c>
      <c r="BR217" s="1298" t="n">
        <f aca="false">VLOOKUP($AW217,$BU$8:$BZ$291,6,FALSE())</f>
        <v>3.36102570453573</v>
      </c>
      <c r="BS217" s="1262" t="n">
        <v>0</v>
      </c>
      <c r="BU217" s="1309" t="n">
        <f aca="false">EDATE(BU216,1)</f>
        <v>42522</v>
      </c>
      <c r="BV217" s="1310" t="n">
        <v>2.72922114223844</v>
      </c>
      <c r="BW217" s="1310" t="n">
        <v>2.18480274318148</v>
      </c>
      <c r="BX217" s="1310"/>
      <c r="BY217" s="1310" t="n">
        <v>3.89799985520789</v>
      </c>
      <c r="BZ217" s="1311" t="n">
        <v>3.12043631964329</v>
      </c>
    </row>
    <row r="218" customFormat="false" ht="12.75" hidden="false" customHeight="false" outlineLevel="0" collapsed="false">
      <c r="A218" s="1246"/>
      <c r="B218" s="1312" t="n">
        <v>41944</v>
      </c>
      <c r="C218" s="1313" t="n">
        <v>54.1042064612451</v>
      </c>
      <c r="D218" s="1313"/>
      <c r="E218" s="1313"/>
      <c r="F218" s="1287"/>
      <c r="G218" s="1313"/>
      <c r="H218" s="1313"/>
      <c r="I218" s="1313"/>
      <c r="J218" s="1253"/>
      <c r="K218" s="1254" t="n">
        <v>42826</v>
      </c>
      <c r="L218" s="1314" t="n">
        <v>0</v>
      </c>
      <c r="M218" s="1314" t="n">
        <v>0</v>
      </c>
      <c r="N218" s="1314" t="n">
        <v>0</v>
      </c>
      <c r="O218" s="1252"/>
      <c r="P218" s="1314" t="n">
        <v>0</v>
      </c>
      <c r="Q218" s="1314" t="n">
        <v>0</v>
      </c>
      <c r="R218" s="1314" t="n">
        <v>0</v>
      </c>
      <c r="S218" s="1252"/>
      <c r="T218" s="1314" t="n">
        <v>0</v>
      </c>
      <c r="U218" s="1314" t="n">
        <v>0</v>
      </c>
      <c r="V218" s="1314" t="n">
        <v>0</v>
      </c>
      <c r="W218" s="1252"/>
      <c r="X218" s="1314" t="n">
        <v>0</v>
      </c>
      <c r="Y218" s="1314" t="n">
        <v>0</v>
      </c>
      <c r="Z218" s="1314" t="n">
        <v>0</v>
      </c>
      <c r="AA218" s="1252" t="n">
        <v>0</v>
      </c>
      <c r="AB218" s="1314" t="n">
        <v>0</v>
      </c>
      <c r="AC218" s="1314" t="n">
        <v>0</v>
      </c>
      <c r="AD218" s="1314" t="n">
        <v>0</v>
      </c>
      <c r="AE218" s="1252"/>
      <c r="AF218" s="1314" t="n">
        <v>0</v>
      </c>
      <c r="AG218" s="1314" t="n">
        <v>0</v>
      </c>
      <c r="AH218" s="1314" t="n">
        <v>0</v>
      </c>
      <c r="AI218" s="1252"/>
      <c r="AJ218" s="1314" t="n">
        <v>0</v>
      </c>
      <c r="AK218" s="1314" t="n">
        <v>0</v>
      </c>
      <c r="AL218" s="1314" t="n">
        <v>0</v>
      </c>
      <c r="AM218" s="1166"/>
      <c r="AN218" s="1253" t="n">
        <v>70</v>
      </c>
      <c r="AO218" s="1316" t="n">
        <v>0.35</v>
      </c>
      <c r="AP218" s="1252"/>
      <c r="AQ218" s="0"/>
      <c r="AR218" s="0"/>
      <c r="AS218" s="0"/>
      <c r="AT218" s="0"/>
      <c r="AU218" s="0" t="str">
        <f aca="false">AV218&amp;"Q"&amp;ROUNDUP(MONTH(AW218)/3,0)</f>
        <v>2017Q3</v>
      </c>
      <c r="AV218" s="0" t="n">
        <f aca="false">YEAR(AW218)</f>
        <v>2017</v>
      </c>
      <c r="AW218" s="1304" t="n">
        <f aca="false">EOMONTH(AW217,0)+1</f>
        <v>42979</v>
      </c>
      <c r="AX218" s="112" t="n">
        <f aca="false">AY218</f>
        <v>3.85607539465559</v>
      </c>
      <c r="AY218" s="1323" t="n">
        <v>3.85607539465559</v>
      </c>
      <c r="AZ218" s="112" t="n">
        <f aca="false">AY218</f>
        <v>3.85607539465559</v>
      </c>
      <c r="BA218" s="163" t="n">
        <v>1</v>
      </c>
      <c r="BB218" s="163" t="n">
        <v>1</v>
      </c>
      <c r="BC218" s="163" t="n">
        <v>1</v>
      </c>
      <c r="BD218" s="163" t="n">
        <v>0</v>
      </c>
      <c r="BE218" s="163"/>
      <c r="BF218" s="163" t="n">
        <v>0</v>
      </c>
      <c r="BG218" s="1290" t="n">
        <v>0</v>
      </c>
      <c r="BH218" s="1262"/>
      <c r="BI218" s="1292"/>
      <c r="BJ218" s="1291"/>
      <c r="BK218" s="1293" t="n">
        <v>0</v>
      </c>
      <c r="BL218" s="1294" t="n">
        <f aca="false">+AY218</f>
        <v>3.85607539465559</v>
      </c>
      <c r="BM218" s="1295" t="n">
        <f aca="false">AY218</f>
        <v>3.85607539465559</v>
      </c>
      <c r="BN218" s="1324" t="n">
        <f aca="false">+BM218/BM206-1</f>
        <v>0.020597270454803</v>
      </c>
      <c r="BO218" s="1296" t="n">
        <f aca="false">BM218</f>
        <v>3.85607539465559</v>
      </c>
      <c r="BP218" s="1318" t="n">
        <f aca="false">+AY218/AY206-1</f>
        <v>0.020597270454803</v>
      </c>
      <c r="BQ218" s="1298" t="n">
        <f aca="false">VLOOKUP($AW218,$BU$8:$BZ$291,5,FALSE())</f>
        <v>4.3177933726674</v>
      </c>
      <c r="BR218" s="1298" t="n">
        <f aca="false">VLOOKUP($AW218,$BU$8:$BZ$291,6,FALSE())</f>
        <v>3.45572382536679</v>
      </c>
      <c r="BS218" s="1262" t="n">
        <v>0</v>
      </c>
      <c r="BU218" s="1309" t="n">
        <f aca="false">EDATE(BU217,1)</f>
        <v>42552</v>
      </c>
      <c r="BV218" s="1310" t="n">
        <v>2.76415422552124</v>
      </c>
      <c r="BW218" s="1310" t="n">
        <v>2.21859231109008</v>
      </c>
      <c r="BX218" s="1310"/>
      <c r="BY218" s="1310" t="n">
        <v>3.94789290032282</v>
      </c>
      <c r="BZ218" s="1311" t="n">
        <v>3.16869614321598</v>
      </c>
    </row>
    <row r="219" customFormat="false" ht="12.75" hidden="false" customHeight="false" outlineLevel="0" collapsed="false">
      <c r="A219" s="1246"/>
      <c r="B219" s="1312" t="n">
        <v>41974</v>
      </c>
      <c r="C219" s="1313" t="n">
        <v>52.7600008957021</v>
      </c>
      <c r="D219" s="1313"/>
      <c r="E219" s="1313"/>
      <c r="F219" s="1287"/>
      <c r="G219" s="1313"/>
      <c r="H219" s="1313"/>
      <c r="I219" s="1313"/>
      <c r="J219" s="1253"/>
      <c r="K219" s="1254" t="n">
        <v>42856</v>
      </c>
      <c r="L219" s="1314" t="n">
        <v>0</v>
      </c>
      <c r="M219" s="1314" t="n">
        <v>0</v>
      </c>
      <c r="N219" s="1314" t="n">
        <v>0</v>
      </c>
      <c r="O219" s="1252"/>
      <c r="P219" s="1314" t="n">
        <v>0</v>
      </c>
      <c r="Q219" s="1314" t="n">
        <v>0</v>
      </c>
      <c r="R219" s="1314" t="n">
        <v>0</v>
      </c>
      <c r="S219" s="1252"/>
      <c r="T219" s="1314" t="n">
        <v>0</v>
      </c>
      <c r="U219" s="1314" t="n">
        <v>0</v>
      </c>
      <c r="V219" s="1314" t="n">
        <v>0</v>
      </c>
      <c r="W219" s="1252"/>
      <c r="X219" s="1314" t="n">
        <v>0</v>
      </c>
      <c r="Y219" s="1314" t="n">
        <v>0</v>
      </c>
      <c r="Z219" s="1314" t="n">
        <v>0</v>
      </c>
      <c r="AA219" s="1252" t="n">
        <v>0</v>
      </c>
      <c r="AB219" s="1314" t="n">
        <v>0</v>
      </c>
      <c r="AC219" s="1314" t="n">
        <v>0</v>
      </c>
      <c r="AD219" s="1314" t="n">
        <v>0</v>
      </c>
      <c r="AE219" s="1252"/>
      <c r="AF219" s="1314" t="n">
        <v>0</v>
      </c>
      <c r="AG219" s="1314" t="n">
        <v>0</v>
      </c>
      <c r="AH219" s="1314" t="n">
        <v>0</v>
      </c>
      <c r="AI219" s="1252"/>
      <c r="AJ219" s="1314" t="n">
        <v>0</v>
      </c>
      <c r="AK219" s="1314" t="n">
        <v>0</v>
      </c>
      <c r="AL219" s="1314" t="n">
        <v>0</v>
      </c>
      <c r="AM219" s="1166"/>
      <c r="AN219" s="1253" t="n">
        <v>70</v>
      </c>
      <c r="AO219" s="1316" t="n">
        <v>0.35</v>
      </c>
      <c r="AP219" s="1252"/>
      <c r="AQ219" s="0"/>
      <c r="AR219" s="0"/>
      <c r="AS219" s="0"/>
      <c r="AT219" s="0"/>
      <c r="AU219" s="0" t="str">
        <f aca="false">AV219&amp;"Q"&amp;ROUNDUP(MONTH(AW219)/3,0)</f>
        <v>2017Q4</v>
      </c>
      <c r="AV219" s="0" t="n">
        <f aca="false">YEAR(AW219)</f>
        <v>2017</v>
      </c>
      <c r="AW219" s="1304" t="n">
        <f aca="false">EOMONTH(AW218,0)+1</f>
        <v>43009</v>
      </c>
      <c r="AX219" s="112" t="n">
        <f aca="false">AY219</f>
        <v>4.02743713634049</v>
      </c>
      <c r="AY219" s="1323" t="n">
        <v>4.02743713634049</v>
      </c>
      <c r="AZ219" s="112" t="n">
        <f aca="false">AY219</f>
        <v>4.02743713634049</v>
      </c>
      <c r="BA219" s="163" t="n">
        <v>1</v>
      </c>
      <c r="BB219" s="163" t="n">
        <v>1</v>
      </c>
      <c r="BC219" s="163" t="n">
        <v>1</v>
      </c>
      <c r="BD219" s="163" t="n">
        <v>0</v>
      </c>
      <c r="BE219" s="163"/>
      <c r="BF219" s="163" t="n">
        <v>0</v>
      </c>
      <c r="BG219" s="1290" t="n">
        <v>0</v>
      </c>
      <c r="BH219" s="1262"/>
      <c r="BI219" s="1292"/>
      <c r="BJ219" s="1291"/>
      <c r="BK219" s="1293" t="n">
        <v>0</v>
      </c>
      <c r="BL219" s="1294" t="n">
        <f aca="false">+AY219</f>
        <v>4.02743713634049</v>
      </c>
      <c r="BM219" s="1295" t="n">
        <f aca="false">AY219</f>
        <v>4.02743713634049</v>
      </c>
      <c r="BN219" s="1324" t="n">
        <f aca="false">+BM219/BM207-1</f>
        <v>0.0205972704548028</v>
      </c>
      <c r="BO219" s="1296" t="n">
        <f aca="false">BM219</f>
        <v>4.02743713634049</v>
      </c>
      <c r="BP219" s="1318" t="n">
        <f aca="false">+AY219/AY207-1</f>
        <v>0.0205972704548028</v>
      </c>
      <c r="BQ219" s="1298" t="n">
        <f aca="false">VLOOKUP($AW219,$BU$8:$BZ$291,5,FALSE())</f>
        <v>4.50311014460899</v>
      </c>
      <c r="BR219" s="1298" t="n">
        <f aca="false">VLOOKUP($AW219,$BU$8:$BZ$291,6,FALSE())</f>
        <v>3.55572504096438</v>
      </c>
      <c r="BS219" s="1262" t="n">
        <v>0</v>
      </c>
      <c r="BU219" s="1309" t="n">
        <f aca="false">EDATE(BU218,1)</f>
        <v>42583</v>
      </c>
      <c r="BV219" s="1310" t="n">
        <v>2.82928370282816</v>
      </c>
      <c r="BW219" s="1310" t="n">
        <v>2.27132451555351</v>
      </c>
      <c r="BX219" s="1310"/>
      <c r="BY219" s="1310" t="n">
        <v>4.04091383189302</v>
      </c>
      <c r="BZ219" s="1311" t="n">
        <v>3.2440107163673</v>
      </c>
    </row>
    <row r="220" customFormat="false" ht="12.75" hidden="false" customHeight="false" outlineLevel="0" collapsed="false">
      <c r="A220" s="1246"/>
      <c r="B220" s="1312" t="n">
        <v>42005</v>
      </c>
      <c r="C220" s="1313" t="n">
        <v>52.0776124922798</v>
      </c>
      <c r="D220" s="1313"/>
      <c r="E220" s="1313"/>
      <c r="F220" s="1287"/>
      <c r="G220" s="1313"/>
      <c r="H220" s="1313"/>
      <c r="I220" s="1313"/>
      <c r="J220" s="1253"/>
      <c r="K220" s="1254" t="n">
        <v>42887</v>
      </c>
      <c r="L220" s="1314" t="n">
        <v>0</v>
      </c>
      <c r="M220" s="1314" t="n">
        <v>0</v>
      </c>
      <c r="N220" s="1314" t="n">
        <v>0</v>
      </c>
      <c r="O220" s="1252"/>
      <c r="P220" s="1314" t="n">
        <v>0</v>
      </c>
      <c r="Q220" s="1314" t="n">
        <v>0</v>
      </c>
      <c r="R220" s="1314" t="n">
        <v>0</v>
      </c>
      <c r="S220" s="1252"/>
      <c r="T220" s="1314" t="n">
        <v>0</v>
      </c>
      <c r="U220" s="1314" t="n">
        <v>0</v>
      </c>
      <c r="V220" s="1314" t="n">
        <v>0</v>
      </c>
      <c r="W220" s="1252"/>
      <c r="X220" s="1314" t="n">
        <v>0</v>
      </c>
      <c r="Y220" s="1314" t="n">
        <v>0</v>
      </c>
      <c r="Z220" s="1314" t="n">
        <v>0</v>
      </c>
      <c r="AA220" s="1252" t="n">
        <v>0</v>
      </c>
      <c r="AB220" s="1314" t="n">
        <v>0</v>
      </c>
      <c r="AC220" s="1314" t="n">
        <v>0</v>
      </c>
      <c r="AD220" s="1314" t="n">
        <v>0</v>
      </c>
      <c r="AE220" s="1252"/>
      <c r="AF220" s="1314" t="n">
        <v>0</v>
      </c>
      <c r="AG220" s="1314" t="n">
        <v>0</v>
      </c>
      <c r="AH220" s="1314" t="n">
        <v>0</v>
      </c>
      <c r="AI220" s="1252"/>
      <c r="AJ220" s="1314" t="n">
        <v>0</v>
      </c>
      <c r="AK220" s="1314" t="n">
        <v>0</v>
      </c>
      <c r="AL220" s="1314" t="n">
        <v>0</v>
      </c>
      <c r="AM220" s="1166"/>
      <c r="AN220" s="1253" t="n">
        <v>71</v>
      </c>
      <c r="AO220" s="1316" t="n">
        <v>0.35</v>
      </c>
      <c r="AP220" s="1252"/>
      <c r="AQ220" s="0"/>
      <c r="AR220" s="0"/>
      <c r="AS220" s="0"/>
      <c r="AT220" s="0"/>
      <c r="AU220" s="0" t="str">
        <f aca="false">AV220&amp;"Q"&amp;ROUNDUP(MONTH(AW220)/3,0)</f>
        <v>2017Q4</v>
      </c>
      <c r="AV220" s="0" t="n">
        <f aca="false">YEAR(AW220)</f>
        <v>2017</v>
      </c>
      <c r="AW220" s="1304" t="n">
        <f aca="false">EOMONTH(AW219,0)+1</f>
        <v>43040</v>
      </c>
      <c r="AX220" s="112" t="n">
        <f aca="false">AY220</f>
        <v>4.19641695596515</v>
      </c>
      <c r="AY220" s="1323" t="n">
        <v>4.19641695596515</v>
      </c>
      <c r="AZ220" s="112" t="n">
        <f aca="false">AY220</f>
        <v>4.19641695596515</v>
      </c>
      <c r="BA220" s="163" t="n">
        <v>1</v>
      </c>
      <c r="BB220" s="163" t="n">
        <v>1</v>
      </c>
      <c r="BC220" s="163" t="n">
        <v>1</v>
      </c>
      <c r="BD220" s="163" t="n">
        <v>0</v>
      </c>
      <c r="BE220" s="163"/>
      <c r="BF220" s="163" t="n">
        <v>0</v>
      </c>
      <c r="BG220" s="1290" t="n">
        <v>0</v>
      </c>
      <c r="BH220" s="1262"/>
      <c r="BI220" s="1292"/>
      <c r="BJ220" s="1291"/>
      <c r="BK220" s="1293" t="n">
        <v>0</v>
      </c>
      <c r="BL220" s="1294" t="n">
        <f aca="false">+AY220</f>
        <v>4.19641695596515</v>
      </c>
      <c r="BM220" s="1295" t="n">
        <f aca="false">AY220</f>
        <v>4.19641695596515</v>
      </c>
      <c r="BN220" s="1324" t="n">
        <f aca="false">+BM220/BM208-1</f>
        <v>0.0205972704548028</v>
      </c>
      <c r="BO220" s="1296" t="n">
        <f aca="false">BM220</f>
        <v>4.19641695596515</v>
      </c>
      <c r="BP220" s="1318" t="n">
        <f aca="false">+AY220/AY208-1</f>
        <v>0.0205972704548028</v>
      </c>
      <c r="BQ220" s="1298" t="n">
        <f aca="false">VLOOKUP($AW220,$BU$8:$BZ$291,5,FALSE())</f>
        <v>4.73300783810256</v>
      </c>
      <c r="BR220" s="1298" t="n">
        <f aca="false">VLOOKUP($AW220,$BU$8:$BZ$291,6,FALSE())</f>
        <v>3.64966557682878</v>
      </c>
      <c r="BS220" s="1262" t="n">
        <v>0</v>
      </c>
      <c r="BU220" s="1309" t="n">
        <f aca="false">EDATE(BU219,1)</f>
        <v>42614</v>
      </c>
      <c r="BV220" s="1310" t="n">
        <v>2.92460957415919</v>
      </c>
      <c r="BW220" s="1310" t="n">
        <v>2.33531990931981</v>
      </c>
      <c r="BX220" s="1310"/>
      <c r="BY220" s="1310" t="n">
        <v>4.17706264991851</v>
      </c>
      <c r="BZ220" s="1311" t="n">
        <v>3.33541189737619</v>
      </c>
    </row>
    <row r="221" customFormat="false" ht="12.75" hidden="false" customHeight="false" outlineLevel="0" collapsed="false">
      <c r="A221" s="1246"/>
      <c r="B221" s="1312" t="n">
        <v>42036</v>
      </c>
      <c r="C221" s="1313" t="n">
        <v>43.8002689325549</v>
      </c>
      <c r="D221" s="1313"/>
      <c r="E221" s="1313"/>
      <c r="F221" s="1287"/>
      <c r="G221" s="1313"/>
      <c r="H221" s="1313"/>
      <c r="I221" s="1313"/>
      <c r="J221" s="1253"/>
      <c r="K221" s="1254" t="n">
        <v>42917</v>
      </c>
      <c r="L221" s="1314" t="n">
        <v>0</v>
      </c>
      <c r="M221" s="1314" t="n">
        <v>0</v>
      </c>
      <c r="N221" s="1314" t="n">
        <v>0</v>
      </c>
      <c r="O221" s="1252"/>
      <c r="P221" s="1314" t="n">
        <v>0</v>
      </c>
      <c r="Q221" s="1314" t="n">
        <v>0</v>
      </c>
      <c r="R221" s="1314" t="n">
        <v>0</v>
      </c>
      <c r="S221" s="1252"/>
      <c r="T221" s="1314" t="n">
        <v>0</v>
      </c>
      <c r="U221" s="1314" t="n">
        <v>0</v>
      </c>
      <c r="V221" s="1314" t="n">
        <v>0</v>
      </c>
      <c r="W221" s="1252"/>
      <c r="X221" s="1314" t="n">
        <v>0</v>
      </c>
      <c r="Y221" s="1314" t="n">
        <v>0</v>
      </c>
      <c r="Z221" s="1314" t="n">
        <v>0</v>
      </c>
      <c r="AA221" s="1252" t="n">
        <v>0</v>
      </c>
      <c r="AB221" s="1314" t="n">
        <v>0</v>
      </c>
      <c r="AC221" s="1314" t="n">
        <v>0</v>
      </c>
      <c r="AD221" s="1314" t="n">
        <v>0</v>
      </c>
      <c r="AE221" s="1252"/>
      <c r="AF221" s="1314" t="n">
        <v>0</v>
      </c>
      <c r="AG221" s="1314" t="n">
        <v>0</v>
      </c>
      <c r="AH221" s="1314" t="n">
        <v>0</v>
      </c>
      <c r="AI221" s="1252"/>
      <c r="AJ221" s="1314" t="n">
        <v>0</v>
      </c>
      <c r="AK221" s="1314" t="n">
        <v>0</v>
      </c>
      <c r="AL221" s="1314" t="n">
        <v>0</v>
      </c>
      <c r="AM221" s="1166"/>
      <c r="AN221" s="1253" t="n">
        <v>71</v>
      </c>
      <c r="AO221" s="1316" t="n">
        <v>0.35</v>
      </c>
      <c r="AP221" s="1252"/>
      <c r="AQ221" s="0"/>
      <c r="AR221" s="0"/>
      <c r="AS221" s="0"/>
      <c r="AT221" s="0"/>
      <c r="AU221" s="0" t="str">
        <f aca="false">AV221&amp;"Q"&amp;ROUNDUP(MONTH(AW221)/3,0)</f>
        <v>2017Q4</v>
      </c>
      <c r="AV221" s="0" t="n">
        <f aca="false">YEAR(AW221)</f>
        <v>2017</v>
      </c>
      <c r="AW221" s="1304" t="n">
        <f aca="false">EOMONTH(AW220,0)+1</f>
        <v>43070</v>
      </c>
      <c r="AX221" s="112" t="n">
        <f aca="false">AY221</f>
        <v>4.37491197622545</v>
      </c>
      <c r="AY221" s="1323" t="n">
        <v>4.37491197622545</v>
      </c>
      <c r="AZ221" s="112" t="n">
        <f aca="false">AY221</f>
        <v>4.37491197622545</v>
      </c>
      <c r="BA221" s="163" t="n">
        <v>1</v>
      </c>
      <c r="BB221" s="163" t="n">
        <v>1</v>
      </c>
      <c r="BC221" s="163" t="n">
        <v>1</v>
      </c>
      <c r="BD221" s="163" t="n">
        <v>0</v>
      </c>
      <c r="BE221" s="163"/>
      <c r="BF221" s="163" t="n">
        <v>0</v>
      </c>
      <c r="BG221" s="1290" t="n">
        <v>0</v>
      </c>
      <c r="BH221" s="1262"/>
      <c r="BI221" s="1292"/>
      <c r="BJ221" s="1291"/>
      <c r="BK221" s="1293" t="n">
        <v>0</v>
      </c>
      <c r="BL221" s="1294" t="n">
        <f aca="false">+AY221</f>
        <v>4.37491197622545</v>
      </c>
      <c r="BM221" s="1295" t="n">
        <f aca="false">AY221</f>
        <v>4.37491197622545</v>
      </c>
      <c r="BN221" s="1324" t="n">
        <f aca="false">+BM221/BM209-1</f>
        <v>0.020597270454803</v>
      </c>
      <c r="BO221" s="1296" t="n">
        <f aca="false">BM221</f>
        <v>4.37491197622545</v>
      </c>
      <c r="BP221" s="1318" t="n">
        <f aca="false">+AY221/AY209-1</f>
        <v>0.020597270454803</v>
      </c>
      <c r="BQ221" s="1298" t="n">
        <f aca="false">VLOOKUP($AW221,$BU$8:$BZ$291,5,FALSE())</f>
        <v>4.83299148137935</v>
      </c>
      <c r="BR221" s="1298" t="n">
        <f aca="false">VLOOKUP($AW221,$BU$8:$BZ$291,6,FALSE())</f>
        <v>3.72618165846027</v>
      </c>
      <c r="BS221" s="1262" t="n">
        <v>0</v>
      </c>
      <c r="BU221" s="1309" t="n">
        <f aca="false">EDATE(BU220,1)</f>
        <v>42644</v>
      </c>
      <c r="BV221" s="1310" t="n">
        <v>3.05013183951434</v>
      </c>
      <c r="BW221" s="1310" t="n">
        <v>2.40289904513703</v>
      </c>
      <c r="BX221" s="1310"/>
      <c r="BY221" s="1310" t="n">
        <v>4.35633935439927</v>
      </c>
      <c r="BZ221" s="1311" t="n">
        <v>3.43193154452157</v>
      </c>
    </row>
    <row r="222" customFormat="false" ht="12.75" hidden="false" customHeight="false" outlineLevel="0" collapsed="false">
      <c r="A222" s="1246"/>
      <c r="B222" s="1312" t="n">
        <v>42064</v>
      </c>
      <c r="C222" s="1313" t="n">
        <v>41.4786289689102</v>
      </c>
      <c r="D222" s="1313"/>
      <c r="E222" s="1313"/>
      <c r="F222" s="1287"/>
      <c r="G222" s="1313"/>
      <c r="H222" s="1313"/>
      <c r="I222" s="1313"/>
      <c r="J222" s="1253"/>
      <c r="K222" s="1254" t="n">
        <v>42948</v>
      </c>
      <c r="L222" s="1314" t="n">
        <v>0</v>
      </c>
      <c r="M222" s="1314" t="n">
        <v>0</v>
      </c>
      <c r="N222" s="1314" t="n">
        <v>0</v>
      </c>
      <c r="O222" s="1252"/>
      <c r="P222" s="1314" t="n">
        <v>0</v>
      </c>
      <c r="Q222" s="1314" t="n">
        <v>0</v>
      </c>
      <c r="R222" s="1314" t="n">
        <v>0</v>
      </c>
      <c r="S222" s="1252"/>
      <c r="T222" s="1314" t="n">
        <v>0</v>
      </c>
      <c r="U222" s="1314" t="n">
        <v>0</v>
      </c>
      <c r="V222" s="1314" t="n">
        <v>0</v>
      </c>
      <c r="W222" s="1252"/>
      <c r="X222" s="1314" t="n">
        <v>0</v>
      </c>
      <c r="Y222" s="1314" t="n">
        <v>0</v>
      </c>
      <c r="Z222" s="1314" t="n">
        <v>0</v>
      </c>
      <c r="AA222" s="1252" t="n">
        <v>0</v>
      </c>
      <c r="AB222" s="1314" t="n">
        <v>0</v>
      </c>
      <c r="AC222" s="1314" t="n">
        <v>0</v>
      </c>
      <c r="AD222" s="1314" t="n">
        <v>0</v>
      </c>
      <c r="AE222" s="1252"/>
      <c r="AF222" s="1314" t="n">
        <v>0</v>
      </c>
      <c r="AG222" s="1314" t="n">
        <v>0</v>
      </c>
      <c r="AH222" s="1314" t="n">
        <v>0</v>
      </c>
      <c r="AI222" s="1252"/>
      <c r="AJ222" s="1314" t="n">
        <v>0</v>
      </c>
      <c r="AK222" s="1314" t="n">
        <v>0</v>
      </c>
      <c r="AL222" s="1314" t="n">
        <v>0</v>
      </c>
      <c r="AM222" s="1166"/>
      <c r="AN222" s="1253" t="n">
        <v>71</v>
      </c>
      <c r="AO222" s="1316" t="n">
        <v>0.35</v>
      </c>
      <c r="AP222" s="1252"/>
      <c r="AQ222" s="0"/>
      <c r="AR222" s="0"/>
      <c r="AS222" s="0"/>
      <c r="AT222" s="0"/>
      <c r="AU222" s="0" t="str">
        <f aca="false">AV222&amp;"Q"&amp;ROUNDUP(MONTH(AW222)/3,0)</f>
        <v>2018Q1</v>
      </c>
      <c r="AV222" s="0" t="n">
        <f aca="false">YEAR(AW222)</f>
        <v>2018</v>
      </c>
      <c r="AW222" s="1304" t="n">
        <f aca="false">EOMONTH(AW221,0)+1</f>
        <v>43101</v>
      </c>
      <c r="AX222" s="112" t="n">
        <f aca="false">AY222</f>
        <v>4.15452921114819</v>
      </c>
      <c r="AY222" s="1323" t="n">
        <v>4.15452921114819</v>
      </c>
      <c r="AZ222" s="112" t="n">
        <f aca="false">AY222</f>
        <v>4.15452921114819</v>
      </c>
      <c r="BA222" s="163"/>
      <c r="BB222" s="163"/>
      <c r="BC222" s="163"/>
      <c r="BD222" s="163" t="n">
        <v>0</v>
      </c>
      <c r="BE222" s="163"/>
      <c r="BF222" s="163" t="n">
        <v>0</v>
      </c>
      <c r="BG222" s="1290" t="n">
        <v>0</v>
      </c>
      <c r="BH222" s="1262"/>
      <c r="BI222" s="1292"/>
      <c r="BJ222" s="1291"/>
      <c r="BK222" s="1293" t="n">
        <v>0</v>
      </c>
      <c r="BL222" s="1294" t="n">
        <f aca="false">+AY222</f>
        <v>4.15452921114819</v>
      </c>
      <c r="BM222" s="1295" t="n">
        <f aca="false">AY222</f>
        <v>4.15452921114819</v>
      </c>
      <c r="BN222" s="1324" t="n">
        <f aca="false">+BM222/BM210-1</f>
        <v>0.020452057525403</v>
      </c>
      <c r="BO222" s="1296" t="n">
        <f aca="false">BM222</f>
        <v>4.15452921114819</v>
      </c>
      <c r="BP222" s="1318" t="n">
        <f aca="false">+AY222/AY210-1</f>
        <v>0.020452057525403</v>
      </c>
      <c r="BQ222" s="1298" t="n">
        <f aca="false">VLOOKUP($AW222,$BU$8:$BZ$291,5,FALSE())</f>
        <v>4.78824575102424</v>
      </c>
      <c r="BR222" s="1298" t="n">
        <f aca="false">VLOOKUP($AW222,$BU$8:$BZ$291,6,FALSE())</f>
        <v>3.90941280112779</v>
      </c>
      <c r="BS222" s="1262" t="n">
        <v>0</v>
      </c>
      <c r="BU222" s="1309" t="n">
        <f aca="false">EDATE(BU221,1)</f>
        <v>42675</v>
      </c>
      <c r="BV222" s="1310" t="n">
        <v>3.2058504988936</v>
      </c>
      <c r="BW222" s="1310" t="n">
        <v>2.4663824757532</v>
      </c>
      <c r="BX222" s="1310"/>
      <c r="BY222" s="1310" t="n">
        <v>4.57874394533531</v>
      </c>
      <c r="BZ222" s="1311" t="n">
        <v>3.52260151608238</v>
      </c>
    </row>
    <row r="223" customFormat="false" ht="12.75" hidden="false" customHeight="false" outlineLevel="0" collapsed="false">
      <c r="A223" s="1246"/>
      <c r="B223" s="1312" t="n">
        <v>42095</v>
      </c>
      <c r="C223" s="1313" t="n">
        <v>39.2861807501471</v>
      </c>
      <c r="D223" s="1313"/>
      <c r="E223" s="1313"/>
      <c r="F223" s="1287"/>
      <c r="G223" s="1313"/>
      <c r="H223" s="1313"/>
      <c r="I223" s="1313"/>
      <c r="J223" s="1253"/>
      <c r="K223" s="1254" t="n">
        <v>42979</v>
      </c>
      <c r="L223" s="1314" t="n">
        <v>0</v>
      </c>
      <c r="M223" s="1314" t="n">
        <v>0</v>
      </c>
      <c r="N223" s="1314" t="n">
        <v>0</v>
      </c>
      <c r="O223" s="1252"/>
      <c r="P223" s="1314" t="n">
        <v>0</v>
      </c>
      <c r="Q223" s="1314" t="n">
        <v>0</v>
      </c>
      <c r="R223" s="1314" t="n">
        <v>0</v>
      </c>
      <c r="S223" s="1252"/>
      <c r="T223" s="1314" t="n">
        <v>0</v>
      </c>
      <c r="U223" s="1314" t="n">
        <v>0</v>
      </c>
      <c r="V223" s="1314" t="n">
        <v>0</v>
      </c>
      <c r="W223" s="1252"/>
      <c r="X223" s="1314" t="n">
        <v>0</v>
      </c>
      <c r="Y223" s="1314" t="n">
        <v>0</v>
      </c>
      <c r="Z223" s="1314" t="n">
        <v>0</v>
      </c>
      <c r="AA223" s="1252" t="n">
        <v>0</v>
      </c>
      <c r="AB223" s="1314" t="n">
        <v>0</v>
      </c>
      <c r="AC223" s="1314" t="n">
        <v>0</v>
      </c>
      <c r="AD223" s="1314" t="n">
        <v>0</v>
      </c>
      <c r="AE223" s="1252"/>
      <c r="AF223" s="1314" t="n">
        <v>0</v>
      </c>
      <c r="AG223" s="1314" t="n">
        <v>0</v>
      </c>
      <c r="AH223" s="1314" t="n">
        <v>0</v>
      </c>
      <c r="AI223" s="1252"/>
      <c r="AJ223" s="1314" t="n">
        <v>0</v>
      </c>
      <c r="AK223" s="1314" t="n">
        <v>0</v>
      </c>
      <c r="AL223" s="1314" t="n">
        <v>0</v>
      </c>
      <c r="AM223" s="1166"/>
      <c r="AN223" s="1253" t="n">
        <v>72</v>
      </c>
      <c r="AO223" s="1316" t="n">
        <v>0.35</v>
      </c>
      <c r="AP223" s="1252"/>
      <c r="AQ223" s="0"/>
      <c r="AR223" s="0"/>
      <c r="AS223" s="0"/>
      <c r="AT223" s="0"/>
      <c r="AU223" s="0" t="str">
        <f aca="false">AV223&amp;"Q"&amp;ROUNDUP(MONTH(AW223)/3,0)</f>
        <v>2018Q1</v>
      </c>
      <c r="AV223" s="0" t="n">
        <f aca="false">YEAR(AW223)</f>
        <v>2018</v>
      </c>
      <c r="AW223" s="1304" t="n">
        <f aca="false">EOMONTH(AW222,0)+1</f>
        <v>43132</v>
      </c>
      <c r="AX223" s="112" t="n">
        <f aca="false">AY223</f>
        <v>3.83719477639813</v>
      </c>
      <c r="AY223" s="1323" t="n">
        <v>3.83719477639813</v>
      </c>
      <c r="AZ223" s="112" t="n">
        <f aca="false">AY223</f>
        <v>3.83719477639813</v>
      </c>
      <c r="BA223" s="163"/>
      <c r="BB223" s="163"/>
      <c r="BC223" s="163"/>
      <c r="BD223" s="163" t="n">
        <v>0</v>
      </c>
      <c r="BE223" s="163"/>
      <c r="BF223" s="163" t="n">
        <v>0</v>
      </c>
      <c r="BG223" s="1290" t="n">
        <v>0</v>
      </c>
      <c r="BH223" s="1262"/>
      <c r="BI223" s="1292"/>
      <c r="BJ223" s="1291"/>
      <c r="BK223" s="1293" t="n">
        <v>0</v>
      </c>
      <c r="BL223" s="1294" t="n">
        <f aca="false">+AY223</f>
        <v>3.83719477639813</v>
      </c>
      <c r="BM223" s="1295" t="n">
        <f aca="false">AY223</f>
        <v>3.83719477639813</v>
      </c>
      <c r="BN223" s="1324" t="n">
        <f aca="false">+BM223/BM211-1</f>
        <v>0.0204520575254028</v>
      </c>
      <c r="BO223" s="1296" t="n">
        <f aca="false">BM223</f>
        <v>3.83719477639813</v>
      </c>
      <c r="BP223" s="1318" t="n">
        <f aca="false">+AY223/AY211-1</f>
        <v>0.0204520575254028</v>
      </c>
      <c r="BQ223" s="1298" t="n">
        <f aca="false">VLOOKUP($AW223,$BU$8:$BZ$291,5,FALSE())</f>
        <v>4.42695089792266</v>
      </c>
      <c r="BR223" s="1298" t="n">
        <f aca="false">VLOOKUP($AW223,$BU$8:$BZ$291,6,FALSE())</f>
        <v>3.64138330365137</v>
      </c>
      <c r="BS223" s="1262" t="n">
        <v>0</v>
      </c>
      <c r="BU223" s="1309" t="n">
        <f aca="false">EDATE(BU222,1)</f>
        <v>42705</v>
      </c>
      <c r="BV223" s="1310" t="n">
        <v>3.27357331356965</v>
      </c>
      <c r="BW223" s="1310" t="n">
        <v>2.51809075391637</v>
      </c>
      <c r="BX223" s="1310"/>
      <c r="BY223" s="1310" t="n">
        <v>4.67546880127167</v>
      </c>
      <c r="BZ223" s="1311" t="n">
        <v>3.59645367033756</v>
      </c>
    </row>
    <row r="224" customFormat="false" ht="12.75" hidden="false" customHeight="false" outlineLevel="0" collapsed="false">
      <c r="A224" s="1246"/>
      <c r="B224" s="1312" t="n">
        <v>42125</v>
      </c>
      <c r="C224" s="1313" t="n">
        <v>41.1259064543797</v>
      </c>
      <c r="D224" s="1313"/>
      <c r="E224" s="1313"/>
      <c r="F224" s="1287"/>
      <c r="G224" s="1313"/>
      <c r="H224" s="1313"/>
      <c r="I224" s="1313"/>
      <c r="J224" s="1253"/>
      <c r="K224" s="1254" t="n">
        <v>43009</v>
      </c>
      <c r="L224" s="1314" t="n">
        <v>0</v>
      </c>
      <c r="M224" s="1314" t="n">
        <v>0</v>
      </c>
      <c r="N224" s="1314" t="n">
        <v>0</v>
      </c>
      <c r="O224" s="1252"/>
      <c r="P224" s="1314" t="n">
        <v>0</v>
      </c>
      <c r="Q224" s="1314" t="n">
        <v>0</v>
      </c>
      <c r="R224" s="1314" t="n">
        <v>0</v>
      </c>
      <c r="S224" s="1252"/>
      <c r="T224" s="1314" t="n">
        <v>0</v>
      </c>
      <c r="U224" s="1314" t="n">
        <v>0</v>
      </c>
      <c r="V224" s="1314" t="n">
        <v>0</v>
      </c>
      <c r="W224" s="1252"/>
      <c r="X224" s="1314" t="n">
        <v>0</v>
      </c>
      <c r="Y224" s="1314" t="n">
        <v>0</v>
      </c>
      <c r="Z224" s="1314" t="n">
        <v>0</v>
      </c>
      <c r="AA224" s="1252" t="n">
        <v>0</v>
      </c>
      <c r="AB224" s="1314" t="n">
        <v>0</v>
      </c>
      <c r="AC224" s="1314" t="n">
        <v>0</v>
      </c>
      <c r="AD224" s="1314" t="n">
        <v>0</v>
      </c>
      <c r="AE224" s="1252"/>
      <c r="AF224" s="1314" t="n">
        <v>0</v>
      </c>
      <c r="AG224" s="1314" t="n">
        <v>0</v>
      </c>
      <c r="AH224" s="1314" t="n">
        <v>0</v>
      </c>
      <c r="AI224" s="1252"/>
      <c r="AJ224" s="1314" t="n">
        <v>0</v>
      </c>
      <c r="AK224" s="1314" t="n">
        <v>0</v>
      </c>
      <c r="AL224" s="1314" t="n">
        <v>0</v>
      </c>
      <c r="AM224" s="1166"/>
      <c r="AN224" s="1253" t="n">
        <v>72</v>
      </c>
      <c r="AO224" s="1316" t="n">
        <v>0.35</v>
      </c>
      <c r="AP224" s="1252"/>
      <c r="AQ224" s="0"/>
      <c r="AR224" s="0"/>
      <c r="AS224" s="0"/>
      <c r="AT224" s="0"/>
      <c r="AU224" s="0" t="str">
        <f aca="false">AV224&amp;"Q"&amp;ROUNDUP(MONTH(AW224)/3,0)</f>
        <v>2018Q1</v>
      </c>
      <c r="AV224" s="0" t="n">
        <f aca="false">YEAR(AW224)</f>
        <v>2018</v>
      </c>
      <c r="AW224" s="1304" t="n">
        <f aca="false">EOMONTH(AW223,0)+1</f>
        <v>43160</v>
      </c>
      <c r="AX224" s="112" t="n">
        <f aca="false">AY224</f>
        <v>3.63120094749179</v>
      </c>
      <c r="AY224" s="1323" t="n">
        <v>3.63120094749179</v>
      </c>
      <c r="AZ224" s="112" t="n">
        <f aca="false">AY224</f>
        <v>3.63120094749179</v>
      </c>
      <c r="BA224" s="163"/>
      <c r="BB224" s="163"/>
      <c r="BC224" s="163"/>
      <c r="BD224" s="163" t="n">
        <v>0</v>
      </c>
      <c r="BE224" s="163"/>
      <c r="BF224" s="163" t="n">
        <v>0</v>
      </c>
      <c r="BG224" s="1290" t="n">
        <v>0</v>
      </c>
      <c r="BH224" s="1262"/>
      <c r="BI224" s="1292"/>
      <c r="BJ224" s="1291"/>
      <c r="BK224" s="1293" t="n">
        <v>0</v>
      </c>
      <c r="BL224" s="1294" t="n">
        <f aca="false">+AY224</f>
        <v>3.63120094749179</v>
      </c>
      <c r="BM224" s="1295" t="n">
        <f aca="false">AY224</f>
        <v>3.63120094749179</v>
      </c>
      <c r="BN224" s="1324" t="n">
        <f aca="false">+BM224/BM212-1</f>
        <v>0.0204520575254032</v>
      </c>
      <c r="BO224" s="1296" t="n">
        <f aca="false">BM224</f>
        <v>3.63120094749179</v>
      </c>
      <c r="BP224" s="1318" t="n">
        <f aca="false">+AY224/AY212-1</f>
        <v>0.0204520575254032</v>
      </c>
      <c r="BQ224" s="1298" t="n">
        <f aca="false">VLOOKUP($AW224,$BU$8:$BZ$291,5,FALSE())</f>
        <v>4.29550667140505</v>
      </c>
      <c r="BR224" s="1298" t="n">
        <f aca="false">VLOOKUP($AW224,$BU$8:$BZ$291,6,FALSE())</f>
        <v>3.46061922395796</v>
      </c>
      <c r="BS224" s="1262" t="n">
        <v>0</v>
      </c>
      <c r="BU224" s="1309" t="n">
        <f aca="false">EDATE(BU223,1)</f>
        <v>42736</v>
      </c>
      <c r="BV224" s="1310" t="n">
        <v>3.1694107103063</v>
      </c>
      <c r="BW224" s="1310" t="n">
        <v>2.60924863965919</v>
      </c>
      <c r="BX224" s="1310"/>
      <c r="BY224" s="1310" t="n">
        <v>4.61723293310349</v>
      </c>
      <c r="BZ224" s="1311" t="n">
        <v>3.80118257015847</v>
      </c>
    </row>
    <row r="225" customFormat="false" ht="12.75" hidden="false" customHeight="false" outlineLevel="0" collapsed="false">
      <c r="A225" s="1246"/>
      <c r="B225" s="1312" t="n">
        <v>42156</v>
      </c>
      <c r="C225" s="1313" t="n">
        <v>44.0545357178145</v>
      </c>
      <c r="D225" s="1313"/>
      <c r="E225" s="1313"/>
      <c r="F225" s="1287"/>
      <c r="G225" s="1313"/>
      <c r="H225" s="1313"/>
      <c r="I225" s="1313"/>
      <c r="J225" s="1253"/>
      <c r="K225" s="1254" t="n">
        <v>43040</v>
      </c>
      <c r="L225" s="1314" t="n">
        <v>0</v>
      </c>
      <c r="M225" s="1314" t="n">
        <v>0</v>
      </c>
      <c r="N225" s="1314" t="n">
        <v>0</v>
      </c>
      <c r="O225" s="1252"/>
      <c r="P225" s="1314" t="n">
        <v>0</v>
      </c>
      <c r="Q225" s="1314" t="n">
        <v>0</v>
      </c>
      <c r="R225" s="1314" t="n">
        <v>0</v>
      </c>
      <c r="S225" s="1252"/>
      <c r="T225" s="1314" t="n">
        <v>0</v>
      </c>
      <c r="U225" s="1314" t="n">
        <v>0</v>
      </c>
      <c r="V225" s="1314" t="n">
        <v>0</v>
      </c>
      <c r="W225" s="1252"/>
      <c r="X225" s="1314" t="n">
        <v>0</v>
      </c>
      <c r="Y225" s="1314" t="n">
        <v>0</v>
      </c>
      <c r="Z225" s="1314" t="n">
        <v>0</v>
      </c>
      <c r="AA225" s="1252" t="n">
        <v>0</v>
      </c>
      <c r="AB225" s="1314" t="n">
        <v>0</v>
      </c>
      <c r="AC225" s="1314" t="n">
        <v>0</v>
      </c>
      <c r="AD225" s="1314" t="n">
        <v>0</v>
      </c>
      <c r="AE225" s="1252"/>
      <c r="AF225" s="1314" t="n">
        <v>0</v>
      </c>
      <c r="AG225" s="1314" t="n">
        <v>0</v>
      </c>
      <c r="AH225" s="1314" t="n">
        <v>0</v>
      </c>
      <c r="AI225" s="1252"/>
      <c r="AJ225" s="1314" t="n">
        <v>0</v>
      </c>
      <c r="AK225" s="1314" t="n">
        <v>0</v>
      </c>
      <c r="AL225" s="1314" t="n">
        <v>0</v>
      </c>
      <c r="AM225" s="1166"/>
      <c r="AN225" s="1253" t="n">
        <v>72</v>
      </c>
      <c r="AO225" s="1316" t="n">
        <v>0.35</v>
      </c>
      <c r="AP225" s="1252"/>
      <c r="AQ225" s="0"/>
      <c r="AR225" s="0"/>
      <c r="AS225" s="0"/>
      <c r="AT225" s="0"/>
      <c r="AU225" s="0" t="str">
        <f aca="false">AV225&amp;"Q"&amp;ROUNDUP(MONTH(AW225)/3,0)</f>
        <v>2018Q2</v>
      </c>
      <c r="AV225" s="0" t="n">
        <f aca="false">YEAR(AW225)</f>
        <v>2018</v>
      </c>
      <c r="AW225" s="1304" t="n">
        <f aca="false">EOMONTH(AW224,0)+1</f>
        <v>43191</v>
      </c>
      <c r="AX225" s="112" t="n">
        <f aca="false">AY225</f>
        <v>3.52226232685303</v>
      </c>
      <c r="AY225" s="1323" t="n">
        <v>3.52226232685303</v>
      </c>
      <c r="AZ225" s="112" t="n">
        <f aca="false">AY225</f>
        <v>3.52226232685303</v>
      </c>
      <c r="BA225" s="163"/>
      <c r="BB225" s="163"/>
      <c r="BC225" s="163"/>
      <c r="BD225" s="163" t="n">
        <v>0</v>
      </c>
      <c r="BE225" s="163"/>
      <c r="BF225" s="163" t="n">
        <v>0</v>
      </c>
      <c r="BG225" s="1290" t="n">
        <v>0</v>
      </c>
      <c r="BH225" s="1262"/>
      <c r="BI225" s="1292"/>
      <c r="BJ225" s="1291"/>
      <c r="BK225" s="1293" t="n">
        <v>0</v>
      </c>
      <c r="BL225" s="1294" t="n">
        <f aca="false">+AY225</f>
        <v>3.52226232685303</v>
      </c>
      <c r="BM225" s="1295" t="n">
        <f aca="false">AY225</f>
        <v>3.52226232685303</v>
      </c>
      <c r="BN225" s="1324" t="n">
        <f aca="false">+BM225/BM213-1</f>
        <v>0.0204520575254032</v>
      </c>
      <c r="BO225" s="1296" t="n">
        <f aca="false">BM225</f>
        <v>3.52226232685303</v>
      </c>
      <c r="BP225" s="1318" t="n">
        <f aca="false">+AY225/AY213-1</f>
        <v>0.0204520575254032</v>
      </c>
      <c r="BQ225" s="1298" t="n">
        <f aca="false">VLOOKUP($AW225,$BU$8:$BZ$291,5,FALSE())</f>
        <v>4.21029455214535</v>
      </c>
      <c r="BR225" s="1298" t="n">
        <f aca="false">VLOOKUP($AW225,$BU$8:$BZ$291,6,FALSE())</f>
        <v>3.35543322930879</v>
      </c>
      <c r="BS225" s="1262" t="n">
        <v>0</v>
      </c>
      <c r="BU225" s="1309" t="n">
        <f aca="false">EDATE(BU224,1)</f>
        <v>42767</v>
      </c>
      <c r="BV225" s="1310" t="n">
        <v>2.93026430125791</v>
      </c>
      <c r="BW225" s="1310" t="n">
        <v>2.43035844891823</v>
      </c>
      <c r="BX225" s="1310"/>
      <c r="BY225" s="1310" t="n">
        <v>4.26884177253188</v>
      </c>
      <c r="BZ225" s="1311" t="n">
        <v>3.54057334163141</v>
      </c>
    </row>
    <row r="226" customFormat="false" ht="12.75" hidden="false" customHeight="false" outlineLevel="0" collapsed="false">
      <c r="A226" s="1246"/>
      <c r="B226" s="1312" t="n">
        <v>42186</v>
      </c>
      <c r="C226" s="1313" t="n">
        <v>60.5635442401062</v>
      </c>
      <c r="D226" s="1313"/>
      <c r="E226" s="1313"/>
      <c r="F226" s="1287"/>
      <c r="G226" s="1313"/>
      <c r="H226" s="1313"/>
      <c r="I226" s="1313"/>
      <c r="J226" s="1253"/>
      <c r="K226" s="1254" t="n">
        <v>43070</v>
      </c>
      <c r="L226" s="1314" t="n">
        <v>0</v>
      </c>
      <c r="M226" s="1314" t="n">
        <v>0</v>
      </c>
      <c r="N226" s="1314" t="n">
        <v>0</v>
      </c>
      <c r="O226" s="1252"/>
      <c r="P226" s="1314" t="n">
        <v>0</v>
      </c>
      <c r="Q226" s="1314" t="n">
        <v>0</v>
      </c>
      <c r="R226" s="1314" t="n">
        <v>0</v>
      </c>
      <c r="S226" s="1252"/>
      <c r="T226" s="1314" t="n">
        <v>0</v>
      </c>
      <c r="U226" s="1314" t="n">
        <v>0</v>
      </c>
      <c r="V226" s="1314" t="n">
        <v>0</v>
      </c>
      <c r="W226" s="1252"/>
      <c r="X226" s="1314" t="n">
        <v>0</v>
      </c>
      <c r="Y226" s="1314" t="n">
        <v>0</v>
      </c>
      <c r="Z226" s="1314" t="n">
        <v>0</v>
      </c>
      <c r="AA226" s="1252" t="n">
        <v>0</v>
      </c>
      <c r="AB226" s="1314" t="n">
        <v>0</v>
      </c>
      <c r="AC226" s="1314" t="n">
        <v>0</v>
      </c>
      <c r="AD226" s="1314" t="n">
        <v>0</v>
      </c>
      <c r="AE226" s="1252"/>
      <c r="AF226" s="1314" t="n">
        <v>0</v>
      </c>
      <c r="AG226" s="1314" t="n">
        <v>0</v>
      </c>
      <c r="AH226" s="1314" t="n">
        <v>0</v>
      </c>
      <c r="AI226" s="1252"/>
      <c r="AJ226" s="1314" t="n">
        <v>0</v>
      </c>
      <c r="AK226" s="1314" t="n">
        <v>0</v>
      </c>
      <c r="AL226" s="1314" t="n">
        <v>0</v>
      </c>
      <c r="AM226" s="1166"/>
      <c r="AN226" s="1253" t="n">
        <v>73</v>
      </c>
      <c r="AO226" s="1316" t="n">
        <v>0.35</v>
      </c>
      <c r="AP226" s="1252"/>
      <c r="AQ226" s="0"/>
      <c r="AR226" s="0"/>
      <c r="AS226" s="0"/>
      <c r="AT226" s="0"/>
      <c r="AU226" s="0" t="str">
        <f aca="false">AV226&amp;"Q"&amp;ROUNDUP(MONTH(AW226)/3,0)</f>
        <v>2018Q2</v>
      </c>
      <c r="AV226" s="0" t="n">
        <f aca="false">YEAR(AW226)</f>
        <v>2018</v>
      </c>
      <c r="AW226" s="1304" t="n">
        <f aca="false">EOMONTH(AW225,0)+1</f>
        <v>43221</v>
      </c>
      <c r="AX226" s="112" t="n">
        <f aca="false">AY226</f>
        <v>3.49569851394026</v>
      </c>
      <c r="AY226" s="1323" t="n">
        <v>3.49569851394026</v>
      </c>
      <c r="AZ226" s="112" t="n">
        <f aca="false">AY226</f>
        <v>3.49569851394026</v>
      </c>
      <c r="BA226" s="163"/>
      <c r="BB226" s="163"/>
      <c r="BC226" s="163"/>
      <c r="BD226" s="163" t="n">
        <v>0</v>
      </c>
      <c r="BE226" s="163"/>
      <c r="BF226" s="163" t="n">
        <v>0</v>
      </c>
      <c r="BG226" s="1290" t="n">
        <v>0</v>
      </c>
      <c r="BH226" s="1262"/>
      <c r="BI226" s="1292"/>
      <c r="BJ226" s="1291"/>
      <c r="BK226" s="1293" t="n">
        <v>0</v>
      </c>
      <c r="BL226" s="1294" t="n">
        <f aca="false">+AY226</f>
        <v>3.49569851394026</v>
      </c>
      <c r="BM226" s="1295" t="n">
        <f aca="false">AY226</f>
        <v>3.49569851394026</v>
      </c>
      <c r="BN226" s="1324" t="n">
        <f aca="false">+BM226/BM214-1</f>
        <v>0.0204520575254028</v>
      </c>
      <c r="BO226" s="1296" t="n">
        <f aca="false">BM226</f>
        <v>3.49569851394026</v>
      </c>
      <c r="BP226" s="1318" t="n">
        <f aca="false">+AY226/AY214-1</f>
        <v>0.0204520575254028</v>
      </c>
      <c r="BQ226" s="1298" t="n">
        <f aca="false">VLOOKUP($AW226,$BU$8:$BZ$291,5,FALSE())</f>
        <v>4.17131454014357</v>
      </c>
      <c r="BR226" s="1298" t="n">
        <f aca="false">VLOOKUP($AW226,$BU$8:$BZ$291,6,FALSE())</f>
        <v>3.31413798696503</v>
      </c>
      <c r="BS226" s="1262" t="n">
        <v>0</v>
      </c>
      <c r="BU226" s="1309" t="n">
        <f aca="false">EDATE(BU225,1)</f>
        <v>42795</v>
      </c>
      <c r="BV226" s="1310" t="n">
        <v>2.84325942285463</v>
      </c>
      <c r="BW226" s="1310" t="n">
        <v>2.30971157609293</v>
      </c>
      <c r="BX226" s="1310"/>
      <c r="BY226" s="1310" t="n">
        <v>4.14209209360957</v>
      </c>
      <c r="BZ226" s="1311" t="n">
        <v>3.36481362936898</v>
      </c>
    </row>
    <row r="227" customFormat="false" ht="12.75" hidden="false" customHeight="false" outlineLevel="0" collapsed="false">
      <c r="A227" s="1246"/>
      <c r="B227" s="1312" t="n">
        <v>42217</v>
      </c>
      <c r="C227" s="1313" t="n">
        <v>74.6242605353367</v>
      </c>
      <c r="D227" s="1313"/>
      <c r="E227" s="1313"/>
      <c r="F227" s="1287"/>
      <c r="G227" s="1313"/>
      <c r="H227" s="1313"/>
      <c r="I227" s="1313"/>
      <c r="J227" s="1253"/>
      <c r="K227" s="1254" t="n">
        <v>43101</v>
      </c>
      <c r="L227" s="1314" t="n">
        <v>0</v>
      </c>
      <c r="M227" s="1314" t="n">
        <v>0</v>
      </c>
      <c r="N227" s="1314" t="n">
        <v>0</v>
      </c>
      <c r="O227" s="1252"/>
      <c r="P227" s="1314" t="n">
        <v>0</v>
      </c>
      <c r="Q227" s="1314" t="n">
        <v>0</v>
      </c>
      <c r="R227" s="1314" t="n">
        <v>0</v>
      </c>
      <c r="S227" s="1252"/>
      <c r="T227" s="1314" t="n">
        <v>0</v>
      </c>
      <c r="U227" s="1314" t="n">
        <v>0</v>
      </c>
      <c r="V227" s="1314" t="n">
        <v>0</v>
      </c>
      <c r="W227" s="1252"/>
      <c r="X227" s="1314" t="n">
        <v>0</v>
      </c>
      <c r="Y227" s="1314" t="n">
        <v>0</v>
      </c>
      <c r="Z227" s="1314" t="n">
        <v>0</v>
      </c>
      <c r="AA227" s="1252" t="n">
        <v>0</v>
      </c>
      <c r="AB227" s="1314" t="n">
        <v>0</v>
      </c>
      <c r="AC227" s="1314" t="n">
        <v>0</v>
      </c>
      <c r="AD227" s="1314" t="n">
        <v>0</v>
      </c>
      <c r="AE227" s="1252"/>
      <c r="AF227" s="1314" t="n">
        <v>0</v>
      </c>
      <c r="AG227" s="1314" t="n">
        <v>0</v>
      </c>
      <c r="AH227" s="1314" t="n">
        <v>0</v>
      </c>
      <c r="AI227" s="1252"/>
      <c r="AJ227" s="1314" t="n">
        <v>0</v>
      </c>
      <c r="AK227" s="1314" t="n">
        <v>0</v>
      </c>
      <c r="AL227" s="1314" t="n">
        <v>0</v>
      </c>
      <c r="AM227" s="1166"/>
      <c r="AN227" s="1253" t="n">
        <v>73</v>
      </c>
      <c r="AO227" s="1316" t="n">
        <v>0.35</v>
      </c>
      <c r="AP227" s="1252"/>
      <c r="AQ227" s="0"/>
      <c r="AR227" s="0"/>
      <c r="AS227" s="0"/>
      <c r="AT227" s="0"/>
      <c r="AU227" s="0" t="str">
        <f aca="false">AV227&amp;"Q"&amp;ROUNDUP(MONTH(AW227)/3,0)</f>
        <v>2018Q2</v>
      </c>
      <c r="AV227" s="0" t="n">
        <f aca="false">YEAR(AW227)</f>
        <v>2018</v>
      </c>
      <c r="AW227" s="1304" t="n">
        <f aca="false">EOMONTH(AW226,0)+1</f>
        <v>43252</v>
      </c>
      <c r="AX227" s="112" t="n">
        <f aca="false">AY227</f>
        <v>3.53792453385302</v>
      </c>
      <c r="AY227" s="1323" t="n">
        <v>3.53792453385302</v>
      </c>
      <c r="AZ227" s="112" t="n">
        <f aca="false">AY227</f>
        <v>3.53792453385302</v>
      </c>
      <c r="BA227" s="163"/>
      <c r="BB227" s="163"/>
      <c r="BC227" s="163"/>
      <c r="BD227" s="163" t="n">
        <v>0</v>
      </c>
      <c r="BE227" s="163"/>
      <c r="BF227" s="163" t="n">
        <v>0</v>
      </c>
      <c r="BG227" s="1290" t="n">
        <v>0</v>
      </c>
      <c r="BH227" s="1262"/>
      <c r="BI227" s="1292"/>
      <c r="BJ227" s="1291"/>
      <c r="BK227" s="1293" t="n">
        <v>0</v>
      </c>
      <c r="BL227" s="1294" t="n">
        <f aca="false">+AY227</f>
        <v>3.53792453385302</v>
      </c>
      <c r="BM227" s="1295" t="n">
        <f aca="false">AY227</f>
        <v>3.53792453385302</v>
      </c>
      <c r="BN227" s="1324" t="n">
        <f aca="false">+BM227/BM215-1</f>
        <v>0.0204520575254032</v>
      </c>
      <c r="BO227" s="1296" t="n">
        <f aca="false">BM227</f>
        <v>3.53792453385302</v>
      </c>
      <c r="BP227" s="1318" t="n">
        <f aca="false">+AY227/AY215-1</f>
        <v>0.0204520575254032</v>
      </c>
      <c r="BQ227" s="1298" t="n">
        <f aca="false">VLOOKUP($AW227,$BU$8:$BZ$291,5,FALSE())</f>
        <v>4.17856663539972</v>
      </c>
      <c r="BR227" s="1298" t="n">
        <f aca="false">VLOOKUP($AW227,$BU$8:$BZ$291,6,FALSE())</f>
        <v>3.32504616418791</v>
      </c>
      <c r="BS227" s="1262" t="n">
        <v>0</v>
      </c>
      <c r="BU227" s="1309" t="n">
        <f aca="false">EDATE(BU226,1)</f>
        <v>42826</v>
      </c>
      <c r="BV227" s="1310" t="n">
        <v>2.78685626030354</v>
      </c>
      <c r="BW227" s="1310" t="n">
        <v>2.23950757681959</v>
      </c>
      <c r="BX227" s="1310"/>
      <c r="BY227" s="1310" t="n">
        <v>4.05992333623924</v>
      </c>
      <c r="BZ227" s="1311" t="n">
        <v>3.26253965887144</v>
      </c>
    </row>
    <row r="228" customFormat="false" ht="12.75" hidden="false" customHeight="false" outlineLevel="0" collapsed="false">
      <c r="A228" s="1246"/>
      <c r="B228" s="1312" t="n">
        <v>42248</v>
      </c>
      <c r="C228" s="1313" t="n">
        <v>64.2965227331559</v>
      </c>
      <c r="D228" s="1313"/>
      <c r="E228" s="1313"/>
      <c r="F228" s="1287"/>
      <c r="G228" s="1313"/>
      <c r="H228" s="1313"/>
      <c r="I228" s="1313"/>
      <c r="J228" s="1253"/>
      <c r="K228" s="1254" t="n">
        <v>43132</v>
      </c>
      <c r="L228" s="1314" t="n">
        <v>0</v>
      </c>
      <c r="M228" s="1314" t="n">
        <v>0</v>
      </c>
      <c r="N228" s="1314" t="n">
        <v>0</v>
      </c>
      <c r="O228" s="1252"/>
      <c r="P228" s="1314" t="n">
        <v>0</v>
      </c>
      <c r="Q228" s="1314" t="n">
        <v>0</v>
      </c>
      <c r="R228" s="1314" t="n">
        <v>0</v>
      </c>
      <c r="S228" s="1252"/>
      <c r="T228" s="1314" t="n">
        <v>0</v>
      </c>
      <c r="U228" s="1314" t="n">
        <v>0</v>
      </c>
      <c r="V228" s="1314" t="n">
        <v>0</v>
      </c>
      <c r="W228" s="1252"/>
      <c r="X228" s="1314" t="n">
        <v>0</v>
      </c>
      <c r="Y228" s="1314" t="n">
        <v>0</v>
      </c>
      <c r="Z228" s="1314" t="n">
        <v>0</v>
      </c>
      <c r="AA228" s="1252" t="n">
        <v>0</v>
      </c>
      <c r="AB228" s="1314" t="n">
        <v>0</v>
      </c>
      <c r="AC228" s="1314" t="n">
        <v>0</v>
      </c>
      <c r="AD228" s="1314" t="n">
        <v>0</v>
      </c>
      <c r="AE228" s="1252"/>
      <c r="AF228" s="1314" t="n">
        <v>0</v>
      </c>
      <c r="AG228" s="1314" t="n">
        <v>0</v>
      </c>
      <c r="AH228" s="1314" t="n">
        <v>0</v>
      </c>
      <c r="AI228" s="1252"/>
      <c r="AJ228" s="1314" t="n">
        <v>0</v>
      </c>
      <c r="AK228" s="1314" t="n">
        <v>0</v>
      </c>
      <c r="AL228" s="1314" t="n">
        <v>0</v>
      </c>
      <c r="AM228" s="1166"/>
      <c r="AN228" s="1253" t="n">
        <v>73</v>
      </c>
      <c r="AO228" s="1316" t="n">
        <v>0.35</v>
      </c>
      <c r="AP228" s="1252"/>
      <c r="AQ228" s="0"/>
      <c r="AR228" s="0"/>
      <c r="AS228" s="0"/>
      <c r="AT228" s="0"/>
      <c r="AU228" s="0" t="str">
        <f aca="false">AV228&amp;"Q"&amp;ROUNDUP(MONTH(AW228)/3,0)</f>
        <v>2018Q3</v>
      </c>
      <c r="AV228" s="0" t="n">
        <f aca="false">YEAR(AW228)</f>
        <v>2018</v>
      </c>
      <c r="AW228" s="1304" t="n">
        <f aca="false">EOMONTH(AW227,0)+1</f>
        <v>43282</v>
      </c>
      <c r="AX228" s="112" t="n">
        <f aca="false">AY228</f>
        <v>3.63449604168646</v>
      </c>
      <c r="AY228" s="1323" t="n">
        <v>3.63449604168646</v>
      </c>
      <c r="AZ228" s="112" t="n">
        <f aca="false">AY228</f>
        <v>3.63449604168646</v>
      </c>
      <c r="BA228" s="163"/>
      <c r="BB228" s="163"/>
      <c r="BC228" s="163"/>
      <c r="BD228" s="163" t="n">
        <v>0</v>
      </c>
      <c r="BE228" s="163"/>
      <c r="BF228" s="163" t="n">
        <v>0</v>
      </c>
      <c r="BG228" s="1290" t="n">
        <v>0</v>
      </c>
      <c r="BH228" s="1262"/>
      <c r="BI228" s="1292"/>
      <c r="BJ228" s="1291"/>
      <c r="BK228" s="1293" t="n">
        <v>0</v>
      </c>
      <c r="BL228" s="1294" t="n">
        <f aca="false">+AY228</f>
        <v>3.63449604168646</v>
      </c>
      <c r="BM228" s="1295" t="n">
        <f aca="false">AY228</f>
        <v>3.63449604168646</v>
      </c>
      <c r="BN228" s="1324" t="n">
        <f aca="false">+BM228/BM216-1</f>
        <v>0.020452057525403</v>
      </c>
      <c r="BO228" s="1296" t="n">
        <f aca="false">BM228</f>
        <v>3.63449604168646</v>
      </c>
      <c r="BP228" s="1318" t="n">
        <f aca="false">+AY228/AY216-1</f>
        <v>0.020452057525403</v>
      </c>
      <c r="BQ228" s="1298" t="n">
        <f aca="false">VLOOKUP($AW228,$BU$8:$BZ$291,5,FALSE())</f>
        <v>4.23205083791378</v>
      </c>
      <c r="BR228" s="1298" t="n">
        <f aca="false">VLOOKUP($AW228,$BU$8:$BZ$291,6,FALSE())</f>
        <v>3.37647042823862</v>
      </c>
      <c r="BS228" s="1262" t="n">
        <v>0</v>
      </c>
      <c r="BU228" s="1309" t="n">
        <f aca="false">EDATE(BU227,1)</f>
        <v>42856</v>
      </c>
      <c r="BV228" s="1310" t="n">
        <v>2.76105481360464</v>
      </c>
      <c r="BW228" s="1310" t="n">
        <v>2.2119460067345</v>
      </c>
      <c r="BX228" s="1310"/>
      <c r="BY228" s="1310" t="n">
        <v>4.0223355004209</v>
      </c>
      <c r="BZ228" s="1311" t="n">
        <v>3.22238765563907</v>
      </c>
    </row>
    <row r="229" customFormat="false" ht="12.75" hidden="false" customHeight="false" outlineLevel="0" collapsed="false">
      <c r="A229" s="1246"/>
      <c r="B229" s="1312" t="n">
        <v>42278</v>
      </c>
      <c r="C229" s="1313" t="n">
        <v>55.6198650481527</v>
      </c>
      <c r="D229" s="1313"/>
      <c r="E229" s="1313"/>
      <c r="F229" s="1287"/>
      <c r="G229" s="1313"/>
      <c r="H229" s="1313"/>
      <c r="I229" s="1313"/>
      <c r="J229" s="1253"/>
      <c r="K229" s="1254" t="n">
        <v>43160</v>
      </c>
      <c r="L229" s="1314" t="n">
        <v>0</v>
      </c>
      <c r="M229" s="1314" t="n">
        <v>0</v>
      </c>
      <c r="N229" s="1314" t="n">
        <v>0</v>
      </c>
      <c r="O229" s="1252"/>
      <c r="P229" s="1314" t="n">
        <v>0</v>
      </c>
      <c r="Q229" s="1314" t="n">
        <v>0</v>
      </c>
      <c r="R229" s="1314" t="n">
        <v>0</v>
      </c>
      <c r="S229" s="1252"/>
      <c r="T229" s="1314" t="n">
        <v>0</v>
      </c>
      <c r="U229" s="1314" t="n">
        <v>0</v>
      </c>
      <c r="V229" s="1314" t="n">
        <v>0</v>
      </c>
      <c r="W229" s="1252"/>
      <c r="X229" s="1314" t="n">
        <v>0</v>
      </c>
      <c r="Y229" s="1314" t="n">
        <v>0</v>
      </c>
      <c r="Z229" s="1314" t="n">
        <v>0</v>
      </c>
      <c r="AA229" s="1252" t="n">
        <v>0</v>
      </c>
      <c r="AB229" s="1314" t="n">
        <v>0</v>
      </c>
      <c r="AC229" s="1314" t="n">
        <v>0</v>
      </c>
      <c r="AD229" s="1314" t="n">
        <v>0</v>
      </c>
      <c r="AE229" s="1252"/>
      <c r="AF229" s="1314" t="n">
        <v>0</v>
      </c>
      <c r="AG229" s="1314" t="n">
        <v>0</v>
      </c>
      <c r="AH229" s="1314" t="n">
        <v>0</v>
      </c>
      <c r="AI229" s="1252"/>
      <c r="AJ229" s="1314" t="n">
        <v>0</v>
      </c>
      <c r="AK229" s="1314" t="n">
        <v>0</v>
      </c>
      <c r="AL229" s="1314" t="n">
        <v>0</v>
      </c>
      <c r="AM229" s="1166"/>
      <c r="AN229" s="1253" t="n">
        <v>74</v>
      </c>
      <c r="AO229" s="1316" t="n">
        <v>0.35</v>
      </c>
      <c r="AP229" s="1252"/>
      <c r="AQ229" s="0"/>
      <c r="AR229" s="0"/>
      <c r="AS229" s="0"/>
      <c r="AT229" s="0"/>
      <c r="AU229" s="0" t="str">
        <f aca="false">AV229&amp;"Q"&amp;ROUNDUP(MONTH(AW229)/3,0)</f>
        <v>2018Q3</v>
      </c>
      <c r="AV229" s="0" t="n">
        <f aca="false">YEAR(AW229)</f>
        <v>2018</v>
      </c>
      <c r="AW229" s="1304" t="n">
        <f aca="false">EOMONTH(AW228,0)+1</f>
        <v>43313</v>
      </c>
      <c r="AX229" s="112" t="n">
        <f aca="false">AY229</f>
        <v>3.77164763959094</v>
      </c>
      <c r="AY229" s="1323" t="n">
        <v>3.77164763959094</v>
      </c>
      <c r="AZ229" s="112" t="n">
        <f aca="false">AY229</f>
        <v>3.77164763959094</v>
      </c>
      <c r="BA229" s="163"/>
      <c r="BB229" s="163"/>
      <c r="BC229" s="163"/>
      <c r="BD229" s="163" t="n">
        <v>0</v>
      </c>
      <c r="BE229" s="163"/>
      <c r="BF229" s="163" t="n">
        <v>0</v>
      </c>
      <c r="BG229" s="1290" t="n">
        <v>0</v>
      </c>
      <c r="BH229" s="1262"/>
      <c r="BI229" s="1292"/>
      <c r="BJ229" s="1291"/>
      <c r="BK229" s="1293" t="n">
        <v>0</v>
      </c>
      <c r="BL229" s="1294" t="n">
        <f aca="false">+AY229</f>
        <v>3.77164763959094</v>
      </c>
      <c r="BM229" s="1295" t="n">
        <f aca="false">AY229</f>
        <v>3.77164763959094</v>
      </c>
      <c r="BN229" s="1324" t="n">
        <f aca="false">+BM229/BM217-1</f>
        <v>0.0204520575254028</v>
      </c>
      <c r="BO229" s="1296" t="n">
        <f aca="false">BM229</f>
        <v>3.77164763959094</v>
      </c>
      <c r="BP229" s="1318" t="n">
        <f aca="false">+AY229/AY217-1</f>
        <v>0.0204520575254028</v>
      </c>
      <c r="BQ229" s="1298" t="n">
        <f aca="false">VLOOKUP($AW229,$BU$8:$BZ$291,5,FALSE())</f>
        <v>4.33176714768577</v>
      </c>
      <c r="BR229" s="1298" t="n">
        <f aca="false">VLOOKUP($AW229,$BU$8:$BZ$291,6,FALSE())</f>
        <v>3.45672344637837</v>
      </c>
      <c r="BS229" s="1262" t="n">
        <v>0</v>
      </c>
      <c r="BU229" s="1309" t="n">
        <f aca="false">EDATE(BU228,1)</f>
        <v>42887</v>
      </c>
      <c r="BV229" s="1310" t="n">
        <v>2.76585508275792</v>
      </c>
      <c r="BW229" s="1310" t="n">
        <v>2.21922642147396</v>
      </c>
      <c r="BX229" s="1310"/>
      <c r="BY229" s="1310" t="n">
        <v>4.02932858615454</v>
      </c>
      <c r="BZ229" s="1311" t="n">
        <v>3.23299384517215</v>
      </c>
    </row>
    <row r="230" customFormat="false" ht="12.75" hidden="false" customHeight="false" outlineLevel="0" collapsed="false">
      <c r="A230" s="1246"/>
      <c r="B230" s="1312" t="n">
        <v>42309</v>
      </c>
      <c r="C230" s="1313" t="n">
        <v>55.0593393817137</v>
      </c>
      <c r="D230" s="1313"/>
      <c r="E230" s="1313"/>
      <c r="F230" s="1287"/>
      <c r="G230" s="1313"/>
      <c r="H230" s="1313"/>
      <c r="I230" s="1313"/>
      <c r="J230" s="1253"/>
      <c r="K230" s="1254" t="n">
        <v>43191</v>
      </c>
      <c r="L230" s="1314" t="n">
        <v>0</v>
      </c>
      <c r="M230" s="1314" t="n">
        <v>0</v>
      </c>
      <c r="N230" s="1314" t="n">
        <v>0</v>
      </c>
      <c r="O230" s="1252"/>
      <c r="P230" s="1314" t="n">
        <v>0</v>
      </c>
      <c r="Q230" s="1314" t="n">
        <v>0</v>
      </c>
      <c r="R230" s="1314" t="n">
        <v>0</v>
      </c>
      <c r="S230" s="1252"/>
      <c r="T230" s="1314" t="n">
        <v>0</v>
      </c>
      <c r="U230" s="1314" t="n">
        <v>0</v>
      </c>
      <c r="V230" s="1314" t="n">
        <v>0</v>
      </c>
      <c r="W230" s="1252"/>
      <c r="X230" s="1314" t="n">
        <v>0</v>
      </c>
      <c r="Y230" s="1314" t="n">
        <v>0</v>
      </c>
      <c r="Z230" s="1314" t="n">
        <v>0</v>
      </c>
      <c r="AA230" s="1252" t="n">
        <v>0</v>
      </c>
      <c r="AB230" s="1314" t="n">
        <v>0</v>
      </c>
      <c r="AC230" s="1314" t="n">
        <v>0</v>
      </c>
      <c r="AD230" s="1314" t="n">
        <v>0</v>
      </c>
      <c r="AE230" s="1252"/>
      <c r="AF230" s="1314" t="n">
        <v>0</v>
      </c>
      <c r="AG230" s="1314" t="n">
        <v>0</v>
      </c>
      <c r="AH230" s="1314" t="n">
        <v>0</v>
      </c>
      <c r="AI230" s="1252"/>
      <c r="AJ230" s="1314" t="n">
        <v>0</v>
      </c>
      <c r="AK230" s="1314" t="n">
        <v>0</v>
      </c>
      <c r="AL230" s="1314" t="n">
        <v>0</v>
      </c>
      <c r="AM230" s="1166"/>
      <c r="AN230" s="1253" t="n">
        <v>74</v>
      </c>
      <c r="AO230" s="1316" t="n">
        <v>0.35</v>
      </c>
      <c r="AP230" s="1252"/>
      <c r="AQ230" s="0"/>
      <c r="AR230" s="0"/>
      <c r="AS230" s="0"/>
      <c r="AT230" s="0"/>
      <c r="AU230" s="0" t="str">
        <f aca="false">AV230&amp;"Q"&amp;ROUNDUP(MONTH(AW230)/3,0)</f>
        <v>2018Q3</v>
      </c>
      <c r="AV230" s="0" t="n">
        <f aca="false">YEAR(AW230)</f>
        <v>2018</v>
      </c>
      <c r="AW230" s="1304" t="n">
        <f aca="false">EOMONTH(AW229,0)+1</f>
        <v>43344</v>
      </c>
      <c r="AX230" s="112" t="n">
        <f aca="false">AY230</f>
        <v>3.93494007044938</v>
      </c>
      <c r="AY230" s="1323" t="n">
        <v>3.93494007044938</v>
      </c>
      <c r="AZ230" s="112" t="n">
        <f aca="false">AY230</f>
        <v>3.93494007044938</v>
      </c>
      <c r="BA230" s="163"/>
      <c r="BB230" s="163"/>
      <c r="BC230" s="163"/>
      <c r="BD230" s="163" t="n">
        <v>0</v>
      </c>
      <c r="BE230" s="163"/>
      <c r="BF230" s="163" t="n">
        <v>0</v>
      </c>
      <c r="BG230" s="1290" t="n">
        <v>0</v>
      </c>
      <c r="BH230" s="1262"/>
      <c r="BI230" s="1292"/>
      <c r="BJ230" s="1291"/>
      <c r="BK230" s="1293" t="n">
        <v>0</v>
      </c>
      <c r="BL230" s="1294" t="n">
        <f aca="false">+AY230</f>
        <v>3.93494007044938</v>
      </c>
      <c r="BM230" s="1295" t="n">
        <f aca="false">AY230</f>
        <v>3.93494007044938</v>
      </c>
      <c r="BN230" s="1324" t="n">
        <f aca="false">+BM230/BM218-1</f>
        <v>0.020452057525403</v>
      </c>
      <c r="BO230" s="1296" t="n">
        <f aca="false">BM230</f>
        <v>3.93494007044938</v>
      </c>
      <c r="BP230" s="1318" t="n">
        <f aca="false">+AY230/AY218-1</f>
        <v>0.020452057525403</v>
      </c>
      <c r="BQ230" s="1298" t="n">
        <f aca="false">VLOOKUP($AW230,$BU$8:$BZ$291,5,FALSE())</f>
        <v>4.47771556471568</v>
      </c>
      <c r="BR230" s="1298" t="n">
        <f aca="false">VLOOKUP($AW230,$BU$8:$BZ$291,6,FALSE())</f>
        <v>3.55411788586834</v>
      </c>
      <c r="BS230" s="1262" t="n">
        <v>0</v>
      </c>
      <c r="BU230" s="1309" t="n">
        <f aca="false">EDATE(BU229,1)</f>
        <v>42917</v>
      </c>
      <c r="BV230" s="1310" t="n">
        <v>2.8012570677634</v>
      </c>
      <c r="BW230" s="1310" t="n">
        <v>2.25354837667426</v>
      </c>
      <c r="BX230" s="1310"/>
      <c r="BY230" s="1310" t="n">
        <v>4.08090259344017</v>
      </c>
      <c r="BZ230" s="1311" t="n">
        <v>3.28299445297095</v>
      </c>
    </row>
    <row r="231" customFormat="false" ht="12.75" hidden="false" customHeight="false" outlineLevel="0" collapsed="false">
      <c r="A231" s="1246"/>
      <c r="B231" s="1312" t="n">
        <v>42339</v>
      </c>
      <c r="C231" s="1313" t="n">
        <v>54.9038965540786</v>
      </c>
      <c r="D231" s="1313"/>
      <c r="E231" s="1313"/>
      <c r="F231" s="1287"/>
      <c r="G231" s="1313"/>
      <c r="H231" s="1313"/>
      <c r="I231" s="1313"/>
      <c r="J231" s="1253"/>
      <c r="K231" s="1254" t="n">
        <v>43221</v>
      </c>
      <c r="L231" s="1314" t="n">
        <v>0</v>
      </c>
      <c r="M231" s="1314" t="n">
        <v>0</v>
      </c>
      <c r="N231" s="1314" t="n">
        <v>0</v>
      </c>
      <c r="O231" s="1252"/>
      <c r="P231" s="1314" t="n">
        <v>0</v>
      </c>
      <c r="Q231" s="1314" t="n">
        <v>0</v>
      </c>
      <c r="R231" s="1314" t="n">
        <v>0</v>
      </c>
      <c r="S231" s="1252"/>
      <c r="T231" s="1314" t="n">
        <v>0</v>
      </c>
      <c r="U231" s="1314" t="n">
        <v>0</v>
      </c>
      <c r="V231" s="1314" t="n">
        <v>0</v>
      </c>
      <c r="W231" s="1252"/>
      <c r="X231" s="1314" t="n">
        <v>0</v>
      </c>
      <c r="Y231" s="1314" t="n">
        <v>0</v>
      </c>
      <c r="Z231" s="1314" t="n">
        <v>0</v>
      </c>
      <c r="AA231" s="1252" t="n">
        <v>0</v>
      </c>
      <c r="AB231" s="1314" t="n">
        <v>0</v>
      </c>
      <c r="AC231" s="1314" t="n">
        <v>0</v>
      </c>
      <c r="AD231" s="1314" t="n">
        <v>0</v>
      </c>
      <c r="AE231" s="1252"/>
      <c r="AF231" s="1314" t="n">
        <v>0</v>
      </c>
      <c r="AG231" s="1314" t="n">
        <v>0</v>
      </c>
      <c r="AH231" s="1314" t="n">
        <v>0</v>
      </c>
      <c r="AI231" s="1252"/>
      <c r="AJ231" s="1314" t="n">
        <v>0</v>
      </c>
      <c r="AK231" s="1314" t="n">
        <v>0</v>
      </c>
      <c r="AL231" s="1314" t="n">
        <v>0</v>
      </c>
      <c r="AM231" s="1166"/>
      <c r="AN231" s="1253" t="n">
        <v>74</v>
      </c>
      <c r="AO231" s="1316" t="n">
        <v>0.35</v>
      </c>
      <c r="AP231" s="1252"/>
      <c r="AQ231" s="0"/>
      <c r="AR231" s="0"/>
      <c r="AS231" s="0"/>
      <c r="AT231" s="0"/>
      <c r="AU231" s="0" t="str">
        <f aca="false">AV231&amp;"Q"&amp;ROUNDUP(MONTH(AW231)/3,0)</f>
        <v>2018Q4</v>
      </c>
      <c r="AV231" s="0" t="n">
        <f aca="false">YEAR(AW231)</f>
        <v>2018</v>
      </c>
      <c r="AW231" s="1304" t="n">
        <f aca="false">EOMONTH(AW230,0)+1</f>
        <v>43374</v>
      </c>
      <c r="AX231" s="112" t="n">
        <f aca="false">AY231</f>
        <v>4.10980651233287</v>
      </c>
      <c r="AY231" s="1323" t="n">
        <v>4.10980651233287</v>
      </c>
      <c r="AZ231" s="112" t="n">
        <f aca="false">AY231</f>
        <v>4.10980651233287</v>
      </c>
      <c r="BA231" s="163"/>
      <c r="BB231" s="163"/>
      <c r="BC231" s="163"/>
      <c r="BD231" s="163" t="n">
        <v>0</v>
      </c>
      <c r="BE231" s="163"/>
      <c r="BF231" s="163" t="n">
        <v>0</v>
      </c>
      <c r="BG231" s="1290" t="n">
        <v>0</v>
      </c>
      <c r="BH231" s="1262"/>
      <c r="BI231" s="1292"/>
      <c r="BJ231" s="1291"/>
      <c r="BK231" s="1293" t="n">
        <v>0</v>
      </c>
      <c r="BL231" s="1294" t="n">
        <f aca="false">+AY231</f>
        <v>4.10980651233287</v>
      </c>
      <c r="BM231" s="1295" t="n">
        <f aca="false">AY231</f>
        <v>4.10980651233287</v>
      </c>
      <c r="BN231" s="1324" t="n">
        <f aca="false">+BM231/BM219-1</f>
        <v>0.0204520575254032</v>
      </c>
      <c r="BO231" s="1296" t="n">
        <f aca="false">BM231</f>
        <v>4.10980651233287</v>
      </c>
      <c r="BP231" s="1318" t="n">
        <f aca="false">+AY231/AY219-1</f>
        <v>0.0204520575254032</v>
      </c>
      <c r="BQ231" s="1298" t="n">
        <f aca="false">VLOOKUP($AW231,$BU$8:$BZ$291,5,FALSE())</f>
        <v>4.6698960890035</v>
      </c>
      <c r="BR231" s="1298" t="n">
        <f aca="false">VLOOKUP($AW231,$BU$8:$BZ$291,6,FALSE())</f>
        <v>3.65696641396976</v>
      </c>
      <c r="BS231" s="1262" t="n">
        <v>0</v>
      </c>
      <c r="BU231" s="1309" t="n">
        <f aca="false">EDATE(BU230,1)</f>
        <v>42948</v>
      </c>
      <c r="BV231" s="1310" t="n">
        <v>2.86726076862105</v>
      </c>
      <c r="BW231" s="1310" t="n">
        <v>2.3071114279717</v>
      </c>
      <c r="BX231" s="1310"/>
      <c r="BY231" s="1310" t="n">
        <v>4.17705752227779</v>
      </c>
      <c r="BZ231" s="1311" t="n">
        <v>3.36102570453573</v>
      </c>
    </row>
    <row r="232" customFormat="false" ht="12.75" hidden="false" customHeight="false" outlineLevel="0" collapsed="false">
      <c r="A232" s="1246"/>
      <c r="B232" s="1312" t="n">
        <v>42370</v>
      </c>
      <c r="C232" s="1313" t="n">
        <v>57.0630380792313</v>
      </c>
      <c r="D232" s="1313"/>
      <c r="E232" s="1313"/>
      <c r="F232" s="1287"/>
      <c r="G232" s="1313"/>
      <c r="H232" s="1313"/>
      <c r="I232" s="1313"/>
      <c r="J232" s="1253"/>
      <c r="K232" s="1254" t="n">
        <v>43252</v>
      </c>
      <c r="L232" s="1314" t="n">
        <v>0</v>
      </c>
      <c r="M232" s="1314" t="n">
        <v>0</v>
      </c>
      <c r="N232" s="1314" t="n">
        <v>0</v>
      </c>
      <c r="O232" s="1252"/>
      <c r="P232" s="1314" t="n">
        <v>0</v>
      </c>
      <c r="Q232" s="1314" t="n">
        <v>0</v>
      </c>
      <c r="R232" s="1314" t="n">
        <v>0</v>
      </c>
      <c r="S232" s="1252"/>
      <c r="T232" s="1314" t="n">
        <v>0</v>
      </c>
      <c r="U232" s="1314" t="n">
        <v>0</v>
      </c>
      <c r="V232" s="1314" t="n">
        <v>0</v>
      </c>
      <c r="W232" s="1252"/>
      <c r="X232" s="1314" t="n">
        <v>0</v>
      </c>
      <c r="Y232" s="1314" t="n">
        <v>0</v>
      </c>
      <c r="Z232" s="1314" t="n">
        <v>0</v>
      </c>
      <c r="AA232" s="1252" t="n">
        <v>0</v>
      </c>
      <c r="AB232" s="1314" t="n">
        <v>0</v>
      </c>
      <c r="AC232" s="1314" t="n">
        <v>0</v>
      </c>
      <c r="AD232" s="1314" t="n">
        <v>0</v>
      </c>
      <c r="AE232" s="1252"/>
      <c r="AF232" s="1314" t="n">
        <v>0</v>
      </c>
      <c r="AG232" s="1314" t="n">
        <v>0</v>
      </c>
      <c r="AH232" s="1314" t="n">
        <v>0</v>
      </c>
      <c r="AI232" s="1252"/>
      <c r="AJ232" s="1314" t="n">
        <v>0</v>
      </c>
      <c r="AK232" s="1314" t="n">
        <v>0</v>
      </c>
      <c r="AL232" s="1314" t="n">
        <v>0</v>
      </c>
      <c r="AM232" s="1166"/>
      <c r="AN232" s="1253" t="n">
        <v>75</v>
      </c>
      <c r="AO232" s="1316" t="n">
        <v>0.35</v>
      </c>
      <c r="AP232" s="1252"/>
      <c r="AQ232" s="0"/>
      <c r="AR232" s="0"/>
      <c r="AS232" s="0"/>
      <c r="AT232" s="0"/>
      <c r="AU232" s="0" t="str">
        <f aca="false">AV232&amp;"Q"&amp;ROUNDUP(MONTH(AW232)/3,0)</f>
        <v>2018Q4</v>
      </c>
      <c r="AV232" s="0" t="n">
        <f aca="false">YEAR(AW232)</f>
        <v>2018</v>
      </c>
      <c r="AW232" s="1304" t="n">
        <f aca="false">EOMONTH(AW231,0)+1</f>
        <v>43405</v>
      </c>
      <c r="AX232" s="112" t="n">
        <f aca="false">AY232</f>
        <v>4.28224231694912</v>
      </c>
      <c r="AY232" s="1323" t="n">
        <v>4.28224231694912</v>
      </c>
      <c r="AZ232" s="112" t="n">
        <f aca="false">AY232</f>
        <v>4.28224231694912</v>
      </c>
      <c r="BA232" s="163"/>
      <c r="BB232" s="163"/>
      <c r="BC232" s="163"/>
      <c r="BD232" s="163" t="n">
        <v>0</v>
      </c>
      <c r="BE232" s="163"/>
      <c r="BF232" s="163" t="n">
        <v>0</v>
      </c>
      <c r="BG232" s="1290" t="n">
        <v>0</v>
      </c>
      <c r="BH232" s="1262"/>
      <c r="BI232" s="1292"/>
      <c r="BJ232" s="1291"/>
      <c r="BK232" s="1293" t="n">
        <v>0</v>
      </c>
      <c r="BL232" s="1294" t="n">
        <f aca="false">+AY232</f>
        <v>4.28224231694912</v>
      </c>
      <c r="BM232" s="1295" t="n">
        <f aca="false">AY232</f>
        <v>4.28224231694912</v>
      </c>
      <c r="BN232" s="1324" t="n">
        <f aca="false">+BM232/BM220-1</f>
        <v>0.020452057525403</v>
      </c>
      <c r="BO232" s="1296" t="n">
        <f aca="false">BM232</f>
        <v>4.28224231694912</v>
      </c>
      <c r="BP232" s="1318" t="n">
        <f aca="false">+AY232/AY220-1</f>
        <v>0.020452057525403</v>
      </c>
      <c r="BQ232" s="1298" t="n">
        <f aca="false">VLOOKUP($AW232,$BU$8:$BZ$291,5,FALSE())</f>
        <v>4.90830872054925</v>
      </c>
      <c r="BR232" s="1298" t="n">
        <f aca="false">VLOOKUP($AW232,$BU$8:$BZ$291,6,FALSE())</f>
        <v>3.75358169794383</v>
      </c>
      <c r="BS232" s="1262" t="n">
        <v>0</v>
      </c>
      <c r="BU232" s="1309" t="n">
        <f aca="false">EDATE(BU231,1)</f>
        <v>42979</v>
      </c>
      <c r="BV232" s="1310" t="n">
        <v>2.9638661853309</v>
      </c>
      <c r="BW232" s="1310" t="n">
        <v>2.37211513100257</v>
      </c>
      <c r="BX232" s="1310"/>
      <c r="BY232" s="1310" t="n">
        <v>4.3177933726674</v>
      </c>
      <c r="BZ232" s="1311" t="n">
        <v>3.45572382536679</v>
      </c>
    </row>
    <row r="233" customFormat="false" ht="12.75" hidden="false" customHeight="false" outlineLevel="0" collapsed="false">
      <c r="A233" s="1246"/>
      <c r="B233" s="1312" t="n">
        <v>42401</v>
      </c>
      <c r="C233" s="1313" t="n">
        <v>42.9548140480565</v>
      </c>
      <c r="D233" s="1313"/>
      <c r="E233" s="1313"/>
      <c r="F233" s="1287"/>
      <c r="G233" s="1313"/>
      <c r="H233" s="1313"/>
      <c r="I233" s="1313"/>
      <c r="J233" s="1253"/>
      <c r="K233" s="1254" t="n">
        <v>43282</v>
      </c>
      <c r="L233" s="1314" t="n">
        <v>0</v>
      </c>
      <c r="M233" s="1314" t="n">
        <v>0</v>
      </c>
      <c r="N233" s="1314" t="n">
        <v>0</v>
      </c>
      <c r="O233" s="1252"/>
      <c r="P233" s="1314" t="n">
        <v>0</v>
      </c>
      <c r="Q233" s="1314" t="n">
        <v>0</v>
      </c>
      <c r="R233" s="1314" t="n">
        <v>0</v>
      </c>
      <c r="S233" s="1252"/>
      <c r="T233" s="1314" t="n">
        <v>0</v>
      </c>
      <c r="U233" s="1314" t="n">
        <v>0</v>
      </c>
      <c r="V233" s="1314" t="n">
        <v>0</v>
      </c>
      <c r="W233" s="1252"/>
      <c r="X233" s="1314" t="n">
        <v>0</v>
      </c>
      <c r="Y233" s="1314" t="n">
        <v>0</v>
      </c>
      <c r="Z233" s="1314" t="n">
        <v>0</v>
      </c>
      <c r="AA233" s="1252" t="n">
        <v>0</v>
      </c>
      <c r="AB233" s="1314" t="n">
        <v>0</v>
      </c>
      <c r="AC233" s="1314" t="n">
        <v>0</v>
      </c>
      <c r="AD233" s="1314" t="n">
        <v>0</v>
      </c>
      <c r="AE233" s="1252"/>
      <c r="AF233" s="1314" t="n">
        <v>0</v>
      </c>
      <c r="AG233" s="1314" t="n">
        <v>0</v>
      </c>
      <c r="AH233" s="1314" t="n">
        <v>0</v>
      </c>
      <c r="AI233" s="1252"/>
      <c r="AJ233" s="1314" t="n">
        <v>0</v>
      </c>
      <c r="AK233" s="1314" t="n">
        <v>0</v>
      </c>
      <c r="AL233" s="1314" t="n">
        <v>0</v>
      </c>
      <c r="AM233" s="1166"/>
      <c r="AN233" s="1253" t="n">
        <v>75</v>
      </c>
      <c r="AO233" s="1316" t="n">
        <v>0.35</v>
      </c>
      <c r="AP233" s="1252"/>
      <c r="AQ233" s="0"/>
      <c r="AR233" s="0"/>
      <c r="AS233" s="0"/>
      <c r="AT233" s="0"/>
      <c r="AU233" s="0" t="str">
        <f aca="false">AV233&amp;"Q"&amp;ROUNDUP(MONTH(AW233)/3,0)</f>
        <v>2018Q4</v>
      </c>
      <c r="AV233" s="0" t="n">
        <f aca="false">YEAR(AW233)</f>
        <v>2018</v>
      </c>
      <c r="AW233" s="1304" t="n">
        <f aca="false">EOMONTH(AW232,0)+1</f>
        <v>43435</v>
      </c>
      <c r="AX233" s="112" t="n">
        <f aca="false">AY233</f>
        <v>4.46438792763179</v>
      </c>
      <c r="AY233" s="1323" t="n">
        <v>4.46438792763179</v>
      </c>
      <c r="AZ233" s="112" t="n">
        <f aca="false">AY233</f>
        <v>4.46438792763179</v>
      </c>
      <c r="BA233" s="163"/>
      <c r="BB233" s="163"/>
      <c r="BC233" s="163"/>
      <c r="BD233" s="163" t="n">
        <v>0</v>
      </c>
      <c r="BE233" s="163"/>
      <c r="BF233" s="163" t="n">
        <v>0</v>
      </c>
      <c r="BG233" s="1290" t="n">
        <v>0</v>
      </c>
      <c r="BH233" s="1262"/>
      <c r="BI233" s="1292"/>
      <c r="BJ233" s="1291"/>
      <c r="BK233" s="1293" t="n">
        <v>0</v>
      </c>
      <c r="BL233" s="1294" t="n">
        <f aca="false">+AY233</f>
        <v>4.46438792763179</v>
      </c>
      <c r="BM233" s="1295" t="n">
        <f aca="false">AY233</f>
        <v>4.46438792763179</v>
      </c>
      <c r="BN233" s="1324" t="n">
        <f aca="false">+BM233/BM221-1</f>
        <v>0.020452057525403</v>
      </c>
      <c r="BO233" s="1296" t="n">
        <f aca="false">BM233</f>
        <v>4.46438792763179</v>
      </c>
      <c r="BP233" s="1318" t="n">
        <f aca="false">+AY233/AY221-1</f>
        <v>0.020452057525403</v>
      </c>
      <c r="BQ233" s="1298" t="n">
        <f aca="false">VLOOKUP($AW233,$BU$8:$BZ$291,5,FALSE())</f>
        <v>5.01199555247398</v>
      </c>
      <c r="BR233" s="1298" t="n">
        <f aca="false">VLOOKUP($AW233,$BU$8:$BZ$291,6,FALSE())</f>
        <v>3.83227640505173</v>
      </c>
      <c r="BS233" s="1262" t="n">
        <v>0</v>
      </c>
      <c r="BU233" s="1309" t="n">
        <f aca="false">EDATE(BU232,1)</f>
        <v>43009</v>
      </c>
      <c r="BV233" s="1310" t="n">
        <v>3.09107331789293</v>
      </c>
      <c r="BW233" s="1310" t="n">
        <v>2.44075904140317</v>
      </c>
      <c r="BX233" s="1310"/>
      <c r="BY233" s="1310" t="n">
        <v>4.50311014460899</v>
      </c>
      <c r="BZ233" s="1311" t="n">
        <v>3.55572504096438</v>
      </c>
    </row>
    <row r="234" customFormat="false" ht="12.75" hidden="false" customHeight="false" outlineLevel="0" collapsed="false">
      <c r="A234" s="1246"/>
      <c r="B234" s="1312" t="n">
        <v>42430</v>
      </c>
      <c r="C234" s="1313" t="n">
        <v>41.4477308950822</v>
      </c>
      <c r="D234" s="1313"/>
      <c r="E234" s="1313"/>
      <c r="F234" s="1287"/>
      <c r="G234" s="1313"/>
      <c r="H234" s="1313"/>
      <c r="I234" s="1313"/>
      <c r="J234" s="1253"/>
      <c r="K234" s="1254" t="n">
        <v>43313</v>
      </c>
      <c r="L234" s="1314" t="n">
        <v>0</v>
      </c>
      <c r="M234" s="1314" t="n">
        <v>0</v>
      </c>
      <c r="N234" s="1314" t="n">
        <v>0</v>
      </c>
      <c r="O234" s="1252"/>
      <c r="P234" s="1314" t="n">
        <v>0</v>
      </c>
      <c r="Q234" s="1314" t="n">
        <v>0</v>
      </c>
      <c r="R234" s="1314" t="n">
        <v>0</v>
      </c>
      <c r="S234" s="1252"/>
      <c r="T234" s="1314" t="n">
        <v>0</v>
      </c>
      <c r="U234" s="1314" t="n">
        <v>0</v>
      </c>
      <c r="V234" s="1314" t="n">
        <v>0</v>
      </c>
      <c r="W234" s="1252"/>
      <c r="X234" s="1314" t="n">
        <v>0</v>
      </c>
      <c r="Y234" s="1314" t="n">
        <v>0</v>
      </c>
      <c r="Z234" s="1314" t="n">
        <v>0</v>
      </c>
      <c r="AA234" s="1252" t="n">
        <v>0</v>
      </c>
      <c r="AB234" s="1314" t="n">
        <v>0</v>
      </c>
      <c r="AC234" s="1314" t="n">
        <v>0</v>
      </c>
      <c r="AD234" s="1314" t="n">
        <v>0</v>
      </c>
      <c r="AE234" s="1252"/>
      <c r="AF234" s="1314" t="n">
        <v>0</v>
      </c>
      <c r="AG234" s="1314" t="n">
        <v>0</v>
      </c>
      <c r="AH234" s="1314" t="n">
        <v>0</v>
      </c>
      <c r="AI234" s="1252"/>
      <c r="AJ234" s="1314" t="n">
        <v>0</v>
      </c>
      <c r="AK234" s="1314" t="n">
        <v>0</v>
      </c>
      <c r="AL234" s="1314" t="n">
        <v>0</v>
      </c>
      <c r="AM234" s="1166"/>
      <c r="AN234" s="1253" t="n">
        <v>75</v>
      </c>
      <c r="AO234" s="1316" t="n">
        <v>0.35</v>
      </c>
      <c r="AP234" s="1252"/>
      <c r="AQ234" s="0"/>
      <c r="AR234" s="0"/>
      <c r="AS234" s="0"/>
      <c r="AT234" s="0"/>
      <c r="AU234" s="0" t="str">
        <f aca="false">AV234&amp;"Q"&amp;ROUNDUP(MONTH(AW234)/3,0)</f>
        <v>2019Q1</v>
      </c>
      <c r="AV234" s="0" t="n">
        <f aca="false">YEAR(AW234)</f>
        <v>2019</v>
      </c>
      <c r="AW234" s="1304" t="n">
        <f aca="false">EOMONTH(AW233,0)+1</f>
        <v>43466</v>
      </c>
      <c r="AX234" s="112" t="n">
        <f aca="false">AY234</f>
        <v>4.25526119171182</v>
      </c>
      <c r="AY234" s="1323" t="n">
        <v>4.25526119171182</v>
      </c>
      <c r="AZ234" s="112" t="n">
        <f aca="false">AY234</f>
        <v>4.25526119171182</v>
      </c>
      <c r="BA234" s="163"/>
      <c r="BB234" s="163"/>
      <c r="BC234" s="163"/>
      <c r="BD234" s="163" t="n">
        <v>0</v>
      </c>
      <c r="BE234" s="163"/>
      <c r="BF234" s="163" t="n">
        <v>0</v>
      </c>
      <c r="BG234" s="1290" t="n">
        <v>0</v>
      </c>
      <c r="BH234" s="1262"/>
      <c r="BI234" s="1292"/>
      <c r="BJ234" s="1291"/>
      <c r="BK234" s="1293" t="n">
        <v>0</v>
      </c>
      <c r="BL234" s="1294" t="n">
        <f aca="false">+AY234</f>
        <v>4.25526119171182</v>
      </c>
      <c r="BM234" s="1295" t="n">
        <f aca="false">AY234</f>
        <v>4.25526119171182</v>
      </c>
      <c r="BN234" s="1324" t="n">
        <f aca="false">+BM234/BM222-1</f>
        <v>0.0242463045616175</v>
      </c>
      <c r="BO234" s="1296" t="n">
        <f aca="false">BM234</f>
        <v>4.25526119171182</v>
      </c>
      <c r="BP234" s="1318" t="n">
        <f aca="false">+AY234/AY222-1</f>
        <v>0.0242463045616175</v>
      </c>
      <c r="BQ234" s="1298" t="n">
        <f aca="false">VLOOKUP($AW234,$BU$8:$BZ$291,5,FALSE())</f>
        <v>4.96039204679099</v>
      </c>
      <c r="BR234" s="1298" t="n">
        <f aca="false">VLOOKUP($AW234,$BU$8:$BZ$291,6,FALSE())</f>
        <v>4.040428297813</v>
      </c>
      <c r="BS234" s="1262" t="n">
        <v>0</v>
      </c>
      <c r="BU234" s="1309" t="n">
        <f aca="false">EDATE(BU233,1)</f>
        <v>43040</v>
      </c>
      <c r="BV234" s="1310" t="n">
        <v>3.24888216630714</v>
      </c>
      <c r="BW234" s="1310" t="n">
        <v>2.5052427148098</v>
      </c>
      <c r="BX234" s="1310"/>
      <c r="BY234" s="1310" t="n">
        <v>4.73300783810256</v>
      </c>
      <c r="BZ234" s="1311" t="n">
        <v>3.64966557682878</v>
      </c>
    </row>
    <row r="235" customFormat="false" ht="12.75" hidden="false" customHeight="false" outlineLevel="0" collapsed="false">
      <c r="A235" s="1246"/>
      <c r="B235" s="1312" t="n">
        <v>42461</v>
      </c>
      <c r="C235" s="1313" t="n">
        <v>41.0872725481792</v>
      </c>
      <c r="D235" s="1313"/>
      <c r="E235" s="1313"/>
      <c r="F235" s="1287"/>
      <c r="G235" s="1313"/>
      <c r="H235" s="1313"/>
      <c r="I235" s="1313"/>
      <c r="J235" s="1253"/>
      <c r="K235" s="1254" t="n">
        <v>43344</v>
      </c>
      <c r="L235" s="1314" t="n">
        <v>0</v>
      </c>
      <c r="M235" s="1314" t="n">
        <v>0</v>
      </c>
      <c r="N235" s="1314" t="n">
        <v>0</v>
      </c>
      <c r="O235" s="1252"/>
      <c r="P235" s="1314" t="n">
        <v>0</v>
      </c>
      <c r="Q235" s="1314" t="n">
        <v>0</v>
      </c>
      <c r="R235" s="1314" t="n">
        <v>0</v>
      </c>
      <c r="S235" s="1252"/>
      <c r="T235" s="1314" t="n">
        <v>0</v>
      </c>
      <c r="U235" s="1314" t="n">
        <v>0</v>
      </c>
      <c r="V235" s="1314" t="n">
        <v>0</v>
      </c>
      <c r="W235" s="1252"/>
      <c r="X235" s="1314" t="n">
        <v>0</v>
      </c>
      <c r="Y235" s="1314" t="n">
        <v>0</v>
      </c>
      <c r="Z235" s="1314" t="n">
        <v>0</v>
      </c>
      <c r="AA235" s="1252" t="n">
        <v>0</v>
      </c>
      <c r="AB235" s="1314" t="n">
        <v>0</v>
      </c>
      <c r="AC235" s="1314" t="n">
        <v>0</v>
      </c>
      <c r="AD235" s="1314" t="n">
        <v>0</v>
      </c>
      <c r="AE235" s="1252"/>
      <c r="AF235" s="1314" t="n">
        <v>0</v>
      </c>
      <c r="AG235" s="1314" t="n">
        <v>0</v>
      </c>
      <c r="AH235" s="1314" t="n">
        <v>0</v>
      </c>
      <c r="AI235" s="1252"/>
      <c r="AJ235" s="1314" t="n">
        <v>0</v>
      </c>
      <c r="AK235" s="1314" t="n">
        <v>0</v>
      </c>
      <c r="AL235" s="1314" t="n">
        <v>0</v>
      </c>
      <c r="AM235" s="1166"/>
      <c r="AN235" s="1253" t="n">
        <v>76</v>
      </c>
      <c r="AO235" s="1316" t="n">
        <v>0.35</v>
      </c>
      <c r="AP235" s="1252"/>
      <c r="AQ235" s="0"/>
      <c r="AR235" s="0"/>
      <c r="AS235" s="0"/>
      <c r="AT235" s="0"/>
      <c r="AU235" s="0" t="str">
        <f aca="false">AV235&amp;"Q"&amp;ROUNDUP(MONTH(AW235)/3,0)</f>
        <v>2019Q1</v>
      </c>
      <c r="AV235" s="0" t="n">
        <f aca="false">YEAR(AW235)</f>
        <v>2019</v>
      </c>
      <c r="AW235" s="1304" t="n">
        <f aca="false">EOMONTH(AW234,0)+1</f>
        <v>43497</v>
      </c>
      <c r="AX235" s="112" t="n">
        <f aca="false">AY235</f>
        <v>3.93023256960893</v>
      </c>
      <c r="AY235" s="1323" t="n">
        <v>3.93023256960893</v>
      </c>
      <c r="AZ235" s="112" t="n">
        <f aca="false">AY235</f>
        <v>3.93023256960893</v>
      </c>
      <c r="BA235" s="163"/>
      <c r="BB235" s="163"/>
      <c r="BC235" s="163"/>
      <c r="BD235" s="163" t="n">
        <v>0</v>
      </c>
      <c r="BE235" s="163"/>
      <c r="BF235" s="163" t="n">
        <v>0</v>
      </c>
      <c r="BG235" s="1290" t="n">
        <v>0</v>
      </c>
      <c r="BH235" s="1262"/>
      <c r="BI235" s="1292"/>
      <c r="BJ235" s="1291"/>
      <c r="BK235" s="1293" t="n">
        <v>0</v>
      </c>
      <c r="BL235" s="1294" t="n">
        <f aca="false">+AY235</f>
        <v>3.93023256960893</v>
      </c>
      <c r="BM235" s="1295" t="n">
        <f aca="false">AY235</f>
        <v>3.93023256960893</v>
      </c>
      <c r="BN235" s="1324" t="n">
        <f aca="false">+BM235/BM223-1</f>
        <v>0.0242463045616175</v>
      </c>
      <c r="BO235" s="1296" t="n">
        <f aca="false">BM235</f>
        <v>3.93023256960893</v>
      </c>
      <c r="BP235" s="1318" t="n">
        <f aca="false">+AY235/AY223-1</f>
        <v>0.0242463045616175</v>
      </c>
      <c r="BQ235" s="1298" t="n">
        <f aca="false">VLOOKUP($AW235,$BU$8:$BZ$291,5,FALSE())</f>
        <v>4.58610797511647</v>
      </c>
      <c r="BR235" s="1298" t="n">
        <f aca="false">VLOOKUP($AW235,$BU$8:$BZ$291,6,FALSE())</f>
        <v>3.7634163726615</v>
      </c>
      <c r="BS235" s="1262" t="n">
        <v>0</v>
      </c>
      <c r="BU235" s="1309" t="n">
        <f aca="false">EDATE(BU234,1)</f>
        <v>43070</v>
      </c>
      <c r="BV235" s="1310" t="n">
        <v>3.31751401452622</v>
      </c>
      <c r="BW235" s="1310" t="n">
        <v>2.55776570685874</v>
      </c>
      <c r="BX235" s="1310"/>
      <c r="BY235" s="1310" t="n">
        <v>4.83299148137935</v>
      </c>
      <c r="BZ235" s="1311" t="n">
        <v>3.72618165846027</v>
      </c>
    </row>
    <row r="236" customFormat="false" ht="12.75" hidden="false" customHeight="false" outlineLevel="0" collapsed="false">
      <c r="A236" s="1246"/>
      <c r="B236" s="1312" t="n">
        <v>42491</v>
      </c>
      <c r="C236" s="1313" t="n">
        <v>44.7431693601462</v>
      </c>
      <c r="D236" s="1313"/>
      <c r="E236" s="1313"/>
      <c r="F236" s="1287"/>
      <c r="G236" s="1313"/>
      <c r="H236" s="1313"/>
      <c r="I236" s="1313"/>
      <c r="J236" s="1253"/>
      <c r="K236" s="1254" t="n">
        <v>43374</v>
      </c>
      <c r="L236" s="1314" t="n">
        <v>0</v>
      </c>
      <c r="M236" s="1314" t="n">
        <v>0</v>
      </c>
      <c r="N236" s="1314" t="n">
        <v>0</v>
      </c>
      <c r="O236" s="1252"/>
      <c r="P236" s="1314" t="n">
        <v>0</v>
      </c>
      <c r="Q236" s="1314" t="n">
        <v>0</v>
      </c>
      <c r="R236" s="1314" t="n">
        <v>0</v>
      </c>
      <c r="S236" s="1252"/>
      <c r="T236" s="1314" t="n">
        <v>0</v>
      </c>
      <c r="U236" s="1314" t="n">
        <v>0</v>
      </c>
      <c r="V236" s="1314" t="n">
        <v>0</v>
      </c>
      <c r="W236" s="1252"/>
      <c r="X236" s="1314" t="n">
        <v>0</v>
      </c>
      <c r="Y236" s="1314" t="n">
        <v>0</v>
      </c>
      <c r="Z236" s="1314" t="n">
        <v>0</v>
      </c>
      <c r="AA236" s="1252" t="n">
        <v>0</v>
      </c>
      <c r="AB236" s="1314" t="n">
        <v>0</v>
      </c>
      <c r="AC236" s="1314" t="n">
        <v>0</v>
      </c>
      <c r="AD236" s="1314" t="n">
        <v>0</v>
      </c>
      <c r="AE236" s="1252"/>
      <c r="AF236" s="1314" t="n">
        <v>0</v>
      </c>
      <c r="AG236" s="1314" t="n">
        <v>0</v>
      </c>
      <c r="AH236" s="1314" t="n">
        <v>0</v>
      </c>
      <c r="AI236" s="1252"/>
      <c r="AJ236" s="1314" t="n">
        <v>0</v>
      </c>
      <c r="AK236" s="1314" t="n">
        <v>0</v>
      </c>
      <c r="AL236" s="1314" t="n">
        <v>0</v>
      </c>
      <c r="AM236" s="1166"/>
      <c r="AN236" s="1253" t="n">
        <v>76</v>
      </c>
      <c r="AO236" s="1316" t="n">
        <v>0.35</v>
      </c>
      <c r="AP236" s="1252"/>
      <c r="AQ236" s="0"/>
      <c r="AR236" s="0"/>
      <c r="AS236" s="0"/>
      <c r="AT236" s="0"/>
      <c r="AU236" s="0" t="str">
        <f aca="false">AV236&amp;"Q"&amp;ROUNDUP(MONTH(AW236)/3,0)</f>
        <v>2019Q1</v>
      </c>
      <c r="AV236" s="0" t="n">
        <f aca="false">YEAR(AW236)</f>
        <v>2019</v>
      </c>
      <c r="AW236" s="1304" t="n">
        <f aca="false">EOMONTH(AW235,0)+1</f>
        <v>43525</v>
      </c>
      <c r="AX236" s="112" t="n">
        <f aca="false">AY236</f>
        <v>3.71924415158911</v>
      </c>
      <c r="AY236" s="1323" t="n">
        <v>3.71924415158911</v>
      </c>
      <c r="AZ236" s="112" t="n">
        <f aca="false">AY236</f>
        <v>3.71924415158911</v>
      </c>
      <c r="BA236" s="163"/>
      <c r="BB236" s="163"/>
      <c r="BC236" s="163"/>
      <c r="BD236" s="163" t="n">
        <v>0</v>
      </c>
      <c r="BE236" s="163"/>
      <c r="BF236" s="163" t="n">
        <v>0</v>
      </c>
      <c r="BG236" s="1290" t="n">
        <v>0</v>
      </c>
      <c r="BH236" s="1262"/>
      <c r="BI236" s="1292"/>
      <c r="BJ236" s="1291"/>
      <c r="BK236" s="1293" t="n">
        <v>0</v>
      </c>
      <c r="BL236" s="1294" t="n">
        <f aca="false">+AY236</f>
        <v>3.71924415158911</v>
      </c>
      <c r="BM236" s="1295" t="n">
        <f aca="false">AY236</f>
        <v>3.71924415158911</v>
      </c>
      <c r="BN236" s="1324" t="n">
        <f aca="false">+BM236/BM224-1</f>
        <v>0.0242463045616175</v>
      </c>
      <c r="BO236" s="1296" t="n">
        <f aca="false">BM236</f>
        <v>3.71924415158911</v>
      </c>
      <c r="BP236" s="1318" t="n">
        <f aca="false">+AY236/AY224-1</f>
        <v>0.0242463045616175</v>
      </c>
      <c r="BQ236" s="1298" t="n">
        <f aca="false">VLOOKUP($AW236,$BU$8:$BZ$291,5,FALSE())</f>
        <v>4.44993808540788</v>
      </c>
      <c r="BR236" s="1298" t="n">
        <f aca="false">VLOOKUP($AW236,$BU$8:$BZ$291,6,FALSE())</f>
        <v>3.57659437662909</v>
      </c>
      <c r="BS236" s="1262" t="n">
        <v>0</v>
      </c>
      <c r="BU236" s="1309" t="n">
        <f aca="false">EDATE(BU235,1)</f>
        <v>43101</v>
      </c>
      <c r="BV236" s="1310" t="n">
        <v>3.22235212631578</v>
      </c>
      <c r="BW236" s="1310" t="n">
        <v>2.63092274444468</v>
      </c>
      <c r="BX236" s="1310"/>
      <c r="BY236" s="1310" t="n">
        <v>4.78824575102424</v>
      </c>
      <c r="BZ236" s="1311" t="n">
        <v>3.90941280112779</v>
      </c>
    </row>
    <row r="237" customFormat="false" ht="12.75" hidden="false" customHeight="false" outlineLevel="0" collapsed="false">
      <c r="A237" s="1246"/>
      <c r="B237" s="1312" t="n">
        <v>42522</v>
      </c>
      <c r="C237" s="1313" t="n">
        <v>44.1583977756497</v>
      </c>
      <c r="D237" s="1313"/>
      <c r="E237" s="1313"/>
      <c r="F237" s="1287"/>
      <c r="G237" s="1313"/>
      <c r="H237" s="1313"/>
      <c r="I237" s="1313"/>
      <c r="J237" s="1253"/>
      <c r="K237" s="1254" t="n">
        <v>43405</v>
      </c>
      <c r="L237" s="1314" t="n">
        <v>0</v>
      </c>
      <c r="M237" s="1314" t="n">
        <v>0</v>
      </c>
      <c r="N237" s="1314" t="n">
        <v>0</v>
      </c>
      <c r="O237" s="1252"/>
      <c r="P237" s="1314" t="n">
        <v>0</v>
      </c>
      <c r="Q237" s="1314" t="n">
        <v>0</v>
      </c>
      <c r="R237" s="1314" t="n">
        <v>0</v>
      </c>
      <c r="S237" s="1252"/>
      <c r="T237" s="1314" t="n">
        <v>0</v>
      </c>
      <c r="U237" s="1314" t="n">
        <v>0</v>
      </c>
      <c r="V237" s="1314" t="n">
        <v>0</v>
      </c>
      <c r="W237" s="1252"/>
      <c r="X237" s="1314" t="n">
        <v>0</v>
      </c>
      <c r="Y237" s="1314" t="n">
        <v>0</v>
      </c>
      <c r="Z237" s="1314" t="n">
        <v>0</v>
      </c>
      <c r="AA237" s="1252" t="n">
        <v>0</v>
      </c>
      <c r="AB237" s="1314" t="n">
        <v>0</v>
      </c>
      <c r="AC237" s="1314" t="n">
        <v>0</v>
      </c>
      <c r="AD237" s="1314" t="n">
        <v>0</v>
      </c>
      <c r="AE237" s="1252"/>
      <c r="AF237" s="1314" t="n">
        <v>0</v>
      </c>
      <c r="AG237" s="1314" t="n">
        <v>0</v>
      </c>
      <c r="AH237" s="1314" t="n">
        <v>0</v>
      </c>
      <c r="AI237" s="1252"/>
      <c r="AJ237" s="1314" t="n">
        <v>0</v>
      </c>
      <c r="AK237" s="1314" t="n">
        <v>0</v>
      </c>
      <c r="AL237" s="1314" t="n">
        <v>0</v>
      </c>
      <c r="AM237" s="1166"/>
      <c r="AN237" s="1253" t="n">
        <v>76</v>
      </c>
      <c r="AO237" s="1316" t="n">
        <v>0.35</v>
      </c>
      <c r="AP237" s="1252"/>
      <c r="AQ237" s="0"/>
      <c r="AR237" s="0"/>
      <c r="AS237" s="0"/>
      <c r="AT237" s="0"/>
      <c r="AU237" s="0" t="str">
        <f aca="false">AV237&amp;"Q"&amp;ROUNDUP(MONTH(AW237)/3,0)</f>
        <v>2019Q2</v>
      </c>
      <c r="AV237" s="0" t="n">
        <f aca="false">YEAR(AW237)</f>
        <v>2019</v>
      </c>
      <c r="AW237" s="1304" t="n">
        <f aca="false">EOMONTH(AW236,0)+1</f>
        <v>43556</v>
      </c>
      <c r="AX237" s="112" t="n">
        <f aca="false">AY237</f>
        <v>3.60766417197582</v>
      </c>
      <c r="AY237" s="1323" t="n">
        <v>3.60766417197582</v>
      </c>
      <c r="AZ237" s="112" t="n">
        <f aca="false">AY237</f>
        <v>3.60766417197582</v>
      </c>
      <c r="BA237" s="163"/>
      <c r="BB237" s="163"/>
      <c r="BC237" s="163"/>
      <c r="BD237" s="163" t="n">
        <v>0</v>
      </c>
      <c r="BE237" s="163"/>
      <c r="BF237" s="163" t="n">
        <v>0</v>
      </c>
      <c r="BG237" s="1290" t="n">
        <v>0</v>
      </c>
      <c r="BH237" s="1262"/>
      <c r="BI237" s="1292"/>
      <c r="BJ237" s="1291"/>
      <c r="BK237" s="1293" t="n">
        <v>0</v>
      </c>
      <c r="BL237" s="1294" t="n">
        <f aca="false">+AY237</f>
        <v>3.60766417197582</v>
      </c>
      <c r="BM237" s="1295" t="n">
        <f aca="false">AY237</f>
        <v>3.60766417197582</v>
      </c>
      <c r="BN237" s="1324" t="n">
        <f aca="false">+BM237/BM225-1</f>
        <v>0.0242463045616175</v>
      </c>
      <c r="BO237" s="1296" t="n">
        <f aca="false">BM237</f>
        <v>3.60766417197582</v>
      </c>
      <c r="BP237" s="1318" t="n">
        <f aca="false">+AY237/AY225-1</f>
        <v>0.0242463045616175</v>
      </c>
      <c r="BQ237" s="1298" t="n">
        <f aca="false">VLOOKUP($AW237,$BU$8:$BZ$291,5,FALSE())</f>
        <v>4.36166243276921</v>
      </c>
      <c r="BR237" s="1298" t="n">
        <f aca="false">VLOOKUP($AW237,$BU$8:$BZ$291,6,FALSE())</f>
        <v>3.46788330135161</v>
      </c>
      <c r="BS237" s="1262" t="n">
        <v>0</v>
      </c>
      <c r="BU237" s="1309" t="n">
        <f aca="false">EDATE(BU236,1)</f>
        <v>43132</v>
      </c>
      <c r="BV237" s="1310" t="n">
        <v>2.97921104737893</v>
      </c>
      <c r="BW237" s="1310" t="n">
        <v>2.45054657621568</v>
      </c>
      <c r="BX237" s="1310"/>
      <c r="BY237" s="1310" t="n">
        <v>4.42695089792266</v>
      </c>
      <c r="BZ237" s="1311" t="n">
        <v>3.64138330365137</v>
      </c>
    </row>
    <row r="238" customFormat="false" ht="12.75" hidden="false" customHeight="false" outlineLevel="0" collapsed="false">
      <c r="A238" s="1246"/>
      <c r="B238" s="1312" t="n">
        <v>42552</v>
      </c>
      <c r="C238" s="1313" t="n">
        <v>60.7662746248043</v>
      </c>
      <c r="D238" s="1313"/>
      <c r="E238" s="1313"/>
      <c r="F238" s="1287"/>
      <c r="G238" s="1313"/>
      <c r="H238" s="1313"/>
      <c r="I238" s="1313"/>
      <c r="J238" s="1253"/>
      <c r="K238" s="1254" t="n">
        <v>43435</v>
      </c>
      <c r="L238" s="1314" t="n">
        <v>0</v>
      </c>
      <c r="M238" s="1314" t="n">
        <v>0</v>
      </c>
      <c r="N238" s="1314" t="n">
        <v>0</v>
      </c>
      <c r="O238" s="1252"/>
      <c r="P238" s="1314" t="n">
        <v>0</v>
      </c>
      <c r="Q238" s="1314" t="n">
        <v>0</v>
      </c>
      <c r="R238" s="1314" t="n">
        <v>0</v>
      </c>
      <c r="S238" s="1252"/>
      <c r="T238" s="1314" t="n">
        <v>0</v>
      </c>
      <c r="U238" s="1314" t="n">
        <v>0</v>
      </c>
      <c r="V238" s="1314" t="n">
        <v>0</v>
      </c>
      <c r="W238" s="1252"/>
      <c r="X238" s="1314" t="n">
        <v>0</v>
      </c>
      <c r="Y238" s="1314" t="n">
        <v>0</v>
      </c>
      <c r="Z238" s="1314" t="n">
        <v>0</v>
      </c>
      <c r="AA238" s="1252" t="n">
        <v>0</v>
      </c>
      <c r="AB238" s="1314" t="n">
        <v>0</v>
      </c>
      <c r="AC238" s="1314" t="n">
        <v>0</v>
      </c>
      <c r="AD238" s="1314" t="n">
        <v>0</v>
      </c>
      <c r="AE238" s="1252"/>
      <c r="AF238" s="1314" t="n">
        <v>0</v>
      </c>
      <c r="AG238" s="1314" t="n">
        <v>0</v>
      </c>
      <c r="AH238" s="1314" t="n">
        <v>0</v>
      </c>
      <c r="AI238" s="1252"/>
      <c r="AJ238" s="1314" t="n">
        <v>0</v>
      </c>
      <c r="AK238" s="1314" t="n">
        <v>0</v>
      </c>
      <c r="AL238" s="1314" t="n">
        <v>0</v>
      </c>
      <c r="AM238" s="1166"/>
      <c r="AN238" s="1253" t="n">
        <v>77</v>
      </c>
      <c r="AO238" s="1316" t="n">
        <v>0.35</v>
      </c>
      <c r="AP238" s="1252"/>
      <c r="AQ238" s="0"/>
      <c r="AR238" s="0"/>
      <c r="AS238" s="0"/>
      <c r="AT238" s="0"/>
      <c r="AU238" s="0" t="str">
        <f aca="false">AV238&amp;"Q"&amp;ROUNDUP(MONTH(AW238)/3,0)</f>
        <v>2019Q2</v>
      </c>
      <c r="AV238" s="0" t="n">
        <f aca="false">YEAR(AW238)</f>
        <v>2019</v>
      </c>
      <c r="AW238" s="1304" t="n">
        <f aca="false">EOMONTH(AW237,0)+1</f>
        <v>43586</v>
      </c>
      <c r="AX238" s="112" t="n">
        <f aca="false">AY238</f>
        <v>3.58045628476485</v>
      </c>
      <c r="AY238" s="1323" t="n">
        <v>3.58045628476485</v>
      </c>
      <c r="AZ238" s="112" t="n">
        <f aca="false">AY238</f>
        <v>3.58045628476485</v>
      </c>
      <c r="BA238" s="163"/>
      <c r="BB238" s="163"/>
      <c r="BC238" s="163"/>
      <c r="BD238" s="163" t="n">
        <v>0</v>
      </c>
      <c r="BE238" s="163"/>
      <c r="BF238" s="163" t="n">
        <v>0</v>
      </c>
      <c r="BG238" s="1290" t="n">
        <v>0</v>
      </c>
      <c r="BH238" s="1262"/>
      <c r="BI238" s="1292"/>
      <c r="BJ238" s="1291"/>
      <c r="BK238" s="1293" t="n">
        <v>0</v>
      </c>
      <c r="BL238" s="1294" t="n">
        <f aca="false">+AY238</f>
        <v>3.58045628476485</v>
      </c>
      <c r="BM238" s="1295" t="n">
        <f aca="false">AY238</f>
        <v>3.58045628476485</v>
      </c>
      <c r="BN238" s="1324" t="n">
        <f aca="false">+BM238/BM226-1</f>
        <v>0.0242463045616175</v>
      </c>
      <c r="BO238" s="1296" t="n">
        <f aca="false">BM238</f>
        <v>3.58045628476485</v>
      </c>
      <c r="BP238" s="1318" t="n">
        <f aca="false">+AY238/AY226-1</f>
        <v>0.0242463045616175</v>
      </c>
      <c r="BQ238" s="1298" t="n">
        <f aca="false">VLOOKUP($AW238,$BU$8:$BZ$291,5,FALSE())</f>
        <v>4.32128101720045</v>
      </c>
      <c r="BR238" s="1298" t="n">
        <f aca="false">VLOOKUP($AW238,$BU$8:$BZ$291,6,FALSE())</f>
        <v>3.4252041384649</v>
      </c>
      <c r="BS238" s="1262" t="n">
        <v>0</v>
      </c>
      <c r="BU238" s="1309" t="n">
        <f aca="false">EDATE(BU237,1)</f>
        <v>43160</v>
      </c>
      <c r="BV238" s="1310" t="n">
        <v>2.89075285103001</v>
      </c>
      <c r="BW238" s="1310" t="n">
        <v>2.32889753252636</v>
      </c>
      <c r="BX238" s="1310"/>
      <c r="BY238" s="1310" t="n">
        <v>4.29550667140505</v>
      </c>
      <c r="BZ238" s="1311" t="n">
        <v>3.46061922395796</v>
      </c>
    </row>
    <row r="239" customFormat="false" ht="12.75" hidden="false" customHeight="false" outlineLevel="0" collapsed="false">
      <c r="A239" s="1246"/>
      <c r="B239" s="1312" t="n">
        <v>42583</v>
      </c>
      <c r="C239" s="1313" t="n">
        <v>74.4576750559813</v>
      </c>
      <c r="D239" s="1313"/>
      <c r="E239" s="1313"/>
      <c r="F239" s="1287"/>
      <c r="G239" s="1313"/>
      <c r="H239" s="1313"/>
      <c r="I239" s="1313"/>
      <c r="J239" s="1253"/>
      <c r="K239" s="1254" t="n">
        <v>43466</v>
      </c>
      <c r="L239" s="1314" t="n">
        <v>0</v>
      </c>
      <c r="M239" s="1314" t="n">
        <v>0</v>
      </c>
      <c r="N239" s="1314" t="n">
        <v>0</v>
      </c>
      <c r="O239" s="1252"/>
      <c r="P239" s="1314" t="n">
        <v>0</v>
      </c>
      <c r="Q239" s="1314" t="n">
        <v>0</v>
      </c>
      <c r="R239" s="1314" t="n">
        <v>0</v>
      </c>
      <c r="S239" s="1252"/>
      <c r="T239" s="1314" t="n">
        <v>0</v>
      </c>
      <c r="U239" s="1314" t="n">
        <v>0</v>
      </c>
      <c r="V239" s="1314" t="n">
        <v>0</v>
      </c>
      <c r="W239" s="1252"/>
      <c r="X239" s="1314" t="n">
        <v>0</v>
      </c>
      <c r="Y239" s="1314" t="n">
        <v>0</v>
      </c>
      <c r="Z239" s="1314" t="n">
        <v>0</v>
      </c>
      <c r="AA239" s="1252" t="n">
        <v>0</v>
      </c>
      <c r="AB239" s="1314" t="n">
        <v>0</v>
      </c>
      <c r="AC239" s="1314" t="n">
        <v>0</v>
      </c>
      <c r="AD239" s="1314" t="n">
        <v>0</v>
      </c>
      <c r="AE239" s="1252"/>
      <c r="AF239" s="1314" t="n">
        <v>0</v>
      </c>
      <c r="AG239" s="1314" t="n">
        <v>0</v>
      </c>
      <c r="AH239" s="1314" t="n">
        <v>0</v>
      </c>
      <c r="AI239" s="1252"/>
      <c r="AJ239" s="1314" t="n">
        <v>0</v>
      </c>
      <c r="AK239" s="1314" t="n">
        <v>0</v>
      </c>
      <c r="AL239" s="1314" t="n">
        <v>0</v>
      </c>
      <c r="AM239" s="1166"/>
      <c r="AN239" s="1253" t="n">
        <v>77</v>
      </c>
      <c r="AO239" s="1316" t="n">
        <v>0.35</v>
      </c>
      <c r="AP239" s="1252"/>
      <c r="AQ239" s="0"/>
      <c r="AR239" s="0"/>
      <c r="AS239" s="0"/>
      <c r="AT239" s="0"/>
      <c r="AU239" s="0" t="str">
        <f aca="false">AV239&amp;"Q"&amp;ROUNDUP(MONTH(AW239)/3,0)</f>
        <v>2019Q2</v>
      </c>
      <c r="AV239" s="0" t="n">
        <f aca="false">YEAR(AW239)</f>
        <v>2019</v>
      </c>
      <c r="AW239" s="1304" t="n">
        <f aca="false">EOMONTH(AW238,0)+1</f>
        <v>43617</v>
      </c>
      <c r="AX239" s="112" t="n">
        <f aca="false">AY239</f>
        <v>3.62370612961684</v>
      </c>
      <c r="AY239" s="1323" t="n">
        <v>3.62370612961684</v>
      </c>
      <c r="AZ239" s="112" t="n">
        <f aca="false">AY239</f>
        <v>3.62370612961684</v>
      </c>
      <c r="BA239" s="163"/>
      <c r="BB239" s="163"/>
      <c r="BC239" s="163"/>
      <c r="BD239" s="163" t="n">
        <v>0</v>
      </c>
      <c r="BE239" s="163"/>
      <c r="BF239" s="163" t="n">
        <v>0</v>
      </c>
      <c r="BG239" s="1290" t="n">
        <v>0</v>
      </c>
      <c r="BH239" s="1262"/>
      <c r="BI239" s="1292"/>
      <c r="BJ239" s="1291"/>
      <c r="BK239" s="1293" t="n">
        <v>0</v>
      </c>
      <c r="BL239" s="1294" t="n">
        <f aca="false">+AY239</f>
        <v>3.62370612961684</v>
      </c>
      <c r="BM239" s="1295" t="n">
        <f aca="false">AY239</f>
        <v>3.62370612961684</v>
      </c>
      <c r="BN239" s="1324" t="n">
        <f aca="false">+BM239/BM227-1</f>
        <v>0.0242463045616173</v>
      </c>
      <c r="BO239" s="1296" t="n">
        <f aca="false">BM239</f>
        <v>3.62370612961684</v>
      </c>
      <c r="BP239" s="1318" t="n">
        <f aca="false">+AY239/AY227-1</f>
        <v>0.0242463045616173</v>
      </c>
      <c r="BQ239" s="1298" t="n">
        <f aca="false">VLOOKUP($AW239,$BU$8:$BZ$291,5,FALSE())</f>
        <v>4.32879383870162</v>
      </c>
      <c r="BR239" s="1298" t="n">
        <f aca="false">VLOOKUP($AW239,$BU$8:$BZ$291,6,FALSE())</f>
        <v>3.43647787960478</v>
      </c>
      <c r="BS239" s="1262" t="n">
        <v>0</v>
      </c>
      <c r="BU239" s="1309" t="n">
        <f aca="false">EDATE(BU238,1)</f>
        <v>43191</v>
      </c>
      <c r="BV239" s="1310" t="n">
        <v>2.83340753753485</v>
      </c>
      <c r="BW239" s="1310" t="n">
        <v>2.25811037348301</v>
      </c>
      <c r="BX239" s="1310"/>
      <c r="BY239" s="1310" t="n">
        <v>4.21029455214535</v>
      </c>
      <c r="BZ239" s="1311" t="n">
        <v>3.35543322930879</v>
      </c>
    </row>
    <row r="240" customFormat="false" ht="12.75" hidden="false" customHeight="false" outlineLevel="0" collapsed="false">
      <c r="A240" s="1246"/>
      <c r="B240" s="1312" t="n">
        <v>42614</v>
      </c>
      <c r="C240" s="1313" t="n">
        <v>64.9602764248802</v>
      </c>
      <c r="D240" s="1313"/>
      <c r="E240" s="1313"/>
      <c r="F240" s="1287"/>
      <c r="G240" s="1313"/>
      <c r="H240" s="1313"/>
      <c r="I240" s="1313"/>
      <c r="J240" s="1253"/>
      <c r="K240" s="1254" t="n">
        <v>43497</v>
      </c>
      <c r="L240" s="1314" t="n">
        <v>0</v>
      </c>
      <c r="M240" s="1314" t="n">
        <v>0</v>
      </c>
      <c r="N240" s="1314" t="n">
        <v>0</v>
      </c>
      <c r="O240" s="1252"/>
      <c r="P240" s="1314" t="n">
        <v>0</v>
      </c>
      <c r="Q240" s="1314" t="n">
        <v>0</v>
      </c>
      <c r="R240" s="1314" t="n">
        <v>0</v>
      </c>
      <c r="S240" s="1252"/>
      <c r="T240" s="1314" t="n">
        <v>0</v>
      </c>
      <c r="U240" s="1314" t="n">
        <v>0</v>
      </c>
      <c r="V240" s="1314" t="n">
        <v>0</v>
      </c>
      <c r="W240" s="1252"/>
      <c r="X240" s="1314" t="n">
        <v>0</v>
      </c>
      <c r="Y240" s="1314" t="n">
        <v>0</v>
      </c>
      <c r="Z240" s="1314" t="n">
        <v>0</v>
      </c>
      <c r="AA240" s="1252" t="n">
        <v>0</v>
      </c>
      <c r="AB240" s="1314" t="n">
        <v>0</v>
      </c>
      <c r="AC240" s="1314" t="n">
        <v>0</v>
      </c>
      <c r="AD240" s="1314" t="n">
        <v>0</v>
      </c>
      <c r="AE240" s="1252"/>
      <c r="AF240" s="1314" t="n">
        <v>0</v>
      </c>
      <c r="AG240" s="1314" t="n">
        <v>0</v>
      </c>
      <c r="AH240" s="1314" t="n">
        <v>0</v>
      </c>
      <c r="AI240" s="1252"/>
      <c r="AJ240" s="1314" t="n">
        <v>0</v>
      </c>
      <c r="AK240" s="1314" t="n">
        <v>0</v>
      </c>
      <c r="AL240" s="1314" t="n">
        <v>0</v>
      </c>
      <c r="AM240" s="1166"/>
      <c r="AN240" s="1253" t="n">
        <v>77</v>
      </c>
      <c r="AO240" s="1316" t="n">
        <v>0.35</v>
      </c>
      <c r="AP240" s="1252"/>
      <c r="AQ240" s="0"/>
      <c r="AR240" s="0"/>
      <c r="AS240" s="0"/>
      <c r="AT240" s="0"/>
      <c r="AU240" s="0" t="str">
        <f aca="false">AV240&amp;"Q"&amp;ROUNDUP(MONTH(AW240)/3,0)</f>
        <v>2019Q3</v>
      </c>
      <c r="AV240" s="0" t="n">
        <f aca="false">YEAR(AW240)</f>
        <v>2019</v>
      </c>
      <c r="AW240" s="1304" t="n">
        <f aca="false">EOMONTH(AW239,0)+1</f>
        <v>43647</v>
      </c>
      <c r="AX240" s="112" t="n">
        <f aca="false">AY240</f>
        <v>3.72261913964118</v>
      </c>
      <c r="AY240" s="1323" t="n">
        <v>3.72261913964118</v>
      </c>
      <c r="AZ240" s="112" t="n">
        <f aca="false">AY240</f>
        <v>3.72261913964118</v>
      </c>
      <c r="BA240" s="163"/>
      <c r="BB240" s="163"/>
      <c r="BC240" s="163"/>
      <c r="BD240" s="163" t="n">
        <v>0</v>
      </c>
      <c r="BE240" s="163"/>
      <c r="BF240" s="163" t="n">
        <v>0</v>
      </c>
      <c r="BG240" s="1290" t="n">
        <v>0</v>
      </c>
      <c r="BH240" s="1262"/>
      <c r="BI240" s="1292"/>
      <c r="BJ240" s="1291"/>
      <c r="BK240" s="1293" t="n">
        <v>0</v>
      </c>
      <c r="BL240" s="1294" t="n">
        <f aca="false">+AY240</f>
        <v>3.72261913964118</v>
      </c>
      <c r="BM240" s="1295" t="n">
        <f aca="false">AY240</f>
        <v>3.72261913964118</v>
      </c>
      <c r="BN240" s="1324" t="n">
        <f aca="false">+BM240/BM228-1</f>
        <v>0.0242463045616173</v>
      </c>
      <c r="BO240" s="1296" t="n">
        <f aca="false">BM240</f>
        <v>3.72261913964118</v>
      </c>
      <c r="BP240" s="1318" t="n">
        <f aca="false">+AY240/AY228-1</f>
        <v>0.0242463045616173</v>
      </c>
      <c r="BQ240" s="1298" t="n">
        <f aca="false">VLOOKUP($AW240,$BU$8:$BZ$291,5,FALSE())</f>
        <v>4.3842008972727</v>
      </c>
      <c r="BR240" s="1298" t="n">
        <f aca="false">VLOOKUP($AW240,$BU$8:$BZ$291,6,FALSE())</f>
        <v>3.48962551640711</v>
      </c>
      <c r="BS240" s="1262" t="n">
        <v>0</v>
      </c>
      <c r="BU240" s="1309" t="n">
        <f aca="false">EDATE(BU239,1)</f>
        <v>43221</v>
      </c>
      <c r="BV240" s="1310" t="n">
        <v>2.80717510689345</v>
      </c>
      <c r="BW240" s="1310" t="n">
        <v>2.23031985919191</v>
      </c>
      <c r="BX240" s="1310"/>
      <c r="BY240" s="1310" t="n">
        <v>4.17131454014357</v>
      </c>
      <c r="BZ240" s="1311" t="n">
        <v>3.31413798696503</v>
      </c>
    </row>
    <row r="241" customFormat="false" ht="12.75" hidden="false" customHeight="false" outlineLevel="0" collapsed="false">
      <c r="A241" s="1246"/>
      <c r="B241" s="1312" t="n">
        <v>42644</v>
      </c>
      <c r="C241" s="1313" t="n">
        <v>56.0552291986091</v>
      </c>
      <c r="D241" s="1313"/>
      <c r="E241" s="1313"/>
      <c r="F241" s="1287"/>
      <c r="G241" s="1313"/>
      <c r="H241" s="1313"/>
      <c r="I241" s="1313"/>
      <c r="J241" s="1253"/>
      <c r="K241" s="1254" t="n">
        <v>43525</v>
      </c>
      <c r="L241" s="1314" t="n">
        <v>0</v>
      </c>
      <c r="M241" s="1314" t="n">
        <v>0</v>
      </c>
      <c r="N241" s="1314" t="n">
        <v>0</v>
      </c>
      <c r="O241" s="1252"/>
      <c r="P241" s="1314" t="n">
        <v>0</v>
      </c>
      <c r="Q241" s="1314" t="n">
        <v>0</v>
      </c>
      <c r="R241" s="1314" t="n">
        <v>0</v>
      </c>
      <c r="S241" s="1252"/>
      <c r="T241" s="1314" t="n">
        <v>0</v>
      </c>
      <c r="U241" s="1314" t="n">
        <v>0</v>
      </c>
      <c r="V241" s="1314" t="n">
        <v>0</v>
      </c>
      <c r="W241" s="1252"/>
      <c r="X241" s="1314" t="n">
        <v>0</v>
      </c>
      <c r="Y241" s="1314" t="n">
        <v>0</v>
      </c>
      <c r="Z241" s="1314" t="n">
        <v>0</v>
      </c>
      <c r="AA241" s="1252" t="n">
        <v>0</v>
      </c>
      <c r="AB241" s="1314" t="n">
        <v>0</v>
      </c>
      <c r="AC241" s="1314" t="n">
        <v>0</v>
      </c>
      <c r="AD241" s="1314" t="n">
        <v>0</v>
      </c>
      <c r="AE241" s="1252"/>
      <c r="AF241" s="1314" t="n">
        <v>0</v>
      </c>
      <c r="AG241" s="1314" t="n">
        <v>0</v>
      </c>
      <c r="AH241" s="1314" t="n">
        <v>0</v>
      </c>
      <c r="AI241" s="1252"/>
      <c r="AJ241" s="1314" t="n">
        <v>0</v>
      </c>
      <c r="AK241" s="1314" t="n">
        <v>0</v>
      </c>
      <c r="AL241" s="1314" t="n">
        <v>0</v>
      </c>
      <c r="AM241" s="1166"/>
      <c r="AN241" s="1253" t="n">
        <v>78</v>
      </c>
      <c r="AO241" s="1316" t="n">
        <v>0.35</v>
      </c>
      <c r="AP241" s="1252"/>
      <c r="AQ241" s="0"/>
      <c r="AR241" s="0"/>
      <c r="AS241" s="0"/>
      <c r="AT241" s="0"/>
      <c r="AU241" s="0" t="str">
        <f aca="false">AV241&amp;"Q"&amp;ROUNDUP(MONTH(AW241)/3,0)</f>
        <v>2019Q3</v>
      </c>
      <c r="AV241" s="0" t="n">
        <f aca="false">YEAR(AW241)</f>
        <v>2019</v>
      </c>
      <c r="AW241" s="1304" t="n">
        <f aca="false">EOMONTH(AW240,0)+1</f>
        <v>43678</v>
      </c>
      <c r="AX241" s="112" t="n">
        <f aca="false">AY241</f>
        <v>3.86309615695957</v>
      </c>
      <c r="AY241" s="1323" t="n">
        <v>3.86309615695957</v>
      </c>
      <c r="AZ241" s="112" t="n">
        <f aca="false">AY241</f>
        <v>3.86309615695957</v>
      </c>
      <c r="BA241" s="163"/>
      <c r="BB241" s="163"/>
      <c r="BC241" s="163"/>
      <c r="BD241" s="163" t="n">
        <v>0</v>
      </c>
      <c r="BE241" s="163"/>
      <c r="BF241" s="163" t="n">
        <v>0</v>
      </c>
      <c r="BG241" s="1290" t="n">
        <v>0</v>
      </c>
      <c r="BH241" s="1262"/>
      <c r="BI241" s="1292"/>
      <c r="BJ241" s="1291"/>
      <c r="BK241" s="1293" t="n">
        <v>0</v>
      </c>
      <c r="BL241" s="1294" t="n">
        <f aca="false">+AY241</f>
        <v>3.86309615695957</v>
      </c>
      <c r="BM241" s="1295" t="n">
        <f aca="false">AY241</f>
        <v>3.86309615695957</v>
      </c>
      <c r="BN241" s="1324" t="n">
        <f aca="false">+BM241/BM229-1</f>
        <v>0.0242463045616173</v>
      </c>
      <c r="BO241" s="1296" t="n">
        <f aca="false">BM241</f>
        <v>3.86309615695957</v>
      </c>
      <c r="BP241" s="1318" t="n">
        <f aca="false">+AY241/AY229-1</f>
        <v>0.0242463045616173</v>
      </c>
      <c r="BQ241" s="1298" t="n">
        <f aca="false">VLOOKUP($AW241,$BU$8:$BZ$291,5,FALSE())</f>
        <v>4.4875021929137</v>
      </c>
      <c r="BR241" s="1298" t="n">
        <f aca="false">VLOOKUP($AW241,$BU$8:$BZ$291,6,FALSE())</f>
        <v>3.5725680405077</v>
      </c>
      <c r="BS241" s="1262" t="n">
        <v>0</v>
      </c>
      <c r="BU241" s="1309" t="n">
        <f aca="false">EDATE(BU240,1)</f>
        <v>43252</v>
      </c>
      <c r="BV241" s="1310" t="n">
        <v>2.8120555591058</v>
      </c>
      <c r="BW241" s="1310" t="n">
        <v>2.23766074975937</v>
      </c>
      <c r="BX241" s="1310"/>
      <c r="BY241" s="1310" t="n">
        <v>4.17856663539972</v>
      </c>
      <c r="BZ241" s="1311" t="n">
        <v>3.32504616418791</v>
      </c>
    </row>
    <row r="242" customFormat="false" ht="12.75" hidden="false" customHeight="false" outlineLevel="0" collapsed="false">
      <c r="A242" s="1246"/>
      <c r="B242" s="1312" t="n">
        <v>42675</v>
      </c>
      <c r="C242" s="1313" t="n">
        <v>56.8803897615027</v>
      </c>
      <c r="D242" s="1313"/>
      <c r="E242" s="1313"/>
      <c r="F242" s="1287"/>
      <c r="G242" s="1313"/>
      <c r="H242" s="1313"/>
      <c r="I242" s="1313"/>
      <c r="J242" s="1253"/>
      <c r="K242" s="1254" t="n">
        <v>43556</v>
      </c>
      <c r="L242" s="1314" t="n">
        <v>0</v>
      </c>
      <c r="M242" s="1314" t="n">
        <v>0</v>
      </c>
      <c r="N242" s="1314" t="n">
        <v>0</v>
      </c>
      <c r="O242" s="1252"/>
      <c r="P242" s="1314" t="n">
        <v>0</v>
      </c>
      <c r="Q242" s="1314" t="n">
        <v>0</v>
      </c>
      <c r="R242" s="1314" t="n">
        <v>0</v>
      </c>
      <c r="S242" s="1252"/>
      <c r="T242" s="1314" t="n">
        <v>0</v>
      </c>
      <c r="U242" s="1314" t="n">
        <v>0</v>
      </c>
      <c r="V242" s="1314" t="n">
        <v>0</v>
      </c>
      <c r="W242" s="1252"/>
      <c r="X242" s="1314" t="n">
        <v>0</v>
      </c>
      <c r="Y242" s="1314" t="n">
        <v>0</v>
      </c>
      <c r="Z242" s="1314" t="n">
        <v>0</v>
      </c>
      <c r="AA242" s="1252" t="n">
        <v>0</v>
      </c>
      <c r="AB242" s="1314" t="n">
        <v>0</v>
      </c>
      <c r="AC242" s="1314" t="n">
        <v>0</v>
      </c>
      <c r="AD242" s="1314" t="n">
        <v>0</v>
      </c>
      <c r="AE242" s="1252"/>
      <c r="AF242" s="1314" t="n">
        <v>0</v>
      </c>
      <c r="AG242" s="1314" t="n">
        <v>0</v>
      </c>
      <c r="AH242" s="1314" t="n">
        <v>0</v>
      </c>
      <c r="AI242" s="1252"/>
      <c r="AJ242" s="1314" t="n">
        <v>0</v>
      </c>
      <c r="AK242" s="1314" t="n">
        <v>0</v>
      </c>
      <c r="AL242" s="1314" t="n">
        <v>0</v>
      </c>
      <c r="AM242" s="1166"/>
      <c r="AN242" s="1253" t="n">
        <v>78</v>
      </c>
      <c r="AO242" s="1316" t="n">
        <v>0.35</v>
      </c>
      <c r="AP242" s="1252"/>
      <c r="AQ242" s="0"/>
      <c r="AR242" s="0"/>
      <c r="AS242" s="0"/>
      <c r="AT242" s="0"/>
      <c r="AU242" s="0" t="str">
        <f aca="false">AV242&amp;"Q"&amp;ROUNDUP(MONTH(AW242)/3,0)</f>
        <v>2019Q3</v>
      </c>
      <c r="AV242" s="0" t="n">
        <f aca="false">YEAR(AW242)</f>
        <v>2019</v>
      </c>
      <c r="AW242" s="1304" t="n">
        <f aca="false">EOMONTH(AW241,0)+1</f>
        <v>43709</v>
      </c>
      <c r="AX242" s="112" t="n">
        <f aca="false">AY242</f>
        <v>4.03034782582921</v>
      </c>
      <c r="AY242" s="1323" t="n">
        <v>4.03034782582921</v>
      </c>
      <c r="AZ242" s="112" t="n">
        <f aca="false">AY242</f>
        <v>4.03034782582921</v>
      </c>
      <c r="BA242" s="163"/>
      <c r="BB242" s="163"/>
      <c r="BC242" s="163"/>
      <c r="BD242" s="163" t="n">
        <v>0</v>
      </c>
      <c r="BE242" s="163"/>
      <c r="BF242" s="163" t="n">
        <v>0</v>
      </c>
      <c r="BG242" s="1290" t="n">
        <v>0</v>
      </c>
      <c r="BH242" s="1262"/>
      <c r="BI242" s="1292"/>
      <c r="BJ242" s="1291"/>
      <c r="BK242" s="1293" t="n">
        <v>0</v>
      </c>
      <c r="BL242" s="1294" t="n">
        <f aca="false">+AY242</f>
        <v>4.03034782582921</v>
      </c>
      <c r="BM242" s="1295" t="n">
        <f aca="false">AY242</f>
        <v>4.03034782582921</v>
      </c>
      <c r="BN242" s="1324" t="n">
        <f aca="false">+BM242/BM230-1</f>
        <v>0.0242463045616175</v>
      </c>
      <c r="BO242" s="1296" t="n">
        <f aca="false">BM242</f>
        <v>4.03034782582921</v>
      </c>
      <c r="BP242" s="1318" t="n">
        <f aca="false">+AY242/AY230-1</f>
        <v>0.0242463045616175</v>
      </c>
      <c r="BQ242" s="1298" t="n">
        <f aca="false">VLOOKUP($AW242,$BU$8:$BZ$291,5,FALSE())</f>
        <v>4.63869772562461</v>
      </c>
      <c r="BR242" s="1298" t="n">
        <f aca="false">VLOOKUP($AW242,$BU$8:$BZ$291,6,FALSE())</f>
        <v>3.67322644354241</v>
      </c>
      <c r="BS242" s="1262" t="n">
        <v>0</v>
      </c>
      <c r="BU242" s="1309" t="n">
        <f aca="false">EDATE(BU241,1)</f>
        <v>43282</v>
      </c>
      <c r="BV242" s="1310" t="n">
        <v>2.84804889417191</v>
      </c>
      <c r="BW242" s="1310" t="n">
        <v>2.27226780529168</v>
      </c>
      <c r="BX242" s="1310"/>
      <c r="BY242" s="1310" t="n">
        <v>4.23205083791378</v>
      </c>
      <c r="BZ242" s="1311" t="n">
        <v>3.37647042823862</v>
      </c>
    </row>
    <row r="243" customFormat="false" ht="12.75" hidden="false" customHeight="false" outlineLevel="0" collapsed="false">
      <c r="A243" s="1246"/>
      <c r="B243" s="1312" t="n">
        <v>42705</v>
      </c>
      <c r="C243" s="1313" t="n">
        <v>58.4954678150643</v>
      </c>
      <c r="D243" s="1313"/>
      <c r="E243" s="1313"/>
      <c r="F243" s="1287"/>
      <c r="G243" s="1313"/>
      <c r="H243" s="1313"/>
      <c r="I243" s="1313"/>
      <c r="J243" s="1253"/>
      <c r="K243" s="1254" t="n">
        <v>43586</v>
      </c>
      <c r="L243" s="1314" t="n">
        <v>0</v>
      </c>
      <c r="M243" s="1314" t="n">
        <v>0</v>
      </c>
      <c r="N243" s="1314" t="n">
        <v>0</v>
      </c>
      <c r="O243" s="1252"/>
      <c r="P243" s="1314" t="n">
        <v>0</v>
      </c>
      <c r="Q243" s="1314" t="n">
        <v>0</v>
      </c>
      <c r="R243" s="1314" t="n">
        <v>0</v>
      </c>
      <c r="S243" s="1252"/>
      <c r="T243" s="1314" t="n">
        <v>0</v>
      </c>
      <c r="U243" s="1314" t="n">
        <v>0</v>
      </c>
      <c r="V243" s="1314" t="n">
        <v>0</v>
      </c>
      <c r="W243" s="1252"/>
      <c r="X243" s="1314" t="n">
        <v>0</v>
      </c>
      <c r="Y243" s="1314" t="n">
        <v>0</v>
      </c>
      <c r="Z243" s="1314" t="n">
        <v>0</v>
      </c>
      <c r="AA243" s="1252" t="n">
        <v>0</v>
      </c>
      <c r="AB243" s="1314" t="n">
        <v>0</v>
      </c>
      <c r="AC243" s="1314" t="n">
        <v>0</v>
      </c>
      <c r="AD243" s="1314" t="n">
        <v>0</v>
      </c>
      <c r="AE243" s="1252"/>
      <c r="AF243" s="1314" t="n">
        <v>0</v>
      </c>
      <c r="AG243" s="1314" t="n">
        <v>0</v>
      </c>
      <c r="AH243" s="1314" t="n">
        <v>0</v>
      </c>
      <c r="AI243" s="1252"/>
      <c r="AJ243" s="1314" t="n">
        <v>0</v>
      </c>
      <c r="AK243" s="1314" t="n">
        <v>0</v>
      </c>
      <c r="AL243" s="1314" t="n">
        <v>0</v>
      </c>
      <c r="AM243" s="1166"/>
      <c r="AN243" s="1253" t="n">
        <v>78</v>
      </c>
      <c r="AO243" s="1316" t="n">
        <v>0.35</v>
      </c>
      <c r="AP243" s="1252"/>
      <c r="AQ243" s="0"/>
      <c r="AR243" s="0"/>
      <c r="AS243" s="0"/>
      <c r="AT243" s="0"/>
      <c r="AU243" s="0" t="str">
        <f aca="false">AV243&amp;"Q"&amp;ROUNDUP(MONTH(AW243)/3,0)</f>
        <v>2019Q4</v>
      </c>
      <c r="AV243" s="0" t="n">
        <f aca="false">YEAR(AW243)</f>
        <v>2019</v>
      </c>
      <c r="AW243" s="1304" t="n">
        <f aca="false">EOMONTH(AW242,0)+1</f>
        <v>43739</v>
      </c>
      <c r="AX243" s="112" t="n">
        <f aca="false">AY243</f>
        <v>4.20945413272021</v>
      </c>
      <c r="AY243" s="1323" t="n">
        <v>4.20945413272021</v>
      </c>
      <c r="AZ243" s="112" t="n">
        <f aca="false">AY243</f>
        <v>4.20945413272021</v>
      </c>
      <c r="BA243" s="163"/>
      <c r="BB243" s="163"/>
      <c r="BC243" s="163"/>
      <c r="BD243" s="163" t="n">
        <v>0</v>
      </c>
      <c r="BE243" s="163"/>
      <c r="BF243" s="163" t="n">
        <v>0</v>
      </c>
      <c r="BG243" s="1290" t="n">
        <v>0</v>
      </c>
      <c r="BH243" s="1262"/>
      <c r="BI243" s="1292"/>
      <c r="BJ243" s="1291"/>
      <c r="BK243" s="1293" t="n">
        <v>0</v>
      </c>
      <c r="BL243" s="1294" t="n">
        <f aca="false">+AY243</f>
        <v>4.20945413272021</v>
      </c>
      <c r="BM243" s="1295" t="n">
        <f aca="false">AY243</f>
        <v>4.20945413272021</v>
      </c>
      <c r="BN243" s="1324" t="n">
        <f aca="false">+BM243/BM231-1</f>
        <v>0.0242463045616175</v>
      </c>
      <c r="BO243" s="1296" t="n">
        <f aca="false">BM243</f>
        <v>4.20945413272021</v>
      </c>
      <c r="BP243" s="1318" t="n">
        <f aca="false">+AY243/AY231-1</f>
        <v>0.0242463045616175</v>
      </c>
      <c r="BQ243" s="1298" t="n">
        <f aca="false">VLOOKUP($AW243,$BU$8:$BZ$291,5,FALSE())</f>
        <v>4.83778749540544</v>
      </c>
      <c r="BR243" s="1298" t="n">
        <f aca="false">VLOOKUP($AW243,$BU$8:$BZ$291,6,FALSE())</f>
        <v>3.77952171714705</v>
      </c>
      <c r="BS243" s="1262" t="n">
        <v>0</v>
      </c>
      <c r="BU243" s="1309" t="n">
        <f aca="false">EDATE(BU242,1)</f>
        <v>43313</v>
      </c>
      <c r="BV243" s="1310" t="n">
        <v>2.91515511209178</v>
      </c>
      <c r="BW243" s="1310" t="n">
        <v>2.32627578589513</v>
      </c>
      <c r="BX243" s="1310"/>
      <c r="BY243" s="1310" t="n">
        <v>4.33176714768577</v>
      </c>
      <c r="BZ243" s="1311" t="n">
        <v>3.45672344637837</v>
      </c>
    </row>
    <row r="244" customFormat="false" ht="12.75" hidden="false" customHeight="false" outlineLevel="0" collapsed="false">
      <c r="A244" s="1246"/>
      <c r="B244" s="1312" t="n">
        <v>42736</v>
      </c>
      <c r="C244" s="1313" t="n">
        <v>55.5155762008891</v>
      </c>
      <c r="D244" s="1313"/>
      <c r="E244" s="1313"/>
      <c r="F244" s="1287"/>
      <c r="G244" s="1313"/>
      <c r="H244" s="1313"/>
      <c r="I244" s="1313"/>
      <c r="J244" s="1253"/>
      <c r="K244" s="1254" t="n">
        <v>43617</v>
      </c>
      <c r="L244" s="1314" t="n">
        <v>0</v>
      </c>
      <c r="M244" s="1314" t="n">
        <v>0</v>
      </c>
      <c r="N244" s="1314" t="n">
        <v>0</v>
      </c>
      <c r="O244" s="1252"/>
      <c r="P244" s="1314" t="n">
        <v>0</v>
      </c>
      <c r="Q244" s="1314" t="n">
        <v>0</v>
      </c>
      <c r="R244" s="1314" t="n">
        <v>0</v>
      </c>
      <c r="S244" s="1252"/>
      <c r="T244" s="1314" t="n">
        <v>0</v>
      </c>
      <c r="U244" s="1314" t="n">
        <v>0</v>
      </c>
      <c r="V244" s="1314" t="n">
        <v>0</v>
      </c>
      <c r="W244" s="1252"/>
      <c r="X244" s="1314" t="n">
        <v>0</v>
      </c>
      <c r="Y244" s="1314" t="n">
        <v>0</v>
      </c>
      <c r="Z244" s="1314" t="n">
        <v>0</v>
      </c>
      <c r="AA244" s="1252" t="n">
        <v>0</v>
      </c>
      <c r="AB244" s="1314" t="n">
        <v>0</v>
      </c>
      <c r="AC244" s="1314" t="n">
        <v>0</v>
      </c>
      <c r="AD244" s="1314" t="n">
        <v>0</v>
      </c>
      <c r="AE244" s="1252"/>
      <c r="AF244" s="1314" t="n">
        <v>0</v>
      </c>
      <c r="AG244" s="1314" t="n">
        <v>0</v>
      </c>
      <c r="AH244" s="1314" t="n">
        <v>0</v>
      </c>
      <c r="AI244" s="1252"/>
      <c r="AJ244" s="1314" t="n">
        <v>0</v>
      </c>
      <c r="AK244" s="1314" t="n">
        <v>0</v>
      </c>
      <c r="AL244" s="1314" t="n">
        <v>0</v>
      </c>
      <c r="AM244" s="1166"/>
      <c r="AN244" s="1253" t="n">
        <v>79</v>
      </c>
      <c r="AO244" s="1316" t="n">
        <v>0.35</v>
      </c>
      <c r="AP244" s="1252"/>
      <c r="AQ244" s="0"/>
      <c r="AR244" s="0"/>
      <c r="AS244" s="0"/>
      <c r="AT244" s="0"/>
      <c r="AU244" s="0" t="str">
        <f aca="false">AV244&amp;"Q"&amp;ROUNDUP(MONTH(AW244)/3,0)</f>
        <v>2019Q4</v>
      </c>
      <c r="AV244" s="0" t="n">
        <f aca="false">YEAR(AW244)</f>
        <v>2019</v>
      </c>
      <c r="AW244" s="1304" t="n">
        <f aca="false">EOMONTH(AW243,0)+1</f>
        <v>43770</v>
      </c>
      <c r="AX244" s="112" t="n">
        <f aca="false">AY244</f>
        <v>4.38607086837252</v>
      </c>
      <c r="AY244" s="1323" t="n">
        <v>4.38607086837252</v>
      </c>
      <c r="AZ244" s="112" t="n">
        <f aca="false">AY244</f>
        <v>4.38607086837252</v>
      </c>
      <c r="BA244" s="163"/>
      <c r="BB244" s="163"/>
      <c r="BC244" s="163"/>
      <c r="BD244" s="163" t="n">
        <v>0</v>
      </c>
      <c r="BE244" s="163"/>
      <c r="BF244" s="163" t="n">
        <v>0</v>
      </c>
      <c r="BG244" s="1290" t="n">
        <v>0</v>
      </c>
      <c r="BH244" s="1262"/>
      <c r="BI244" s="1292"/>
      <c r="BJ244" s="1291"/>
      <c r="BK244" s="1293" t="n">
        <v>0</v>
      </c>
      <c r="BL244" s="1294" t="n">
        <f aca="false">+AY244</f>
        <v>4.38607086837252</v>
      </c>
      <c r="BM244" s="1295" t="n">
        <f aca="false">AY244</f>
        <v>4.38607086837252</v>
      </c>
      <c r="BN244" s="1324" t="n">
        <f aca="false">+BM244/BM232-1</f>
        <v>0.0242463045616175</v>
      </c>
      <c r="BO244" s="1296" t="n">
        <f aca="false">BM244</f>
        <v>4.38607086837252</v>
      </c>
      <c r="BP244" s="1318" t="n">
        <f aca="false">+AY244/AY232-1</f>
        <v>0.0242463045616175</v>
      </c>
      <c r="BQ244" s="1298" t="n">
        <f aca="false">VLOOKUP($AW244,$BU$8:$BZ$291,5,FALSE())</f>
        <v>5.08477150225619</v>
      </c>
      <c r="BR244" s="1298" t="n">
        <f aca="false">VLOOKUP($AW244,$BU$8:$BZ$291,6,FALSE())</f>
        <v>3.87937485295748</v>
      </c>
      <c r="BS244" s="1262" t="n">
        <v>0</v>
      </c>
      <c r="BU244" s="1309" t="n">
        <f aca="false">EDATE(BU243,1)</f>
        <v>43344</v>
      </c>
      <c r="BV244" s="1310" t="n">
        <v>3.01337421286541</v>
      </c>
      <c r="BW244" s="1310" t="n">
        <v>2.39181945167601</v>
      </c>
      <c r="BX244" s="1310"/>
      <c r="BY244" s="1310" t="n">
        <v>4.47771556471568</v>
      </c>
      <c r="BZ244" s="1311" t="n">
        <v>3.55411788586834</v>
      </c>
    </row>
    <row r="245" customFormat="false" ht="12.75" hidden="false" customHeight="false" outlineLevel="0" collapsed="false">
      <c r="A245" s="1246"/>
      <c r="B245" s="1312" t="n">
        <v>42767</v>
      </c>
      <c r="C245" s="1313" t="n">
        <v>45.6432354133725</v>
      </c>
      <c r="D245" s="1313"/>
      <c r="E245" s="1313"/>
      <c r="F245" s="1287"/>
      <c r="G245" s="1313"/>
      <c r="H245" s="1313"/>
      <c r="I245" s="1313"/>
      <c r="J245" s="1253"/>
      <c r="K245" s="1254" t="n">
        <v>43647</v>
      </c>
      <c r="L245" s="1314" t="n">
        <v>0</v>
      </c>
      <c r="M245" s="1314" t="n">
        <v>0</v>
      </c>
      <c r="N245" s="1314" t="n">
        <v>0</v>
      </c>
      <c r="O245" s="1252"/>
      <c r="P245" s="1314" t="n">
        <v>0</v>
      </c>
      <c r="Q245" s="1314" t="n">
        <v>0</v>
      </c>
      <c r="R245" s="1314" t="n">
        <v>0</v>
      </c>
      <c r="S245" s="1252"/>
      <c r="T245" s="1314" t="n">
        <v>0</v>
      </c>
      <c r="U245" s="1314" t="n">
        <v>0</v>
      </c>
      <c r="V245" s="1314" t="n">
        <v>0</v>
      </c>
      <c r="W245" s="1252"/>
      <c r="X245" s="1314" t="n">
        <v>0</v>
      </c>
      <c r="Y245" s="1314" t="n">
        <v>0</v>
      </c>
      <c r="Z245" s="1314" t="n">
        <v>0</v>
      </c>
      <c r="AA245" s="1252" t="n">
        <v>0</v>
      </c>
      <c r="AB245" s="1314" t="n">
        <v>0</v>
      </c>
      <c r="AC245" s="1314" t="n">
        <v>0</v>
      </c>
      <c r="AD245" s="1314" t="n">
        <v>0</v>
      </c>
      <c r="AE245" s="1252"/>
      <c r="AF245" s="1314" t="n">
        <v>0</v>
      </c>
      <c r="AG245" s="1314" t="n">
        <v>0</v>
      </c>
      <c r="AH245" s="1314" t="n">
        <v>0</v>
      </c>
      <c r="AI245" s="1252"/>
      <c r="AJ245" s="1314" t="n">
        <v>0</v>
      </c>
      <c r="AK245" s="1314" t="n">
        <v>0</v>
      </c>
      <c r="AL245" s="1314" t="n">
        <v>0</v>
      </c>
      <c r="AM245" s="1166"/>
      <c r="AN245" s="1253" t="n">
        <v>79</v>
      </c>
      <c r="AO245" s="1316" t="n">
        <v>0.35</v>
      </c>
      <c r="AP245" s="1252"/>
      <c r="AQ245" s="0"/>
      <c r="AR245" s="0"/>
      <c r="AS245" s="0"/>
      <c r="AT245" s="0"/>
      <c r="AU245" s="0" t="str">
        <f aca="false">AV245&amp;"Q"&amp;ROUNDUP(MONTH(AW245)/3,0)</f>
        <v>2019Q4</v>
      </c>
      <c r="AV245" s="0" t="n">
        <f aca="false">YEAR(AW245)</f>
        <v>2019</v>
      </c>
      <c r="AW245" s="1304" t="n">
        <f aca="false">EOMONTH(AW244,0)+1</f>
        <v>43800</v>
      </c>
      <c r="AX245" s="112" t="n">
        <f aca="false">AY245</f>
        <v>4.57263283700635</v>
      </c>
      <c r="AY245" s="1323" t="n">
        <v>4.57263283700635</v>
      </c>
      <c r="AZ245" s="112" t="n">
        <f aca="false">AY245</f>
        <v>4.57263283700635</v>
      </c>
      <c r="BA245" s="163"/>
      <c r="BB245" s="163"/>
      <c r="BC245" s="163"/>
      <c r="BD245" s="163" t="n">
        <v>0</v>
      </c>
      <c r="BE245" s="163"/>
      <c r="BF245" s="163" t="n">
        <v>0</v>
      </c>
      <c r="BG245" s="1290" t="n">
        <v>0</v>
      </c>
      <c r="BH245" s="1262"/>
      <c r="BI245" s="1292"/>
      <c r="BJ245" s="1291"/>
      <c r="BK245" s="1293" t="n">
        <v>0</v>
      </c>
      <c r="BL245" s="1294" t="n">
        <f aca="false">+AY245</f>
        <v>4.57263283700635</v>
      </c>
      <c r="BM245" s="1295" t="n">
        <f aca="false">AY245</f>
        <v>4.57263283700635</v>
      </c>
      <c r="BN245" s="1324" t="n">
        <f aca="false">+BM245/BM233-1</f>
        <v>0.0242463045616173</v>
      </c>
      <c r="BO245" s="1296" t="n">
        <f aca="false">BM245</f>
        <v>4.57263283700635</v>
      </c>
      <c r="BP245" s="1318" t="n">
        <f aca="false">+AY245/AY233-1</f>
        <v>0.0242463045616173</v>
      </c>
      <c r="BQ245" s="1298" t="n">
        <f aca="false">VLOOKUP($AW245,$BU$8:$BZ$291,5,FALSE())</f>
        <v>5.19218606766908</v>
      </c>
      <c r="BR245" s="1298" t="n">
        <f aca="false">VLOOKUP($AW245,$BU$8:$BZ$291,6,FALSE())</f>
        <v>3.96070684260952</v>
      </c>
      <c r="BS245" s="1262" t="n">
        <v>0</v>
      </c>
      <c r="BU245" s="1309" t="n">
        <f aca="false">EDATE(BU244,1)</f>
        <v>43374</v>
      </c>
      <c r="BV245" s="1310" t="n">
        <v>3.14270619649279</v>
      </c>
      <c r="BW245" s="1310" t="n">
        <v>2.46103356274063</v>
      </c>
      <c r="BX245" s="1310"/>
      <c r="BY245" s="1310" t="n">
        <v>4.6698960890035</v>
      </c>
      <c r="BZ245" s="1311" t="n">
        <v>3.65696641396976</v>
      </c>
    </row>
    <row r="246" customFormat="false" ht="12.75" hidden="false" customHeight="false" outlineLevel="0" collapsed="false">
      <c r="A246" s="1246"/>
      <c r="B246" s="1312" t="n">
        <v>42795</v>
      </c>
      <c r="C246" s="1313" t="n">
        <v>41.6614081136563</v>
      </c>
      <c r="D246" s="1313"/>
      <c r="E246" s="1313"/>
      <c r="F246" s="1287"/>
      <c r="G246" s="1313"/>
      <c r="H246" s="1313"/>
      <c r="I246" s="1313"/>
      <c r="J246" s="1253"/>
      <c r="K246" s="1254" t="n">
        <v>43678</v>
      </c>
      <c r="L246" s="1314" t="n">
        <v>0</v>
      </c>
      <c r="M246" s="1314" t="n">
        <v>0</v>
      </c>
      <c r="N246" s="1314" t="n">
        <v>0</v>
      </c>
      <c r="O246" s="1252"/>
      <c r="P246" s="1314" t="n">
        <v>0</v>
      </c>
      <c r="Q246" s="1314" t="n">
        <v>0</v>
      </c>
      <c r="R246" s="1314" t="n">
        <v>0</v>
      </c>
      <c r="S246" s="1252"/>
      <c r="T246" s="1314" t="n">
        <v>0</v>
      </c>
      <c r="U246" s="1314" t="n">
        <v>0</v>
      </c>
      <c r="V246" s="1314" t="n">
        <v>0</v>
      </c>
      <c r="W246" s="1252"/>
      <c r="X246" s="1314" t="n">
        <v>0</v>
      </c>
      <c r="Y246" s="1314" t="n">
        <v>0</v>
      </c>
      <c r="Z246" s="1314" t="n">
        <v>0</v>
      </c>
      <c r="AA246" s="1252" t="n">
        <v>0</v>
      </c>
      <c r="AB246" s="1314" t="n">
        <v>0</v>
      </c>
      <c r="AC246" s="1314" t="n">
        <v>0</v>
      </c>
      <c r="AD246" s="1314" t="n">
        <v>0</v>
      </c>
      <c r="AE246" s="1252"/>
      <c r="AF246" s="1314" t="n">
        <v>0</v>
      </c>
      <c r="AG246" s="1314" t="n">
        <v>0</v>
      </c>
      <c r="AH246" s="1314" t="n">
        <v>0</v>
      </c>
      <c r="AI246" s="1252"/>
      <c r="AJ246" s="1314" t="n">
        <v>0</v>
      </c>
      <c r="AK246" s="1314" t="n">
        <v>0</v>
      </c>
      <c r="AL246" s="1314" t="n">
        <v>0</v>
      </c>
      <c r="AM246" s="1166"/>
      <c r="AN246" s="1253" t="n">
        <v>79</v>
      </c>
      <c r="AO246" s="1316" t="n">
        <v>0.35</v>
      </c>
      <c r="AP246" s="1252"/>
      <c r="AQ246" s="0"/>
      <c r="AR246" s="0"/>
      <c r="AS246" s="0"/>
      <c r="AT246" s="0"/>
      <c r="AU246" s="0" t="str">
        <f aca="false">AV246&amp;"Q"&amp;ROUNDUP(MONTH(AW246)/3,0)</f>
        <v>2020Q1</v>
      </c>
      <c r="AV246" s="0" t="n">
        <f aca="false">YEAR(AW246)</f>
        <v>2020</v>
      </c>
      <c r="AW246" s="1304" t="n">
        <f aca="false">EOMONTH(AW245,0)+1</f>
        <v>43831</v>
      </c>
      <c r="AX246" s="112" t="n">
        <f aca="false">AY246</f>
        <v>4.36859174031781</v>
      </c>
      <c r="AY246" s="1323" t="n">
        <v>4.36859174031781</v>
      </c>
      <c r="AZ246" s="112" t="n">
        <f aca="false">AY246</f>
        <v>4.36859174031781</v>
      </c>
      <c r="BA246" s="163"/>
      <c r="BB246" s="163"/>
      <c r="BC246" s="163"/>
      <c r="BD246" s="163" t="n">
        <v>0</v>
      </c>
      <c r="BE246" s="163"/>
      <c r="BF246" s="163" t="n">
        <v>0</v>
      </c>
      <c r="BG246" s="1290" t="n">
        <v>0</v>
      </c>
      <c r="BH246" s="1262"/>
      <c r="BI246" s="1292"/>
      <c r="BJ246" s="1291"/>
      <c r="BK246" s="1293" t="n">
        <v>0</v>
      </c>
      <c r="BL246" s="1294" t="n">
        <f aca="false">+AY246</f>
        <v>4.36859174031781</v>
      </c>
      <c r="BM246" s="1295" t="n">
        <f aca="false">AY246</f>
        <v>4.36859174031781</v>
      </c>
      <c r="BN246" s="1324" t="n">
        <f aca="false">+BM246/BM234-1</f>
        <v>0.0266330416630427</v>
      </c>
      <c r="BO246" s="1296" t="n">
        <f aca="false">BM246</f>
        <v>4.36859174031781</v>
      </c>
      <c r="BP246" s="1318" t="n">
        <f aca="false">+AY246/AY234-1</f>
        <v>0.0266330416630427</v>
      </c>
      <c r="BQ246" s="1298" t="n">
        <f aca="false">VLOOKUP($AW246,$BU$8:$BZ$291,5,FALSE())</f>
        <v>5.16340904812539</v>
      </c>
      <c r="BR246" s="1298" t="n">
        <f aca="false">VLOOKUP($AW246,$BU$8:$BZ$291,6,FALSE())</f>
        <v>4.18587804486932</v>
      </c>
      <c r="BS246" s="1262" t="n">
        <v>0</v>
      </c>
      <c r="BU246" s="1309" t="n">
        <f aca="false">EDATE(BU245,1)</f>
        <v>43405</v>
      </c>
      <c r="BV246" s="1310" t="n">
        <v>3.30315106297394</v>
      </c>
      <c r="BW246" s="1310" t="n">
        <v>2.52605287919526</v>
      </c>
      <c r="BX246" s="1310"/>
      <c r="BY246" s="1310" t="n">
        <v>4.90830872054925</v>
      </c>
      <c r="BZ246" s="1311" t="n">
        <v>3.75358169794383</v>
      </c>
    </row>
    <row r="247" customFormat="false" ht="12.75" hidden="false" customHeight="false" outlineLevel="0" collapsed="false">
      <c r="A247" s="1246"/>
      <c r="B247" s="1312" t="n">
        <v>42826</v>
      </c>
      <c r="C247" s="1313" t="n">
        <v>42.3356428927436</v>
      </c>
      <c r="D247" s="1313"/>
      <c r="E247" s="1313"/>
      <c r="F247" s="1287"/>
      <c r="G247" s="1313"/>
      <c r="H247" s="1313"/>
      <c r="I247" s="1313"/>
      <c r="J247" s="1253"/>
      <c r="K247" s="1254" t="n">
        <v>43709</v>
      </c>
      <c r="L247" s="1314" t="n">
        <v>0</v>
      </c>
      <c r="M247" s="1314" t="n">
        <v>0</v>
      </c>
      <c r="N247" s="1314" t="n">
        <v>0</v>
      </c>
      <c r="O247" s="1252"/>
      <c r="P247" s="1314" t="n">
        <v>0</v>
      </c>
      <c r="Q247" s="1314" t="n">
        <v>0</v>
      </c>
      <c r="R247" s="1314" t="n">
        <v>0</v>
      </c>
      <c r="S247" s="1252"/>
      <c r="T247" s="1314" t="n">
        <v>0</v>
      </c>
      <c r="U247" s="1314" t="n">
        <v>0</v>
      </c>
      <c r="V247" s="1314" t="n">
        <v>0</v>
      </c>
      <c r="W247" s="1252"/>
      <c r="X247" s="1314" t="n">
        <v>0</v>
      </c>
      <c r="Y247" s="1314" t="n">
        <v>0</v>
      </c>
      <c r="Z247" s="1314" t="n">
        <v>0</v>
      </c>
      <c r="AA247" s="1252" t="n">
        <v>0</v>
      </c>
      <c r="AB247" s="1314" t="n">
        <v>0</v>
      </c>
      <c r="AC247" s="1314" t="n">
        <v>0</v>
      </c>
      <c r="AD247" s="1314" t="n">
        <v>0</v>
      </c>
      <c r="AE247" s="1252"/>
      <c r="AF247" s="1314" t="n">
        <v>0</v>
      </c>
      <c r="AG247" s="1314" t="n">
        <v>0</v>
      </c>
      <c r="AH247" s="1314" t="n">
        <v>0</v>
      </c>
      <c r="AI247" s="1252"/>
      <c r="AJ247" s="1314" t="n">
        <v>0</v>
      </c>
      <c r="AK247" s="1314" t="n">
        <v>0</v>
      </c>
      <c r="AL247" s="1314" t="n">
        <v>0</v>
      </c>
      <c r="AM247" s="1166"/>
      <c r="AN247" s="1253" t="n">
        <v>80</v>
      </c>
      <c r="AO247" s="1316" t="n">
        <v>0.35</v>
      </c>
      <c r="AP247" s="1252"/>
      <c r="AQ247" s="0"/>
      <c r="AR247" s="0"/>
      <c r="AS247" s="0"/>
      <c r="AT247" s="0"/>
      <c r="AU247" s="0" t="str">
        <f aca="false">AV247&amp;"Q"&amp;ROUNDUP(MONTH(AW247)/3,0)</f>
        <v>2020Q1</v>
      </c>
      <c r="AV247" s="0" t="n">
        <f aca="false">YEAR(AW247)</f>
        <v>2020</v>
      </c>
      <c r="AW247" s="1304" t="n">
        <f aca="false">EOMONTH(AW246,0)+1</f>
        <v>43862</v>
      </c>
      <c r="AX247" s="112" t="n">
        <f aca="false">AY247</f>
        <v>4.03490661738077</v>
      </c>
      <c r="AY247" s="1323" t="n">
        <v>4.03490661738077</v>
      </c>
      <c r="AZ247" s="112" t="n">
        <f aca="false">AY247</f>
        <v>4.03490661738077</v>
      </c>
      <c r="BA247" s="163"/>
      <c r="BB247" s="163"/>
      <c r="BC247" s="163"/>
      <c r="BD247" s="163" t="n">
        <v>0</v>
      </c>
      <c r="BE247" s="163"/>
      <c r="BF247" s="163" t="n">
        <v>0</v>
      </c>
      <c r="BG247" s="1290" t="n">
        <v>0</v>
      </c>
      <c r="BH247" s="1262"/>
      <c r="BI247" s="1292"/>
      <c r="BJ247" s="1291"/>
      <c r="BK247" s="1293" t="n">
        <v>0</v>
      </c>
      <c r="BL247" s="1294" t="n">
        <f aca="false">+AY247</f>
        <v>4.03490661738077</v>
      </c>
      <c r="BM247" s="1295" t="n">
        <f aca="false">AY247</f>
        <v>4.03490661738077</v>
      </c>
      <c r="BN247" s="1324" t="n">
        <f aca="false">+BM247/BM235-1</f>
        <v>0.0266330416630427</v>
      </c>
      <c r="BO247" s="1296" t="n">
        <f aca="false">BM247</f>
        <v>4.03490661738077</v>
      </c>
      <c r="BP247" s="1318" t="n">
        <f aca="false">+AY247/AY235-1</f>
        <v>0.0266330416630427</v>
      </c>
      <c r="BQ247" s="1298" t="n">
        <f aca="false">VLOOKUP($AW247,$BU$8:$BZ$291,5,FALSE())</f>
        <v>4.7738064231668</v>
      </c>
      <c r="BR247" s="1298" t="n">
        <f aca="false">VLOOKUP($AW247,$BU$8:$BZ$291,6,FALSE())</f>
        <v>3.89889407926193</v>
      </c>
      <c r="BS247" s="1262" t="n">
        <v>0</v>
      </c>
      <c r="BU247" s="1309" t="n">
        <f aca="false">EDATE(BU246,1)</f>
        <v>43435</v>
      </c>
      <c r="BV247" s="1310" t="n">
        <v>3.37292932848007</v>
      </c>
      <c r="BW247" s="1310" t="n">
        <v>2.57901216114622</v>
      </c>
      <c r="BX247" s="1310"/>
      <c r="BY247" s="1310" t="n">
        <v>5.01199555247398</v>
      </c>
      <c r="BZ247" s="1311" t="n">
        <v>3.83227640505173</v>
      </c>
    </row>
    <row r="248" customFormat="false" ht="12.75" hidden="false" customHeight="false" outlineLevel="0" collapsed="false">
      <c r="A248" s="1246"/>
      <c r="B248" s="1312" t="n">
        <v>42856</v>
      </c>
      <c r="C248" s="1313" t="n">
        <v>43.6096624345499</v>
      </c>
      <c r="D248" s="1313"/>
      <c r="E248" s="1313"/>
      <c r="F248" s="1327"/>
      <c r="G248" s="1313"/>
      <c r="H248" s="1313"/>
      <c r="I248" s="1313"/>
      <c r="J248" s="1253"/>
      <c r="K248" s="1254" t="n">
        <v>43739</v>
      </c>
      <c r="L248" s="1314" t="n">
        <v>0</v>
      </c>
      <c r="M248" s="1314" t="n">
        <v>0</v>
      </c>
      <c r="N248" s="1314" t="n">
        <v>0</v>
      </c>
      <c r="O248" s="1252"/>
      <c r="P248" s="1314" t="n">
        <v>0</v>
      </c>
      <c r="Q248" s="1314" t="n">
        <v>0</v>
      </c>
      <c r="R248" s="1314" t="n">
        <v>0</v>
      </c>
      <c r="S248" s="1252"/>
      <c r="T248" s="1314" t="n">
        <v>0</v>
      </c>
      <c r="U248" s="1314" t="n">
        <v>0</v>
      </c>
      <c r="V248" s="1314" t="n">
        <v>0</v>
      </c>
      <c r="W248" s="1252"/>
      <c r="X248" s="1314" t="n">
        <v>0</v>
      </c>
      <c r="Y248" s="1314" t="n">
        <v>0</v>
      </c>
      <c r="Z248" s="1314" t="n">
        <v>0</v>
      </c>
      <c r="AA248" s="1252" t="n">
        <v>0</v>
      </c>
      <c r="AB248" s="1314" t="n">
        <v>0</v>
      </c>
      <c r="AC248" s="1314" t="n">
        <v>0</v>
      </c>
      <c r="AD248" s="1314" t="n">
        <v>0</v>
      </c>
      <c r="AE248" s="1252"/>
      <c r="AF248" s="1314" t="n">
        <v>0</v>
      </c>
      <c r="AG248" s="1314" t="n">
        <v>0</v>
      </c>
      <c r="AH248" s="1314" t="n">
        <v>0</v>
      </c>
      <c r="AI248" s="1252"/>
      <c r="AJ248" s="1314" t="n">
        <v>0</v>
      </c>
      <c r="AK248" s="1314" t="n">
        <v>0</v>
      </c>
      <c r="AL248" s="1314" t="n">
        <v>0</v>
      </c>
      <c r="AM248" s="1166"/>
      <c r="AN248" s="1253" t="n">
        <v>80</v>
      </c>
      <c r="AO248" s="1316" t="n">
        <v>0.35</v>
      </c>
      <c r="AP248" s="1252"/>
      <c r="AQ248" s="0"/>
      <c r="AR248" s="0"/>
      <c r="AS248" s="0"/>
      <c r="AT248" s="0"/>
      <c r="AU248" s="0" t="str">
        <f aca="false">AV248&amp;"Q"&amp;ROUNDUP(MONTH(AW248)/3,0)</f>
        <v>2020Q1</v>
      </c>
      <c r="AV248" s="0" t="n">
        <f aca="false">YEAR(AW248)</f>
        <v>2020</v>
      </c>
      <c r="AW248" s="1304" t="n">
        <f aca="false">EOMONTH(AW247,0)+1</f>
        <v>43891</v>
      </c>
      <c r="AX248" s="112" t="n">
        <f aca="false">AY248</f>
        <v>3.81850595697933</v>
      </c>
      <c r="AY248" s="1323" t="n">
        <v>3.81850595697933</v>
      </c>
      <c r="AZ248" s="112" t="n">
        <f aca="false">AY248</f>
        <v>3.81850595697933</v>
      </c>
      <c r="BA248" s="163"/>
      <c r="BB248" s="163"/>
      <c r="BC248" s="163"/>
      <c r="BD248" s="163" t="n">
        <v>0</v>
      </c>
      <c r="BE248" s="163"/>
      <c r="BF248" s="163" t="n">
        <v>0</v>
      </c>
      <c r="BG248" s="1290" t="n">
        <v>0</v>
      </c>
      <c r="BH248" s="1262"/>
      <c r="BI248" s="1292"/>
      <c r="BJ248" s="1291"/>
      <c r="BK248" s="1293" t="n">
        <v>0</v>
      </c>
      <c r="BL248" s="1294" t="n">
        <f aca="false">+AY248</f>
        <v>3.81850595697933</v>
      </c>
      <c r="BM248" s="1295" t="n">
        <f aca="false">AY248</f>
        <v>3.81850595697933</v>
      </c>
      <c r="BN248" s="1324" t="n">
        <f aca="false">+BM248/BM236-1</f>
        <v>0.0266887037646633</v>
      </c>
      <c r="BO248" s="1296" t="n">
        <f aca="false">BM248</f>
        <v>3.81850595697933</v>
      </c>
      <c r="BP248" s="1318" t="n">
        <f aca="false">+AY248/AY236-1</f>
        <v>0.0266887037646633</v>
      </c>
      <c r="BQ248" s="1298" t="n">
        <f aca="false">VLOOKUP($AW248,$BU$8:$BZ$291,5,FALSE())</f>
        <v>4.63206342503858</v>
      </c>
      <c r="BR248" s="1298" t="n">
        <f aca="false">VLOOKUP($AW248,$BU$8:$BZ$291,6,FALSE())</f>
        <v>3.70534675361974</v>
      </c>
      <c r="BS248" s="1262" t="n">
        <v>0</v>
      </c>
      <c r="BU248" s="1309" t="n">
        <f aca="false">EDATE(BU247,1)</f>
        <v>43466</v>
      </c>
      <c r="BV248" s="1310" t="n">
        <v>3.27274671418386</v>
      </c>
      <c r="BW248" s="1310" t="n">
        <v>2.66577688030072</v>
      </c>
      <c r="BX248" s="1310"/>
      <c r="BY248" s="1310" t="n">
        <v>4.96039204679099</v>
      </c>
      <c r="BZ248" s="1311" t="n">
        <v>4.040428297813</v>
      </c>
    </row>
    <row r="249" customFormat="false" ht="12.75" hidden="false" customHeight="false" outlineLevel="0" collapsed="false">
      <c r="A249" s="1246"/>
      <c r="B249" s="1312" t="n">
        <v>42887</v>
      </c>
      <c r="C249" s="1313" t="n">
        <v>45.657053108425</v>
      </c>
      <c r="D249" s="1313"/>
      <c r="E249" s="1313"/>
      <c r="F249" s="1327"/>
      <c r="G249" s="1313"/>
      <c r="H249" s="1313"/>
      <c r="I249" s="1313"/>
      <c r="J249" s="1253"/>
      <c r="K249" s="1254" t="n">
        <v>43770</v>
      </c>
      <c r="L249" s="1314" t="n">
        <v>0</v>
      </c>
      <c r="M249" s="1314" t="n">
        <v>0</v>
      </c>
      <c r="N249" s="1314" t="n">
        <v>0</v>
      </c>
      <c r="O249" s="1252"/>
      <c r="P249" s="1314" t="n">
        <v>0</v>
      </c>
      <c r="Q249" s="1314" t="n">
        <v>0</v>
      </c>
      <c r="R249" s="1314" t="n">
        <v>0</v>
      </c>
      <c r="S249" s="1252"/>
      <c r="T249" s="1314" t="n">
        <v>0</v>
      </c>
      <c r="U249" s="1314" t="n">
        <v>0</v>
      </c>
      <c r="V249" s="1314" t="n">
        <v>0</v>
      </c>
      <c r="W249" s="1252"/>
      <c r="X249" s="1314" t="n">
        <v>0</v>
      </c>
      <c r="Y249" s="1314" t="n">
        <v>0</v>
      </c>
      <c r="Z249" s="1314" t="n">
        <v>0</v>
      </c>
      <c r="AA249" s="1252" t="n">
        <v>0</v>
      </c>
      <c r="AB249" s="1314" t="n">
        <v>0</v>
      </c>
      <c r="AC249" s="1314" t="n">
        <v>0</v>
      </c>
      <c r="AD249" s="1314" t="n">
        <v>0</v>
      </c>
      <c r="AE249" s="1252"/>
      <c r="AF249" s="1314" t="n">
        <v>0</v>
      </c>
      <c r="AG249" s="1314" t="n">
        <v>0</v>
      </c>
      <c r="AH249" s="1314" t="n">
        <v>0</v>
      </c>
      <c r="AI249" s="1252"/>
      <c r="AJ249" s="1314" t="n">
        <v>0</v>
      </c>
      <c r="AK249" s="1314" t="n">
        <v>0</v>
      </c>
      <c r="AL249" s="1314" t="n">
        <v>0</v>
      </c>
      <c r="AM249" s="1166"/>
      <c r="AN249" s="1253" t="n">
        <v>80</v>
      </c>
      <c r="AO249" s="1316" t="n">
        <v>0.35</v>
      </c>
      <c r="AP249" s="1252"/>
      <c r="AQ249" s="0"/>
      <c r="AR249" s="0"/>
      <c r="AS249" s="0"/>
      <c r="AT249" s="0"/>
      <c r="AU249" s="0" t="str">
        <f aca="false">AV249&amp;"Q"&amp;ROUNDUP(MONTH(AW249)/3,0)</f>
        <v>2020Q2</v>
      </c>
      <c r="AV249" s="0" t="n">
        <f aca="false">YEAR(AW249)</f>
        <v>2020</v>
      </c>
      <c r="AW249" s="1304" t="n">
        <f aca="false">EOMONTH(AW248,0)+1</f>
        <v>43922</v>
      </c>
      <c r="AX249" s="112" t="n">
        <f aca="false">AY249</f>
        <v>3.70394805234407</v>
      </c>
      <c r="AY249" s="1323" t="n">
        <v>3.70394805234407</v>
      </c>
      <c r="AZ249" s="112" t="n">
        <f aca="false">AY249</f>
        <v>3.70394805234407</v>
      </c>
      <c r="BA249" s="163"/>
      <c r="BB249" s="163"/>
      <c r="BC249" s="163"/>
      <c r="BD249" s="163" t="n">
        <v>0</v>
      </c>
      <c r="BE249" s="163"/>
      <c r="BF249" s="163" t="n">
        <v>0</v>
      </c>
      <c r="BG249" s="1290" t="n">
        <v>0</v>
      </c>
      <c r="BH249" s="1262"/>
      <c r="BI249" s="1292"/>
      <c r="BJ249" s="1291"/>
      <c r="BK249" s="1293" t="n">
        <v>0</v>
      </c>
      <c r="BL249" s="1294" t="n">
        <f aca="false">+AY249</f>
        <v>3.70394805234407</v>
      </c>
      <c r="BM249" s="1295" t="n">
        <f aca="false">AY249</f>
        <v>3.70394805234407</v>
      </c>
      <c r="BN249" s="1324" t="n">
        <f aca="false">+BM249/BM237-1</f>
        <v>0.0266887037646635</v>
      </c>
      <c r="BO249" s="1296" t="n">
        <f aca="false">BM249</f>
        <v>3.70394805234407</v>
      </c>
      <c r="BP249" s="1318" t="n">
        <f aca="false">+AY249/AY237-1</f>
        <v>0.0266887037646635</v>
      </c>
      <c r="BQ249" s="1298" t="n">
        <f aca="false">VLOOKUP($AW249,$BU$8:$BZ$291,5,FALSE())</f>
        <v>4.54017486073477</v>
      </c>
      <c r="BR249" s="1298" t="n">
        <f aca="false">VLOOKUP($AW249,$BU$8:$BZ$291,6,FALSE())</f>
        <v>3.59272223223313</v>
      </c>
      <c r="BS249" s="1262" t="n">
        <v>0</v>
      </c>
      <c r="BU249" s="1309" t="n">
        <f aca="false">EDATE(BU248,1)</f>
        <v>43497</v>
      </c>
      <c r="BV249" s="1310" t="n">
        <v>3.02580313508983</v>
      </c>
      <c r="BW249" s="1310" t="n">
        <v>2.48301111112814</v>
      </c>
      <c r="BX249" s="1310"/>
      <c r="BY249" s="1310" t="n">
        <v>4.58610797511647</v>
      </c>
      <c r="BZ249" s="1311" t="n">
        <v>3.7634163726615</v>
      </c>
    </row>
    <row r="250" customFormat="false" ht="12.75" hidden="false" customHeight="false" outlineLevel="0" collapsed="false">
      <c r="A250" s="1246"/>
      <c r="B250" s="1312" t="n">
        <v>42917</v>
      </c>
      <c r="C250" s="1313" t="n">
        <v>61.7072721724586</v>
      </c>
      <c r="D250" s="1313"/>
      <c r="E250" s="1313"/>
      <c r="F250" s="1327"/>
      <c r="G250" s="1313"/>
      <c r="H250" s="1313"/>
      <c r="I250" s="1313"/>
      <c r="J250" s="1253"/>
      <c r="K250" s="1254" t="n">
        <v>43800</v>
      </c>
      <c r="L250" s="1314" t="n">
        <v>0</v>
      </c>
      <c r="M250" s="1314" t="n">
        <v>0</v>
      </c>
      <c r="N250" s="1314" t="n">
        <v>0</v>
      </c>
      <c r="O250" s="1252"/>
      <c r="P250" s="1314" t="n">
        <v>0</v>
      </c>
      <c r="Q250" s="1314" t="n">
        <v>0</v>
      </c>
      <c r="R250" s="1314" t="n">
        <v>0</v>
      </c>
      <c r="S250" s="1252"/>
      <c r="T250" s="1314" t="n">
        <v>0</v>
      </c>
      <c r="U250" s="1314" t="n">
        <v>0</v>
      </c>
      <c r="V250" s="1314" t="n">
        <v>0</v>
      </c>
      <c r="W250" s="1252"/>
      <c r="X250" s="1314" t="n">
        <v>0</v>
      </c>
      <c r="Y250" s="1314" t="n">
        <v>0</v>
      </c>
      <c r="Z250" s="1314" t="n">
        <v>0</v>
      </c>
      <c r="AA250" s="1252" t="n">
        <v>0</v>
      </c>
      <c r="AB250" s="1314" t="n">
        <v>0</v>
      </c>
      <c r="AC250" s="1314" t="n">
        <v>0</v>
      </c>
      <c r="AD250" s="1314" t="n">
        <v>0</v>
      </c>
      <c r="AE250" s="1252"/>
      <c r="AF250" s="1314" t="n">
        <v>0</v>
      </c>
      <c r="AG250" s="1314" t="n">
        <v>0</v>
      </c>
      <c r="AH250" s="1314" t="n">
        <v>0</v>
      </c>
      <c r="AI250" s="1252"/>
      <c r="AJ250" s="1314" t="n">
        <v>0</v>
      </c>
      <c r="AK250" s="1314" t="n">
        <v>0</v>
      </c>
      <c r="AL250" s="1314" t="n">
        <v>0</v>
      </c>
      <c r="AM250" s="1166"/>
      <c r="AN250" s="1253" t="n">
        <v>81</v>
      </c>
      <c r="AO250" s="1316" t="n">
        <v>0.35</v>
      </c>
      <c r="AP250" s="1252"/>
      <c r="AQ250" s="0"/>
      <c r="AR250" s="0"/>
      <c r="AS250" s="0"/>
      <c r="AT250" s="0"/>
      <c r="AU250" s="0" t="str">
        <f aca="false">AV250&amp;"Q"&amp;ROUNDUP(MONTH(AW250)/3,0)</f>
        <v>2020Q2</v>
      </c>
      <c r="AV250" s="0" t="n">
        <f aca="false">YEAR(AW250)</f>
        <v>2020</v>
      </c>
      <c r="AW250" s="1304" t="n">
        <f aca="false">EOMONTH(AW249,0)+1</f>
        <v>43952</v>
      </c>
      <c r="AX250" s="112" t="n">
        <f aca="false">AY250</f>
        <v>3.67601402189126</v>
      </c>
      <c r="AY250" s="1323" t="n">
        <v>3.67601402189126</v>
      </c>
      <c r="AZ250" s="112" t="n">
        <f aca="false">AY250</f>
        <v>3.67601402189126</v>
      </c>
      <c r="BA250" s="163"/>
      <c r="BB250" s="163"/>
      <c r="BC250" s="163"/>
      <c r="BD250" s="163" t="n">
        <v>0</v>
      </c>
      <c r="BE250" s="163"/>
      <c r="BF250" s="163" t="n">
        <v>0</v>
      </c>
      <c r="BG250" s="1290" t="n">
        <v>0</v>
      </c>
      <c r="BH250" s="1262"/>
      <c r="BI250" s="1292"/>
      <c r="BJ250" s="1291"/>
      <c r="BK250" s="1293" t="n">
        <v>0</v>
      </c>
      <c r="BL250" s="1294" t="n">
        <f aca="false">+AY250</f>
        <v>3.67601402189126</v>
      </c>
      <c r="BM250" s="1295" t="n">
        <f aca="false">AY250</f>
        <v>3.67601402189126</v>
      </c>
      <c r="BN250" s="1324" t="n">
        <f aca="false">+BM250/BM238-1</f>
        <v>0.0266887037646633</v>
      </c>
      <c r="BO250" s="1296" t="n">
        <f aca="false">BM250</f>
        <v>3.67601402189126</v>
      </c>
      <c r="BP250" s="1318" t="n">
        <f aca="false">+AY250/AY238-1</f>
        <v>0.0266887037646633</v>
      </c>
      <c r="BQ250" s="1298" t="n">
        <f aca="false">VLOOKUP($AW250,$BU$8:$BZ$291,5,FALSE())</f>
        <v>4.49814073025536</v>
      </c>
      <c r="BR250" s="1298" t="n">
        <f aca="false">VLOOKUP($AW250,$BU$8:$BZ$291,6,FALSE())</f>
        <v>3.54850667939246</v>
      </c>
      <c r="BS250" s="1262" t="n">
        <v>0</v>
      </c>
      <c r="BU250" s="1309" t="n">
        <f aca="false">EDATE(BU249,1)</f>
        <v>43525</v>
      </c>
      <c r="BV250" s="1310" t="n">
        <v>2.93596153488751</v>
      </c>
      <c r="BW250" s="1310" t="n">
        <v>2.35975047610477</v>
      </c>
      <c r="BX250" s="1310"/>
      <c r="BY250" s="1310" t="n">
        <v>4.44993808540788</v>
      </c>
      <c r="BZ250" s="1311" t="n">
        <v>3.57659437662909</v>
      </c>
    </row>
    <row r="251" customFormat="false" ht="12.75" hidden="false" customHeight="false" outlineLevel="0" collapsed="false">
      <c r="A251" s="1246"/>
      <c r="B251" s="1312" t="n">
        <v>42948</v>
      </c>
      <c r="C251" s="1313" t="n">
        <v>75.4510071445584</v>
      </c>
      <c r="D251" s="1313"/>
      <c r="E251" s="1313"/>
      <c r="F251" s="1327"/>
      <c r="G251" s="1313"/>
      <c r="H251" s="1313"/>
      <c r="I251" s="1313"/>
      <c r="J251" s="1253"/>
      <c r="K251" s="1254" t="n">
        <v>43831</v>
      </c>
      <c r="L251" s="1314" t="n">
        <v>0</v>
      </c>
      <c r="M251" s="1314" t="n">
        <v>0</v>
      </c>
      <c r="N251" s="1314" t="n">
        <v>0</v>
      </c>
      <c r="O251" s="1252"/>
      <c r="P251" s="1314" t="n">
        <v>0</v>
      </c>
      <c r="Q251" s="1314" t="n">
        <v>0</v>
      </c>
      <c r="R251" s="1314" t="n">
        <v>0</v>
      </c>
      <c r="S251" s="1252"/>
      <c r="T251" s="1314" t="n">
        <v>0</v>
      </c>
      <c r="U251" s="1314" t="n">
        <v>0</v>
      </c>
      <c r="V251" s="1314" t="n">
        <v>0</v>
      </c>
      <c r="W251" s="1252"/>
      <c r="X251" s="1314" t="n">
        <v>0</v>
      </c>
      <c r="Y251" s="1314" t="n">
        <v>0</v>
      </c>
      <c r="Z251" s="1314" t="n">
        <v>0</v>
      </c>
      <c r="AA251" s="1252" t="n">
        <v>0</v>
      </c>
      <c r="AB251" s="1314" t="n">
        <v>0</v>
      </c>
      <c r="AC251" s="1314" t="n">
        <v>0</v>
      </c>
      <c r="AD251" s="1314" t="n">
        <v>0</v>
      </c>
      <c r="AE251" s="1252"/>
      <c r="AF251" s="1314" t="n">
        <v>0</v>
      </c>
      <c r="AG251" s="1314" t="n">
        <v>0</v>
      </c>
      <c r="AH251" s="1314" t="n">
        <v>0</v>
      </c>
      <c r="AI251" s="1252"/>
      <c r="AJ251" s="1314" t="n">
        <v>0</v>
      </c>
      <c r="AK251" s="1314" t="n">
        <v>0</v>
      </c>
      <c r="AL251" s="1314" t="n">
        <v>0</v>
      </c>
      <c r="AM251" s="1166"/>
      <c r="AN251" s="1253" t="n">
        <v>81</v>
      </c>
      <c r="AO251" s="1316" t="n">
        <v>0.35</v>
      </c>
      <c r="AP251" s="1252"/>
      <c r="AQ251" s="0"/>
      <c r="AR251" s="0"/>
      <c r="AS251" s="0"/>
      <c r="AT251" s="0"/>
      <c r="AU251" s="0" t="str">
        <f aca="false">AV251&amp;"Q"&amp;ROUNDUP(MONTH(AW251)/3,0)</f>
        <v>2020Q2</v>
      </c>
      <c r="AV251" s="0" t="n">
        <f aca="false">YEAR(AW251)</f>
        <v>2020</v>
      </c>
      <c r="AW251" s="1304" t="n">
        <f aca="false">EOMONTH(AW250,0)+1</f>
        <v>43983</v>
      </c>
      <c r="AX251" s="112" t="n">
        <f aca="false">AY251</f>
        <v>3.72041814904038</v>
      </c>
      <c r="AY251" s="1323" t="n">
        <v>3.72041814904038</v>
      </c>
      <c r="AZ251" s="112" t="n">
        <f aca="false">AY251</f>
        <v>3.72041814904038</v>
      </c>
      <c r="BA251" s="163"/>
      <c r="BB251" s="163"/>
      <c r="BC251" s="163"/>
      <c r="BD251" s="163" t="n">
        <v>0</v>
      </c>
      <c r="BE251" s="163"/>
      <c r="BF251" s="163" t="n">
        <v>0</v>
      </c>
      <c r="BG251" s="1290" t="n">
        <v>0</v>
      </c>
      <c r="BH251" s="1262"/>
      <c r="BI251" s="1292"/>
      <c r="BJ251" s="1291"/>
      <c r="BK251" s="1293" t="n">
        <v>0</v>
      </c>
      <c r="BL251" s="1294" t="n">
        <f aca="false">+AY251</f>
        <v>3.72041814904038</v>
      </c>
      <c r="BM251" s="1295" t="n">
        <f aca="false">AY251</f>
        <v>3.72041814904038</v>
      </c>
      <c r="BN251" s="1324" t="n">
        <f aca="false">+BM251/BM239-1</f>
        <v>0.0266887037646633</v>
      </c>
      <c r="BO251" s="1296" t="n">
        <f aca="false">BM251</f>
        <v>3.72041814904038</v>
      </c>
      <c r="BP251" s="1318" t="n">
        <f aca="false">+AY251/AY239-1</f>
        <v>0.0266887037646633</v>
      </c>
      <c r="BQ251" s="1298" t="n">
        <f aca="false">VLOOKUP($AW251,$BU$8:$BZ$291,5,FALSE())</f>
        <v>4.50596103360037</v>
      </c>
      <c r="BR251" s="1298" t="n">
        <f aca="false">VLOOKUP($AW251,$BU$8:$BZ$291,6,FALSE())</f>
        <v>3.5601862593881</v>
      </c>
      <c r="BS251" s="1262" t="n">
        <v>0</v>
      </c>
      <c r="BU251" s="1309" t="n">
        <f aca="false">EDATE(BU250,1)</f>
        <v>43556</v>
      </c>
      <c r="BV251" s="1310" t="n">
        <v>2.87771939406669</v>
      </c>
      <c r="BW251" s="1310" t="n">
        <v>2.28802553762134</v>
      </c>
      <c r="BX251" s="1310"/>
      <c r="BY251" s="1310" t="n">
        <v>4.36166243276921</v>
      </c>
      <c r="BZ251" s="1311" t="n">
        <v>3.46788330135161</v>
      </c>
    </row>
    <row r="252" customFormat="false" ht="12.75" hidden="false" customHeight="false" outlineLevel="0" collapsed="false">
      <c r="A252" s="1246"/>
      <c r="B252" s="1312" t="n">
        <v>42979</v>
      </c>
      <c r="C252" s="1313" t="n">
        <v>64.6404168750554</v>
      </c>
      <c r="D252" s="1313"/>
      <c r="E252" s="1313"/>
      <c r="F252" s="1327"/>
      <c r="G252" s="1313"/>
      <c r="H252" s="1313"/>
      <c r="I252" s="1313"/>
      <c r="J252" s="1253"/>
      <c r="K252" s="1254" t="n">
        <v>43862</v>
      </c>
      <c r="L252" s="1314" t="n">
        <v>0</v>
      </c>
      <c r="M252" s="1314" t="n">
        <v>0</v>
      </c>
      <c r="N252" s="1314" t="n">
        <v>0</v>
      </c>
      <c r="O252" s="1252"/>
      <c r="P252" s="1314" t="n">
        <v>0</v>
      </c>
      <c r="Q252" s="1314" t="n">
        <v>0</v>
      </c>
      <c r="R252" s="1314" t="n">
        <v>0</v>
      </c>
      <c r="S252" s="1252"/>
      <c r="T252" s="1314" t="n">
        <v>0</v>
      </c>
      <c r="U252" s="1314" t="n">
        <v>0</v>
      </c>
      <c r="V252" s="1314" t="n">
        <v>0</v>
      </c>
      <c r="W252" s="1252"/>
      <c r="X252" s="1314" t="n">
        <v>0</v>
      </c>
      <c r="Y252" s="1314" t="n">
        <v>0</v>
      </c>
      <c r="Z252" s="1314" t="n">
        <v>0</v>
      </c>
      <c r="AA252" s="1252" t="n">
        <v>0</v>
      </c>
      <c r="AB252" s="1314" t="n">
        <v>0</v>
      </c>
      <c r="AC252" s="1314" t="n">
        <v>0</v>
      </c>
      <c r="AD252" s="1314" t="n">
        <v>0</v>
      </c>
      <c r="AE252" s="1252"/>
      <c r="AF252" s="1314" t="n">
        <v>0</v>
      </c>
      <c r="AG252" s="1314" t="n">
        <v>0</v>
      </c>
      <c r="AH252" s="1314" t="n">
        <v>0</v>
      </c>
      <c r="AI252" s="1252"/>
      <c r="AJ252" s="1314" t="n">
        <v>0</v>
      </c>
      <c r="AK252" s="1314" t="n">
        <v>0</v>
      </c>
      <c r="AL252" s="1314" t="n">
        <v>0</v>
      </c>
      <c r="AM252" s="1166"/>
      <c r="AN252" s="1253" t="n">
        <v>81</v>
      </c>
      <c r="AO252" s="1316" t="n">
        <v>0.35</v>
      </c>
      <c r="AP252" s="1252"/>
      <c r="AQ252" s="0"/>
      <c r="AR252" s="0"/>
      <c r="AS252" s="0"/>
      <c r="AT252" s="0"/>
      <c r="AU252" s="0" t="str">
        <f aca="false">AV252&amp;"Q"&amp;ROUNDUP(MONTH(AW252)/3,0)</f>
        <v>2020Q3</v>
      </c>
      <c r="AV252" s="0" t="n">
        <f aca="false">YEAR(AW252)</f>
        <v>2020</v>
      </c>
      <c r="AW252" s="1304" t="n">
        <f aca="false">EOMONTH(AW251,0)+1</f>
        <v>44013</v>
      </c>
      <c r="AX252" s="112" t="n">
        <f aca="false">AY252</f>
        <v>3.82197101908773</v>
      </c>
      <c r="AY252" s="1323" t="n">
        <v>3.82197101908773</v>
      </c>
      <c r="AZ252" s="112" t="n">
        <f aca="false">AY252</f>
        <v>3.82197101908773</v>
      </c>
      <c r="BA252" s="163"/>
      <c r="BB252" s="163"/>
      <c r="BC252" s="163"/>
      <c r="BD252" s="163" t="n">
        <v>0</v>
      </c>
      <c r="BE252" s="163"/>
      <c r="BF252" s="163" t="n">
        <v>0</v>
      </c>
      <c r="BG252" s="1290" t="n">
        <v>0</v>
      </c>
      <c r="BH252" s="1262"/>
      <c r="BI252" s="1292"/>
      <c r="BJ252" s="1291"/>
      <c r="BK252" s="1293" t="n">
        <v>0</v>
      </c>
      <c r="BL252" s="1294" t="n">
        <f aca="false">+AY252</f>
        <v>3.82197101908773</v>
      </c>
      <c r="BM252" s="1295" t="n">
        <f aca="false">AY252</f>
        <v>3.82197101908773</v>
      </c>
      <c r="BN252" s="1324" t="n">
        <f aca="false">+BM252/BM240-1</f>
        <v>0.0266887037646635</v>
      </c>
      <c r="BO252" s="1296" t="n">
        <f aca="false">BM252</f>
        <v>3.82197101908773</v>
      </c>
      <c r="BP252" s="1318" t="n">
        <f aca="false">+AY252/AY240-1</f>
        <v>0.0266887037646635</v>
      </c>
      <c r="BQ252" s="1298" t="n">
        <f aca="false">VLOOKUP($AW252,$BU$8:$BZ$291,5,FALSE())</f>
        <v>4.56363577076978</v>
      </c>
      <c r="BR252" s="1298" t="n">
        <f aca="false">VLOOKUP($AW252,$BU$8:$BZ$291,6,FALSE())</f>
        <v>3.61524713651045</v>
      </c>
      <c r="BS252" s="1262" t="n">
        <v>0</v>
      </c>
      <c r="BU252" s="1309" t="n">
        <f aca="false">EDATE(BU251,1)</f>
        <v>43586</v>
      </c>
      <c r="BV252" s="1310" t="n">
        <v>2.85107671262739</v>
      </c>
      <c r="BW252" s="1310" t="n">
        <v>2.25986685806859</v>
      </c>
      <c r="BX252" s="1310"/>
      <c r="BY252" s="1310" t="n">
        <v>4.32128101720045</v>
      </c>
      <c r="BZ252" s="1311" t="n">
        <v>3.4252041384649</v>
      </c>
    </row>
    <row r="253" customFormat="false" ht="12.75" hidden="false" customHeight="false" outlineLevel="0" collapsed="false">
      <c r="A253" s="1246"/>
      <c r="B253" s="1312" t="n">
        <v>43009</v>
      </c>
      <c r="C253" s="1313" t="n">
        <v>55.8224245917065</v>
      </c>
      <c r="D253" s="1313"/>
      <c r="E253" s="1313"/>
      <c r="F253" s="1327"/>
      <c r="G253" s="1313"/>
      <c r="H253" s="1313"/>
      <c r="I253" s="1313"/>
      <c r="J253" s="1253"/>
      <c r="K253" s="1254" t="n">
        <v>43891</v>
      </c>
      <c r="L253" s="1314" t="n">
        <v>0</v>
      </c>
      <c r="M253" s="1314" t="n">
        <v>0</v>
      </c>
      <c r="N253" s="1314" t="n">
        <v>0</v>
      </c>
      <c r="O253" s="1252"/>
      <c r="P253" s="1314" t="n">
        <v>0</v>
      </c>
      <c r="Q253" s="1314" t="n">
        <v>0</v>
      </c>
      <c r="R253" s="1314" t="n">
        <v>0</v>
      </c>
      <c r="S253" s="1252"/>
      <c r="T253" s="1314" t="n">
        <v>0</v>
      </c>
      <c r="U253" s="1314" t="n">
        <v>0</v>
      </c>
      <c r="V253" s="1314" t="n">
        <v>0</v>
      </c>
      <c r="W253" s="1252"/>
      <c r="X253" s="1314" t="n">
        <v>0</v>
      </c>
      <c r="Y253" s="1314" t="n">
        <v>0</v>
      </c>
      <c r="Z253" s="1314" t="n">
        <v>0</v>
      </c>
      <c r="AA253" s="1252" t="n">
        <v>0</v>
      </c>
      <c r="AB253" s="1314" t="n">
        <v>0</v>
      </c>
      <c r="AC253" s="1314" t="n">
        <v>0</v>
      </c>
      <c r="AD253" s="1314" t="n">
        <v>0</v>
      </c>
      <c r="AE253" s="1252"/>
      <c r="AF253" s="1314" t="n">
        <v>0</v>
      </c>
      <c r="AG253" s="1314" t="n">
        <v>0</v>
      </c>
      <c r="AH253" s="1314" t="n">
        <v>0</v>
      </c>
      <c r="AI253" s="1252"/>
      <c r="AJ253" s="1314" t="n">
        <v>0</v>
      </c>
      <c r="AK253" s="1314" t="n">
        <v>0</v>
      </c>
      <c r="AL253" s="1314" t="n">
        <v>0</v>
      </c>
      <c r="AM253" s="1166"/>
      <c r="AN253" s="1253" t="n">
        <v>82</v>
      </c>
      <c r="AO253" s="1316" t="n">
        <v>0.35</v>
      </c>
      <c r="AP253" s="1252"/>
      <c r="AQ253" s="0"/>
      <c r="AR253" s="0"/>
      <c r="AS253" s="0"/>
      <c r="AT253" s="0"/>
      <c r="AU253" s="0" t="str">
        <f aca="false">AV253&amp;"Q"&amp;ROUNDUP(MONTH(AW253)/3,0)</f>
        <v>2020Q3</v>
      </c>
      <c r="AV253" s="0" t="n">
        <f aca="false">YEAR(AW253)</f>
        <v>2020</v>
      </c>
      <c r="AW253" s="1304" t="n">
        <f aca="false">EOMONTH(AW252,0)+1</f>
        <v>44044</v>
      </c>
      <c r="AX253" s="112" t="n">
        <f aca="false">AY253</f>
        <v>3.96619718590708</v>
      </c>
      <c r="AY253" s="1323" t="n">
        <v>3.96619718590708</v>
      </c>
      <c r="AZ253" s="112" t="n">
        <f aca="false">AY253</f>
        <v>3.96619718590708</v>
      </c>
      <c r="BA253" s="163"/>
      <c r="BB253" s="163"/>
      <c r="BC253" s="163"/>
      <c r="BD253" s="163" t="n">
        <v>0</v>
      </c>
      <c r="BE253" s="163"/>
      <c r="BF253" s="163" t="n">
        <v>0</v>
      </c>
      <c r="BG253" s="1290" t="n">
        <v>0</v>
      </c>
      <c r="BH253" s="1262"/>
      <c r="BI253" s="1292"/>
      <c r="BJ253" s="1291"/>
      <c r="BK253" s="1293" t="n">
        <v>0</v>
      </c>
      <c r="BL253" s="1294" t="n">
        <f aca="false">+AY253</f>
        <v>3.96619718590708</v>
      </c>
      <c r="BM253" s="1295" t="n">
        <f aca="false">AY253</f>
        <v>3.96619718590708</v>
      </c>
      <c r="BN253" s="1324" t="n">
        <f aca="false">+BM253/BM241-1</f>
        <v>0.0266887037646635</v>
      </c>
      <c r="BO253" s="1296" t="n">
        <f aca="false">BM253</f>
        <v>3.96619718590708</v>
      </c>
      <c r="BP253" s="1318" t="n">
        <f aca="false">+AY253/AY241-1</f>
        <v>0.0266887037646635</v>
      </c>
      <c r="BQ253" s="1298" t="n">
        <f aca="false">VLOOKUP($AW253,$BU$8:$BZ$291,5,FALSE())</f>
        <v>4.67116494176361</v>
      </c>
      <c r="BR253" s="1298" t="n">
        <f aca="false">VLOOKUP($AW253,$BU$8:$BZ$291,6,FALSE())</f>
        <v>3.70117547504987</v>
      </c>
      <c r="BS253" s="1262" t="n">
        <v>0</v>
      </c>
      <c r="BU253" s="1309" t="n">
        <f aca="false">EDATE(BU252,1)</f>
        <v>43617</v>
      </c>
      <c r="BV253" s="1310" t="n">
        <v>2.85603349056958</v>
      </c>
      <c r="BW253" s="1310" t="n">
        <v>2.26730499983724</v>
      </c>
      <c r="BX253" s="1310"/>
      <c r="BY253" s="1310" t="n">
        <v>4.32879383870162</v>
      </c>
      <c r="BZ253" s="1311" t="n">
        <v>3.43647787960478</v>
      </c>
    </row>
    <row r="254" customFormat="false" ht="12.75" hidden="false" customHeight="false" outlineLevel="0" collapsed="false">
      <c r="A254" s="1246"/>
      <c r="B254" s="1312" t="n">
        <v>43040</v>
      </c>
      <c r="C254" s="1313" t="n">
        <v>59.4769599025415</v>
      </c>
      <c r="D254" s="1313"/>
      <c r="E254" s="1313"/>
      <c r="F254" s="1327"/>
      <c r="G254" s="1313"/>
      <c r="H254" s="1313"/>
      <c r="I254" s="1313"/>
      <c r="J254" s="1253"/>
      <c r="K254" s="1254" t="n">
        <v>43922</v>
      </c>
      <c r="L254" s="1314" t="n">
        <v>0</v>
      </c>
      <c r="M254" s="1314" t="n">
        <v>0</v>
      </c>
      <c r="N254" s="1314" t="n">
        <v>0</v>
      </c>
      <c r="O254" s="1252"/>
      <c r="P254" s="1314" t="n">
        <v>0</v>
      </c>
      <c r="Q254" s="1314" t="n">
        <v>0</v>
      </c>
      <c r="R254" s="1314" t="n">
        <v>0</v>
      </c>
      <c r="S254" s="1252"/>
      <c r="T254" s="1314" t="n">
        <v>0</v>
      </c>
      <c r="U254" s="1314" t="n">
        <v>0</v>
      </c>
      <c r="V254" s="1314" t="n">
        <v>0</v>
      </c>
      <c r="W254" s="1252"/>
      <c r="X254" s="1314" t="n">
        <v>0</v>
      </c>
      <c r="Y254" s="1314" t="n">
        <v>0</v>
      </c>
      <c r="Z254" s="1314" t="n">
        <v>0</v>
      </c>
      <c r="AA254" s="1252" t="n">
        <v>0</v>
      </c>
      <c r="AB254" s="1314" t="n">
        <v>0</v>
      </c>
      <c r="AC254" s="1314" t="n">
        <v>0</v>
      </c>
      <c r="AD254" s="1314" t="n">
        <v>0</v>
      </c>
      <c r="AE254" s="1252"/>
      <c r="AF254" s="1314" t="n">
        <v>0</v>
      </c>
      <c r="AG254" s="1314" t="n">
        <v>0</v>
      </c>
      <c r="AH254" s="1314" t="n">
        <v>0</v>
      </c>
      <c r="AI254" s="1252"/>
      <c r="AJ254" s="1314" t="n">
        <v>0</v>
      </c>
      <c r="AK254" s="1314" t="n">
        <v>0</v>
      </c>
      <c r="AL254" s="1314" t="n">
        <v>0</v>
      </c>
      <c r="AM254" s="1166"/>
      <c r="AN254" s="1253" t="n">
        <v>82</v>
      </c>
      <c r="AO254" s="1316" t="n">
        <v>0.35</v>
      </c>
      <c r="AP254" s="1252"/>
      <c r="AQ254" s="0"/>
      <c r="AR254" s="0"/>
      <c r="AS254" s="0"/>
      <c r="AT254" s="0"/>
      <c r="AU254" s="0" t="str">
        <f aca="false">AV254&amp;"Q"&amp;ROUNDUP(MONTH(AW254)/3,0)</f>
        <v>2020Q3</v>
      </c>
      <c r="AV254" s="0" t="n">
        <f aca="false">YEAR(AW254)</f>
        <v>2020</v>
      </c>
      <c r="AW254" s="1304" t="n">
        <f aca="false">EOMONTH(AW253,0)+1</f>
        <v>44075</v>
      </c>
      <c r="AX254" s="112" t="n">
        <f aca="false">AY254</f>
        <v>4.13791258502132</v>
      </c>
      <c r="AY254" s="1323" t="n">
        <v>4.13791258502132</v>
      </c>
      <c r="AZ254" s="112" t="n">
        <f aca="false">AY254</f>
        <v>4.13791258502132</v>
      </c>
      <c r="BA254" s="163"/>
      <c r="BB254" s="163"/>
      <c r="BC254" s="163"/>
      <c r="BD254" s="163" t="n">
        <v>0</v>
      </c>
      <c r="BE254" s="163"/>
      <c r="BF254" s="163" t="n">
        <v>0</v>
      </c>
      <c r="BG254" s="1290" t="n">
        <v>0</v>
      </c>
      <c r="BH254" s="1262"/>
      <c r="BI254" s="1292"/>
      <c r="BJ254" s="1291"/>
      <c r="BK254" s="1293" t="n">
        <v>0</v>
      </c>
      <c r="BL254" s="1294" t="n">
        <f aca="false">+AY254</f>
        <v>4.13791258502132</v>
      </c>
      <c r="BM254" s="1295" t="n">
        <f aca="false">AY254</f>
        <v>4.13791258502132</v>
      </c>
      <c r="BN254" s="1324" t="n">
        <f aca="false">+BM254/BM242-1</f>
        <v>0.0266887037646637</v>
      </c>
      <c r="BO254" s="1296" t="n">
        <f aca="false">BM254</f>
        <v>4.13791258502132</v>
      </c>
      <c r="BP254" s="1318" t="n">
        <f aca="false">+AY254/AY242-1</f>
        <v>0.0266887037646637</v>
      </c>
      <c r="BQ254" s="1298" t="n">
        <f aca="false">VLOOKUP($AW254,$BU$8:$BZ$291,5,FALSE())</f>
        <v>4.82854854658184</v>
      </c>
      <c r="BR254" s="1298" t="n">
        <f aca="false">VLOOKUP($AW254,$BU$8:$BZ$291,6,FALSE())</f>
        <v>3.80545743929674</v>
      </c>
      <c r="BS254" s="1262" t="n">
        <v>0</v>
      </c>
      <c r="BU254" s="1309" t="n">
        <f aca="false">EDATE(BU253,1)</f>
        <v>43647</v>
      </c>
      <c r="BV254" s="1310" t="n">
        <v>2.89258972789329</v>
      </c>
      <c r="BW254" s="1310" t="n">
        <v>2.30237052531802</v>
      </c>
      <c r="BX254" s="1310"/>
      <c r="BY254" s="1310" t="n">
        <v>4.3842008972727</v>
      </c>
      <c r="BZ254" s="1311" t="n">
        <v>3.48962551640711</v>
      </c>
    </row>
    <row r="255" customFormat="false" ht="12.75" hidden="false" customHeight="false" outlineLevel="0" collapsed="false">
      <c r="A255" s="1246"/>
      <c r="B255" s="1312" t="n">
        <v>43070</v>
      </c>
      <c r="C255" s="1313" t="n">
        <v>58.1444619771362</v>
      </c>
      <c r="D255" s="1313"/>
      <c r="E255" s="1313"/>
      <c r="F255" s="1327"/>
      <c r="G255" s="1313"/>
      <c r="H255" s="1313"/>
      <c r="I255" s="1313"/>
      <c r="J255" s="1253"/>
      <c r="K255" s="1254" t="n">
        <v>43952</v>
      </c>
      <c r="L255" s="1314" t="n">
        <v>0</v>
      </c>
      <c r="M255" s="1314" t="n">
        <v>0</v>
      </c>
      <c r="N255" s="1314" t="n">
        <v>0</v>
      </c>
      <c r="O255" s="1252"/>
      <c r="P255" s="1314" t="n">
        <v>0</v>
      </c>
      <c r="Q255" s="1314" t="n">
        <v>0</v>
      </c>
      <c r="R255" s="1314" t="n">
        <v>0</v>
      </c>
      <c r="S255" s="1252"/>
      <c r="T255" s="1314" t="n">
        <v>0</v>
      </c>
      <c r="U255" s="1314" t="n">
        <v>0</v>
      </c>
      <c r="V255" s="1314" t="n">
        <v>0</v>
      </c>
      <c r="W255" s="1252"/>
      <c r="X255" s="1314" t="n">
        <v>0</v>
      </c>
      <c r="Y255" s="1314" t="n">
        <v>0</v>
      </c>
      <c r="Z255" s="1314" t="n">
        <v>0</v>
      </c>
      <c r="AA255" s="1252" t="n">
        <v>0</v>
      </c>
      <c r="AB255" s="1314" t="n">
        <v>0</v>
      </c>
      <c r="AC255" s="1314" t="n">
        <v>0</v>
      </c>
      <c r="AD255" s="1314" t="n">
        <v>0</v>
      </c>
      <c r="AE255" s="1252"/>
      <c r="AF255" s="1314" t="n">
        <v>0</v>
      </c>
      <c r="AG255" s="1314" t="n">
        <v>0</v>
      </c>
      <c r="AH255" s="1314" t="n">
        <v>0</v>
      </c>
      <c r="AI255" s="1252"/>
      <c r="AJ255" s="1314" t="n">
        <v>0</v>
      </c>
      <c r="AK255" s="1314" t="n">
        <v>0</v>
      </c>
      <c r="AL255" s="1314" t="n">
        <v>0</v>
      </c>
      <c r="AM255" s="1166"/>
      <c r="AN255" s="1253" t="n">
        <v>82</v>
      </c>
      <c r="AO255" s="1316" t="n">
        <v>0.35</v>
      </c>
      <c r="AP255" s="1252"/>
      <c r="AQ255" s="0"/>
      <c r="AR255" s="0"/>
      <c r="AS255" s="0"/>
      <c r="AT255" s="0"/>
      <c r="AU255" s="0" t="str">
        <f aca="false">AV255&amp;"Q"&amp;ROUNDUP(MONTH(AW255)/3,0)</f>
        <v>2020Q4</v>
      </c>
      <c r="AV255" s="0" t="n">
        <f aca="false">YEAR(AW255)</f>
        <v>2020</v>
      </c>
      <c r="AW255" s="1304" t="n">
        <f aca="false">EOMONTH(AW254,0)+1</f>
        <v>44105</v>
      </c>
      <c r="AX255" s="112" t="n">
        <f aca="false">AY255</f>
        <v>4.32179900707932</v>
      </c>
      <c r="AY255" s="1323" t="n">
        <v>4.32179900707932</v>
      </c>
      <c r="AZ255" s="112" t="n">
        <f aca="false">AY255</f>
        <v>4.32179900707932</v>
      </c>
      <c r="BA255" s="163"/>
      <c r="BB255" s="163"/>
      <c r="BC255" s="163"/>
      <c r="BD255" s="163" t="n">
        <v>0</v>
      </c>
      <c r="BE255" s="163"/>
      <c r="BF255" s="163" t="n">
        <v>0</v>
      </c>
      <c r="BG255" s="1290" t="n">
        <v>0</v>
      </c>
      <c r="BH255" s="1262"/>
      <c r="BI255" s="1292"/>
      <c r="BJ255" s="1291"/>
      <c r="BK255" s="1293" t="n">
        <v>0</v>
      </c>
      <c r="BL255" s="1294" t="n">
        <f aca="false">+AY255</f>
        <v>4.32179900707932</v>
      </c>
      <c r="BM255" s="1295" t="n">
        <f aca="false">AY255</f>
        <v>4.32179900707932</v>
      </c>
      <c r="BN255" s="1324" t="n">
        <f aca="false">+BM255/BM243-1</f>
        <v>0.0266887037646633</v>
      </c>
      <c r="BO255" s="1296" t="n">
        <f aca="false">BM255</f>
        <v>4.32179900707932</v>
      </c>
      <c r="BP255" s="1318" t="n">
        <f aca="false">+AY255/AY243-1</f>
        <v>0.0266887037646633</v>
      </c>
      <c r="BQ255" s="1298" t="n">
        <f aca="false">VLOOKUP($AW255,$BU$8:$BZ$291,5,FALSE())</f>
        <v>5.03578658522449</v>
      </c>
      <c r="BR255" s="1298" t="n">
        <f aca="false">VLOOKUP($AW255,$BU$8:$BZ$291,6,FALSE())</f>
        <v>3.91557919354143</v>
      </c>
      <c r="BS255" s="1262" t="n">
        <v>0</v>
      </c>
      <c r="BU255" s="1309" t="n">
        <f aca="false">EDATE(BU254,1)</f>
        <v>43678</v>
      </c>
      <c r="BV255" s="1310" t="n">
        <v>2.96074542459849</v>
      </c>
      <c r="BW255" s="1310" t="n">
        <v>2.35709399690168</v>
      </c>
      <c r="BX255" s="1310"/>
      <c r="BY255" s="1310" t="n">
        <v>4.4875021929137</v>
      </c>
      <c r="BZ255" s="1311" t="n">
        <v>3.5725680405077</v>
      </c>
    </row>
    <row r="256" customFormat="false" ht="12.75" hidden="false" customHeight="false" outlineLevel="0" collapsed="false">
      <c r="A256" s="1246"/>
      <c r="B256" s="1312" t="n">
        <v>43101</v>
      </c>
      <c r="C256" s="1313" t="n">
        <v>55.0440943199289</v>
      </c>
      <c r="D256" s="1313"/>
      <c r="E256" s="1313"/>
      <c r="F256" s="1327"/>
      <c r="G256" s="1313"/>
      <c r="H256" s="1313"/>
      <c r="I256" s="1313"/>
      <c r="J256" s="1253"/>
      <c r="K256" s="1254" t="n">
        <v>43983</v>
      </c>
      <c r="L256" s="1314" t="n">
        <v>0</v>
      </c>
      <c r="M256" s="1314" t="n">
        <v>0</v>
      </c>
      <c r="N256" s="1314" t="n">
        <v>0</v>
      </c>
      <c r="O256" s="1252"/>
      <c r="P256" s="1314" t="n">
        <v>0</v>
      </c>
      <c r="Q256" s="1314" t="n">
        <v>0</v>
      </c>
      <c r="R256" s="1314" t="n">
        <v>0</v>
      </c>
      <c r="S256" s="1252"/>
      <c r="T256" s="1314" t="n">
        <v>0</v>
      </c>
      <c r="U256" s="1314" t="n">
        <v>0</v>
      </c>
      <c r="V256" s="1314" t="n">
        <v>0</v>
      </c>
      <c r="W256" s="1252"/>
      <c r="X256" s="1314" t="n">
        <v>0</v>
      </c>
      <c r="Y256" s="1314" t="n">
        <v>0</v>
      </c>
      <c r="Z256" s="1314" t="n">
        <v>0</v>
      </c>
      <c r="AA256" s="1252" t="n">
        <v>0</v>
      </c>
      <c r="AB256" s="1314" t="n">
        <v>0</v>
      </c>
      <c r="AC256" s="1314" t="n">
        <v>0</v>
      </c>
      <c r="AD256" s="1314" t="n">
        <v>0</v>
      </c>
      <c r="AE256" s="1252"/>
      <c r="AF256" s="1314" t="n">
        <v>0</v>
      </c>
      <c r="AG256" s="1314" t="n">
        <v>0</v>
      </c>
      <c r="AH256" s="1314" t="n">
        <v>0</v>
      </c>
      <c r="AI256" s="1252"/>
      <c r="AJ256" s="1314" t="n">
        <v>0</v>
      </c>
      <c r="AK256" s="1314" t="n">
        <v>0</v>
      </c>
      <c r="AL256" s="1314" t="n">
        <v>0</v>
      </c>
      <c r="AM256" s="1166"/>
      <c r="AN256" s="1253" t="n">
        <v>83</v>
      </c>
      <c r="AO256" s="1316" t="n">
        <v>0.35</v>
      </c>
      <c r="AP256" s="1252"/>
      <c r="AQ256" s="0"/>
      <c r="AR256" s="0"/>
      <c r="AS256" s="0"/>
      <c r="AT256" s="0"/>
      <c r="AU256" s="0" t="str">
        <f aca="false">AV256&amp;"Q"&amp;ROUNDUP(MONTH(AW256)/3,0)</f>
        <v>2020Q4</v>
      </c>
      <c r="AV256" s="0" t="n">
        <f aca="false">YEAR(AW256)</f>
        <v>2020</v>
      </c>
      <c r="AW256" s="1304" t="n">
        <f aca="false">EOMONTH(AW255,0)+1</f>
        <v>44136</v>
      </c>
      <c r="AX256" s="112" t="n">
        <f aca="false">AY256</f>
        <v>4.50312941446933</v>
      </c>
      <c r="AY256" s="1323" t="n">
        <v>4.50312941446933</v>
      </c>
      <c r="AZ256" s="112" t="n">
        <f aca="false">AY256</f>
        <v>4.50312941446933</v>
      </c>
      <c r="BA256" s="163"/>
      <c r="BB256" s="163"/>
      <c r="BC256" s="163"/>
      <c r="BD256" s="163" t="n">
        <v>0</v>
      </c>
      <c r="BE256" s="163"/>
      <c r="BF256" s="163" t="n">
        <v>0</v>
      </c>
      <c r="BG256" s="1290" t="n">
        <v>0</v>
      </c>
      <c r="BH256" s="1262"/>
      <c r="BI256" s="1292"/>
      <c r="BJ256" s="1291"/>
      <c r="BK256" s="1293" t="n">
        <v>0</v>
      </c>
      <c r="BL256" s="1294" t="n">
        <f aca="false">+AY256</f>
        <v>4.50312941446933</v>
      </c>
      <c r="BM256" s="1295" t="n">
        <f aca="false">AY256</f>
        <v>4.50312941446933</v>
      </c>
      <c r="BN256" s="1324" t="n">
        <f aca="false">+BM256/BM244-1</f>
        <v>0.0266887037646635</v>
      </c>
      <c r="BO256" s="1296" t="n">
        <f aca="false">BM256</f>
        <v>4.50312941446933</v>
      </c>
      <c r="BP256" s="1318" t="n">
        <f aca="false">+AY256/AY244-1</f>
        <v>0.0266887037646635</v>
      </c>
      <c r="BQ256" s="1298" t="n">
        <f aca="false">VLOOKUP($AW256,$BU$8:$BZ$291,5,FALSE())</f>
        <v>5.29287905769155</v>
      </c>
      <c r="BR256" s="1298" t="n">
        <f aca="false">VLOOKUP($AW256,$BU$8:$BZ$291,6,FALSE())</f>
        <v>4.01902690207433</v>
      </c>
      <c r="BS256" s="1262" t="n">
        <v>0</v>
      </c>
      <c r="BU256" s="1309" t="n">
        <f aca="false">EDATE(BU255,1)</f>
        <v>43709</v>
      </c>
      <c r="BV256" s="1310" t="n">
        <v>3.06050058068521</v>
      </c>
      <c r="BW256" s="1310" t="n">
        <v>2.42350597697892</v>
      </c>
      <c r="BX256" s="1310"/>
      <c r="BY256" s="1310" t="n">
        <v>4.63869772562461</v>
      </c>
      <c r="BZ256" s="1311" t="n">
        <v>3.67322644354241</v>
      </c>
    </row>
    <row r="257" customFormat="false" ht="12.75" hidden="false" customHeight="false" outlineLevel="0" collapsed="false">
      <c r="A257" s="1246"/>
      <c r="B257" s="1312" t="n">
        <v>43132</v>
      </c>
      <c r="C257" s="1313" t="n">
        <v>43.2379738670327</v>
      </c>
      <c r="D257" s="1313"/>
      <c r="E257" s="1313"/>
      <c r="F257" s="1327"/>
      <c r="G257" s="1313"/>
      <c r="H257" s="1313"/>
      <c r="I257" s="1313"/>
      <c r="J257" s="1253"/>
      <c r="K257" s="1254" t="n">
        <v>44013</v>
      </c>
      <c r="L257" s="1314" t="n">
        <v>0</v>
      </c>
      <c r="M257" s="1314" t="n">
        <v>0</v>
      </c>
      <c r="N257" s="1314" t="n">
        <v>0</v>
      </c>
      <c r="O257" s="1252"/>
      <c r="P257" s="1314" t="n">
        <v>0</v>
      </c>
      <c r="Q257" s="1314" t="n">
        <v>0</v>
      </c>
      <c r="R257" s="1314" t="n">
        <v>0</v>
      </c>
      <c r="S257" s="1252"/>
      <c r="T257" s="1314" t="n">
        <v>0</v>
      </c>
      <c r="U257" s="1314" t="n">
        <v>0</v>
      </c>
      <c r="V257" s="1314" t="n">
        <v>0</v>
      </c>
      <c r="W257" s="1252"/>
      <c r="X257" s="1314" t="n">
        <v>0</v>
      </c>
      <c r="Y257" s="1314" t="n">
        <v>0</v>
      </c>
      <c r="Z257" s="1314" t="n">
        <v>0</v>
      </c>
      <c r="AA257" s="1252" t="n">
        <v>0</v>
      </c>
      <c r="AB257" s="1314" t="n">
        <v>0</v>
      </c>
      <c r="AC257" s="1314" t="n">
        <v>0</v>
      </c>
      <c r="AD257" s="1314" t="n">
        <v>0</v>
      </c>
      <c r="AE257" s="1252"/>
      <c r="AF257" s="1314" t="n">
        <v>0</v>
      </c>
      <c r="AG257" s="1314" t="n">
        <v>0</v>
      </c>
      <c r="AH257" s="1314" t="n">
        <v>0</v>
      </c>
      <c r="AI257" s="1252"/>
      <c r="AJ257" s="1314" t="n">
        <v>0</v>
      </c>
      <c r="AK257" s="1314" t="n">
        <v>0</v>
      </c>
      <c r="AL257" s="1314" t="n">
        <v>0</v>
      </c>
      <c r="AM257" s="1166"/>
      <c r="AN257" s="1253" t="n">
        <v>83</v>
      </c>
      <c r="AO257" s="1316" t="n">
        <v>0.35</v>
      </c>
      <c r="AP257" s="1252"/>
      <c r="AQ257" s="0"/>
      <c r="AR257" s="0"/>
      <c r="AS257" s="0"/>
      <c r="AT257" s="0"/>
      <c r="AU257" s="0" t="str">
        <f aca="false">AV257&amp;"Q"&amp;ROUNDUP(MONTH(AW257)/3,0)</f>
        <v>2020Q4</v>
      </c>
      <c r="AV257" s="0" t="n">
        <f aca="false">YEAR(AW257)</f>
        <v>2020</v>
      </c>
      <c r="AW257" s="1304" t="n">
        <f aca="false">EOMONTH(AW256,0)+1</f>
        <v>44166</v>
      </c>
      <c r="AX257" s="112" t="n">
        <f aca="false">AY257</f>
        <v>4.69467048021779</v>
      </c>
      <c r="AY257" s="1323" t="n">
        <v>4.69467048021779</v>
      </c>
      <c r="AZ257" s="112" t="n">
        <f aca="false">AY257</f>
        <v>4.69467048021779</v>
      </c>
      <c r="BA257" s="163"/>
      <c r="BB257" s="163"/>
      <c r="BC257" s="163"/>
      <c r="BD257" s="163" t="n">
        <v>0</v>
      </c>
      <c r="BE257" s="163"/>
      <c r="BF257" s="163" t="n">
        <v>0</v>
      </c>
      <c r="BG257" s="1290" t="n">
        <v>0</v>
      </c>
      <c r="BH257" s="1262"/>
      <c r="BI257" s="1292"/>
      <c r="BJ257" s="1291"/>
      <c r="BK257" s="1293" t="n">
        <v>0</v>
      </c>
      <c r="BL257" s="1294" t="n">
        <f aca="false">+AY257</f>
        <v>4.69467048021779</v>
      </c>
      <c r="BM257" s="1295" t="n">
        <f aca="false">AY257</f>
        <v>4.69467048021779</v>
      </c>
      <c r="BN257" s="1324" t="n">
        <f aca="false">+BM257/BM245-1</f>
        <v>0.0266887037646635</v>
      </c>
      <c r="BO257" s="1296" t="n">
        <f aca="false">BM257</f>
        <v>4.69467048021779</v>
      </c>
      <c r="BP257" s="1318" t="n">
        <f aca="false">+AY257/AY245-1</f>
        <v>0.0266887037646635</v>
      </c>
      <c r="BQ257" s="1298" t="n">
        <f aca="false">VLOOKUP($AW257,$BU$8:$BZ$291,5,FALSE())</f>
        <v>5.40468984476676</v>
      </c>
      <c r="BR257" s="1298" t="n">
        <f aca="false">VLOOKUP($AW257,$BU$8:$BZ$291,6,FALSE())</f>
        <v>4.1032867291858</v>
      </c>
      <c r="BS257" s="1262" t="n">
        <v>0</v>
      </c>
      <c r="BU257" s="1309" t="n">
        <f aca="false">EDATE(BU256,1)</f>
        <v>43739</v>
      </c>
      <c r="BV257" s="1310" t="n">
        <v>3.19185519615342</v>
      </c>
      <c r="BW257" s="1310" t="n">
        <v>2.4936370279405</v>
      </c>
      <c r="BX257" s="1310"/>
      <c r="BY257" s="1310" t="n">
        <v>4.83778749540544</v>
      </c>
      <c r="BZ257" s="1311" t="n">
        <v>3.77952171714705</v>
      </c>
    </row>
    <row r="258" customFormat="false" ht="12.75" hidden="false" customHeight="false" outlineLevel="0" collapsed="false">
      <c r="A258" s="1246"/>
      <c r="B258" s="1312" t="n">
        <v>43160</v>
      </c>
      <c r="C258" s="1313" t="n">
        <v>42.2607154397877</v>
      </c>
      <c r="D258" s="1313"/>
      <c r="E258" s="1313"/>
      <c r="F258" s="1327"/>
      <c r="G258" s="1313"/>
      <c r="H258" s="1313"/>
      <c r="I258" s="1313"/>
      <c r="J258" s="1253"/>
      <c r="K258" s="1254" t="n">
        <v>44044</v>
      </c>
      <c r="L258" s="1314" t="n">
        <v>0</v>
      </c>
      <c r="M258" s="1314" t="n">
        <v>0</v>
      </c>
      <c r="N258" s="1314" t="n">
        <v>0</v>
      </c>
      <c r="O258" s="1252"/>
      <c r="P258" s="1314" t="n">
        <v>0</v>
      </c>
      <c r="Q258" s="1314" t="n">
        <v>0</v>
      </c>
      <c r="R258" s="1314" t="n">
        <v>0</v>
      </c>
      <c r="S258" s="1252"/>
      <c r="T258" s="1314" t="n">
        <v>0</v>
      </c>
      <c r="U258" s="1314" t="n">
        <v>0</v>
      </c>
      <c r="V258" s="1314" t="n">
        <v>0</v>
      </c>
      <c r="W258" s="1252"/>
      <c r="X258" s="1314" t="n">
        <v>0</v>
      </c>
      <c r="Y258" s="1314" t="n">
        <v>0</v>
      </c>
      <c r="Z258" s="1314" t="n">
        <v>0</v>
      </c>
      <c r="AA258" s="1252" t="n">
        <v>0</v>
      </c>
      <c r="AB258" s="1314" t="n">
        <v>0</v>
      </c>
      <c r="AC258" s="1314" t="n">
        <v>0</v>
      </c>
      <c r="AD258" s="1314" t="n">
        <v>0</v>
      </c>
      <c r="AE258" s="1252"/>
      <c r="AF258" s="1314" t="n">
        <v>0</v>
      </c>
      <c r="AG258" s="1314" t="n">
        <v>0</v>
      </c>
      <c r="AH258" s="1314" t="n">
        <v>0</v>
      </c>
      <c r="AI258" s="1252"/>
      <c r="AJ258" s="1314" t="n">
        <v>0</v>
      </c>
      <c r="AK258" s="1314" t="n">
        <v>0</v>
      </c>
      <c r="AL258" s="1314" t="n">
        <v>0</v>
      </c>
      <c r="AM258" s="1166"/>
      <c r="AN258" s="1253" t="n">
        <v>83</v>
      </c>
      <c r="AO258" s="1316" t="n">
        <v>0.35</v>
      </c>
      <c r="AP258" s="1252"/>
      <c r="AQ258" s="0"/>
      <c r="AR258" s="0"/>
      <c r="AS258" s="0"/>
      <c r="AT258" s="0"/>
      <c r="AU258" s="0" t="str">
        <f aca="false">AV258&amp;"Q"&amp;ROUNDUP(MONTH(AW258)/3,0)</f>
        <v>2021Q1</v>
      </c>
      <c r="AV258" s="0" t="n">
        <f aca="false">YEAR(AW258)</f>
        <v>2021</v>
      </c>
      <c r="AW258" s="1304" t="n">
        <f aca="false">EOMONTH(AW257,0)+1</f>
        <v>44197</v>
      </c>
      <c r="AX258" s="112" t="n">
        <f aca="false">AY258</f>
        <v>4.47671108673858</v>
      </c>
      <c r="AY258" s="1323" t="n">
        <v>4.47671108673858</v>
      </c>
      <c r="AZ258" s="112" t="n">
        <f aca="false">AY258</f>
        <v>4.47671108673858</v>
      </c>
      <c r="BA258" s="163"/>
      <c r="BB258" s="163"/>
      <c r="BC258" s="163"/>
      <c r="BD258" s="163" t="n">
        <v>0</v>
      </c>
      <c r="BE258" s="163"/>
      <c r="BF258" s="163" t="n">
        <v>0</v>
      </c>
      <c r="BG258" s="1290" t="n">
        <v>0</v>
      </c>
      <c r="BH258" s="1262"/>
      <c r="BI258" s="1292"/>
      <c r="BJ258" s="1291"/>
      <c r="BK258" s="1293" t="n">
        <v>0</v>
      </c>
      <c r="BL258" s="1294" t="n">
        <f aca="false">+AY258</f>
        <v>4.47671108673858</v>
      </c>
      <c r="BM258" s="1295" t="n">
        <f aca="false">AY258</f>
        <v>4.47671108673858</v>
      </c>
      <c r="BN258" s="1324" t="n">
        <f aca="false">+BM258/BM246-1</f>
        <v>0.0247492448019182</v>
      </c>
      <c r="BO258" s="1296" t="n">
        <f aca="false">BM258</f>
        <v>4.47671108673858</v>
      </c>
      <c r="BP258" s="1318" t="n">
        <f aca="false">+AY258/AY246-1</f>
        <v>0.0247492448019182</v>
      </c>
      <c r="BQ258" s="1298" t="n">
        <f aca="false">VLOOKUP($AW258,$BU$8:$BZ$291,5,FALSE())</f>
        <v>5.3748686483795</v>
      </c>
      <c r="BR258" s="1298" t="n">
        <f aca="false">VLOOKUP($AW258,$BU$8:$BZ$291,6,FALSE())</f>
        <v>4.33670366381374</v>
      </c>
      <c r="BS258" s="1262" t="n">
        <v>0</v>
      </c>
      <c r="BU258" s="1309" t="n">
        <f aca="false">EDATE(BU257,1)</f>
        <v>43770</v>
      </c>
      <c r="BV258" s="1310" t="n">
        <v>3.35480927100315</v>
      </c>
      <c r="BW258" s="1310" t="n">
        <v>2.55951771217713</v>
      </c>
      <c r="BX258" s="1310"/>
      <c r="BY258" s="1310" t="n">
        <v>5.08477150225619</v>
      </c>
      <c r="BZ258" s="1311" t="n">
        <v>3.87937485295748</v>
      </c>
    </row>
    <row r="259" customFormat="false" ht="12.75" hidden="false" customHeight="false" outlineLevel="0" collapsed="false">
      <c r="A259" s="1246"/>
      <c r="B259" s="1312" t="n">
        <v>43191</v>
      </c>
      <c r="C259" s="1313" t="n">
        <v>41.6841145803067</v>
      </c>
      <c r="D259" s="1313"/>
      <c r="E259" s="1313"/>
      <c r="F259" s="1327"/>
      <c r="G259" s="1313"/>
      <c r="H259" s="1313"/>
      <c r="I259" s="1313"/>
      <c r="J259" s="1253"/>
      <c r="K259" s="1254" t="n">
        <v>44075</v>
      </c>
      <c r="L259" s="1314" t="n">
        <v>0</v>
      </c>
      <c r="M259" s="1314" t="n">
        <v>0</v>
      </c>
      <c r="N259" s="1314" t="n">
        <v>0</v>
      </c>
      <c r="O259" s="1252"/>
      <c r="P259" s="1314" t="n">
        <v>0</v>
      </c>
      <c r="Q259" s="1314" t="n">
        <v>0</v>
      </c>
      <c r="R259" s="1314" t="n">
        <v>0</v>
      </c>
      <c r="S259" s="1252"/>
      <c r="T259" s="1314" t="n">
        <v>0</v>
      </c>
      <c r="U259" s="1314" t="n">
        <v>0</v>
      </c>
      <c r="V259" s="1314" t="n">
        <v>0</v>
      </c>
      <c r="W259" s="1252"/>
      <c r="X259" s="1314" t="n">
        <v>0</v>
      </c>
      <c r="Y259" s="1314" t="n">
        <v>0</v>
      </c>
      <c r="Z259" s="1314" t="n">
        <v>0</v>
      </c>
      <c r="AA259" s="1252" t="n">
        <v>0</v>
      </c>
      <c r="AB259" s="1314" t="n">
        <v>0</v>
      </c>
      <c r="AC259" s="1314" t="n">
        <v>0</v>
      </c>
      <c r="AD259" s="1314" t="n">
        <v>0</v>
      </c>
      <c r="AE259" s="1252"/>
      <c r="AF259" s="1314" t="n">
        <v>0</v>
      </c>
      <c r="AG259" s="1314" t="n">
        <v>0</v>
      </c>
      <c r="AH259" s="1314" t="n">
        <v>0</v>
      </c>
      <c r="AI259" s="1252"/>
      <c r="AJ259" s="1314" t="n">
        <v>0</v>
      </c>
      <c r="AK259" s="1314" t="n">
        <v>0</v>
      </c>
      <c r="AL259" s="1314" t="n">
        <v>0</v>
      </c>
      <c r="AM259" s="1166"/>
      <c r="AN259" s="1253" t="n">
        <v>84</v>
      </c>
      <c r="AO259" s="1316" t="n">
        <v>0.35</v>
      </c>
      <c r="AP259" s="1252"/>
      <c r="AQ259" s="0"/>
      <c r="AR259" s="0"/>
      <c r="AS259" s="0"/>
      <c r="AT259" s="0"/>
      <c r="AU259" s="0" t="str">
        <f aca="false">AV259&amp;"Q"&amp;ROUNDUP(MONTH(AW259)/3,0)</f>
        <v>2021Q1</v>
      </c>
      <c r="AV259" s="0" t="n">
        <f aca="false">YEAR(AW259)</f>
        <v>2021</v>
      </c>
      <c r="AW259" s="1304" t="n">
        <f aca="false">EOMONTH(AW258,0)+1</f>
        <v>44228</v>
      </c>
      <c r="AX259" s="112" t="n">
        <f aca="false">AY259</f>
        <v>4.13476750900721</v>
      </c>
      <c r="AY259" s="1323" t="n">
        <v>4.13476750900721</v>
      </c>
      <c r="AZ259" s="112" t="n">
        <f aca="false">AY259</f>
        <v>4.13476750900721</v>
      </c>
      <c r="BA259" s="163"/>
      <c r="BB259" s="163"/>
      <c r="BC259" s="163"/>
      <c r="BD259" s="163" t="n">
        <v>0</v>
      </c>
      <c r="BE259" s="163"/>
      <c r="BF259" s="163" t="n">
        <v>0</v>
      </c>
      <c r="BG259" s="1290" t="n">
        <v>0</v>
      </c>
      <c r="BH259" s="1262"/>
      <c r="BI259" s="1292"/>
      <c r="BJ259" s="1291"/>
      <c r="BK259" s="1293" t="n">
        <v>0</v>
      </c>
      <c r="BL259" s="1294" t="n">
        <f aca="false">+AY259</f>
        <v>4.13476750900721</v>
      </c>
      <c r="BM259" s="1295" t="n">
        <f aca="false">AY259</f>
        <v>4.13476750900721</v>
      </c>
      <c r="BN259" s="1324" t="n">
        <f aca="false">+BM259/BM247-1</f>
        <v>0.0247492448019184</v>
      </c>
      <c r="BO259" s="1296" t="n">
        <f aca="false">BM259</f>
        <v>4.13476750900721</v>
      </c>
      <c r="BP259" s="1318" t="n">
        <f aca="false">+AY259/AY247-1</f>
        <v>0.0247492448019184</v>
      </c>
      <c r="BQ259" s="1298" t="n">
        <f aca="false">VLOOKUP($AW259,$BU$8:$BZ$291,5,FALSE())</f>
        <v>4.96931043776736</v>
      </c>
      <c r="BR259" s="1298" t="n">
        <f aca="false">VLOOKUP($AW259,$BU$8:$BZ$291,6,FALSE())</f>
        <v>4.03937908775954</v>
      </c>
      <c r="BS259" s="1262" t="n">
        <v>0</v>
      </c>
      <c r="BU259" s="1309" t="n">
        <f aca="false">EDATE(BU258,1)</f>
        <v>43800</v>
      </c>
      <c r="BV259" s="1310" t="n">
        <v>3.42567880363171</v>
      </c>
      <c r="BW259" s="1310" t="n">
        <v>2.61317859207954</v>
      </c>
      <c r="BX259" s="1310"/>
      <c r="BY259" s="1310" t="n">
        <v>5.19218606766908</v>
      </c>
      <c r="BZ259" s="1311" t="n">
        <v>3.96070684260952</v>
      </c>
    </row>
    <row r="260" customFormat="false" ht="12.75" hidden="false" customHeight="false" outlineLevel="0" collapsed="false">
      <c r="A260" s="1246"/>
      <c r="B260" s="1312" t="n">
        <v>43221</v>
      </c>
      <c r="C260" s="1313" t="n">
        <v>44.279215618601</v>
      </c>
      <c r="D260" s="1313"/>
      <c r="E260" s="1313"/>
      <c r="F260" s="1327"/>
      <c r="G260" s="1313"/>
      <c r="H260" s="1313"/>
      <c r="I260" s="1313"/>
      <c r="J260" s="1253"/>
      <c r="K260" s="1254" t="n">
        <v>44105</v>
      </c>
      <c r="L260" s="1314" t="n">
        <v>0</v>
      </c>
      <c r="M260" s="1314" t="n">
        <v>0</v>
      </c>
      <c r="N260" s="1314" t="n">
        <v>0</v>
      </c>
      <c r="O260" s="1252"/>
      <c r="P260" s="1314" t="n">
        <v>0</v>
      </c>
      <c r="Q260" s="1314" t="n">
        <v>0</v>
      </c>
      <c r="R260" s="1314" t="n">
        <v>0</v>
      </c>
      <c r="S260" s="1252"/>
      <c r="T260" s="1314" t="n">
        <v>0</v>
      </c>
      <c r="U260" s="1314" t="n">
        <v>0</v>
      </c>
      <c r="V260" s="1314" t="n">
        <v>0</v>
      </c>
      <c r="W260" s="1252"/>
      <c r="X260" s="1314" t="n">
        <v>0</v>
      </c>
      <c r="Y260" s="1314" t="n">
        <v>0</v>
      </c>
      <c r="Z260" s="1314" t="n">
        <v>0</v>
      </c>
      <c r="AA260" s="1252" t="n">
        <v>0</v>
      </c>
      <c r="AB260" s="1314" t="n">
        <v>0</v>
      </c>
      <c r="AC260" s="1314" t="n">
        <v>0</v>
      </c>
      <c r="AD260" s="1314" t="n">
        <v>0</v>
      </c>
      <c r="AE260" s="1252"/>
      <c r="AF260" s="1314" t="n">
        <v>0</v>
      </c>
      <c r="AG260" s="1314" t="n">
        <v>0</v>
      </c>
      <c r="AH260" s="1314" t="n">
        <v>0</v>
      </c>
      <c r="AI260" s="1252"/>
      <c r="AJ260" s="1314" t="n">
        <v>0</v>
      </c>
      <c r="AK260" s="1314" t="n">
        <v>0</v>
      </c>
      <c r="AL260" s="1314" t="n">
        <v>0</v>
      </c>
      <c r="AM260" s="1166"/>
      <c r="AN260" s="1253" t="n">
        <v>84</v>
      </c>
      <c r="AO260" s="1316" t="n">
        <v>0.35</v>
      </c>
      <c r="AP260" s="1252"/>
      <c r="AQ260" s="0"/>
      <c r="AR260" s="0"/>
      <c r="AS260" s="0"/>
      <c r="AT260" s="0"/>
      <c r="AU260" s="0" t="str">
        <f aca="false">AV260&amp;"Q"&amp;ROUNDUP(MONTH(AW260)/3,0)</f>
        <v>2021Q1</v>
      </c>
      <c r="AV260" s="0" t="n">
        <f aca="false">YEAR(AW260)</f>
        <v>2021</v>
      </c>
      <c r="AW260" s="1304" t="n">
        <f aca="false">EOMONTH(AW259,0)+1</f>
        <v>44256</v>
      </c>
      <c r="AX260" s="112" t="n">
        <f aca="false">AY260</f>
        <v>3.9127989511282</v>
      </c>
      <c r="AY260" s="1323" t="n">
        <v>3.9127989511282</v>
      </c>
      <c r="AZ260" s="112" t="n">
        <f aca="false">AY260</f>
        <v>3.9127989511282</v>
      </c>
      <c r="BA260" s="163"/>
      <c r="BB260" s="163"/>
      <c r="BC260" s="163"/>
      <c r="BD260" s="163" t="n">
        <v>0</v>
      </c>
      <c r="BE260" s="163"/>
      <c r="BF260" s="163" t="n">
        <v>0</v>
      </c>
      <c r="BG260" s="1290" t="n">
        <v>0</v>
      </c>
      <c r="BH260" s="1262"/>
      <c r="BI260" s="1292"/>
      <c r="BJ260" s="1291"/>
      <c r="BK260" s="1293" t="n">
        <v>0</v>
      </c>
      <c r="BL260" s="1294" t="n">
        <f aca="false">+AY260</f>
        <v>3.9127989511282</v>
      </c>
      <c r="BM260" s="1295" t="n">
        <f aca="false">AY260</f>
        <v>3.9127989511282</v>
      </c>
      <c r="BN260" s="1324" t="n">
        <f aca="false">+BM260/BM248-1</f>
        <v>0.024693687848393</v>
      </c>
      <c r="BO260" s="1296" t="n">
        <f aca="false">BM260</f>
        <v>3.9127989511282</v>
      </c>
      <c r="BP260" s="1318" t="n">
        <f aca="false">+AY260/AY248-1</f>
        <v>0.024693687848393</v>
      </c>
      <c r="BQ260" s="1298" t="n">
        <f aca="false">VLOOKUP($AW260,$BU$8:$BZ$291,5,FALSE())</f>
        <v>4.82176256974724</v>
      </c>
      <c r="BR260" s="1298" t="n">
        <f aca="false">VLOOKUP($AW260,$BU$8:$BZ$291,6,FALSE())</f>
        <v>3.83885786204857</v>
      </c>
      <c r="BS260" s="1262" t="n">
        <v>0</v>
      </c>
      <c r="BU260" s="1309" t="n">
        <f aca="false">EDATE(BU259,1)</f>
        <v>43831</v>
      </c>
      <c r="BV260" s="1310" t="n">
        <v>3.3398945314294</v>
      </c>
      <c r="BW260" s="1310" t="n">
        <v>2.70758931957272</v>
      </c>
      <c r="BX260" s="1310"/>
      <c r="BY260" s="1310" t="n">
        <v>5.16340904812539</v>
      </c>
      <c r="BZ260" s="1311" t="n">
        <v>4.18587804486932</v>
      </c>
    </row>
    <row r="261" customFormat="false" ht="12.75" hidden="false" customHeight="false" outlineLevel="0" collapsed="false">
      <c r="A261" s="1246"/>
      <c r="B261" s="1312" t="n">
        <v>43252</v>
      </c>
      <c r="C261" s="1313" t="n">
        <v>46.7415191417248</v>
      </c>
      <c r="D261" s="1313"/>
      <c r="E261" s="1313"/>
      <c r="F261" s="1327"/>
      <c r="G261" s="1313"/>
      <c r="H261" s="1313"/>
      <c r="I261" s="1313"/>
      <c r="J261" s="1253"/>
      <c r="K261" s="1254" t="n">
        <v>44136</v>
      </c>
      <c r="L261" s="1314" t="n">
        <v>0</v>
      </c>
      <c r="M261" s="1314" t="n">
        <v>0</v>
      </c>
      <c r="N261" s="1314" t="n">
        <v>0</v>
      </c>
      <c r="O261" s="1252"/>
      <c r="P261" s="1314" t="n">
        <v>0</v>
      </c>
      <c r="Q261" s="1314" t="n">
        <v>0</v>
      </c>
      <c r="R261" s="1314" t="n">
        <v>0</v>
      </c>
      <c r="S261" s="1252"/>
      <c r="T261" s="1314" t="n">
        <v>0</v>
      </c>
      <c r="U261" s="1314" t="n">
        <v>0</v>
      </c>
      <c r="V261" s="1314" t="n">
        <v>0</v>
      </c>
      <c r="W261" s="1252"/>
      <c r="X261" s="1314" t="n">
        <v>0</v>
      </c>
      <c r="Y261" s="1314" t="n">
        <v>0</v>
      </c>
      <c r="Z261" s="1314" t="n">
        <v>0</v>
      </c>
      <c r="AA261" s="1252" t="n">
        <v>0</v>
      </c>
      <c r="AB261" s="1314" t="n">
        <v>0</v>
      </c>
      <c r="AC261" s="1314" t="n">
        <v>0</v>
      </c>
      <c r="AD261" s="1314" t="n">
        <v>0</v>
      </c>
      <c r="AE261" s="1252"/>
      <c r="AF261" s="1314" t="n">
        <v>0</v>
      </c>
      <c r="AG261" s="1314" t="n">
        <v>0</v>
      </c>
      <c r="AH261" s="1314" t="n">
        <v>0</v>
      </c>
      <c r="AI261" s="1252"/>
      <c r="AJ261" s="1314" t="n">
        <v>0</v>
      </c>
      <c r="AK261" s="1314" t="n">
        <v>0</v>
      </c>
      <c r="AL261" s="1314" t="n">
        <v>0</v>
      </c>
      <c r="AM261" s="1166"/>
      <c r="AN261" s="1253" t="n">
        <v>84</v>
      </c>
      <c r="AO261" s="1316" t="n">
        <v>0.35</v>
      </c>
      <c r="AP261" s="1252"/>
      <c r="AQ261" s="0"/>
      <c r="AR261" s="0"/>
      <c r="AS261" s="0"/>
      <c r="AT261" s="0"/>
      <c r="AU261" s="0" t="str">
        <f aca="false">AV261&amp;"Q"&amp;ROUNDUP(MONTH(AW261)/3,0)</f>
        <v>2021Q2</v>
      </c>
      <c r="AV261" s="0" t="n">
        <f aca="false">YEAR(AW261)</f>
        <v>2021</v>
      </c>
      <c r="AW261" s="1304" t="n">
        <f aca="false">EOMONTH(AW260,0)+1</f>
        <v>44287</v>
      </c>
      <c r="AX261" s="112" t="n">
        <f aca="false">AY261</f>
        <v>3.79541218935532</v>
      </c>
      <c r="AY261" s="1323" t="n">
        <v>3.79541218935532</v>
      </c>
      <c r="AZ261" s="112" t="n">
        <f aca="false">AY261</f>
        <v>3.79541218935532</v>
      </c>
      <c r="BA261" s="163"/>
      <c r="BB261" s="163"/>
      <c r="BC261" s="163"/>
      <c r="BD261" s="163" t="n">
        <v>0</v>
      </c>
      <c r="BE261" s="163"/>
      <c r="BF261" s="163" t="n">
        <v>0</v>
      </c>
      <c r="BG261" s="1290" t="n">
        <v>0</v>
      </c>
      <c r="BH261" s="1262"/>
      <c r="BI261" s="1292"/>
      <c r="BJ261" s="1291"/>
      <c r="BK261" s="1293" t="n">
        <v>0</v>
      </c>
      <c r="BL261" s="1294" t="n">
        <f aca="false">+AY261</f>
        <v>3.79541218935532</v>
      </c>
      <c r="BM261" s="1295" t="n">
        <f aca="false">AY261</f>
        <v>3.79541218935532</v>
      </c>
      <c r="BN261" s="1324" t="n">
        <f aca="false">+BM261/BM249-1</f>
        <v>0.024693687848393</v>
      </c>
      <c r="BO261" s="1296" t="n">
        <f aca="false">BM261</f>
        <v>3.79541218935532</v>
      </c>
      <c r="BP261" s="1318" t="n">
        <f aca="false">+AY261/AY249-1</f>
        <v>0.024693687848393</v>
      </c>
      <c r="BQ261" s="1298" t="n">
        <f aca="false">VLOOKUP($AW261,$BU$8:$BZ$291,5,FALSE())</f>
        <v>4.72611084841006</v>
      </c>
      <c r="BR261" s="1298" t="n">
        <f aca="false">VLOOKUP($AW261,$BU$8:$BZ$291,6,FALSE())</f>
        <v>3.72217525225986</v>
      </c>
      <c r="BS261" s="1262" t="n">
        <v>0</v>
      </c>
      <c r="BU261" s="1309" t="n">
        <f aca="false">EDATE(BU260,1)</f>
        <v>43862</v>
      </c>
      <c r="BV261" s="1310" t="n">
        <v>3.08788434505803</v>
      </c>
      <c r="BW261" s="1310" t="n">
        <v>2.52195688789698</v>
      </c>
      <c r="BX261" s="1310"/>
      <c r="BY261" s="1310" t="n">
        <v>4.7738064231668</v>
      </c>
      <c r="BZ261" s="1311" t="n">
        <v>3.89889407926193</v>
      </c>
    </row>
    <row r="262" customFormat="false" ht="12.75" hidden="false" customHeight="false" outlineLevel="0" collapsed="false">
      <c r="A262" s="1246"/>
      <c r="B262" s="1312" t="n">
        <v>43282</v>
      </c>
      <c r="C262" s="1313" t="n">
        <v>63.0098022717897</v>
      </c>
      <c r="D262" s="1313"/>
      <c r="E262" s="1313"/>
      <c r="F262" s="1327"/>
      <c r="G262" s="1313"/>
      <c r="H262" s="1313"/>
      <c r="I262" s="1313"/>
      <c r="J262" s="1253"/>
      <c r="K262" s="1254" t="n">
        <v>44166</v>
      </c>
      <c r="L262" s="1314" t="n">
        <v>0</v>
      </c>
      <c r="M262" s="1314" t="n">
        <v>0</v>
      </c>
      <c r="N262" s="1314" t="n">
        <v>0</v>
      </c>
      <c r="O262" s="1252"/>
      <c r="P262" s="1314" t="n">
        <v>0</v>
      </c>
      <c r="Q262" s="1314" t="n">
        <v>0</v>
      </c>
      <c r="R262" s="1314" t="n">
        <v>0</v>
      </c>
      <c r="S262" s="1252"/>
      <c r="T262" s="1314" t="n">
        <v>0</v>
      </c>
      <c r="U262" s="1314" t="n">
        <v>0</v>
      </c>
      <c r="V262" s="1314" t="n">
        <v>0</v>
      </c>
      <c r="W262" s="1252"/>
      <c r="X262" s="1314" t="n">
        <v>0</v>
      </c>
      <c r="Y262" s="1314" t="n">
        <v>0</v>
      </c>
      <c r="Z262" s="1314" t="n">
        <v>0</v>
      </c>
      <c r="AA262" s="1252" t="n">
        <v>0</v>
      </c>
      <c r="AB262" s="1314" t="n">
        <v>0</v>
      </c>
      <c r="AC262" s="1314" t="n">
        <v>0</v>
      </c>
      <c r="AD262" s="1314" t="n">
        <v>0</v>
      </c>
      <c r="AE262" s="1252"/>
      <c r="AF262" s="1314" t="n">
        <v>0</v>
      </c>
      <c r="AG262" s="1314" t="n">
        <v>0</v>
      </c>
      <c r="AH262" s="1314" t="n">
        <v>0</v>
      </c>
      <c r="AI262" s="1252"/>
      <c r="AJ262" s="1314" t="n">
        <v>0</v>
      </c>
      <c r="AK262" s="1314" t="n">
        <v>0</v>
      </c>
      <c r="AL262" s="1314" t="n">
        <v>0</v>
      </c>
      <c r="AM262" s="1166"/>
      <c r="AN262" s="1253" t="n">
        <v>85</v>
      </c>
      <c r="AO262" s="1316" t="n">
        <v>0.35</v>
      </c>
      <c r="AP262" s="1252"/>
      <c r="AQ262" s="0"/>
      <c r="AR262" s="0"/>
      <c r="AS262" s="0"/>
      <c r="AT262" s="0"/>
      <c r="AU262" s="0" t="str">
        <f aca="false">AV262&amp;"Q"&amp;ROUNDUP(MONTH(AW262)/3,0)</f>
        <v>2021Q2</v>
      </c>
      <c r="AV262" s="0" t="n">
        <f aca="false">YEAR(AW262)</f>
        <v>2021</v>
      </c>
      <c r="AW262" s="1304" t="n">
        <f aca="false">EOMONTH(AW261,0)+1</f>
        <v>44317</v>
      </c>
      <c r="AX262" s="112" t="n">
        <f aca="false">AY262</f>
        <v>3.76678836467416</v>
      </c>
      <c r="AY262" s="1323" t="n">
        <v>3.76678836467416</v>
      </c>
      <c r="AZ262" s="112" t="n">
        <f aca="false">AY262</f>
        <v>3.76678836467416</v>
      </c>
      <c r="BA262" s="163"/>
      <c r="BB262" s="163"/>
      <c r="BC262" s="163"/>
      <c r="BD262" s="163" t="n">
        <v>0</v>
      </c>
      <c r="BE262" s="163"/>
      <c r="BF262" s="163" t="n">
        <v>0</v>
      </c>
      <c r="BG262" s="1290" t="n">
        <v>0</v>
      </c>
      <c r="BH262" s="1262"/>
      <c r="BI262" s="1292"/>
      <c r="BJ262" s="1291"/>
      <c r="BK262" s="1293" t="n">
        <v>0</v>
      </c>
      <c r="BL262" s="1294" t="n">
        <f aca="false">+AY262</f>
        <v>3.76678836467416</v>
      </c>
      <c r="BM262" s="1295" t="n">
        <f aca="false">AY262</f>
        <v>3.76678836467416</v>
      </c>
      <c r="BN262" s="1324" t="n">
        <f aca="false">+BM262/BM250-1</f>
        <v>0.0246936878483932</v>
      </c>
      <c r="BO262" s="1296" t="n">
        <f aca="false">BM262</f>
        <v>3.76678836467416</v>
      </c>
      <c r="BP262" s="1318" t="n">
        <f aca="false">+AY262/AY250-1</f>
        <v>0.0246936878483932</v>
      </c>
      <c r="BQ262" s="1298" t="n">
        <f aca="false">VLOOKUP($AW262,$BU$8:$BZ$291,5,FALSE())</f>
        <v>4.68235527375582</v>
      </c>
      <c r="BR262" s="1298" t="n">
        <f aca="false">VLOOKUP($AW262,$BU$8:$BZ$291,6,FALSE())</f>
        <v>3.67636652397244</v>
      </c>
      <c r="BS262" s="1262" t="n">
        <v>0</v>
      </c>
      <c r="BU262" s="1309" t="n">
        <f aca="false">EDATE(BU261,1)</f>
        <v>43891</v>
      </c>
      <c r="BV262" s="1310" t="n">
        <v>2.99619944078171</v>
      </c>
      <c r="BW262" s="1310" t="n">
        <v>2.39676292234823</v>
      </c>
      <c r="BX262" s="1310"/>
      <c r="BY262" s="1310" t="n">
        <v>4.63206342503858</v>
      </c>
      <c r="BZ262" s="1311" t="n">
        <v>3.70534675361974</v>
      </c>
    </row>
    <row r="263" customFormat="false" ht="12.75" hidden="false" customHeight="false" outlineLevel="0" collapsed="false">
      <c r="A263" s="1246"/>
      <c r="B263" s="1312" t="n">
        <v>43313</v>
      </c>
      <c r="C263" s="1313" t="n">
        <v>74.1580188122897</v>
      </c>
      <c r="D263" s="1313"/>
      <c r="E263" s="1313"/>
      <c r="F263" s="1327"/>
      <c r="G263" s="1313"/>
      <c r="H263" s="1313"/>
      <c r="I263" s="1313"/>
      <c r="J263" s="1253"/>
      <c r="K263" s="1254" t="n">
        <v>44197</v>
      </c>
      <c r="L263" s="1314" t="n">
        <v>0</v>
      </c>
      <c r="M263" s="1314" t="n">
        <v>0</v>
      </c>
      <c r="N263" s="1314" t="n">
        <v>0</v>
      </c>
      <c r="O263" s="1252"/>
      <c r="P263" s="1314" t="n">
        <v>0</v>
      </c>
      <c r="Q263" s="1314" t="n">
        <v>0</v>
      </c>
      <c r="R263" s="1314" t="n">
        <v>0</v>
      </c>
      <c r="S263" s="1252"/>
      <c r="T263" s="1314" t="n">
        <v>0</v>
      </c>
      <c r="U263" s="1314" t="n">
        <v>0</v>
      </c>
      <c r="V263" s="1314" t="n">
        <v>0</v>
      </c>
      <c r="W263" s="1252"/>
      <c r="X263" s="1314" t="n">
        <v>0</v>
      </c>
      <c r="Y263" s="1314" t="n">
        <v>0</v>
      </c>
      <c r="Z263" s="1314" t="n">
        <v>0</v>
      </c>
      <c r="AA263" s="1252" t="n">
        <v>0</v>
      </c>
      <c r="AB263" s="1314" t="n">
        <v>0</v>
      </c>
      <c r="AC263" s="1314" t="n">
        <v>0</v>
      </c>
      <c r="AD263" s="1314" t="n">
        <v>0</v>
      </c>
      <c r="AE263" s="1252"/>
      <c r="AF263" s="1314" t="n">
        <v>0</v>
      </c>
      <c r="AG263" s="1314" t="n">
        <v>0</v>
      </c>
      <c r="AH263" s="1314" t="n">
        <v>0</v>
      </c>
      <c r="AI263" s="1252"/>
      <c r="AJ263" s="1314" t="n">
        <v>0</v>
      </c>
      <c r="AK263" s="1314" t="n">
        <v>0</v>
      </c>
      <c r="AL263" s="1314" t="n">
        <v>0</v>
      </c>
      <c r="AM263" s="1166"/>
      <c r="AN263" s="1253" t="n">
        <v>85</v>
      </c>
      <c r="AO263" s="1316" t="n">
        <v>0.35</v>
      </c>
      <c r="AP263" s="1252"/>
      <c r="AQ263" s="0"/>
      <c r="AR263" s="0"/>
      <c r="AS263" s="0"/>
      <c r="AT263" s="0"/>
      <c r="AU263" s="0" t="str">
        <f aca="false">AV263&amp;"Q"&amp;ROUNDUP(MONTH(AW263)/3,0)</f>
        <v>2021Q2</v>
      </c>
      <c r="AV263" s="0" t="n">
        <f aca="false">YEAR(AW263)</f>
        <v>2021</v>
      </c>
      <c r="AW263" s="1304" t="n">
        <f aca="false">EOMONTH(AW262,0)+1</f>
        <v>44348</v>
      </c>
      <c r="AX263" s="112" t="n">
        <f aca="false">AY263</f>
        <v>3.81228899347828</v>
      </c>
      <c r="AY263" s="1323" t="n">
        <v>3.81228899347828</v>
      </c>
      <c r="AZ263" s="112" t="n">
        <f aca="false">AY263</f>
        <v>3.81228899347828</v>
      </c>
      <c r="BA263" s="163"/>
      <c r="BB263" s="163"/>
      <c r="BC263" s="163"/>
      <c r="BD263" s="163" t="n">
        <v>0</v>
      </c>
      <c r="BE263" s="163"/>
      <c r="BF263" s="163" t="n">
        <v>0</v>
      </c>
      <c r="BG263" s="1290" t="n">
        <v>0</v>
      </c>
      <c r="BH263" s="1262"/>
      <c r="BI263" s="1292"/>
      <c r="BJ263" s="1291"/>
      <c r="BK263" s="1293" t="n">
        <v>0</v>
      </c>
      <c r="BL263" s="1294" t="n">
        <f aca="false">+AY263</f>
        <v>3.81228899347828</v>
      </c>
      <c r="BM263" s="1295" t="n">
        <f aca="false">AY263</f>
        <v>3.81228899347828</v>
      </c>
      <c r="BN263" s="1324" t="n">
        <f aca="false">+BM263/BM251-1</f>
        <v>0.0246936878483934</v>
      </c>
      <c r="BO263" s="1296" t="n">
        <f aca="false">BM263</f>
        <v>3.81228899347828</v>
      </c>
      <c r="BP263" s="1318" t="n">
        <f aca="false">+AY263/AY251-1</f>
        <v>0.0246936878483934</v>
      </c>
      <c r="BQ263" s="1298" t="n">
        <f aca="false">VLOOKUP($AW263,$BU$8:$BZ$291,5,FALSE())</f>
        <v>4.69049584578451</v>
      </c>
      <c r="BR263" s="1298" t="n">
        <f aca="false">VLOOKUP($AW263,$BU$8:$BZ$291,6,FALSE())</f>
        <v>3.68846694276535</v>
      </c>
      <c r="BS263" s="1262" t="n">
        <v>0</v>
      </c>
      <c r="BU263" s="1309" t="n">
        <f aca="false">EDATE(BU262,1)</f>
        <v>43922</v>
      </c>
      <c r="BV263" s="1310" t="n">
        <v>2.93676233042327</v>
      </c>
      <c r="BW263" s="1310" t="n">
        <v>2.32391298549874</v>
      </c>
      <c r="BX263" s="1310"/>
      <c r="BY263" s="1310" t="n">
        <v>4.54017486073477</v>
      </c>
      <c r="BZ263" s="1311" t="n">
        <v>3.59272223223313</v>
      </c>
    </row>
    <row r="264" customFormat="false" ht="12.75" hidden="false" customHeight="false" outlineLevel="0" collapsed="false">
      <c r="A264" s="1246"/>
      <c r="B264" s="1312" t="n">
        <v>43344</v>
      </c>
      <c r="C264" s="1313" t="n">
        <v>66.5679041426353</v>
      </c>
      <c r="D264" s="1313"/>
      <c r="E264" s="1313"/>
      <c r="F264" s="1327"/>
      <c r="G264" s="1313"/>
      <c r="H264" s="1313"/>
      <c r="I264" s="1313"/>
      <c r="J264" s="1253"/>
      <c r="K264" s="1254" t="n">
        <v>44228</v>
      </c>
      <c r="L264" s="1314" t="n">
        <v>0</v>
      </c>
      <c r="M264" s="1314" t="n">
        <v>0</v>
      </c>
      <c r="N264" s="1314" t="n">
        <v>0</v>
      </c>
      <c r="O264" s="1252"/>
      <c r="P264" s="1314" t="n">
        <v>0</v>
      </c>
      <c r="Q264" s="1314" t="n">
        <v>0</v>
      </c>
      <c r="R264" s="1314" t="n">
        <v>0</v>
      </c>
      <c r="S264" s="1252"/>
      <c r="T264" s="1314" t="n">
        <v>0</v>
      </c>
      <c r="U264" s="1314" t="n">
        <v>0</v>
      </c>
      <c r="V264" s="1314" t="n">
        <v>0</v>
      </c>
      <c r="W264" s="1252"/>
      <c r="X264" s="1314" t="n">
        <v>0</v>
      </c>
      <c r="Y264" s="1314" t="n">
        <v>0</v>
      </c>
      <c r="Z264" s="1314" t="n">
        <v>0</v>
      </c>
      <c r="AA264" s="1252" t="n">
        <v>0</v>
      </c>
      <c r="AB264" s="1314" t="n">
        <v>0</v>
      </c>
      <c r="AC264" s="1314" t="n">
        <v>0</v>
      </c>
      <c r="AD264" s="1314" t="n">
        <v>0</v>
      </c>
      <c r="AE264" s="1252"/>
      <c r="AF264" s="1314" t="n">
        <v>0</v>
      </c>
      <c r="AG264" s="1314" t="n">
        <v>0</v>
      </c>
      <c r="AH264" s="1314" t="n">
        <v>0</v>
      </c>
      <c r="AI264" s="1252"/>
      <c r="AJ264" s="1314" t="n">
        <v>0</v>
      </c>
      <c r="AK264" s="1314" t="n">
        <v>0</v>
      </c>
      <c r="AL264" s="1314" t="n">
        <v>0</v>
      </c>
      <c r="AM264" s="1166"/>
      <c r="AN264" s="1253" t="n">
        <v>85</v>
      </c>
      <c r="AO264" s="1316" t="n">
        <v>0.35</v>
      </c>
      <c r="AP264" s="1252"/>
      <c r="AQ264" s="0"/>
      <c r="AR264" s="0"/>
      <c r="AS264" s="0"/>
      <c r="AT264" s="0"/>
      <c r="AU264" s="0" t="str">
        <f aca="false">AV264&amp;"Q"&amp;ROUNDUP(MONTH(AW264)/3,0)</f>
        <v>2021Q3</v>
      </c>
      <c r="AV264" s="0" t="n">
        <f aca="false">YEAR(AW264)</f>
        <v>2021</v>
      </c>
      <c r="AW264" s="1304" t="n">
        <f aca="false">EOMONTH(AW263,0)+1</f>
        <v>44378</v>
      </c>
      <c r="AX264" s="112" t="n">
        <f aca="false">AY264</f>
        <v>3.91634957839869</v>
      </c>
      <c r="AY264" s="1323" t="n">
        <v>3.91634957839869</v>
      </c>
      <c r="AZ264" s="112" t="n">
        <f aca="false">AY264</f>
        <v>3.91634957839869</v>
      </c>
      <c r="BA264" s="163"/>
      <c r="BB264" s="163"/>
      <c r="BC264" s="163"/>
      <c r="BD264" s="163" t="n">
        <v>0</v>
      </c>
      <c r="BE264" s="163"/>
      <c r="BF264" s="163" t="n">
        <v>0</v>
      </c>
      <c r="BG264" s="1290" t="n">
        <v>0</v>
      </c>
      <c r="BH264" s="1262"/>
      <c r="BI264" s="1292"/>
      <c r="BJ264" s="1291"/>
      <c r="BK264" s="1293" t="n">
        <v>0</v>
      </c>
      <c r="BL264" s="1294" t="n">
        <f aca="false">+AY264</f>
        <v>3.91634957839869</v>
      </c>
      <c r="BM264" s="1295" t="n">
        <f aca="false">AY264</f>
        <v>3.91634957839869</v>
      </c>
      <c r="BN264" s="1324" t="n">
        <f aca="false">+BM264/BM252-1</f>
        <v>0.024693687848393</v>
      </c>
      <c r="BO264" s="1296" t="n">
        <f aca="false">BM264</f>
        <v>3.91634957839869</v>
      </c>
      <c r="BP264" s="1318" t="n">
        <f aca="false">+AY264/AY252-1</f>
        <v>0.024693687848393</v>
      </c>
      <c r="BQ264" s="1298" t="n">
        <f aca="false">VLOOKUP($AW264,$BU$8:$BZ$291,5,FALSE())</f>
        <v>4.75053256449615</v>
      </c>
      <c r="BR264" s="1298" t="n">
        <f aca="false">VLOOKUP($AW264,$BU$8:$BZ$291,6,FALSE())</f>
        <v>3.7455117742176</v>
      </c>
      <c r="BS264" s="1262" t="n">
        <v>0</v>
      </c>
      <c r="BU264" s="1309" t="n">
        <f aca="false">EDATE(BU263,1)</f>
        <v>43952</v>
      </c>
      <c r="BV264" s="1310" t="n">
        <v>2.9095730139827</v>
      </c>
      <c r="BW264" s="1310" t="n">
        <v>2.29531263992079</v>
      </c>
      <c r="BX264" s="1310"/>
      <c r="BY264" s="1310" t="n">
        <v>4.49814073025536</v>
      </c>
      <c r="BZ264" s="1311" t="n">
        <v>3.54850667939246</v>
      </c>
    </row>
    <row r="265" customFormat="false" ht="12.75" hidden="false" customHeight="false" outlineLevel="0" collapsed="false">
      <c r="A265" s="1246"/>
      <c r="B265" s="1312" t="n">
        <v>43374</v>
      </c>
      <c r="C265" s="1313" t="n">
        <v>54.8510131143298</v>
      </c>
      <c r="D265" s="1313"/>
      <c r="E265" s="1313"/>
      <c r="F265" s="1327"/>
      <c r="G265" s="1313"/>
      <c r="H265" s="1313"/>
      <c r="I265" s="1313"/>
      <c r="J265" s="1253"/>
      <c r="K265" s="1254" t="n">
        <v>44256</v>
      </c>
      <c r="L265" s="1314" t="n">
        <v>0</v>
      </c>
      <c r="M265" s="1314" t="n">
        <v>0</v>
      </c>
      <c r="N265" s="1314" t="n">
        <v>0</v>
      </c>
      <c r="O265" s="1252"/>
      <c r="P265" s="1314" t="n">
        <v>0</v>
      </c>
      <c r="Q265" s="1314" t="n">
        <v>0</v>
      </c>
      <c r="R265" s="1314" t="n">
        <v>0</v>
      </c>
      <c r="S265" s="1252"/>
      <c r="T265" s="1314" t="n">
        <v>0</v>
      </c>
      <c r="U265" s="1314" t="n">
        <v>0</v>
      </c>
      <c r="V265" s="1314" t="n">
        <v>0</v>
      </c>
      <c r="W265" s="1252"/>
      <c r="X265" s="1314" t="n">
        <v>0</v>
      </c>
      <c r="Y265" s="1314" t="n">
        <v>0</v>
      </c>
      <c r="Z265" s="1314" t="n">
        <v>0</v>
      </c>
      <c r="AA265" s="1252" t="n">
        <v>0</v>
      </c>
      <c r="AB265" s="1314" t="n">
        <v>0</v>
      </c>
      <c r="AC265" s="1314" t="n">
        <v>0</v>
      </c>
      <c r="AD265" s="1314" t="n">
        <v>0</v>
      </c>
      <c r="AE265" s="1252"/>
      <c r="AF265" s="1314" t="n">
        <v>0</v>
      </c>
      <c r="AG265" s="1314" t="n">
        <v>0</v>
      </c>
      <c r="AH265" s="1314" t="n">
        <v>0</v>
      </c>
      <c r="AI265" s="1252"/>
      <c r="AJ265" s="1314" t="n">
        <v>0</v>
      </c>
      <c r="AK265" s="1314" t="n">
        <v>0</v>
      </c>
      <c r="AL265" s="1314" t="n">
        <v>0</v>
      </c>
      <c r="AM265" s="1166"/>
      <c r="AN265" s="1253" t="n">
        <v>86</v>
      </c>
      <c r="AO265" s="1316" t="n">
        <v>0.35</v>
      </c>
      <c r="AP265" s="1252"/>
      <c r="AQ265" s="0"/>
      <c r="AR265" s="0"/>
      <c r="AS265" s="0"/>
      <c r="AT265" s="0"/>
      <c r="AU265" s="0" t="str">
        <f aca="false">AV265&amp;"Q"&amp;ROUNDUP(MONTH(AW265)/3,0)</f>
        <v>2021Q3</v>
      </c>
      <c r="AV265" s="0" t="n">
        <f aca="false">YEAR(AW265)</f>
        <v>2021</v>
      </c>
      <c r="AW265" s="1304" t="n">
        <f aca="false">EOMONTH(AW264,0)+1</f>
        <v>44409</v>
      </c>
      <c r="AX265" s="112" t="n">
        <f aca="false">AY265</f>
        <v>4.06413722116104</v>
      </c>
      <c r="AY265" s="1323" t="n">
        <v>4.06413722116104</v>
      </c>
      <c r="AZ265" s="112" t="n">
        <f aca="false">AY265</f>
        <v>4.06413722116104</v>
      </c>
      <c r="BA265" s="163"/>
      <c r="BB265" s="163"/>
      <c r="BC265" s="163"/>
      <c r="BD265" s="163" t="n">
        <v>0</v>
      </c>
      <c r="BE265" s="163"/>
      <c r="BF265" s="163" t="n">
        <v>0</v>
      </c>
      <c r="BG265" s="1290" t="n">
        <v>0</v>
      </c>
      <c r="BH265" s="1262"/>
      <c r="BI265" s="1292"/>
      <c r="BJ265" s="1291"/>
      <c r="BK265" s="1293" t="n">
        <v>0</v>
      </c>
      <c r="BL265" s="1294" t="n">
        <f aca="false">+AY265</f>
        <v>4.06413722116104</v>
      </c>
      <c r="BM265" s="1295" t="n">
        <f aca="false">AY265</f>
        <v>4.06413722116104</v>
      </c>
      <c r="BN265" s="1324" t="n">
        <f aca="false">+BM265/BM253-1</f>
        <v>0.024693687848393</v>
      </c>
      <c r="BO265" s="1296" t="n">
        <f aca="false">BM265</f>
        <v>4.06413722116104</v>
      </c>
      <c r="BP265" s="1318" t="n">
        <f aca="false">+AY265/AY253-1</f>
        <v>0.024693687848393</v>
      </c>
      <c r="BQ265" s="1298" t="n">
        <f aca="false">VLOOKUP($AW265,$BU$8:$BZ$291,5,FALSE())</f>
        <v>4.86246542989072</v>
      </c>
      <c r="BR265" s="1298" t="n">
        <f aca="false">VLOOKUP($AW265,$BU$8:$BZ$291,6,FALSE())</f>
        <v>3.83453628390825</v>
      </c>
      <c r="BS265" s="1262" t="n">
        <v>0</v>
      </c>
      <c r="BU265" s="1309" t="n">
        <f aca="false">EDATE(BU264,1)</f>
        <v>43983</v>
      </c>
      <c r="BV265" s="1310" t="n">
        <v>2.91463149146002</v>
      </c>
      <c r="BW265" s="1310" t="n">
        <v>2.30286744818666</v>
      </c>
      <c r="BX265" s="1310"/>
      <c r="BY265" s="1310" t="n">
        <v>4.50596103360037</v>
      </c>
      <c r="BZ265" s="1311" t="n">
        <v>3.5601862593881</v>
      </c>
    </row>
    <row r="266" customFormat="false" ht="12.75" hidden="false" customHeight="false" outlineLevel="0" collapsed="false">
      <c r="A266" s="1246"/>
      <c r="B266" s="1312" t="n">
        <v>43405</v>
      </c>
      <c r="C266" s="1313" t="n">
        <v>57.8433610161495</v>
      </c>
      <c r="D266" s="1313"/>
      <c r="E266" s="1313"/>
      <c r="F266" s="1327"/>
      <c r="G266" s="1313"/>
      <c r="H266" s="1313"/>
      <c r="I266" s="1313"/>
      <c r="J266" s="1253"/>
      <c r="K266" s="1254" t="n">
        <v>44287</v>
      </c>
      <c r="L266" s="1314" t="n">
        <v>0</v>
      </c>
      <c r="M266" s="1314" t="n">
        <v>0</v>
      </c>
      <c r="N266" s="1314" t="n">
        <v>0</v>
      </c>
      <c r="O266" s="1252"/>
      <c r="P266" s="1314" t="n">
        <v>0</v>
      </c>
      <c r="Q266" s="1314" t="n">
        <v>0</v>
      </c>
      <c r="R266" s="1314" t="n">
        <v>0</v>
      </c>
      <c r="S266" s="1252"/>
      <c r="T266" s="1314" t="n">
        <v>0</v>
      </c>
      <c r="U266" s="1314" t="n">
        <v>0</v>
      </c>
      <c r="V266" s="1314" t="n">
        <v>0</v>
      </c>
      <c r="W266" s="1252"/>
      <c r="X266" s="1314" t="n">
        <v>0</v>
      </c>
      <c r="Y266" s="1314" t="n">
        <v>0</v>
      </c>
      <c r="Z266" s="1314" t="n">
        <v>0</v>
      </c>
      <c r="AA266" s="1252" t="n">
        <v>0</v>
      </c>
      <c r="AB266" s="1314" t="n">
        <v>0</v>
      </c>
      <c r="AC266" s="1314" t="n">
        <v>0</v>
      </c>
      <c r="AD266" s="1314" t="n">
        <v>0</v>
      </c>
      <c r="AE266" s="1252"/>
      <c r="AF266" s="1314" t="n">
        <v>0</v>
      </c>
      <c r="AG266" s="1314" t="n">
        <v>0</v>
      </c>
      <c r="AH266" s="1314" t="n">
        <v>0</v>
      </c>
      <c r="AI266" s="1252"/>
      <c r="AJ266" s="1314" t="n">
        <v>0</v>
      </c>
      <c r="AK266" s="1314" t="n">
        <v>0</v>
      </c>
      <c r="AL266" s="1314" t="n">
        <v>0</v>
      </c>
      <c r="AM266" s="1166"/>
      <c r="AN266" s="1253" t="n">
        <v>86</v>
      </c>
      <c r="AO266" s="1316" t="n">
        <v>0.35</v>
      </c>
      <c r="AP266" s="1252"/>
      <c r="AQ266" s="0"/>
      <c r="AR266" s="0"/>
      <c r="AS266" s="0"/>
      <c r="AT266" s="0"/>
      <c r="AU266" s="0" t="str">
        <f aca="false">AV266&amp;"Q"&amp;ROUNDUP(MONTH(AW266)/3,0)</f>
        <v>2021Q3</v>
      </c>
      <c r="AV266" s="0" t="n">
        <f aca="false">YEAR(AW266)</f>
        <v>2021</v>
      </c>
      <c r="AW266" s="1304" t="n">
        <f aca="false">EOMONTH(AW265,0)+1</f>
        <v>44440</v>
      </c>
      <c r="AX266" s="112" t="n">
        <f aca="false">AY266</f>
        <v>4.24009290673977</v>
      </c>
      <c r="AY266" s="1323" t="n">
        <v>4.24009290673977</v>
      </c>
      <c r="AZ266" s="112" t="n">
        <f aca="false">AY266</f>
        <v>4.24009290673977</v>
      </c>
      <c r="BA266" s="163"/>
      <c r="BB266" s="163"/>
      <c r="BC266" s="163"/>
      <c r="BD266" s="163" t="n">
        <v>0</v>
      </c>
      <c r="BE266" s="163"/>
      <c r="BF266" s="163" t="n">
        <v>0</v>
      </c>
      <c r="BG266" s="1290" t="n">
        <v>0</v>
      </c>
      <c r="BH266" s="1262"/>
      <c r="BI266" s="1328"/>
      <c r="BJ266" s="1291"/>
      <c r="BK266" s="1293" t="n">
        <v>0</v>
      </c>
      <c r="BL266" s="1294" t="n">
        <f aca="false">+AY266</f>
        <v>4.24009290673977</v>
      </c>
      <c r="BM266" s="1295" t="n">
        <f aca="false">AY266</f>
        <v>4.24009290673977</v>
      </c>
      <c r="BN266" s="1324" t="n">
        <f aca="false">+BM266/BM254-1</f>
        <v>0.0246936878483928</v>
      </c>
      <c r="BO266" s="1296" t="n">
        <f aca="false">BM266</f>
        <v>4.24009290673977</v>
      </c>
      <c r="BP266" s="1318" t="n">
        <f aca="false">+AY266/AY254-1</f>
        <v>0.0246936878483928</v>
      </c>
      <c r="BQ266" s="1298" t="n">
        <f aca="false">VLOOKUP($AW266,$BU$8:$BZ$291,5,FALSE())</f>
        <v>5.02629444196824</v>
      </c>
      <c r="BR266" s="1298" t="n">
        <f aca="false">VLOOKUP($AW266,$BU$8:$BZ$291,6,FALSE())</f>
        <v>3.94257573741632</v>
      </c>
      <c r="BS266" s="1262" t="n">
        <v>0</v>
      </c>
      <c r="BU266" s="1309" t="n">
        <f aca="false">EDATE(BU265,1)</f>
        <v>44013</v>
      </c>
      <c r="BV266" s="1310" t="n">
        <v>2.95193776285521</v>
      </c>
      <c r="BW266" s="1310" t="n">
        <v>2.33848297286863</v>
      </c>
      <c r="BX266" s="1310"/>
      <c r="BY266" s="1310" t="n">
        <v>4.56363577076978</v>
      </c>
      <c r="BZ266" s="1311" t="n">
        <v>3.61524713651045</v>
      </c>
    </row>
    <row r="267" customFormat="false" ht="12.75" hidden="false" customHeight="false" outlineLevel="0" collapsed="false">
      <c r="A267" s="1246"/>
      <c r="B267" s="1312" t="n">
        <v>43435</v>
      </c>
      <c r="C267" s="1313" t="n">
        <v>60.5868644074933</v>
      </c>
      <c r="D267" s="1313"/>
      <c r="E267" s="1313"/>
      <c r="F267" s="1327"/>
      <c r="G267" s="1313"/>
      <c r="H267" s="1313"/>
      <c r="I267" s="1313"/>
      <c r="J267" s="1253"/>
      <c r="K267" s="1254" t="n">
        <v>44317</v>
      </c>
      <c r="L267" s="1314" t="n">
        <v>0</v>
      </c>
      <c r="M267" s="1314" t="n">
        <v>0</v>
      </c>
      <c r="N267" s="1314" t="n">
        <v>0</v>
      </c>
      <c r="O267" s="1252"/>
      <c r="P267" s="1314" t="n">
        <v>0</v>
      </c>
      <c r="Q267" s="1314" t="n">
        <v>0</v>
      </c>
      <c r="R267" s="1314" t="n">
        <v>0</v>
      </c>
      <c r="S267" s="1252"/>
      <c r="T267" s="1314" t="n">
        <v>0</v>
      </c>
      <c r="U267" s="1314" t="n">
        <v>0</v>
      </c>
      <c r="V267" s="1314" t="n">
        <v>0</v>
      </c>
      <c r="W267" s="1252"/>
      <c r="X267" s="1314" t="n">
        <v>0</v>
      </c>
      <c r="Y267" s="1314" t="n">
        <v>0</v>
      </c>
      <c r="Z267" s="1314" t="n">
        <v>0</v>
      </c>
      <c r="AA267" s="1252" t="n">
        <v>0</v>
      </c>
      <c r="AB267" s="1314" t="n">
        <v>0</v>
      </c>
      <c r="AC267" s="1314" t="n">
        <v>0</v>
      </c>
      <c r="AD267" s="1314" t="n">
        <v>0</v>
      </c>
      <c r="AE267" s="1252"/>
      <c r="AF267" s="1314" t="n">
        <v>0</v>
      </c>
      <c r="AG267" s="1314" t="n">
        <v>0</v>
      </c>
      <c r="AH267" s="1314" t="n">
        <v>0</v>
      </c>
      <c r="AI267" s="1252"/>
      <c r="AJ267" s="1314" t="n">
        <v>0</v>
      </c>
      <c r="AK267" s="1314" t="n">
        <v>0</v>
      </c>
      <c r="AL267" s="1314" t="n">
        <v>0</v>
      </c>
      <c r="AM267" s="1166"/>
      <c r="AN267" s="1253" t="n">
        <v>86</v>
      </c>
      <c r="AO267" s="1316" t="n">
        <v>0.35</v>
      </c>
      <c r="AP267" s="1252"/>
      <c r="AQ267" s="0"/>
      <c r="AR267" s="0"/>
      <c r="AS267" s="0"/>
      <c r="AT267" s="0"/>
      <c r="AU267" s="0" t="str">
        <f aca="false">AV267&amp;"Q"&amp;ROUNDUP(MONTH(AW267)/3,0)</f>
        <v>2021Q4</v>
      </c>
      <c r="AV267" s="0" t="n">
        <f aca="false">YEAR(AW267)</f>
        <v>2021</v>
      </c>
      <c r="AW267" s="1304" t="n">
        <f aca="false">EOMONTH(AW266,0)+1</f>
        <v>44470</v>
      </c>
      <c r="AX267" s="112" t="n">
        <f aca="false">AY267</f>
        <v>4.42852016270363</v>
      </c>
      <c r="AY267" s="1323" t="n">
        <v>4.42852016270363</v>
      </c>
      <c r="AZ267" s="112" t="n">
        <f aca="false">AY267</f>
        <v>4.42852016270363</v>
      </c>
      <c r="BA267" s="163"/>
      <c r="BB267" s="163"/>
      <c r="BC267" s="163"/>
      <c r="BD267" s="163" t="n">
        <v>0</v>
      </c>
      <c r="BE267" s="163"/>
      <c r="BF267" s="163" t="n">
        <v>0</v>
      </c>
      <c r="BG267" s="1290" t="n">
        <v>0</v>
      </c>
      <c r="BH267" s="1262"/>
      <c r="BI267" s="1291"/>
      <c r="BJ267" s="1291"/>
      <c r="BK267" s="1293" t="n">
        <v>0</v>
      </c>
      <c r="BL267" s="1294" t="n">
        <f aca="false">+AY267</f>
        <v>4.42852016270363</v>
      </c>
      <c r="BM267" s="1295" t="n">
        <f aca="false">AY267</f>
        <v>4.42852016270363</v>
      </c>
      <c r="BN267" s="1324" t="n">
        <f aca="false">+BM267/BM255-1</f>
        <v>0.024693687848393</v>
      </c>
      <c r="BO267" s="1296" t="n">
        <f aca="false">BM267</f>
        <v>4.42852016270363</v>
      </c>
      <c r="BP267" s="1318" t="n">
        <f aca="false">+AY267/AY255-1</f>
        <v>0.024693687848393</v>
      </c>
      <c r="BQ267" s="1298" t="n">
        <f aca="false">VLOOKUP($AW267,$BU$8:$BZ$291,5,FALSE())</f>
        <v>5.24201960072869</v>
      </c>
      <c r="BR267" s="1298" t="n">
        <f aca="false">VLOOKUP($AW267,$BU$8:$BZ$291,6,FALSE())</f>
        <v>4.05666540032083</v>
      </c>
      <c r="BS267" s="1262" t="n">
        <v>0</v>
      </c>
      <c r="BU267" s="1309" t="n">
        <f aca="false">EDATE(BU266,1)</f>
        <v>44044</v>
      </c>
      <c r="BV267" s="1310" t="n">
        <v>3.02149182816828</v>
      </c>
      <c r="BW267" s="1310" t="n">
        <v>2.39406477653899</v>
      </c>
      <c r="BX267" s="1310"/>
      <c r="BY267" s="1310" t="n">
        <v>4.67116494176361</v>
      </c>
      <c r="BZ267" s="1311" t="n">
        <v>3.70117547504987</v>
      </c>
    </row>
    <row r="268" customFormat="false" ht="12.75" hidden="false" customHeight="false" outlineLevel="0" collapsed="false">
      <c r="A268" s="1246"/>
      <c r="B268" s="1312" t="n">
        <v>43466</v>
      </c>
      <c r="C268" s="1313" t="n">
        <v>60.1317801661273</v>
      </c>
      <c r="D268" s="1313"/>
      <c r="E268" s="1313"/>
      <c r="F268" s="1327"/>
      <c r="G268" s="1313"/>
      <c r="H268" s="1313"/>
      <c r="I268" s="1313"/>
      <c r="J268" s="1253"/>
      <c r="K268" s="1254" t="n">
        <v>44348</v>
      </c>
      <c r="L268" s="1314" t="n">
        <v>0</v>
      </c>
      <c r="M268" s="1314" t="n">
        <v>0</v>
      </c>
      <c r="N268" s="1314" t="n">
        <v>0</v>
      </c>
      <c r="O268" s="1252"/>
      <c r="P268" s="1314" t="n">
        <v>0</v>
      </c>
      <c r="Q268" s="1314" t="n">
        <v>0</v>
      </c>
      <c r="R268" s="1314" t="n">
        <v>0</v>
      </c>
      <c r="S268" s="1252"/>
      <c r="T268" s="1314" t="n">
        <v>0</v>
      </c>
      <c r="U268" s="1314" t="n">
        <v>0</v>
      </c>
      <c r="V268" s="1314" t="n">
        <v>0</v>
      </c>
      <c r="W268" s="1252"/>
      <c r="X268" s="1314" t="n">
        <v>0</v>
      </c>
      <c r="Y268" s="1314" t="n">
        <v>0</v>
      </c>
      <c r="Z268" s="1314" t="n">
        <v>0</v>
      </c>
      <c r="AA268" s="1252" t="n">
        <v>0</v>
      </c>
      <c r="AB268" s="1314" t="n">
        <v>0</v>
      </c>
      <c r="AC268" s="1314" t="n">
        <v>0</v>
      </c>
      <c r="AD268" s="1314" t="n">
        <v>0</v>
      </c>
      <c r="AE268" s="1252"/>
      <c r="AF268" s="1314" t="n">
        <v>0</v>
      </c>
      <c r="AG268" s="1314" t="n">
        <v>0</v>
      </c>
      <c r="AH268" s="1314" t="n">
        <v>0</v>
      </c>
      <c r="AI268" s="1252"/>
      <c r="AJ268" s="1314" t="n">
        <v>0</v>
      </c>
      <c r="AK268" s="1314" t="n">
        <v>0</v>
      </c>
      <c r="AL268" s="1314" t="n">
        <v>0</v>
      </c>
      <c r="AM268" s="1166"/>
      <c r="AN268" s="1253" t="n">
        <v>87</v>
      </c>
      <c r="AO268" s="1316" t="n">
        <v>0.35</v>
      </c>
      <c r="AP268" s="1252"/>
      <c r="AQ268" s="0"/>
      <c r="AR268" s="0"/>
      <c r="AS268" s="0"/>
      <c r="AT268" s="0"/>
      <c r="AU268" s="0" t="str">
        <f aca="false">AV268&amp;"Q"&amp;ROUNDUP(MONTH(AW268)/3,0)</f>
        <v>2021Q4</v>
      </c>
      <c r="AV268" s="0" t="n">
        <f aca="false">YEAR(AW268)</f>
        <v>2021</v>
      </c>
      <c r="AW268" s="1304" t="n">
        <f aca="false">EOMONTH(AW267,0)+1</f>
        <v>44501</v>
      </c>
      <c r="AX268" s="112" t="n">
        <f aca="false">AY268</f>
        <v>4.61432828657116</v>
      </c>
      <c r="AY268" s="1323" t="n">
        <v>4.61432828657116</v>
      </c>
      <c r="AZ268" s="112" t="n">
        <f aca="false">AY268</f>
        <v>4.61432828657116</v>
      </c>
      <c r="BA268" s="163"/>
      <c r="BB268" s="163"/>
      <c r="BC268" s="163"/>
      <c r="BD268" s="163" t="n">
        <v>0</v>
      </c>
      <c r="BE268" s="163"/>
      <c r="BF268" s="163" t="n">
        <v>0</v>
      </c>
      <c r="BG268" s="1290" t="n">
        <v>0</v>
      </c>
      <c r="BH268" s="1262"/>
      <c r="BI268" s="1291"/>
      <c r="BJ268" s="1291"/>
      <c r="BK268" s="1293" t="n">
        <v>0</v>
      </c>
      <c r="BL268" s="1294" t="n">
        <f aca="false">+AY268</f>
        <v>4.61432828657116</v>
      </c>
      <c r="BM268" s="1295" t="n">
        <f aca="false">AY268</f>
        <v>4.61432828657116</v>
      </c>
      <c r="BN268" s="1324" t="n">
        <f aca="false">+BM268/BM256-1</f>
        <v>0.024693687848393</v>
      </c>
      <c r="BO268" s="1296" t="n">
        <f aca="false">BM268</f>
        <v>4.61432828657116</v>
      </c>
      <c r="BP268" s="1318" t="n">
        <f aca="false">+AY268/AY256-1</f>
        <v>0.024693687848393</v>
      </c>
      <c r="BQ268" s="1298" t="n">
        <f aca="false">VLOOKUP($AW268,$BU$8:$BZ$291,5,FALSE())</f>
        <v>5.50964090617209</v>
      </c>
      <c r="BR268" s="1298" t="n">
        <f aca="false">VLOOKUP($AW268,$BU$8:$BZ$291,6,FALSE())</f>
        <v>4.16384053820083</v>
      </c>
      <c r="BS268" s="1262" t="n">
        <v>0</v>
      </c>
      <c r="BU268" s="1309" t="n">
        <f aca="false">EDATE(BU267,1)</f>
        <v>44075</v>
      </c>
      <c r="BV268" s="1310" t="n">
        <v>3.12329368739923</v>
      </c>
      <c r="BW268" s="1310" t="n">
        <v>2.46151842177</v>
      </c>
      <c r="BX268" s="1310"/>
      <c r="BY268" s="1310" t="n">
        <v>4.82854854658184</v>
      </c>
      <c r="BZ268" s="1311" t="n">
        <v>3.80545743929674</v>
      </c>
    </row>
    <row r="269" customFormat="false" ht="12.75" hidden="false" customHeight="false" outlineLevel="0" collapsed="false">
      <c r="A269" s="1246"/>
      <c r="B269" s="1312" t="n">
        <v>43497</v>
      </c>
      <c r="C269" s="1313" t="n">
        <v>47.0801104991736</v>
      </c>
      <c r="D269" s="1313"/>
      <c r="E269" s="1313"/>
      <c r="F269" s="1327"/>
      <c r="G269" s="1313"/>
      <c r="H269" s="1313"/>
      <c r="I269" s="1313"/>
      <c r="J269" s="1253"/>
      <c r="K269" s="1254" t="n">
        <v>44378</v>
      </c>
      <c r="L269" s="1314" t="n">
        <v>0</v>
      </c>
      <c r="M269" s="1314" t="n">
        <v>0</v>
      </c>
      <c r="N269" s="1314" t="n">
        <v>0</v>
      </c>
      <c r="O269" s="1252"/>
      <c r="P269" s="1314" t="n">
        <v>0</v>
      </c>
      <c r="Q269" s="1314" t="n">
        <v>0</v>
      </c>
      <c r="R269" s="1314" t="n">
        <v>0</v>
      </c>
      <c r="S269" s="1252"/>
      <c r="T269" s="1314" t="n">
        <v>0</v>
      </c>
      <c r="U269" s="1314" t="n">
        <v>0</v>
      </c>
      <c r="V269" s="1314" t="n">
        <v>0</v>
      </c>
      <c r="W269" s="1252"/>
      <c r="X269" s="1314" t="n">
        <v>0</v>
      </c>
      <c r="Y269" s="1314" t="n">
        <v>0</v>
      </c>
      <c r="Z269" s="1314" t="n">
        <v>0</v>
      </c>
      <c r="AA269" s="1252" t="n">
        <v>0</v>
      </c>
      <c r="AB269" s="1314" t="n">
        <v>0</v>
      </c>
      <c r="AC269" s="1314" t="n">
        <v>0</v>
      </c>
      <c r="AD269" s="1314" t="n">
        <v>0</v>
      </c>
      <c r="AE269" s="1252"/>
      <c r="AF269" s="1314" t="n">
        <v>0</v>
      </c>
      <c r="AG269" s="1314" t="n">
        <v>0</v>
      </c>
      <c r="AH269" s="1314" t="n">
        <v>0</v>
      </c>
      <c r="AI269" s="1252"/>
      <c r="AJ269" s="1314" t="n">
        <v>0</v>
      </c>
      <c r="AK269" s="1314" t="n">
        <v>0</v>
      </c>
      <c r="AL269" s="1314" t="n">
        <v>0</v>
      </c>
      <c r="AM269" s="1166"/>
      <c r="AN269" s="1253" t="n">
        <v>87</v>
      </c>
      <c r="AO269" s="1316" t="n">
        <v>0.35</v>
      </c>
      <c r="AP269" s="1252"/>
      <c r="AQ269" s="0"/>
      <c r="AR269" s="0"/>
      <c r="AS269" s="0"/>
      <c r="AT269" s="0"/>
      <c r="AU269" s="0" t="str">
        <f aca="false">AV269&amp;"Q"&amp;ROUNDUP(MONTH(AW269)/3,0)</f>
        <v>2021Q4</v>
      </c>
      <c r="AV269" s="0" t="n">
        <f aca="false">YEAR(AW269)</f>
        <v>2021</v>
      </c>
      <c r="AW269" s="1304" t="n">
        <f aca="false">EOMONTH(AW268,0)+1</f>
        <v>44531</v>
      </c>
      <c r="AX269" s="112" t="n">
        <f aca="false">AY269</f>
        <v>4.81059920760735</v>
      </c>
      <c r="AY269" s="1323" t="n">
        <v>4.81059920760735</v>
      </c>
      <c r="AZ269" s="112" t="n">
        <f aca="false">AY269</f>
        <v>4.81059920760735</v>
      </c>
      <c r="BA269" s="163"/>
      <c r="BB269" s="163"/>
      <c r="BC269" s="163"/>
      <c r="BD269" s="163" t="n">
        <v>0</v>
      </c>
      <c r="BE269" s="163"/>
      <c r="BF269" s="163" t="n">
        <v>0</v>
      </c>
      <c r="BG269" s="1290" t="n">
        <v>0</v>
      </c>
      <c r="BH269" s="1262"/>
      <c r="BI269" s="1291"/>
      <c r="BJ269" s="1291"/>
      <c r="BK269" s="1293" t="n">
        <v>0</v>
      </c>
      <c r="BL269" s="1294" t="n">
        <f aca="false">+AY269</f>
        <v>4.81059920760735</v>
      </c>
      <c r="BM269" s="1295" t="n">
        <f aca="false">AY269</f>
        <v>4.81059920760735</v>
      </c>
      <c r="BN269" s="1324" t="n">
        <f aca="false">+BM269/BM257-1</f>
        <v>0.0246936878483932</v>
      </c>
      <c r="BO269" s="1296" t="n">
        <f aca="false">BM269</f>
        <v>4.81059920760735</v>
      </c>
      <c r="BP269" s="1318" t="n">
        <f aca="false">+AY269/AY257-1</f>
        <v>0.0246936878483932</v>
      </c>
      <c r="BQ269" s="1298" t="n">
        <f aca="false">VLOOKUP($AW269,$BU$8:$BZ$291,5,FALSE())</f>
        <v>5.62603073475238</v>
      </c>
      <c r="BR269" s="1298" t="n">
        <f aca="false">VLOOKUP($AW269,$BU$8:$BZ$291,6,FALSE())</f>
        <v>4.25113641663535</v>
      </c>
      <c r="BS269" s="1262" t="n">
        <v>0</v>
      </c>
      <c r="BU269" s="1309" t="n">
        <f aca="false">EDATE(BU268,1)</f>
        <v>44105</v>
      </c>
      <c r="BV269" s="1310" t="n">
        <v>3.25734334054806</v>
      </c>
      <c r="BW269" s="1310" t="n">
        <v>2.53274947113394</v>
      </c>
      <c r="BX269" s="1310"/>
      <c r="BY269" s="1310" t="n">
        <v>5.03578658522449</v>
      </c>
      <c r="BZ269" s="1311" t="n">
        <v>3.91557919354143</v>
      </c>
    </row>
    <row r="270" customFormat="false" ht="12.75" hidden="false" customHeight="false" outlineLevel="0" collapsed="false">
      <c r="A270" s="1246"/>
      <c r="B270" s="1312" t="n">
        <v>43525</v>
      </c>
      <c r="C270" s="1313" t="n">
        <v>42.4248034303668</v>
      </c>
      <c r="D270" s="1313"/>
      <c r="E270" s="1313"/>
      <c r="F270" s="1327"/>
      <c r="G270" s="1313"/>
      <c r="H270" s="1313"/>
      <c r="I270" s="1313"/>
      <c r="J270" s="1253"/>
      <c r="K270" s="1254" t="n">
        <v>44409</v>
      </c>
      <c r="L270" s="1314" t="n">
        <v>0</v>
      </c>
      <c r="M270" s="1314" t="n">
        <v>0</v>
      </c>
      <c r="N270" s="1314" t="n">
        <v>0</v>
      </c>
      <c r="O270" s="1252"/>
      <c r="P270" s="1314" t="n">
        <v>0</v>
      </c>
      <c r="Q270" s="1314" t="n">
        <v>0</v>
      </c>
      <c r="R270" s="1314" t="n">
        <v>0</v>
      </c>
      <c r="S270" s="1252"/>
      <c r="T270" s="1314" t="n">
        <v>0</v>
      </c>
      <c r="U270" s="1314" t="n">
        <v>0</v>
      </c>
      <c r="V270" s="1314" t="n">
        <v>0</v>
      </c>
      <c r="W270" s="1252"/>
      <c r="X270" s="1314" t="n">
        <v>0</v>
      </c>
      <c r="Y270" s="1314" t="n">
        <v>0</v>
      </c>
      <c r="Z270" s="1314" t="n">
        <v>0</v>
      </c>
      <c r="AA270" s="1252" t="n">
        <v>0</v>
      </c>
      <c r="AB270" s="1314" t="n">
        <v>0</v>
      </c>
      <c r="AC270" s="1314" t="n">
        <v>0</v>
      </c>
      <c r="AD270" s="1314" t="n">
        <v>0</v>
      </c>
      <c r="AE270" s="1252"/>
      <c r="AF270" s="1314" t="n">
        <v>0</v>
      </c>
      <c r="AG270" s="1314" t="n">
        <v>0</v>
      </c>
      <c r="AH270" s="1314" t="n">
        <v>0</v>
      </c>
      <c r="AI270" s="1252"/>
      <c r="AJ270" s="1314" t="n">
        <v>0</v>
      </c>
      <c r="AK270" s="1314" t="n">
        <v>0</v>
      </c>
      <c r="AL270" s="1314" t="n">
        <v>0</v>
      </c>
      <c r="AM270" s="1166"/>
      <c r="AN270" s="1253" t="n">
        <v>87</v>
      </c>
      <c r="AO270" s="1316" t="n">
        <v>0.35</v>
      </c>
      <c r="AP270" s="1252"/>
      <c r="AQ270" s="0"/>
      <c r="AR270" s="0"/>
      <c r="AS270" s="0"/>
      <c r="AT270" s="0"/>
      <c r="AU270" s="0" t="str">
        <f aca="false">AV270&amp;"Q"&amp;ROUNDUP(MONTH(AW270)/3,0)</f>
        <v>2022Q1</v>
      </c>
      <c r="AV270" s="0" t="n">
        <f aca="false">YEAR(AW270)</f>
        <v>2022</v>
      </c>
      <c r="AW270" s="1304" t="n">
        <f aca="false">EOMONTH(AW269,0)+1</f>
        <v>44562</v>
      </c>
      <c r="AX270" s="112" t="n">
        <f aca="false">AY270</f>
        <v>4.851</v>
      </c>
      <c r="AY270" s="112" t="n">
        <v>4.851</v>
      </c>
      <c r="AZ270" s="112" t="n">
        <f aca="false">AY270</f>
        <v>4.851</v>
      </c>
      <c r="BA270" s="163"/>
      <c r="BB270" s="163"/>
      <c r="BC270" s="163"/>
      <c r="BD270" s="163" t="n">
        <v>0</v>
      </c>
      <c r="BE270" s="163"/>
      <c r="BF270" s="163" t="n">
        <v>0</v>
      </c>
      <c r="BG270" s="1290" t="n">
        <v>0</v>
      </c>
      <c r="BH270" s="1262"/>
      <c r="BI270" s="1291"/>
      <c r="BJ270" s="1291"/>
      <c r="BK270" s="1293" t="n">
        <v>0</v>
      </c>
      <c r="BL270" s="1294" t="n">
        <f aca="false">+AY270</f>
        <v>4.851</v>
      </c>
      <c r="BM270" s="1295" t="n">
        <f aca="false">AY270</f>
        <v>4.851</v>
      </c>
      <c r="BN270" s="1324" t="n">
        <f aca="false">+BM270/BM258-1</f>
        <v>0.0836080117768119</v>
      </c>
      <c r="BO270" s="1296" t="n">
        <f aca="false">BM270</f>
        <v>4.851</v>
      </c>
      <c r="BP270" s="1318" t="n">
        <f aca="false">+AY270/AY258-1</f>
        <v>0.0836080117768119</v>
      </c>
      <c r="BQ270" s="1298" t="n">
        <f aca="false">VLOOKUP($AW270,$BU$8:$BZ$291,5,FALSE())</f>
        <v>5.59512517333666</v>
      </c>
      <c r="BR270" s="1298" t="n">
        <f aca="false">VLOOKUP($AW270,$BU$8:$BZ$291,6,FALSE())</f>
        <v>4.49310690843907</v>
      </c>
      <c r="BS270" s="1262" t="n">
        <v>0</v>
      </c>
      <c r="BU270" s="1309" t="n">
        <f aca="false">EDATE(BU269,1)</f>
        <v>44136</v>
      </c>
      <c r="BV270" s="1310" t="n">
        <v>3.42364078761476</v>
      </c>
      <c r="BW270" s="1310" t="n">
        <v>2.5996634872031</v>
      </c>
      <c r="BX270" s="1310"/>
      <c r="BY270" s="1310" t="n">
        <v>5.29287905769155</v>
      </c>
      <c r="BZ270" s="1311" t="n">
        <v>4.01902690207433</v>
      </c>
    </row>
    <row r="271" customFormat="false" ht="12.75" hidden="false" customHeight="false" outlineLevel="0" collapsed="false">
      <c r="A271" s="1246"/>
      <c r="B271" s="1312" t="n">
        <v>43556</v>
      </c>
      <c r="C271" s="1313" t="n">
        <v>42.0936890715578</v>
      </c>
      <c r="D271" s="1313"/>
      <c r="E271" s="1313"/>
      <c r="F271" s="1327"/>
      <c r="G271" s="1313"/>
      <c r="H271" s="1313"/>
      <c r="I271" s="1313"/>
      <c r="J271" s="1253"/>
      <c r="K271" s="1254" t="n">
        <v>44440</v>
      </c>
      <c r="L271" s="1314" t="n">
        <v>0</v>
      </c>
      <c r="M271" s="1314" t="n">
        <v>0</v>
      </c>
      <c r="N271" s="1314" t="n">
        <v>0</v>
      </c>
      <c r="O271" s="1252"/>
      <c r="P271" s="1314" t="n">
        <v>0</v>
      </c>
      <c r="Q271" s="1314" t="n">
        <v>0</v>
      </c>
      <c r="R271" s="1314" t="n">
        <v>0</v>
      </c>
      <c r="S271" s="1252"/>
      <c r="T271" s="1314" t="n">
        <v>0</v>
      </c>
      <c r="U271" s="1314" t="n">
        <v>0</v>
      </c>
      <c r="V271" s="1314" t="n">
        <v>0</v>
      </c>
      <c r="W271" s="1252"/>
      <c r="X271" s="1314" t="n">
        <v>0</v>
      </c>
      <c r="Y271" s="1314" t="n">
        <v>0</v>
      </c>
      <c r="Z271" s="1314" t="n">
        <v>0</v>
      </c>
      <c r="AA271" s="1252" t="n">
        <v>0</v>
      </c>
      <c r="AB271" s="1314" t="n">
        <v>0</v>
      </c>
      <c r="AC271" s="1314" t="n">
        <v>0</v>
      </c>
      <c r="AD271" s="1314" t="n">
        <v>0</v>
      </c>
      <c r="AE271" s="1252"/>
      <c r="AF271" s="1314" t="n">
        <v>0</v>
      </c>
      <c r="AG271" s="1314" t="n">
        <v>0</v>
      </c>
      <c r="AH271" s="1314" t="n">
        <v>0</v>
      </c>
      <c r="AI271" s="1252"/>
      <c r="AJ271" s="1314" t="n">
        <v>0</v>
      </c>
      <c r="AK271" s="1314" t="n">
        <v>0</v>
      </c>
      <c r="AL271" s="1314" t="n">
        <v>0</v>
      </c>
      <c r="AM271" s="1166"/>
      <c r="AN271" s="1253" t="n">
        <v>88</v>
      </c>
      <c r="AO271" s="1316" t="n">
        <v>0.35</v>
      </c>
      <c r="AP271" s="1252"/>
      <c r="AQ271" s="0"/>
      <c r="AR271" s="0"/>
      <c r="AS271" s="0"/>
      <c r="AT271" s="0"/>
      <c r="AU271" s="0" t="str">
        <f aca="false">AV271&amp;"Q"&amp;ROUNDUP(MONTH(AW271)/3,0)</f>
        <v>2022Q1</v>
      </c>
      <c r="AV271" s="0" t="n">
        <f aca="false">YEAR(AW271)</f>
        <v>2022</v>
      </c>
      <c r="AW271" s="1304" t="n">
        <f aca="false">EOMONTH(AW270,0)+1</f>
        <v>44593</v>
      </c>
      <c r="AX271" s="112" t="n">
        <f aca="false">AY271</f>
        <v>4.8</v>
      </c>
      <c r="AY271" s="112" t="n">
        <v>4.8</v>
      </c>
      <c r="AZ271" s="112" t="n">
        <f aca="false">AY271</f>
        <v>4.8</v>
      </c>
      <c r="BA271" s="163"/>
      <c r="BB271" s="163"/>
      <c r="BC271" s="163"/>
      <c r="BD271" s="163" t="n">
        <v>0</v>
      </c>
      <c r="BE271" s="163"/>
      <c r="BF271" s="163" t="n">
        <v>0</v>
      </c>
      <c r="BG271" s="1290" t="n">
        <v>0</v>
      </c>
      <c r="BH271" s="1262"/>
      <c r="BI271" s="1291"/>
      <c r="BJ271" s="1291"/>
      <c r="BK271" s="1293" t="n">
        <v>0</v>
      </c>
      <c r="BL271" s="1294" t="n">
        <f aca="false">+AY271</f>
        <v>4.8</v>
      </c>
      <c r="BM271" s="1295" t="n">
        <f aca="false">AY271</f>
        <v>4.8</v>
      </c>
      <c r="BN271" s="1324" t="n">
        <f aca="false">+BM271/BM259-1</f>
        <v>0.160887520167372</v>
      </c>
      <c r="BO271" s="1296" t="n">
        <f aca="false">BM271</f>
        <v>4.8</v>
      </c>
      <c r="BP271" s="1318" t="n">
        <f aca="false">+AY271/AY259-1</f>
        <v>0.160887520167372</v>
      </c>
      <c r="BQ271" s="1298" t="n">
        <f aca="false">VLOOKUP($AW271,$BU$8:$BZ$291,5,FALSE())</f>
        <v>5.17294760921452</v>
      </c>
      <c r="BR271" s="1298" t="n">
        <f aca="false">VLOOKUP($AW271,$BU$8:$BZ$291,6,FALSE())</f>
        <v>4.18505931969905</v>
      </c>
      <c r="BS271" s="1262" t="n">
        <v>0</v>
      </c>
      <c r="BU271" s="1309" t="n">
        <f aca="false">EDATE(BU270,1)</f>
        <v>44166</v>
      </c>
      <c r="BV271" s="1310" t="n">
        <v>3.49596436934666</v>
      </c>
      <c r="BW271" s="1310" t="n">
        <v>2.65416603254976</v>
      </c>
      <c r="BX271" s="1310"/>
      <c r="BY271" s="1310" t="n">
        <v>5.40468984476676</v>
      </c>
      <c r="BZ271" s="1311" t="n">
        <v>4.1032867291858</v>
      </c>
    </row>
    <row r="272" customFormat="false" ht="12.75" hidden="false" customHeight="false" outlineLevel="0" collapsed="false">
      <c r="A272" s="1246"/>
      <c r="B272" s="1312" t="n">
        <v>43586</v>
      </c>
      <c r="C272" s="1313" t="n">
        <v>45.8391309962113</v>
      </c>
      <c r="D272" s="1313"/>
      <c r="E272" s="1313"/>
      <c r="F272" s="1327"/>
      <c r="G272" s="1313"/>
      <c r="H272" s="1313"/>
      <c r="I272" s="1313"/>
      <c r="J272" s="1253"/>
      <c r="K272" s="1254" t="n">
        <v>44470</v>
      </c>
      <c r="L272" s="1314" t="n">
        <v>0</v>
      </c>
      <c r="M272" s="1314" t="n">
        <v>0</v>
      </c>
      <c r="N272" s="1314" t="n">
        <v>0</v>
      </c>
      <c r="O272" s="1252"/>
      <c r="P272" s="1314" t="n">
        <v>0</v>
      </c>
      <c r="Q272" s="1314" t="n">
        <v>0</v>
      </c>
      <c r="R272" s="1314" t="n">
        <v>0</v>
      </c>
      <c r="S272" s="1252"/>
      <c r="T272" s="1314" t="n">
        <v>0</v>
      </c>
      <c r="U272" s="1314" t="n">
        <v>0</v>
      </c>
      <c r="V272" s="1314" t="n">
        <v>0</v>
      </c>
      <c r="W272" s="1252"/>
      <c r="X272" s="1314" t="n">
        <v>0</v>
      </c>
      <c r="Y272" s="1314" t="n">
        <v>0</v>
      </c>
      <c r="Z272" s="1314" t="n">
        <v>0</v>
      </c>
      <c r="AA272" s="1252" t="n">
        <v>0</v>
      </c>
      <c r="AB272" s="1314" t="n">
        <v>0</v>
      </c>
      <c r="AC272" s="1314" t="n">
        <v>0</v>
      </c>
      <c r="AD272" s="1314" t="n">
        <v>0</v>
      </c>
      <c r="AE272" s="1252"/>
      <c r="AF272" s="1314" t="n">
        <v>0</v>
      </c>
      <c r="AG272" s="1314" t="n">
        <v>0</v>
      </c>
      <c r="AH272" s="1314" t="n">
        <v>0</v>
      </c>
      <c r="AI272" s="1252"/>
      <c r="AJ272" s="1314" t="n">
        <v>0</v>
      </c>
      <c r="AK272" s="1314" t="n">
        <v>0</v>
      </c>
      <c r="AL272" s="1314" t="n">
        <v>0</v>
      </c>
      <c r="AM272" s="1166"/>
      <c r="AN272" s="1253" t="n">
        <v>88</v>
      </c>
      <c r="AO272" s="1316" t="n">
        <v>0.35</v>
      </c>
      <c r="AP272" s="1252"/>
      <c r="AQ272" s="0"/>
      <c r="AR272" s="0"/>
      <c r="AS272" s="0"/>
      <c r="AT272" s="0"/>
      <c r="AU272" s="0" t="str">
        <f aca="false">AV272&amp;"Q"&amp;ROUNDUP(MONTH(AW272)/3,0)</f>
        <v>2022Q1</v>
      </c>
      <c r="AV272" s="0" t="n">
        <f aca="false">YEAR(AW272)</f>
        <v>2022</v>
      </c>
      <c r="AW272" s="1304" t="n">
        <f aca="false">EOMONTH(AW271,0)+1</f>
        <v>44621</v>
      </c>
      <c r="AX272" s="112" t="n">
        <f aca="false">AY272</f>
        <v>4.699</v>
      </c>
      <c r="AY272" s="112" t="n">
        <v>4.699</v>
      </c>
      <c r="AZ272" s="112" t="n">
        <f aca="false">AY272</f>
        <v>4.699</v>
      </c>
      <c r="BA272" s="163"/>
      <c r="BB272" s="163"/>
      <c r="BC272" s="163"/>
      <c r="BD272" s="163" t="n">
        <v>0</v>
      </c>
      <c r="BE272" s="163"/>
      <c r="BF272" s="163" t="n">
        <v>0</v>
      </c>
      <c r="BG272" s="1290" t="n">
        <v>0</v>
      </c>
      <c r="BH272" s="1262"/>
      <c r="BI272" s="1291"/>
      <c r="BJ272" s="1291"/>
      <c r="BK272" s="1293" t="n">
        <v>0</v>
      </c>
      <c r="BL272" s="1294" t="n">
        <f aca="false">+AY272</f>
        <v>4.699</v>
      </c>
      <c r="BM272" s="1295" t="n">
        <f aca="false">AY272</f>
        <v>4.699</v>
      </c>
      <c r="BN272" s="1324" t="n">
        <f aca="false">+BM272/BM260-1</f>
        <v>0.20093060202981</v>
      </c>
      <c r="BO272" s="1296" t="n">
        <f aca="false">BM272</f>
        <v>4.699</v>
      </c>
      <c r="BP272" s="1318" t="n">
        <f aca="false">+AY272/AY260-1</f>
        <v>0.20093060202981</v>
      </c>
      <c r="BQ272" s="1298" t="n">
        <f aca="false">VLOOKUP($AW272,$BU$8:$BZ$291,5,FALSE())</f>
        <v>5.01935338307832</v>
      </c>
      <c r="BR272" s="1298" t="n">
        <f aca="false">VLOOKUP($AW272,$BU$8:$BZ$291,6,FALSE())</f>
        <v>3.97730629473485</v>
      </c>
      <c r="BS272" s="1262" t="n">
        <v>0</v>
      </c>
      <c r="BU272" s="1309" t="n">
        <f aca="false">EDATE(BU271,1)</f>
        <v>44197</v>
      </c>
      <c r="BV272" s="1310" t="n">
        <v>3.40850476021728</v>
      </c>
      <c r="BW272" s="1310" t="n">
        <v>2.75014629170844</v>
      </c>
      <c r="BX272" s="1310"/>
      <c r="BY272" s="1310" t="n">
        <v>5.3748686483795</v>
      </c>
      <c r="BZ272" s="1311" t="n">
        <v>4.33670366381374</v>
      </c>
    </row>
    <row r="273" customFormat="false" ht="12.75" hidden="false" customHeight="false" outlineLevel="0" collapsed="false">
      <c r="A273" s="1246"/>
      <c r="B273" s="1312" t="n">
        <v>43617</v>
      </c>
      <c r="C273" s="1313" t="n">
        <v>47.1707930950048</v>
      </c>
      <c r="D273" s="1313"/>
      <c r="E273" s="1313"/>
      <c r="F273" s="1327"/>
      <c r="G273" s="1313"/>
      <c r="H273" s="1313"/>
      <c r="I273" s="1313"/>
      <c r="J273" s="1253"/>
      <c r="K273" s="1254" t="n">
        <v>44501</v>
      </c>
      <c r="L273" s="1314" t="n">
        <v>0</v>
      </c>
      <c r="M273" s="1314" t="n">
        <v>0</v>
      </c>
      <c r="N273" s="1314" t="n">
        <v>0</v>
      </c>
      <c r="O273" s="1252"/>
      <c r="P273" s="1314" t="n">
        <v>0</v>
      </c>
      <c r="Q273" s="1314" t="n">
        <v>0</v>
      </c>
      <c r="R273" s="1314" t="n">
        <v>0</v>
      </c>
      <c r="S273" s="1252"/>
      <c r="T273" s="1314" t="n">
        <v>0</v>
      </c>
      <c r="U273" s="1314" t="n">
        <v>0</v>
      </c>
      <c r="V273" s="1314" t="n">
        <v>0</v>
      </c>
      <c r="W273" s="1252"/>
      <c r="X273" s="1314" t="n">
        <v>0</v>
      </c>
      <c r="Y273" s="1314" t="n">
        <v>0</v>
      </c>
      <c r="Z273" s="1314" t="n">
        <v>0</v>
      </c>
      <c r="AA273" s="1252" t="n">
        <v>0</v>
      </c>
      <c r="AB273" s="1314" t="n">
        <v>0</v>
      </c>
      <c r="AC273" s="1314" t="n">
        <v>0</v>
      </c>
      <c r="AD273" s="1314" t="n">
        <v>0</v>
      </c>
      <c r="AE273" s="1252"/>
      <c r="AF273" s="1314" t="n">
        <v>0</v>
      </c>
      <c r="AG273" s="1314" t="n">
        <v>0</v>
      </c>
      <c r="AH273" s="1314" t="n">
        <v>0</v>
      </c>
      <c r="AI273" s="1252"/>
      <c r="AJ273" s="1314" t="n">
        <v>0</v>
      </c>
      <c r="AK273" s="1314" t="n">
        <v>0</v>
      </c>
      <c r="AL273" s="1314" t="n">
        <v>0</v>
      </c>
      <c r="AM273" s="1166"/>
      <c r="AN273" s="1253" t="n">
        <v>88</v>
      </c>
      <c r="AO273" s="1316" t="n">
        <v>0.35</v>
      </c>
      <c r="AP273" s="1252"/>
      <c r="AQ273" s="0"/>
      <c r="AR273" s="0"/>
      <c r="AS273" s="0"/>
      <c r="AT273" s="0"/>
      <c r="AU273" s="0" t="str">
        <f aca="false">AV273&amp;"Q"&amp;ROUNDUP(MONTH(AW273)/3,0)</f>
        <v>2022Q2</v>
      </c>
      <c r="AV273" s="0" t="n">
        <f aca="false">YEAR(AW273)</f>
        <v>2022</v>
      </c>
      <c r="AW273" s="1304" t="n">
        <f aca="false">EOMONTH(AW272,0)+1</f>
        <v>44652</v>
      </c>
      <c r="AX273" s="112" t="n">
        <f aca="false">AY273</f>
        <v>4.601</v>
      </c>
      <c r="AY273" s="112" t="n">
        <v>4.601</v>
      </c>
      <c r="AZ273" s="112" t="n">
        <f aca="false">AY273</f>
        <v>4.601</v>
      </c>
      <c r="BA273" s="163"/>
      <c r="BB273" s="163"/>
      <c r="BC273" s="163"/>
      <c r="BD273" s="163" t="n">
        <v>0</v>
      </c>
      <c r="BE273" s="163"/>
      <c r="BF273" s="163" t="n">
        <v>0</v>
      </c>
      <c r="BG273" s="1290" t="n">
        <v>0</v>
      </c>
      <c r="BH273" s="1262"/>
      <c r="BI273" s="1291"/>
      <c r="BJ273" s="1291"/>
      <c r="BK273" s="1293" t="n">
        <v>0</v>
      </c>
      <c r="BL273" s="1294" t="n">
        <f aca="false">+AY273</f>
        <v>4.601</v>
      </c>
      <c r="BM273" s="1295" t="n">
        <f aca="false">AY273</f>
        <v>4.601</v>
      </c>
      <c r="BN273" s="1324" t="n">
        <f aca="false">+BM273/BM261-1</f>
        <v>0.212253049327303</v>
      </c>
      <c r="BO273" s="1296" t="n">
        <f aca="false">BM273</f>
        <v>4.601</v>
      </c>
      <c r="BP273" s="1318" t="n">
        <f aca="false">+AY273/AY261-1</f>
        <v>0.212253049327303</v>
      </c>
      <c r="BQ273" s="1298" t="n">
        <f aca="false">VLOOKUP($AW273,$BU$8:$BZ$291,5,FALSE())</f>
        <v>4.91978195372106</v>
      </c>
      <c r="BR273" s="1298" t="n">
        <f aca="false">VLOOKUP($AW273,$BU$8:$BZ$291,6,FALSE())</f>
        <v>3.85641552589793</v>
      </c>
      <c r="BS273" s="1262" t="n">
        <v>0</v>
      </c>
      <c r="BU273" s="1309" t="n">
        <f aca="false">EDATE(BU272,1)</f>
        <v>44228</v>
      </c>
      <c r="BV273" s="1310" t="n">
        <v>3.15131762098673</v>
      </c>
      <c r="BW273" s="1310" t="n">
        <v>2.56159615232673</v>
      </c>
      <c r="BX273" s="1310"/>
      <c r="BY273" s="1310" t="n">
        <v>4.96931043776736</v>
      </c>
      <c r="BZ273" s="1311" t="n">
        <v>4.03937908775954</v>
      </c>
    </row>
    <row r="274" customFormat="false" ht="12.75" hidden="false" customHeight="false" outlineLevel="0" collapsed="false">
      <c r="A274" s="1246"/>
      <c r="B274" s="1312" t="n">
        <v>43647</v>
      </c>
      <c r="C274" s="1313" t="n">
        <v>64.8880872884199</v>
      </c>
      <c r="D274" s="1313"/>
      <c r="E274" s="1313"/>
      <c r="F274" s="1327"/>
      <c r="G274" s="1313"/>
      <c r="H274" s="1313"/>
      <c r="I274" s="1313"/>
      <c r="J274" s="1253"/>
      <c r="K274" s="1254" t="n">
        <v>44531</v>
      </c>
      <c r="L274" s="1314" t="n">
        <v>0</v>
      </c>
      <c r="M274" s="1314" t="n">
        <v>0</v>
      </c>
      <c r="N274" s="1314" t="n">
        <v>0</v>
      </c>
      <c r="O274" s="1252"/>
      <c r="P274" s="1314" t="n">
        <v>0</v>
      </c>
      <c r="Q274" s="1314" t="n">
        <v>0</v>
      </c>
      <c r="R274" s="1314" t="n">
        <v>0</v>
      </c>
      <c r="S274" s="1252"/>
      <c r="T274" s="1314" t="n">
        <v>0</v>
      </c>
      <c r="U274" s="1314" t="n">
        <v>0</v>
      </c>
      <c r="V274" s="1314" t="n">
        <v>0</v>
      </c>
      <c r="W274" s="1252"/>
      <c r="X274" s="1314" t="n">
        <v>0</v>
      </c>
      <c r="Y274" s="1314" t="n">
        <v>0</v>
      </c>
      <c r="Z274" s="1314" t="n">
        <v>0</v>
      </c>
      <c r="AA274" s="1252" t="n">
        <v>0</v>
      </c>
      <c r="AB274" s="1314" t="n">
        <v>0</v>
      </c>
      <c r="AC274" s="1314" t="n">
        <v>0</v>
      </c>
      <c r="AD274" s="1314" t="n">
        <v>0</v>
      </c>
      <c r="AE274" s="1252"/>
      <c r="AF274" s="1314" t="n">
        <v>0</v>
      </c>
      <c r="AG274" s="1314" t="n">
        <v>0</v>
      </c>
      <c r="AH274" s="1314" t="n">
        <v>0</v>
      </c>
      <c r="AI274" s="1252"/>
      <c r="AJ274" s="1314" t="n">
        <v>0</v>
      </c>
      <c r="AK274" s="1314" t="n">
        <v>0</v>
      </c>
      <c r="AL274" s="1314" t="n">
        <v>0</v>
      </c>
      <c r="AM274" s="1166"/>
      <c r="AN274" s="1253" t="n">
        <v>89</v>
      </c>
      <c r="AO274" s="1316" t="n">
        <v>0.35</v>
      </c>
      <c r="AP274" s="1252"/>
      <c r="AQ274" s="0"/>
      <c r="AR274" s="0"/>
      <c r="AS274" s="0"/>
      <c r="AT274" s="0"/>
      <c r="AU274" s="0" t="str">
        <f aca="false">AV274&amp;"Q"&amp;ROUNDUP(MONTH(AW274)/3,0)</f>
        <v>2022Q2</v>
      </c>
      <c r="AV274" s="0" t="n">
        <f aca="false">YEAR(AW274)</f>
        <v>2022</v>
      </c>
      <c r="AW274" s="1304" t="n">
        <f aca="false">EOMONTH(AW273,0)+1</f>
        <v>44682</v>
      </c>
      <c r="AX274" s="112" t="n">
        <f aca="false">AY274</f>
        <v>4.592</v>
      </c>
      <c r="AY274" s="112" t="n">
        <v>4.592</v>
      </c>
      <c r="AZ274" s="112" t="n">
        <f aca="false">AY274</f>
        <v>4.592</v>
      </c>
      <c r="BA274" s="163"/>
      <c r="BB274" s="163"/>
      <c r="BC274" s="163"/>
      <c r="BD274" s="163" t="n">
        <v>0</v>
      </c>
      <c r="BE274" s="163"/>
      <c r="BF274" s="163" t="n">
        <v>0</v>
      </c>
      <c r="BG274" s="1290" t="n">
        <v>0</v>
      </c>
      <c r="BH274" s="1262"/>
      <c r="BI274" s="1291"/>
      <c r="BJ274" s="1291"/>
      <c r="BK274" s="1293" t="n">
        <v>0</v>
      </c>
      <c r="BL274" s="1294" t="n">
        <f aca="false">+AY274</f>
        <v>4.592</v>
      </c>
      <c r="BM274" s="1295" t="n">
        <f aca="false">AY274</f>
        <v>4.592</v>
      </c>
      <c r="BN274" s="1324" t="n">
        <f aca="false">+BM274/BM262-1</f>
        <v>0.219075656881834</v>
      </c>
      <c r="BO274" s="1296" t="n">
        <f aca="false">BM274</f>
        <v>4.592</v>
      </c>
      <c r="BP274" s="1318" t="n">
        <f aca="false">+AY274/AY262-1</f>
        <v>0.219075656881834</v>
      </c>
      <c r="BQ274" s="1298" t="n">
        <f aca="false">VLOOKUP($AW274,$BU$8:$BZ$291,5,FALSE())</f>
        <v>4.87423332114275</v>
      </c>
      <c r="BR274" s="1298" t="n">
        <f aca="false">VLOOKUP($AW274,$BU$8:$BZ$291,6,FALSE())</f>
        <v>3.80895470553973</v>
      </c>
      <c r="BS274" s="1262" t="n">
        <v>0</v>
      </c>
      <c r="BU274" s="1309" t="n">
        <f aca="false">EDATE(BU273,1)</f>
        <v>44256</v>
      </c>
      <c r="BV274" s="1310" t="n">
        <v>3.05774926733811</v>
      </c>
      <c r="BW274" s="1310" t="n">
        <v>2.43443443041814</v>
      </c>
      <c r="BX274" s="1310"/>
      <c r="BY274" s="1310" t="n">
        <v>4.82176256974724</v>
      </c>
      <c r="BZ274" s="1311" t="n">
        <v>3.83885786204857</v>
      </c>
    </row>
    <row r="275" customFormat="false" ht="12.75" hidden="false" customHeight="false" outlineLevel="0" collapsed="false">
      <c r="A275" s="1246"/>
      <c r="B275" s="1312" t="n">
        <v>43678</v>
      </c>
      <c r="C275" s="1313" t="n">
        <v>78.0168254465316</v>
      </c>
      <c r="D275" s="1313"/>
      <c r="E275" s="1313"/>
      <c r="F275" s="1327"/>
      <c r="G275" s="1313"/>
      <c r="H275" s="1313"/>
      <c r="I275" s="1313"/>
      <c r="J275" s="1253"/>
      <c r="K275" s="1254" t="n">
        <v>44562</v>
      </c>
      <c r="L275" s="1314" t="n">
        <v>0</v>
      </c>
      <c r="M275" s="1314" t="n">
        <v>0</v>
      </c>
      <c r="N275" s="1314" t="n">
        <v>0</v>
      </c>
      <c r="O275" s="1252"/>
      <c r="P275" s="1314" t="n">
        <v>0</v>
      </c>
      <c r="Q275" s="1314" t="n">
        <v>0</v>
      </c>
      <c r="R275" s="1314" t="n">
        <v>0</v>
      </c>
      <c r="S275" s="1252"/>
      <c r="T275" s="1314" t="n">
        <v>0</v>
      </c>
      <c r="U275" s="1314" t="n">
        <v>0</v>
      </c>
      <c r="V275" s="1314" t="n">
        <v>0</v>
      </c>
      <c r="W275" s="1252"/>
      <c r="X275" s="1314" t="n">
        <v>0</v>
      </c>
      <c r="Y275" s="1314" t="n">
        <v>0</v>
      </c>
      <c r="Z275" s="1314" t="n">
        <v>0</v>
      </c>
      <c r="AA275" s="1252" t="n">
        <v>0</v>
      </c>
      <c r="AB275" s="1314" t="n">
        <v>0</v>
      </c>
      <c r="AC275" s="1314" t="n">
        <v>0</v>
      </c>
      <c r="AD275" s="1314" t="n">
        <v>0</v>
      </c>
      <c r="AE275" s="1252"/>
      <c r="AF275" s="1314" t="n">
        <v>0</v>
      </c>
      <c r="AG275" s="1314" t="n">
        <v>0</v>
      </c>
      <c r="AH275" s="1314" t="n">
        <v>0</v>
      </c>
      <c r="AI275" s="1252"/>
      <c r="AJ275" s="1314" t="n">
        <v>0</v>
      </c>
      <c r="AK275" s="1314" t="n">
        <v>0</v>
      </c>
      <c r="AL275" s="1314" t="n">
        <v>0</v>
      </c>
      <c r="AM275" s="1166"/>
      <c r="AN275" s="1253" t="n">
        <v>89</v>
      </c>
      <c r="AO275" s="1316" t="n">
        <v>0.35</v>
      </c>
      <c r="AP275" s="1252"/>
      <c r="AQ275" s="0"/>
      <c r="AR275" s="0"/>
      <c r="AS275" s="0"/>
      <c r="AT275" s="0"/>
      <c r="AU275" s="0" t="str">
        <f aca="false">AV275&amp;"Q"&amp;ROUNDUP(MONTH(AW275)/3,0)</f>
        <v>2022Q2</v>
      </c>
      <c r="AV275" s="0" t="n">
        <f aca="false">YEAR(AW275)</f>
        <v>2022</v>
      </c>
      <c r="AW275" s="1304" t="n">
        <f aca="false">EOMONTH(AW274,0)+1</f>
        <v>44713</v>
      </c>
      <c r="AX275" s="112" t="n">
        <f aca="false">AY275</f>
        <v>4.591</v>
      </c>
      <c r="AY275" s="112" t="n">
        <v>4.591</v>
      </c>
      <c r="AZ275" s="112" t="n">
        <f aca="false">AY275</f>
        <v>4.591</v>
      </c>
      <c r="BA275" s="163"/>
      <c r="BB275" s="163"/>
      <c r="BC275" s="163"/>
      <c r="BD275" s="163" t="n">
        <v>0</v>
      </c>
      <c r="BE275" s="163"/>
      <c r="BF275" s="163" t="n">
        <v>0</v>
      </c>
      <c r="BG275" s="1290" t="n">
        <v>0</v>
      </c>
      <c r="BH275" s="1262"/>
      <c r="BI275" s="1291"/>
      <c r="BJ275" s="1291"/>
      <c r="BK275" s="1293" t="n">
        <v>0</v>
      </c>
      <c r="BL275" s="1294" t="n">
        <f aca="false">+AY275</f>
        <v>4.591</v>
      </c>
      <c r="BM275" s="1295" t="n">
        <f aca="false">AY275</f>
        <v>4.591</v>
      </c>
      <c r="BN275" s="1324" t="n">
        <f aca="false">+BM275/BM263-1</f>
        <v>0.204263372439463</v>
      </c>
      <c r="BO275" s="1296" t="n">
        <f aca="false">BM275</f>
        <v>4.591</v>
      </c>
      <c r="BP275" s="1318" t="n">
        <f aca="false">+AY275/AY263-1</f>
        <v>0.204263372439463</v>
      </c>
      <c r="BQ275" s="1298" t="n">
        <f aca="false">VLOOKUP($AW275,$BU$8:$BZ$291,5,FALSE())</f>
        <v>4.88270748534336</v>
      </c>
      <c r="BR275" s="1298" t="n">
        <f aca="false">VLOOKUP($AW275,$BU$8:$BZ$291,6,FALSE())</f>
        <v>3.8214915260117</v>
      </c>
      <c r="BS275" s="1262" t="n">
        <v>0</v>
      </c>
      <c r="BU275" s="1309" t="n">
        <f aca="false">EDATE(BU274,1)</f>
        <v>44287</v>
      </c>
      <c r="BV275" s="1310" t="n">
        <v>2.99709116221417</v>
      </c>
      <c r="BW275" s="1310" t="n">
        <v>2.36043946292823</v>
      </c>
      <c r="BX275" s="1310"/>
      <c r="BY275" s="1310" t="n">
        <v>4.72611084841006</v>
      </c>
      <c r="BZ275" s="1311" t="n">
        <v>3.72217525225986</v>
      </c>
    </row>
    <row r="276" customFormat="false" ht="12.75" hidden="false" customHeight="false" outlineLevel="0" collapsed="false">
      <c r="A276" s="1246"/>
      <c r="B276" s="1312" t="n">
        <v>43709</v>
      </c>
      <c r="C276" s="1313" t="n">
        <v>68.0939371593851</v>
      </c>
      <c r="D276" s="1313"/>
      <c r="E276" s="1313"/>
      <c r="F276" s="1327"/>
      <c r="G276" s="1313"/>
      <c r="H276" s="1313"/>
      <c r="I276" s="1313"/>
      <c r="J276" s="1253"/>
      <c r="K276" s="1254" t="n">
        <v>44593</v>
      </c>
      <c r="L276" s="1314" t="n">
        <v>0</v>
      </c>
      <c r="M276" s="1314" t="n">
        <v>0</v>
      </c>
      <c r="N276" s="1314" t="n">
        <v>0</v>
      </c>
      <c r="O276" s="1252"/>
      <c r="P276" s="1314" t="n">
        <v>0</v>
      </c>
      <c r="Q276" s="1314" t="n">
        <v>0</v>
      </c>
      <c r="R276" s="1314" t="n">
        <v>0</v>
      </c>
      <c r="S276" s="1252"/>
      <c r="T276" s="1314" t="n">
        <v>0</v>
      </c>
      <c r="U276" s="1314" t="n">
        <v>0</v>
      </c>
      <c r="V276" s="1314" t="n">
        <v>0</v>
      </c>
      <c r="W276" s="1252"/>
      <c r="X276" s="1314" t="n">
        <v>0</v>
      </c>
      <c r="Y276" s="1314" t="n">
        <v>0</v>
      </c>
      <c r="Z276" s="1314" t="n">
        <v>0</v>
      </c>
      <c r="AA276" s="1252" t="n">
        <v>0</v>
      </c>
      <c r="AB276" s="1314" t="n">
        <v>0</v>
      </c>
      <c r="AC276" s="1314" t="n">
        <v>0</v>
      </c>
      <c r="AD276" s="1314" t="n">
        <v>0</v>
      </c>
      <c r="AE276" s="1252"/>
      <c r="AF276" s="1314" t="n">
        <v>0</v>
      </c>
      <c r="AG276" s="1314" t="n">
        <v>0</v>
      </c>
      <c r="AH276" s="1314" t="n">
        <v>0</v>
      </c>
      <c r="AI276" s="1252"/>
      <c r="AJ276" s="1314" t="n">
        <v>0</v>
      </c>
      <c r="AK276" s="1314" t="n">
        <v>0</v>
      </c>
      <c r="AL276" s="1314" t="n">
        <v>0</v>
      </c>
      <c r="AM276" s="1166"/>
      <c r="AN276" s="1253" t="n">
        <v>89</v>
      </c>
      <c r="AO276" s="1316" t="n">
        <v>0.35</v>
      </c>
      <c r="AP276" s="1252"/>
      <c r="AQ276" s="0"/>
      <c r="AR276" s="0"/>
      <c r="AS276" s="0"/>
      <c r="AT276" s="0"/>
      <c r="AU276" s="0" t="str">
        <f aca="false">AV276&amp;"Q"&amp;ROUNDUP(MONTH(AW276)/3,0)</f>
        <v>2022Q3</v>
      </c>
      <c r="AV276" s="0" t="n">
        <f aca="false">YEAR(AW276)</f>
        <v>2022</v>
      </c>
      <c r="AW276" s="1304" t="n">
        <f aca="false">EOMONTH(AW275,0)+1</f>
        <v>44743</v>
      </c>
      <c r="AX276" s="112" t="n">
        <f aca="false">AY276</f>
        <v>4.656</v>
      </c>
      <c r="AY276" s="112" t="n">
        <v>4.656</v>
      </c>
      <c r="AZ276" s="112" t="n">
        <f aca="false">AY276</f>
        <v>4.656</v>
      </c>
      <c r="BA276" s="163"/>
      <c r="BB276" s="163"/>
      <c r="BC276" s="163"/>
      <c r="BD276" s="163" t="n">
        <v>0</v>
      </c>
      <c r="BE276" s="163"/>
      <c r="BF276" s="163" t="n">
        <v>0</v>
      </c>
      <c r="BG276" s="1290" t="n">
        <v>0</v>
      </c>
      <c r="BH276" s="1262"/>
      <c r="BI276" s="1291"/>
      <c r="BJ276" s="1291"/>
      <c r="BK276" s="1293" t="n">
        <v>0</v>
      </c>
      <c r="BL276" s="1294" t="n">
        <f aca="false">+AY276</f>
        <v>4.656</v>
      </c>
      <c r="BM276" s="1295" t="n">
        <f aca="false">AY276</f>
        <v>4.656</v>
      </c>
      <c r="BN276" s="1324" t="n">
        <f aca="false">+BM276/BM264-1</f>
        <v>0.188862206193488</v>
      </c>
      <c r="BO276" s="1296" t="n">
        <f aca="false">BM276</f>
        <v>4.656</v>
      </c>
      <c r="BP276" s="1318" t="n">
        <f aca="false">+AY276/AY264-1</f>
        <v>0.188862206193488</v>
      </c>
      <c r="BQ276" s="1298" t="n">
        <f aca="false">VLOOKUP($AW276,$BU$8:$BZ$291,5,FALSE())</f>
        <v>4.94520444632292</v>
      </c>
      <c r="BR276" s="1298" t="n">
        <f aca="false">VLOOKUP($AW276,$BU$8:$BZ$291,6,FALSE())</f>
        <v>3.88059367966531</v>
      </c>
      <c r="BS276" s="1262" t="n">
        <v>0</v>
      </c>
      <c r="BU276" s="1309" t="n">
        <f aca="false">EDATE(BU275,1)</f>
        <v>44317</v>
      </c>
      <c r="BV276" s="1310" t="n">
        <v>2.96934330561492</v>
      </c>
      <c r="BW276" s="1310" t="n">
        <v>2.33138958680256</v>
      </c>
      <c r="BX276" s="1310"/>
      <c r="BY276" s="1310" t="n">
        <v>4.68235527375582</v>
      </c>
      <c r="BZ276" s="1311" t="n">
        <v>3.67636652397244</v>
      </c>
    </row>
    <row r="277" customFormat="false" ht="12.75" hidden="false" customHeight="false" outlineLevel="0" collapsed="false">
      <c r="A277" s="1246"/>
      <c r="B277" s="1312" t="n">
        <v>43739</v>
      </c>
      <c r="C277" s="1313" t="n">
        <v>57.1470994529779</v>
      </c>
      <c r="D277" s="1313"/>
      <c r="E277" s="1313"/>
      <c r="F277" s="1327"/>
      <c r="G277" s="1313"/>
      <c r="H277" s="1313"/>
      <c r="I277" s="1313"/>
      <c r="J277" s="1253"/>
      <c r="K277" s="1254" t="n">
        <v>44621</v>
      </c>
      <c r="L277" s="1314" t="n">
        <v>0</v>
      </c>
      <c r="M277" s="1314" t="n">
        <v>0</v>
      </c>
      <c r="N277" s="1314" t="n">
        <v>0</v>
      </c>
      <c r="O277" s="1252"/>
      <c r="P277" s="1314" t="n">
        <v>0</v>
      </c>
      <c r="Q277" s="1314" t="n">
        <v>0</v>
      </c>
      <c r="R277" s="1314" t="n">
        <v>0</v>
      </c>
      <c r="S277" s="1252"/>
      <c r="T277" s="1314" t="n">
        <v>0</v>
      </c>
      <c r="U277" s="1314" t="n">
        <v>0</v>
      </c>
      <c r="V277" s="1314" t="n">
        <v>0</v>
      </c>
      <c r="W277" s="1252"/>
      <c r="X277" s="1314" t="n">
        <v>0</v>
      </c>
      <c r="Y277" s="1314" t="n">
        <v>0</v>
      </c>
      <c r="Z277" s="1314" t="n">
        <v>0</v>
      </c>
      <c r="AA277" s="1252" t="n">
        <v>0</v>
      </c>
      <c r="AB277" s="1314" t="n">
        <v>0</v>
      </c>
      <c r="AC277" s="1314" t="n">
        <v>0</v>
      </c>
      <c r="AD277" s="1314" t="n">
        <v>0</v>
      </c>
      <c r="AE277" s="1252"/>
      <c r="AF277" s="1314" t="n">
        <v>0</v>
      </c>
      <c r="AG277" s="1314" t="n">
        <v>0</v>
      </c>
      <c r="AH277" s="1314" t="n">
        <v>0</v>
      </c>
      <c r="AI277" s="1252"/>
      <c r="AJ277" s="1314" t="n">
        <v>0</v>
      </c>
      <c r="AK277" s="1314" t="n">
        <v>0</v>
      </c>
      <c r="AL277" s="1314" t="n">
        <v>0</v>
      </c>
      <c r="AM277" s="1166"/>
      <c r="AN277" s="1253" t="n">
        <v>90</v>
      </c>
      <c r="AO277" s="1316" t="n">
        <v>0.35</v>
      </c>
      <c r="AP277" s="1252"/>
      <c r="AQ277" s="0"/>
      <c r="AR277" s="0"/>
      <c r="AS277" s="0"/>
      <c r="AT277" s="0"/>
      <c r="AU277" s="0" t="str">
        <f aca="false">AV277&amp;"Q"&amp;ROUNDUP(MONTH(AW277)/3,0)</f>
        <v>2022Q3</v>
      </c>
      <c r="AV277" s="0" t="n">
        <f aca="false">YEAR(AW277)</f>
        <v>2022</v>
      </c>
      <c r="AW277" s="1304" t="n">
        <f aca="false">EOMONTH(AW276,0)+1</f>
        <v>44774</v>
      </c>
      <c r="AX277" s="112" t="n">
        <f aca="false">AY277</f>
        <v>4.651</v>
      </c>
      <c r="AY277" s="112" t="n">
        <v>4.651</v>
      </c>
      <c r="AZ277" s="112" t="n">
        <f aca="false">AY277</f>
        <v>4.651</v>
      </c>
      <c r="BA277" s="163"/>
      <c r="BB277" s="163"/>
      <c r="BC277" s="163"/>
      <c r="BD277" s="163" t="n">
        <v>0</v>
      </c>
      <c r="BE277" s="163"/>
      <c r="BF277" s="163" t="n">
        <v>0</v>
      </c>
      <c r="BG277" s="1290" t="n">
        <v>0</v>
      </c>
      <c r="BH277" s="1262"/>
      <c r="BI277" s="1291"/>
      <c r="BJ277" s="1291"/>
      <c r="BK277" s="1293" t="n">
        <v>0</v>
      </c>
      <c r="BL277" s="1294" t="n">
        <f aca="false">+AY277</f>
        <v>4.651</v>
      </c>
      <c r="BM277" s="1295" t="n">
        <f aca="false">AY277</f>
        <v>4.651</v>
      </c>
      <c r="BN277" s="1324" t="n">
        <f aca="false">+BM277/BM265-1</f>
        <v>0.144400335644008</v>
      </c>
      <c r="BO277" s="1296" t="n">
        <f aca="false">BM277</f>
        <v>4.651</v>
      </c>
      <c r="BP277" s="1318" t="n">
        <f aca="false">+AY277/AY265-1</f>
        <v>0.144400335644008</v>
      </c>
      <c r="BQ277" s="1298" t="n">
        <f aca="false">VLOOKUP($AW277,$BU$8:$BZ$291,5,FALSE())</f>
        <v>5.06172420408141</v>
      </c>
      <c r="BR277" s="1298" t="n">
        <f aca="false">VLOOKUP($AW277,$BU$8:$BZ$291,6,FALSE())</f>
        <v>3.97282885885201</v>
      </c>
      <c r="BS277" s="1262" t="n">
        <v>0</v>
      </c>
      <c r="BU277" s="1309" t="n">
        <f aca="false">EDATE(BU276,1)</f>
        <v>44348</v>
      </c>
      <c r="BV277" s="1310" t="n">
        <v>2.97450569754036</v>
      </c>
      <c r="BW277" s="1310" t="n">
        <v>2.3390631389867</v>
      </c>
      <c r="BX277" s="1310"/>
      <c r="BY277" s="1310" t="n">
        <v>4.69049584578451</v>
      </c>
      <c r="BZ277" s="1311" t="n">
        <v>3.68846694276535</v>
      </c>
    </row>
    <row r="278" customFormat="false" ht="12.75" hidden="false" customHeight="false" outlineLevel="0" collapsed="false">
      <c r="A278" s="1246"/>
      <c r="B278" s="1312" t="n">
        <v>43770</v>
      </c>
      <c r="C278" s="1313" t="n">
        <v>62.6441757815876</v>
      </c>
      <c r="D278" s="1313"/>
      <c r="E278" s="1313"/>
      <c r="F278" s="1327"/>
      <c r="G278" s="1313"/>
      <c r="H278" s="1313"/>
      <c r="I278" s="1313"/>
      <c r="J278" s="1253"/>
      <c r="K278" s="1254" t="n">
        <v>44652</v>
      </c>
      <c r="L278" s="1314" t="n">
        <v>0</v>
      </c>
      <c r="M278" s="1314" t="n">
        <v>0</v>
      </c>
      <c r="N278" s="1314" t="n">
        <v>0</v>
      </c>
      <c r="O278" s="1252"/>
      <c r="P278" s="1314" t="n">
        <v>0</v>
      </c>
      <c r="Q278" s="1314" t="n">
        <v>0</v>
      </c>
      <c r="R278" s="1314" t="n">
        <v>0</v>
      </c>
      <c r="S278" s="1252"/>
      <c r="T278" s="1314" t="n">
        <v>0</v>
      </c>
      <c r="U278" s="1314" t="n">
        <v>0</v>
      </c>
      <c r="V278" s="1314" t="n">
        <v>0</v>
      </c>
      <c r="W278" s="1252"/>
      <c r="X278" s="1314" t="n">
        <v>0</v>
      </c>
      <c r="Y278" s="1314" t="n">
        <v>0</v>
      </c>
      <c r="Z278" s="1314" t="n">
        <v>0</v>
      </c>
      <c r="AA278" s="1252" t="n">
        <v>0</v>
      </c>
      <c r="AB278" s="1314" t="n">
        <v>0</v>
      </c>
      <c r="AC278" s="1314" t="n">
        <v>0</v>
      </c>
      <c r="AD278" s="1314" t="n">
        <v>0</v>
      </c>
      <c r="AE278" s="1252"/>
      <c r="AF278" s="1314" t="n">
        <v>0</v>
      </c>
      <c r="AG278" s="1314" t="n">
        <v>0</v>
      </c>
      <c r="AH278" s="1314" t="n">
        <v>0</v>
      </c>
      <c r="AI278" s="1252"/>
      <c r="AJ278" s="1314" t="n">
        <v>0</v>
      </c>
      <c r="AK278" s="1314" t="n">
        <v>0</v>
      </c>
      <c r="AL278" s="1314" t="n">
        <v>0</v>
      </c>
      <c r="AM278" s="1166"/>
      <c r="AN278" s="1253" t="n">
        <v>90</v>
      </c>
      <c r="AO278" s="1316" t="n">
        <v>0.35</v>
      </c>
      <c r="AP278" s="1252"/>
      <c r="AQ278" s="0"/>
      <c r="AR278" s="0"/>
      <c r="AS278" s="0"/>
      <c r="AT278" s="0"/>
      <c r="AU278" s="0" t="str">
        <f aca="false">AV278&amp;"Q"&amp;ROUNDUP(MONTH(AW278)/3,0)</f>
        <v>2022Q3</v>
      </c>
      <c r="AV278" s="0" t="n">
        <f aca="false">YEAR(AW278)</f>
        <v>2022</v>
      </c>
      <c r="AW278" s="1304" t="n">
        <f aca="false">EOMONTH(AW277,0)+1</f>
        <v>44805</v>
      </c>
      <c r="AX278" s="112" t="n">
        <f aca="false">AY278</f>
        <v>4.622</v>
      </c>
      <c r="AY278" s="112" t="n">
        <v>4.622</v>
      </c>
      <c r="AZ278" s="112" t="n">
        <f aca="false">AY278</f>
        <v>4.622</v>
      </c>
      <c r="BA278" s="163"/>
      <c r="BB278" s="163"/>
      <c r="BC278" s="163"/>
      <c r="BD278" s="163" t="n">
        <v>0</v>
      </c>
      <c r="BE278" s="163"/>
      <c r="BF278" s="163" t="n">
        <v>0</v>
      </c>
      <c r="BG278" s="1290" t="n">
        <v>0</v>
      </c>
      <c r="BH278" s="1262"/>
      <c r="BI278" s="1291"/>
      <c r="BJ278" s="1291"/>
      <c r="BK278" s="1293" t="n">
        <v>0</v>
      </c>
      <c r="BL278" s="1294" t="n">
        <f aca="false">+AY278</f>
        <v>4.622</v>
      </c>
      <c r="BM278" s="1295" t="n">
        <f aca="false">AY278</f>
        <v>4.622</v>
      </c>
      <c r="BN278" s="1324" t="n">
        <f aca="false">+BM278/BM266-1</f>
        <v>0.0900704540349047</v>
      </c>
      <c r="BO278" s="1296" t="n">
        <f aca="false">BM278</f>
        <v>4.622</v>
      </c>
      <c r="BP278" s="1318" t="n">
        <f aca="false">+AY278/AY266-1</f>
        <v>0.0900704540349047</v>
      </c>
      <c r="BQ278" s="1298" t="e">
        <f aca="false">VLOOKUP($AW278,$BU$8:$BZ$291,5,FALSE())</f>
        <v>#N/A</v>
      </c>
      <c r="BR278" s="1298" t="e">
        <f aca="false">VLOOKUP($AW278,$BU$8:$BZ$291,6,FALSE())</f>
        <v>#N/A</v>
      </c>
      <c r="BS278" s="1262" t="n">
        <v>0</v>
      </c>
      <c r="BU278" s="1309" t="n">
        <f aca="false">EDATE(BU277,1)</f>
        <v>44378</v>
      </c>
      <c r="BV278" s="1310" t="n">
        <v>3.01257833799049</v>
      </c>
      <c r="BW278" s="1310" t="n">
        <v>2.37523845642621</v>
      </c>
      <c r="BX278" s="1310"/>
      <c r="BY278" s="1310" t="n">
        <v>4.75053256449615</v>
      </c>
      <c r="BZ278" s="1311" t="n">
        <v>3.7455117742176</v>
      </c>
    </row>
    <row r="279" customFormat="false" ht="12.75" hidden="false" customHeight="false" outlineLevel="0" collapsed="false">
      <c r="A279" s="1246"/>
      <c r="B279" s="1312" t="n">
        <v>43800</v>
      </c>
      <c r="C279" s="1313" t="n">
        <v>62.1310083703125</v>
      </c>
      <c r="D279" s="1313"/>
      <c r="E279" s="1313"/>
      <c r="F279" s="1327"/>
      <c r="G279" s="1313"/>
      <c r="H279" s="1313"/>
      <c r="I279" s="1313"/>
      <c r="J279" s="1253"/>
      <c r="K279" s="1254" t="n">
        <v>44682</v>
      </c>
      <c r="L279" s="1314" t="n">
        <v>0</v>
      </c>
      <c r="M279" s="1314" t="n">
        <v>0</v>
      </c>
      <c r="N279" s="1314" t="n">
        <v>0</v>
      </c>
      <c r="O279" s="1252"/>
      <c r="P279" s="1314" t="n">
        <v>0</v>
      </c>
      <c r="Q279" s="1314" t="n">
        <v>0</v>
      </c>
      <c r="R279" s="1314" t="n">
        <v>0</v>
      </c>
      <c r="S279" s="1252"/>
      <c r="T279" s="1314" t="n">
        <v>0</v>
      </c>
      <c r="U279" s="1314" t="n">
        <v>0</v>
      </c>
      <c r="V279" s="1314" t="n">
        <v>0</v>
      </c>
      <c r="W279" s="1252"/>
      <c r="X279" s="1314" t="n">
        <v>0</v>
      </c>
      <c r="Y279" s="1314" t="n">
        <v>0</v>
      </c>
      <c r="Z279" s="1314" t="n">
        <v>0</v>
      </c>
      <c r="AA279" s="1252" t="n">
        <v>0</v>
      </c>
      <c r="AB279" s="1314" t="n">
        <v>0</v>
      </c>
      <c r="AC279" s="1314" t="n">
        <v>0</v>
      </c>
      <c r="AD279" s="1314" t="n">
        <v>0</v>
      </c>
      <c r="AE279" s="1252"/>
      <c r="AF279" s="1314" t="n">
        <v>0</v>
      </c>
      <c r="AG279" s="1314" t="n">
        <v>0</v>
      </c>
      <c r="AH279" s="1314" t="n">
        <v>0</v>
      </c>
      <c r="AI279" s="1252"/>
      <c r="AJ279" s="1314" t="n">
        <v>0</v>
      </c>
      <c r="AK279" s="1314" t="n">
        <v>0</v>
      </c>
      <c r="AL279" s="1314" t="n">
        <v>0</v>
      </c>
      <c r="AM279" s="1166"/>
      <c r="AN279" s="1253" t="n">
        <v>90</v>
      </c>
      <c r="AO279" s="1316" t="n">
        <v>0.35</v>
      </c>
      <c r="AP279" s="1252"/>
      <c r="AQ279" s="0"/>
      <c r="AR279" s="0"/>
      <c r="AS279" s="0"/>
      <c r="AT279" s="0"/>
      <c r="AU279" s="0" t="str">
        <f aca="false">AV279&amp;"Q"&amp;ROUNDUP(MONTH(AW279)/3,0)</f>
        <v>2022Q4</v>
      </c>
      <c r="AV279" s="0" t="n">
        <f aca="false">YEAR(AW279)</f>
        <v>2022</v>
      </c>
      <c r="AW279" s="1304" t="n">
        <f aca="false">EOMONTH(AW278,0)+1</f>
        <v>44835</v>
      </c>
      <c r="AX279" s="112" t="n">
        <f aca="false">AY279</f>
        <v>4.621</v>
      </c>
      <c r="AY279" s="112" t="n">
        <v>4.621</v>
      </c>
      <c r="AZ279" s="112" t="n">
        <f aca="false">AY279</f>
        <v>4.621</v>
      </c>
      <c r="BA279" s="163"/>
      <c r="BB279" s="163"/>
      <c r="BC279" s="163"/>
      <c r="BD279" s="163" t="n">
        <v>0</v>
      </c>
      <c r="BE279" s="163"/>
      <c r="BF279" s="163" t="n">
        <v>0</v>
      </c>
      <c r="BG279" s="1290" t="n">
        <v>0</v>
      </c>
      <c r="BH279" s="1262"/>
      <c r="BI279" s="1291"/>
      <c r="BJ279" s="1291"/>
      <c r="BK279" s="1293" t="n">
        <v>0</v>
      </c>
      <c r="BL279" s="1294" t="n">
        <f aca="false">+AY279</f>
        <v>4.621</v>
      </c>
      <c r="BM279" s="1295" t="n">
        <f aca="false">AY279</f>
        <v>4.621</v>
      </c>
      <c r="BN279" s="1324" t="n">
        <f aca="false">+BM279/BM267-1</f>
        <v>0.0434636922097378</v>
      </c>
      <c r="BO279" s="1296" t="n">
        <f aca="false">BM279</f>
        <v>4.621</v>
      </c>
      <c r="BP279" s="1318" t="n">
        <f aca="false">+AY279/AY267-1</f>
        <v>0.0434636922097378</v>
      </c>
      <c r="BQ279" s="1298" t="e">
        <f aca="false">VLOOKUP($AW279,$BU$8:$BZ$291,5,FALSE())</f>
        <v>#N/A</v>
      </c>
      <c r="BR279" s="1298" t="e">
        <f aca="false">VLOOKUP($AW279,$BU$8:$BZ$291,6,FALSE())</f>
        <v>#N/A</v>
      </c>
      <c r="BS279" s="1262" t="n">
        <v>0</v>
      </c>
      <c r="BU279" s="1309" t="n">
        <f aca="false">EDATE(BU278,1)</f>
        <v>44409</v>
      </c>
      <c r="BV279" s="1310" t="n">
        <v>3.08356122696531</v>
      </c>
      <c r="BW279" s="1310" t="n">
        <v>2.43169387606667</v>
      </c>
      <c r="BX279" s="1310"/>
      <c r="BY279" s="1310" t="n">
        <v>4.86246542989072</v>
      </c>
      <c r="BZ279" s="1311" t="n">
        <v>3.83453628390825</v>
      </c>
    </row>
    <row r="280" customFormat="false" ht="12.75" hidden="false" customHeight="false" outlineLevel="0" collapsed="false">
      <c r="A280" s="1246"/>
      <c r="B280" s="1312" t="n">
        <v>43831</v>
      </c>
      <c r="C280" s="1313" t="n">
        <v>57.8512555352535</v>
      </c>
      <c r="D280" s="1313"/>
      <c r="E280" s="1313"/>
      <c r="F280" s="1327"/>
      <c r="G280" s="1313"/>
      <c r="H280" s="1313"/>
      <c r="I280" s="1313"/>
      <c r="J280" s="1253"/>
      <c r="K280" s="1254" t="n">
        <v>44713</v>
      </c>
      <c r="L280" s="1314" t="n">
        <v>0</v>
      </c>
      <c r="M280" s="1314" t="n">
        <v>0</v>
      </c>
      <c r="N280" s="1314" t="n">
        <v>0</v>
      </c>
      <c r="O280" s="1252"/>
      <c r="P280" s="1314" t="n">
        <v>0</v>
      </c>
      <c r="Q280" s="1314" t="n">
        <v>0</v>
      </c>
      <c r="R280" s="1314" t="n">
        <v>0</v>
      </c>
      <c r="S280" s="1252"/>
      <c r="T280" s="1314" t="n">
        <v>0</v>
      </c>
      <c r="U280" s="1314" t="n">
        <v>0</v>
      </c>
      <c r="V280" s="1314" t="n">
        <v>0</v>
      </c>
      <c r="W280" s="1252"/>
      <c r="X280" s="1314" t="n">
        <v>0</v>
      </c>
      <c r="Y280" s="1314" t="n">
        <v>0</v>
      </c>
      <c r="Z280" s="1314" t="n">
        <v>0</v>
      </c>
      <c r="AA280" s="1252" t="n">
        <v>0</v>
      </c>
      <c r="AB280" s="1314" t="n">
        <v>0</v>
      </c>
      <c r="AC280" s="1314" t="n">
        <v>0</v>
      </c>
      <c r="AD280" s="1314" t="n">
        <v>0</v>
      </c>
      <c r="AE280" s="1252"/>
      <c r="AF280" s="1314" t="n">
        <v>0</v>
      </c>
      <c r="AG280" s="1314" t="n">
        <v>0</v>
      </c>
      <c r="AH280" s="1314" t="n">
        <v>0</v>
      </c>
      <c r="AI280" s="1252"/>
      <c r="AJ280" s="1314" t="n">
        <v>0</v>
      </c>
      <c r="AK280" s="1314" t="n">
        <v>0</v>
      </c>
      <c r="AL280" s="1314" t="n">
        <v>0</v>
      </c>
      <c r="AM280" s="1166"/>
      <c r="AN280" s="1253" t="n">
        <v>91</v>
      </c>
      <c r="AO280" s="1316" t="n">
        <v>0.35</v>
      </c>
      <c r="AP280" s="1252"/>
      <c r="AQ280" s="0"/>
      <c r="AR280" s="0"/>
      <c r="AS280" s="0"/>
      <c r="AT280" s="0"/>
      <c r="AU280" s="0" t="str">
        <f aca="false">AV280&amp;"Q"&amp;ROUNDUP(MONTH(AW280)/3,0)</f>
        <v>2022Q4</v>
      </c>
      <c r="AV280" s="0" t="n">
        <f aca="false">YEAR(AW280)</f>
        <v>2022</v>
      </c>
      <c r="AW280" s="1304" t="n">
        <f aca="false">EOMONTH(AW279,0)+1</f>
        <v>44866</v>
      </c>
      <c r="AX280" s="112" t="n">
        <f aca="false">AY280</f>
        <v>4.638</v>
      </c>
      <c r="AY280" s="112" t="n">
        <v>4.638</v>
      </c>
      <c r="AZ280" s="112" t="n">
        <f aca="false">AY280</f>
        <v>4.638</v>
      </c>
      <c r="BA280" s="163"/>
      <c r="BB280" s="163"/>
      <c r="BC280" s="163"/>
      <c r="BD280" s="163" t="n">
        <v>0</v>
      </c>
      <c r="BE280" s="163"/>
      <c r="BF280" s="163" t="n">
        <v>0</v>
      </c>
      <c r="BG280" s="1290" t="n">
        <v>0</v>
      </c>
      <c r="BH280" s="1262"/>
      <c r="BI280" s="1291"/>
      <c r="BJ280" s="1291"/>
      <c r="BK280" s="1293" t="n">
        <v>0</v>
      </c>
      <c r="BL280" s="1294" t="n">
        <f aca="false">+AY280</f>
        <v>4.638</v>
      </c>
      <c r="BM280" s="1295" t="n">
        <f aca="false">AY280</f>
        <v>4.638</v>
      </c>
      <c r="BN280" s="1324" t="n">
        <f aca="false">+BM280/BM268-1</f>
        <v>0.00513004536277473</v>
      </c>
      <c r="BO280" s="1296" t="n">
        <f aca="false">BM280</f>
        <v>4.638</v>
      </c>
      <c r="BP280" s="1318" t="n">
        <f aca="false">+AY280/AY268-1</f>
        <v>0.00513004536277473</v>
      </c>
      <c r="BQ280" s="1298" t="e">
        <f aca="false">VLOOKUP($AW280,$BU$8:$BZ$291,5,FALSE())</f>
        <v>#N/A</v>
      </c>
      <c r="BR280" s="1298" t="e">
        <f aca="false">VLOOKUP($AW280,$BU$8:$BZ$291,6,FALSE())</f>
        <v>#N/A</v>
      </c>
      <c r="BS280" s="1262" t="n">
        <v>0</v>
      </c>
      <c r="BU280" s="1309" t="n">
        <f aca="false">EDATE(BU279,1)</f>
        <v>44440</v>
      </c>
      <c r="BV280" s="1310" t="n">
        <v>3.18745436446482</v>
      </c>
      <c r="BW280" s="1310" t="n">
        <v>2.50020773485362</v>
      </c>
      <c r="BX280" s="1310"/>
      <c r="BY280" s="1310" t="n">
        <v>5.02629444196824</v>
      </c>
      <c r="BZ280" s="1311" t="n">
        <v>3.94257573741632</v>
      </c>
    </row>
    <row r="281" customFormat="false" ht="12.75" hidden="false" customHeight="false" outlineLevel="0" collapsed="false">
      <c r="A281" s="1246"/>
      <c r="B281" s="1312" t="n">
        <v>43862</v>
      </c>
      <c r="C281" s="1313" t="n">
        <v>45.032727063725</v>
      </c>
      <c r="D281" s="1313"/>
      <c r="E281" s="1313"/>
      <c r="F281" s="1327"/>
      <c r="G281" s="1313"/>
      <c r="H281" s="1313"/>
      <c r="I281" s="1313"/>
      <c r="J281" s="1253"/>
      <c r="K281" s="1254" t="n">
        <v>44743</v>
      </c>
      <c r="L281" s="1314" t="n">
        <v>0</v>
      </c>
      <c r="M281" s="1314" t="n">
        <v>0</v>
      </c>
      <c r="N281" s="1314" t="n">
        <v>0</v>
      </c>
      <c r="O281" s="1252"/>
      <c r="P281" s="1314" t="n">
        <v>0</v>
      </c>
      <c r="Q281" s="1314" t="n">
        <v>0</v>
      </c>
      <c r="R281" s="1314" t="n">
        <v>0</v>
      </c>
      <c r="S281" s="1252"/>
      <c r="T281" s="1314" t="n">
        <v>0</v>
      </c>
      <c r="U281" s="1314" t="n">
        <v>0</v>
      </c>
      <c r="V281" s="1314" t="n">
        <v>0</v>
      </c>
      <c r="W281" s="1252"/>
      <c r="X281" s="1314" t="n">
        <v>0</v>
      </c>
      <c r="Y281" s="1314" t="n">
        <v>0</v>
      </c>
      <c r="Z281" s="1314" t="n">
        <v>0</v>
      </c>
      <c r="AA281" s="1252" t="n">
        <v>0</v>
      </c>
      <c r="AB281" s="1314" t="n">
        <v>0</v>
      </c>
      <c r="AC281" s="1314" t="n">
        <v>0</v>
      </c>
      <c r="AD281" s="1314" t="n">
        <v>0</v>
      </c>
      <c r="AE281" s="1252"/>
      <c r="AF281" s="1314" t="n">
        <v>0</v>
      </c>
      <c r="AG281" s="1314" t="n">
        <v>0</v>
      </c>
      <c r="AH281" s="1314" t="n">
        <v>0</v>
      </c>
      <c r="AI281" s="1252"/>
      <c r="AJ281" s="1314" t="n">
        <v>0</v>
      </c>
      <c r="AK281" s="1314" t="n">
        <v>0</v>
      </c>
      <c r="AL281" s="1314" t="n">
        <v>0</v>
      </c>
      <c r="AM281" s="1166"/>
      <c r="AN281" s="1253" t="n">
        <v>91</v>
      </c>
      <c r="AO281" s="1316" t="n">
        <v>0.35</v>
      </c>
      <c r="AP281" s="1252"/>
      <c r="AQ281" s="0"/>
      <c r="AR281" s="0"/>
      <c r="AS281" s="0"/>
      <c r="AT281" s="0"/>
      <c r="AU281" s="0" t="str">
        <f aca="false">AV281&amp;"Q"&amp;ROUNDUP(MONTH(AW281)/3,0)</f>
        <v>2022Q4</v>
      </c>
      <c r="AV281" s="0" t="n">
        <f aca="false">YEAR(AW281)</f>
        <v>2022</v>
      </c>
      <c r="AW281" s="1304" t="n">
        <f aca="false">EOMONTH(AW280,0)+1</f>
        <v>44896</v>
      </c>
      <c r="AX281" s="112" t="n">
        <f aca="false">AY281</f>
        <v>4.69</v>
      </c>
      <c r="AY281" s="112" t="n">
        <v>4.69</v>
      </c>
      <c r="AZ281" s="112" t="n">
        <f aca="false">AY281</f>
        <v>4.69</v>
      </c>
      <c r="BA281" s="163"/>
      <c r="BB281" s="163"/>
      <c r="BC281" s="163"/>
      <c r="BD281" s="163" t="n">
        <v>0</v>
      </c>
      <c r="BE281" s="163"/>
      <c r="BF281" s="163" t="n">
        <v>0</v>
      </c>
      <c r="BG281" s="1290" t="n">
        <v>0</v>
      </c>
      <c r="BH281" s="1262"/>
      <c r="BI281" s="1291"/>
      <c r="BJ281" s="1291"/>
      <c r="BK281" s="1293" t="n">
        <v>0</v>
      </c>
      <c r="BL281" s="1294" t="n">
        <f aca="false">+AY281</f>
        <v>4.69</v>
      </c>
      <c r="BM281" s="1295" t="n">
        <f aca="false">AY281</f>
        <v>4.69</v>
      </c>
      <c r="BN281" s="1324" t="n">
        <f aca="false">+BM281/BM269-1</f>
        <v>-0.0250694772943543</v>
      </c>
      <c r="BO281" s="1296" t="n">
        <f aca="false">BM281</f>
        <v>4.69</v>
      </c>
      <c r="BP281" s="1318" t="n">
        <f aca="false">+AY281/AY269-1</f>
        <v>-0.0250694772943543</v>
      </c>
      <c r="BQ281" s="1298" t="e">
        <f aca="false">VLOOKUP($AW281,$BU$8:$BZ$291,5,FALSE())</f>
        <v>#N/A</v>
      </c>
      <c r="BR281" s="1298" t="e">
        <f aca="false">VLOOKUP($AW281,$BU$8:$BZ$291,6,FALSE())</f>
        <v>#N/A</v>
      </c>
      <c r="BS281" s="1262" t="n">
        <v>0</v>
      </c>
      <c r="BU281" s="1309" t="n">
        <f aca="false">EDATE(BU280,1)</f>
        <v>44470</v>
      </c>
      <c r="BV281" s="1310" t="n">
        <v>3.32425775048903</v>
      </c>
      <c r="BW281" s="1310" t="n">
        <v>2.57255836973265</v>
      </c>
      <c r="BX281" s="1310"/>
      <c r="BY281" s="1310" t="n">
        <v>5.24201960072869</v>
      </c>
      <c r="BZ281" s="1311" t="n">
        <v>4.05666540032083</v>
      </c>
    </row>
    <row r="282" customFormat="false" ht="12.75" hidden="false" customHeight="false" outlineLevel="0" collapsed="false">
      <c r="A282" s="1246"/>
      <c r="B282" s="1312" t="n">
        <v>43891</v>
      </c>
      <c r="C282" s="1313" t="n">
        <v>44.7099958373209</v>
      </c>
      <c r="D282" s="1313"/>
      <c r="E282" s="1313"/>
      <c r="F282" s="1327"/>
      <c r="G282" s="1313"/>
      <c r="H282" s="1313"/>
      <c r="I282" s="1313"/>
      <c r="J282" s="1253"/>
      <c r="K282" s="1254" t="n">
        <v>44774</v>
      </c>
      <c r="L282" s="1314" t="n">
        <v>0</v>
      </c>
      <c r="M282" s="1314" t="n">
        <v>0</v>
      </c>
      <c r="N282" s="1314" t="n">
        <v>0</v>
      </c>
      <c r="O282" s="1252"/>
      <c r="P282" s="1314" t="n">
        <v>0</v>
      </c>
      <c r="Q282" s="1314" t="n">
        <v>0</v>
      </c>
      <c r="R282" s="1314" t="n">
        <v>0</v>
      </c>
      <c r="S282" s="1252"/>
      <c r="T282" s="1314" t="n">
        <v>0</v>
      </c>
      <c r="U282" s="1314" t="n">
        <v>0</v>
      </c>
      <c r="V282" s="1314" t="n">
        <v>0</v>
      </c>
      <c r="W282" s="1252"/>
      <c r="X282" s="1314" t="n">
        <v>0</v>
      </c>
      <c r="Y282" s="1314" t="n">
        <v>0</v>
      </c>
      <c r="Z282" s="1314" t="n">
        <v>0</v>
      </c>
      <c r="AA282" s="1252" t="n">
        <v>0</v>
      </c>
      <c r="AB282" s="1314" t="n">
        <v>0</v>
      </c>
      <c r="AC282" s="1314" t="n">
        <v>0</v>
      </c>
      <c r="AD282" s="1314" t="n">
        <v>0</v>
      </c>
      <c r="AE282" s="1252"/>
      <c r="AF282" s="1314" t="n">
        <v>0</v>
      </c>
      <c r="AG282" s="1314" t="n">
        <v>0</v>
      </c>
      <c r="AH282" s="1314" t="n">
        <v>0</v>
      </c>
      <c r="AI282" s="1252"/>
      <c r="AJ282" s="1314" t="n">
        <v>0</v>
      </c>
      <c r="AK282" s="1314" t="n">
        <v>0</v>
      </c>
      <c r="AL282" s="1314" t="n">
        <v>0</v>
      </c>
      <c r="AM282" s="1166"/>
      <c r="AN282" s="1253" t="n">
        <v>91</v>
      </c>
      <c r="AO282" s="1316" t="n">
        <v>0.35</v>
      </c>
      <c r="AP282" s="1252"/>
      <c r="AQ282" s="0"/>
      <c r="AR282" s="0"/>
      <c r="AS282" s="0"/>
      <c r="AT282" s="0"/>
      <c r="AU282" s="0" t="str">
        <f aca="false">AV282&amp;"Q"&amp;ROUNDUP(MONTH(AW282)/3,0)</f>
        <v>2023Q1</v>
      </c>
      <c r="AV282" s="0" t="n">
        <f aca="false">YEAR(AW282)</f>
        <v>2023</v>
      </c>
      <c r="AW282" s="1304" t="n">
        <f aca="false">EOMONTH(AW281,0)+1</f>
        <v>44927</v>
      </c>
      <c r="AX282" s="112" t="n">
        <f aca="false">AY282</f>
        <v>4.948</v>
      </c>
      <c r="AY282" s="112" t="n">
        <v>4.948</v>
      </c>
      <c r="AZ282" s="112" t="n">
        <f aca="false">AY282</f>
        <v>4.948</v>
      </c>
      <c r="BA282" s="163"/>
      <c r="BB282" s="163"/>
      <c r="BC282" s="163"/>
      <c r="BD282" s="163" t="n">
        <v>0</v>
      </c>
      <c r="BE282" s="163"/>
      <c r="BF282" s="163" t="n">
        <v>0</v>
      </c>
      <c r="BG282" s="1290" t="n">
        <v>0</v>
      </c>
      <c r="BH282" s="1262"/>
      <c r="BI282" s="1291"/>
      <c r="BJ282" s="1291"/>
      <c r="BK282" s="1293" t="n">
        <v>0</v>
      </c>
      <c r="BL282" s="1294" t="n">
        <f aca="false">+AY282</f>
        <v>4.948</v>
      </c>
      <c r="BM282" s="1295" t="n">
        <f aca="false">AY282</f>
        <v>4.948</v>
      </c>
      <c r="BN282" s="1324" t="n">
        <f aca="false">+BM282/BM270-1</f>
        <v>0.0199958771387343</v>
      </c>
      <c r="BO282" s="1296" t="n">
        <f aca="false">BM282</f>
        <v>4.948</v>
      </c>
      <c r="BP282" s="1318" t="n">
        <f aca="false">+AY282/AY270-1</f>
        <v>0.0199958771387343</v>
      </c>
      <c r="BQ282" s="1298" t="e">
        <f aca="false">VLOOKUP($AW282,$BU$8:$BZ$291,5,FALSE())</f>
        <v>#N/A</v>
      </c>
      <c r="BR282" s="1298" t="e">
        <f aca="false">VLOOKUP($AW282,$BU$8:$BZ$291,6,FALSE())</f>
        <v>#N/A</v>
      </c>
      <c r="BS282" s="1262" t="n">
        <v>0</v>
      </c>
      <c r="BU282" s="1309" t="n">
        <f aca="false">EDATE(BU281,1)</f>
        <v>44501</v>
      </c>
      <c r="BV282" s="1310" t="n">
        <v>3.49397138503792</v>
      </c>
      <c r="BW282" s="1310" t="n">
        <v>2.64052411764931</v>
      </c>
      <c r="BX282" s="1310"/>
      <c r="BY282" s="1310" t="n">
        <v>5.50964090617209</v>
      </c>
      <c r="BZ282" s="1311" t="n">
        <v>4.16384053820083</v>
      </c>
    </row>
    <row r="283" customFormat="false" ht="12.75" hidden="false" customHeight="false" outlineLevel="0" collapsed="false">
      <c r="A283" s="1246"/>
      <c r="B283" s="1312" t="n">
        <v>43922</v>
      </c>
      <c r="C283" s="1313" t="n">
        <v>43.7927581323727</v>
      </c>
      <c r="D283" s="1313"/>
      <c r="E283" s="1313"/>
      <c r="F283" s="1327"/>
      <c r="G283" s="1313"/>
      <c r="H283" s="1313"/>
      <c r="I283" s="1313"/>
      <c r="J283" s="1253"/>
      <c r="K283" s="1254" t="n">
        <v>44805</v>
      </c>
      <c r="L283" s="1314" t="n">
        <v>0</v>
      </c>
      <c r="M283" s="1314" t="n">
        <v>0</v>
      </c>
      <c r="N283" s="1314" t="n">
        <v>0</v>
      </c>
      <c r="O283" s="1252"/>
      <c r="P283" s="1314" t="n">
        <v>0</v>
      </c>
      <c r="Q283" s="1314" t="n">
        <v>0</v>
      </c>
      <c r="R283" s="1314" t="n">
        <v>0</v>
      </c>
      <c r="S283" s="1252"/>
      <c r="T283" s="1314" t="n">
        <v>0</v>
      </c>
      <c r="U283" s="1314" t="n">
        <v>0</v>
      </c>
      <c r="V283" s="1314" t="n">
        <v>0</v>
      </c>
      <c r="W283" s="1252"/>
      <c r="X283" s="1314" t="n">
        <v>0</v>
      </c>
      <c r="Y283" s="1314" t="n">
        <v>0</v>
      </c>
      <c r="Z283" s="1314" t="n">
        <v>0</v>
      </c>
      <c r="AA283" s="1252" t="n">
        <v>0</v>
      </c>
      <c r="AB283" s="1314" t="n">
        <v>0</v>
      </c>
      <c r="AC283" s="1314" t="n">
        <v>0</v>
      </c>
      <c r="AD283" s="1314" t="n">
        <v>0</v>
      </c>
      <c r="AE283" s="1252"/>
      <c r="AF283" s="1314" t="n">
        <v>0</v>
      </c>
      <c r="AG283" s="1314" t="n">
        <v>0</v>
      </c>
      <c r="AH283" s="1314" t="n">
        <v>0</v>
      </c>
      <c r="AI283" s="1252"/>
      <c r="AJ283" s="1314" t="n">
        <v>0</v>
      </c>
      <c r="AK283" s="1314" t="n">
        <v>0</v>
      </c>
      <c r="AL283" s="1314" t="n">
        <v>0</v>
      </c>
      <c r="AM283" s="1166"/>
      <c r="AN283" s="1253" t="n">
        <v>92</v>
      </c>
      <c r="AO283" s="1316" t="n">
        <v>0.35</v>
      </c>
      <c r="AP283" s="1252"/>
      <c r="AQ283" s="0"/>
      <c r="AR283" s="0"/>
      <c r="AS283" s="0"/>
      <c r="AT283" s="0"/>
      <c r="AU283" s="0" t="str">
        <f aca="false">AV283&amp;"Q"&amp;ROUNDUP(MONTH(AW283)/3,0)</f>
        <v>2023Q1</v>
      </c>
      <c r="AV283" s="0" t="n">
        <f aca="false">YEAR(AW283)</f>
        <v>2023</v>
      </c>
      <c r="AW283" s="1304" t="n">
        <f aca="false">EOMONTH(AW282,0)+1</f>
        <v>44958</v>
      </c>
      <c r="AX283" s="112" t="n">
        <f aca="false">AY283</f>
        <v>4.901</v>
      </c>
      <c r="AY283" s="112" t="n">
        <v>4.901</v>
      </c>
      <c r="AZ283" s="112" t="n">
        <f aca="false">AY283</f>
        <v>4.901</v>
      </c>
      <c r="BA283" s="163"/>
      <c r="BB283" s="163"/>
      <c r="BC283" s="163"/>
      <c r="BD283" s="163" t="n">
        <v>0</v>
      </c>
      <c r="BE283" s="163"/>
      <c r="BF283" s="163" t="n">
        <v>0</v>
      </c>
      <c r="BG283" s="1290" t="n">
        <v>0</v>
      </c>
      <c r="BH283" s="1262"/>
      <c r="BI283" s="1291"/>
      <c r="BJ283" s="1291"/>
      <c r="BK283" s="1293" t="n">
        <v>0</v>
      </c>
      <c r="BL283" s="1294" t="n">
        <f aca="false">+AY283</f>
        <v>4.901</v>
      </c>
      <c r="BM283" s="1295" t="n">
        <f aca="false">AY283</f>
        <v>4.901</v>
      </c>
      <c r="BN283" s="1324" t="n">
        <f aca="false">+BM283/BM271-1</f>
        <v>0.0210416666666666</v>
      </c>
      <c r="BO283" s="1296" t="n">
        <f aca="false">BM283</f>
        <v>4.901</v>
      </c>
      <c r="BP283" s="1318" t="n">
        <f aca="false">+AY283/AY271-1</f>
        <v>0.0210416666666666</v>
      </c>
      <c r="BQ283" s="1298" t="e">
        <f aca="false">VLOOKUP($AW283,$BU$8:$BZ$291,5,FALSE())</f>
        <v>#N/A</v>
      </c>
      <c r="BR283" s="1298" t="e">
        <f aca="false">VLOOKUP($AW283,$BU$8:$BZ$291,6,FALSE())</f>
        <v>#N/A</v>
      </c>
      <c r="BS283" s="1262" t="n">
        <v>0</v>
      </c>
      <c r="BU283" s="1309" t="n">
        <f aca="false">EDATE(BU282,1)</f>
        <v>44531</v>
      </c>
      <c r="BV283" s="1310" t="n">
        <v>3.56778068359192</v>
      </c>
      <c r="BW283" s="1310" t="n">
        <v>2.69588331554917</v>
      </c>
      <c r="BX283" s="1310"/>
      <c r="BY283" s="1310" t="n">
        <v>5.62603073475238</v>
      </c>
      <c r="BZ283" s="1311" t="n">
        <v>4.25113641663535</v>
      </c>
    </row>
    <row r="284" customFormat="false" ht="12.75" hidden="false" customHeight="false" outlineLevel="0" collapsed="false">
      <c r="A284" s="1246"/>
      <c r="B284" s="1312" t="n">
        <v>43952</v>
      </c>
      <c r="C284" s="1313" t="n">
        <v>46.8598763663823</v>
      </c>
      <c r="D284" s="1313"/>
      <c r="E284" s="1313"/>
      <c r="F284" s="1327"/>
      <c r="G284" s="1313"/>
      <c r="H284" s="1313"/>
      <c r="I284" s="1313"/>
      <c r="J284" s="1253"/>
      <c r="K284" s="1254" t="n">
        <v>44835</v>
      </c>
      <c r="L284" s="1314" t="n">
        <v>0</v>
      </c>
      <c r="M284" s="1314" t="n">
        <v>0</v>
      </c>
      <c r="N284" s="1314" t="n">
        <v>0</v>
      </c>
      <c r="O284" s="1252"/>
      <c r="P284" s="1314" t="n">
        <v>0</v>
      </c>
      <c r="Q284" s="1314" t="n">
        <v>0</v>
      </c>
      <c r="R284" s="1314" t="n">
        <v>0</v>
      </c>
      <c r="S284" s="1252"/>
      <c r="T284" s="1314" t="n">
        <v>0</v>
      </c>
      <c r="U284" s="1314" t="n">
        <v>0</v>
      </c>
      <c r="V284" s="1314" t="n">
        <v>0</v>
      </c>
      <c r="W284" s="1252"/>
      <c r="X284" s="1314" t="n">
        <v>0</v>
      </c>
      <c r="Y284" s="1314" t="n">
        <v>0</v>
      </c>
      <c r="Z284" s="1314" t="n">
        <v>0</v>
      </c>
      <c r="AA284" s="1252" t="n">
        <v>0</v>
      </c>
      <c r="AB284" s="1314" t="n">
        <v>0</v>
      </c>
      <c r="AC284" s="1314" t="n">
        <v>0</v>
      </c>
      <c r="AD284" s="1314" t="n">
        <v>0</v>
      </c>
      <c r="AE284" s="1252"/>
      <c r="AF284" s="1314" t="n">
        <v>0</v>
      </c>
      <c r="AG284" s="1314" t="n">
        <v>0</v>
      </c>
      <c r="AH284" s="1314" t="n">
        <v>0</v>
      </c>
      <c r="AI284" s="1252"/>
      <c r="AJ284" s="1314" t="n">
        <v>0</v>
      </c>
      <c r="AK284" s="1314" t="n">
        <v>0</v>
      </c>
      <c r="AL284" s="1314" t="n">
        <v>0</v>
      </c>
      <c r="AM284" s="1166"/>
      <c r="AN284" s="1253" t="n">
        <v>92</v>
      </c>
      <c r="AO284" s="1316" t="n">
        <v>0.35</v>
      </c>
      <c r="AP284" s="1252"/>
      <c r="AQ284" s="0"/>
      <c r="AR284" s="0"/>
      <c r="AS284" s="0"/>
      <c r="AT284" s="0"/>
      <c r="AU284" s="0"/>
      <c r="AV284" s="0"/>
      <c r="AW284" s="1304"/>
      <c r="AX284" s="112" t="n">
        <f aca="false">AY284</f>
        <v>4.803</v>
      </c>
      <c r="AY284" s="112" t="n">
        <v>4.803</v>
      </c>
      <c r="AZ284" s="112" t="n">
        <f aca="false">AY284</f>
        <v>4.803</v>
      </c>
      <c r="BA284" s="163"/>
      <c r="BB284" s="163"/>
      <c r="BC284" s="163"/>
      <c r="BE284" s="163"/>
      <c r="BG284" s="1329"/>
      <c r="BH284" s="112"/>
      <c r="BI284" s="1330"/>
      <c r="BJ284" s="1262"/>
      <c r="BK284" s="1293" t="n">
        <v>0</v>
      </c>
      <c r="BL284" s="1294" t="n">
        <f aca="false">+AY284</f>
        <v>4.803</v>
      </c>
      <c r="BM284" s="1295" t="n">
        <f aca="false">AY284</f>
        <v>4.803</v>
      </c>
      <c r="BN284" s="163"/>
      <c r="BS284" s="1262" t="n">
        <v>0</v>
      </c>
      <c r="BU284" s="1309" t="n">
        <f aca="false">EDATE(BU283,1)</f>
        <v>44562</v>
      </c>
      <c r="BV284" s="1310" t="n">
        <v>3.47860954797096</v>
      </c>
      <c r="BW284" s="1310" t="n">
        <v>2.79346111258304</v>
      </c>
      <c r="BX284" s="1310"/>
      <c r="BY284" s="1310" t="n">
        <v>5.59512517333666</v>
      </c>
      <c r="BZ284" s="1311" t="n">
        <v>4.49310690843907</v>
      </c>
    </row>
    <row r="285" customFormat="false" ht="12.75" hidden="false" customHeight="false" outlineLevel="0" collapsed="false">
      <c r="A285" s="1246"/>
      <c r="B285" s="1312" t="n">
        <v>43983</v>
      </c>
      <c r="C285" s="1313" t="n">
        <v>48.9251152020665</v>
      </c>
      <c r="D285" s="1313"/>
      <c r="E285" s="1313"/>
      <c r="F285" s="1327"/>
      <c r="G285" s="1313"/>
      <c r="H285" s="1313"/>
      <c r="I285" s="1313"/>
      <c r="J285" s="1253"/>
      <c r="K285" s="1254" t="n">
        <v>44866</v>
      </c>
      <c r="L285" s="1314" t="n">
        <v>0</v>
      </c>
      <c r="M285" s="1314" t="n">
        <v>0</v>
      </c>
      <c r="N285" s="1314" t="n">
        <v>0</v>
      </c>
      <c r="O285" s="1252"/>
      <c r="P285" s="1314" t="n">
        <v>0</v>
      </c>
      <c r="Q285" s="1314" t="n">
        <v>0</v>
      </c>
      <c r="R285" s="1314" t="n">
        <v>0</v>
      </c>
      <c r="S285" s="1252"/>
      <c r="T285" s="1314" t="n">
        <v>0</v>
      </c>
      <c r="U285" s="1314" t="n">
        <v>0</v>
      </c>
      <c r="V285" s="1314" t="n">
        <v>0</v>
      </c>
      <c r="W285" s="1252"/>
      <c r="X285" s="1314" t="n">
        <v>0</v>
      </c>
      <c r="Y285" s="1314" t="n">
        <v>0</v>
      </c>
      <c r="Z285" s="1314" t="n">
        <v>0</v>
      </c>
      <c r="AA285" s="1252" t="n">
        <v>0</v>
      </c>
      <c r="AB285" s="1314" t="n">
        <v>0</v>
      </c>
      <c r="AC285" s="1314" t="n">
        <v>0</v>
      </c>
      <c r="AD285" s="1314" t="n">
        <v>0</v>
      </c>
      <c r="AE285" s="1252"/>
      <c r="AF285" s="1314" t="n">
        <v>0</v>
      </c>
      <c r="AG285" s="1314" t="n">
        <v>0</v>
      </c>
      <c r="AH285" s="1314" t="n">
        <v>0</v>
      </c>
      <c r="AI285" s="1252"/>
      <c r="AJ285" s="1314" t="n">
        <v>0</v>
      </c>
      <c r="AK285" s="1314" t="n">
        <v>0</v>
      </c>
      <c r="AL285" s="1314" t="n">
        <v>0</v>
      </c>
      <c r="AM285" s="1166"/>
      <c r="AN285" s="1253" t="n">
        <v>92</v>
      </c>
      <c r="AO285" s="1316" t="n">
        <v>0.35</v>
      </c>
      <c r="AP285" s="1252"/>
      <c r="AQ285" s="0"/>
      <c r="AR285" s="0"/>
      <c r="AS285" s="0"/>
      <c r="AT285" s="0"/>
      <c r="AU285" s="0"/>
      <c r="AV285" s="0"/>
      <c r="AW285" s="1304"/>
      <c r="AX285" s="112" t="n">
        <f aca="false">AY285</f>
        <v>4.708</v>
      </c>
      <c r="AY285" s="112" t="n">
        <v>4.708</v>
      </c>
      <c r="AZ285" s="112" t="n">
        <f aca="false">AY285</f>
        <v>4.708</v>
      </c>
      <c r="BA285" s="163"/>
      <c r="BB285" s="163"/>
      <c r="BC285" s="163"/>
      <c r="BE285" s="163"/>
      <c r="BG285" s="1329"/>
      <c r="BH285" s="112"/>
      <c r="BI285" s="1330"/>
      <c r="BJ285" s="1262"/>
      <c r="BK285" s="1293" t="n">
        <v>0</v>
      </c>
      <c r="BL285" s="1294" t="n">
        <f aca="false">+AY285</f>
        <v>4.708</v>
      </c>
      <c r="BM285" s="1295" t="n">
        <f aca="false">AY285</f>
        <v>4.708</v>
      </c>
      <c r="BN285" s="163"/>
      <c r="BS285" s="1262" t="n">
        <v>0</v>
      </c>
      <c r="BU285" s="1309" t="n">
        <f aca="false">EDATE(BU284,1)</f>
        <v>44593</v>
      </c>
      <c r="BV285" s="1310" t="n">
        <v>3.21613268463054</v>
      </c>
      <c r="BW285" s="1310" t="n">
        <v>2.60194130735562</v>
      </c>
      <c r="BX285" s="1310"/>
      <c r="BY285" s="1310" t="n">
        <v>5.17294760921452</v>
      </c>
      <c r="BZ285" s="1311" t="n">
        <v>4.18505931969905</v>
      </c>
    </row>
    <row r="286" customFormat="false" ht="12.75" hidden="false" customHeight="false" outlineLevel="0" collapsed="false">
      <c r="A286" s="1246"/>
      <c r="B286" s="1312" t="n">
        <v>44013</v>
      </c>
      <c r="C286" s="1313" t="n">
        <v>65.3739575183672</v>
      </c>
      <c r="D286" s="1313"/>
      <c r="E286" s="1313"/>
      <c r="F286" s="1327"/>
      <c r="G286" s="1313"/>
      <c r="H286" s="1313"/>
      <c r="I286" s="1313"/>
      <c r="J286" s="1253"/>
      <c r="K286" s="1254" t="n">
        <v>44896</v>
      </c>
      <c r="L286" s="1314" t="n">
        <v>0</v>
      </c>
      <c r="M286" s="1314" t="n">
        <v>0</v>
      </c>
      <c r="N286" s="1314" t="n">
        <v>0</v>
      </c>
      <c r="O286" s="1252"/>
      <c r="P286" s="1314" t="n">
        <v>0</v>
      </c>
      <c r="Q286" s="1314" t="n">
        <v>0</v>
      </c>
      <c r="R286" s="1314" t="n">
        <v>0</v>
      </c>
      <c r="S286" s="1252"/>
      <c r="T286" s="1314" t="n">
        <v>0</v>
      </c>
      <c r="U286" s="1314" t="n">
        <v>0</v>
      </c>
      <c r="V286" s="1314" t="n">
        <v>0</v>
      </c>
      <c r="W286" s="1252"/>
      <c r="X286" s="1314" t="n">
        <v>0</v>
      </c>
      <c r="Y286" s="1314" t="n">
        <v>0</v>
      </c>
      <c r="Z286" s="1314" t="n">
        <v>0</v>
      </c>
      <c r="AA286" s="1252" t="n">
        <v>0</v>
      </c>
      <c r="AB286" s="1314" t="n">
        <v>0</v>
      </c>
      <c r="AC286" s="1314" t="n">
        <v>0</v>
      </c>
      <c r="AD286" s="1314" t="n">
        <v>0</v>
      </c>
      <c r="AE286" s="1252"/>
      <c r="AF286" s="1314" t="n">
        <v>0</v>
      </c>
      <c r="AG286" s="1314" t="n">
        <v>0</v>
      </c>
      <c r="AH286" s="1314" t="n">
        <v>0</v>
      </c>
      <c r="AI286" s="1252"/>
      <c r="AJ286" s="1314" t="n">
        <v>0</v>
      </c>
      <c r="AK286" s="1314" t="n">
        <v>0</v>
      </c>
      <c r="AL286" s="1314" t="n">
        <v>0</v>
      </c>
      <c r="AM286" s="1166"/>
      <c r="AN286" s="1253" t="n">
        <v>93</v>
      </c>
      <c r="AO286" s="1316" t="n">
        <v>0.35</v>
      </c>
      <c r="AP286" s="1252"/>
      <c r="AQ286" s="0"/>
      <c r="AR286" s="0"/>
      <c r="AS286" s="0"/>
      <c r="AT286" s="0"/>
      <c r="AU286" s="0"/>
      <c r="AV286" s="0"/>
      <c r="AW286" s="1304"/>
      <c r="AX286" s="112" t="n">
        <f aca="false">AY286</f>
        <v>4.7</v>
      </c>
      <c r="AY286" s="112" t="n">
        <v>4.7</v>
      </c>
      <c r="AZ286" s="112" t="n">
        <f aca="false">AY286</f>
        <v>4.7</v>
      </c>
      <c r="BA286" s="163"/>
      <c r="BB286" s="163"/>
      <c r="BC286" s="163"/>
      <c r="BE286" s="163"/>
      <c r="BG286" s="1329"/>
      <c r="BH286" s="112"/>
      <c r="BI286" s="1330"/>
      <c r="BJ286" s="1262"/>
      <c r="BK286" s="1293" t="n">
        <v>0</v>
      </c>
      <c r="BL286" s="1294" t="n">
        <f aca="false">+AY286</f>
        <v>4.7</v>
      </c>
      <c r="BM286" s="1295" t="n">
        <f aca="false">AY286</f>
        <v>4.7</v>
      </c>
      <c r="BN286" s="163"/>
      <c r="BS286" s="1262" t="n">
        <v>0</v>
      </c>
      <c r="BU286" s="1309" t="n">
        <f aca="false">EDATE(BU285,1)</f>
        <v>44621</v>
      </c>
      <c r="BV286" s="1310" t="n">
        <v>3.12063985381833</v>
      </c>
      <c r="BW286" s="1310" t="n">
        <v>2.47277678755109</v>
      </c>
      <c r="BX286" s="1310"/>
      <c r="BY286" s="1310" t="n">
        <v>5.01935338307832</v>
      </c>
      <c r="BZ286" s="1311" t="n">
        <v>3.97730629473485</v>
      </c>
    </row>
    <row r="287" customFormat="false" ht="12.75" hidden="false" customHeight="false" outlineLevel="0" collapsed="false">
      <c r="A287" s="1246"/>
      <c r="B287" s="1312" t="n">
        <v>44044</v>
      </c>
      <c r="C287" s="1313" t="n">
        <v>78.7537104781329</v>
      </c>
      <c r="D287" s="1313"/>
      <c r="E287" s="1313"/>
      <c r="F287" s="1327"/>
      <c r="G287" s="1313"/>
      <c r="H287" s="1313"/>
      <c r="I287" s="1313"/>
      <c r="J287" s="1253"/>
      <c r="K287" s="1254" t="n">
        <v>44927</v>
      </c>
      <c r="L287" s="1314" t="n">
        <v>0</v>
      </c>
      <c r="M287" s="1314" t="n">
        <v>0</v>
      </c>
      <c r="N287" s="1314" t="n">
        <v>0</v>
      </c>
      <c r="O287" s="1252"/>
      <c r="P287" s="1314" t="n">
        <v>0</v>
      </c>
      <c r="Q287" s="1314" t="n">
        <v>0</v>
      </c>
      <c r="R287" s="1314" t="n">
        <v>0</v>
      </c>
      <c r="S287" s="1252"/>
      <c r="T287" s="1314" t="n">
        <v>0</v>
      </c>
      <c r="U287" s="1314" t="n">
        <v>0</v>
      </c>
      <c r="V287" s="1314" t="n">
        <v>0</v>
      </c>
      <c r="W287" s="1252"/>
      <c r="X287" s="1314" t="n">
        <v>0</v>
      </c>
      <c r="Y287" s="1314" t="n">
        <v>0</v>
      </c>
      <c r="Z287" s="1314" t="n">
        <v>0</v>
      </c>
      <c r="AA287" s="1252" t="n">
        <v>0</v>
      </c>
      <c r="AB287" s="1314" t="n">
        <v>0</v>
      </c>
      <c r="AC287" s="1314" t="n">
        <v>0</v>
      </c>
      <c r="AD287" s="1314" t="n">
        <v>0</v>
      </c>
      <c r="AE287" s="1252"/>
      <c r="AF287" s="1314" t="n">
        <v>0</v>
      </c>
      <c r="AG287" s="1314" t="n">
        <v>0</v>
      </c>
      <c r="AH287" s="1314" t="n">
        <v>0</v>
      </c>
      <c r="AI287" s="1252"/>
      <c r="AJ287" s="1314" t="n">
        <v>0</v>
      </c>
      <c r="AK287" s="1314" t="n">
        <v>0</v>
      </c>
      <c r="AL287" s="1314" t="n">
        <v>0</v>
      </c>
      <c r="AM287" s="1166"/>
      <c r="AN287" s="1253" t="n">
        <v>93</v>
      </c>
      <c r="AO287" s="1316" t="n">
        <v>0.35</v>
      </c>
      <c r="AP287" s="1252"/>
      <c r="AQ287" s="0"/>
      <c r="AR287" s="0"/>
      <c r="AS287" s="0"/>
      <c r="AT287" s="0"/>
      <c r="AU287" s="0"/>
      <c r="AV287" s="0"/>
      <c r="AW287" s="1304"/>
      <c r="AX287" s="112" t="n">
        <f aca="false">AY287</f>
        <v>4.7</v>
      </c>
      <c r="AY287" s="112" t="n">
        <v>4.7</v>
      </c>
      <c r="AZ287" s="112" t="n">
        <f aca="false">AY287</f>
        <v>4.7</v>
      </c>
      <c r="BA287" s="163"/>
      <c r="BB287" s="163"/>
      <c r="BC287" s="163"/>
      <c r="BE287" s="163"/>
      <c r="BG287" s="1329"/>
      <c r="BH287" s="112"/>
      <c r="BI287" s="1330"/>
      <c r="BJ287" s="1262"/>
      <c r="BK287" s="1293" t="n">
        <v>0</v>
      </c>
      <c r="BL287" s="1294" t="n">
        <f aca="false">+AY287</f>
        <v>4.7</v>
      </c>
      <c r="BM287" s="1295" t="n">
        <f aca="false">AY287</f>
        <v>4.7</v>
      </c>
      <c r="BN287" s="163"/>
      <c r="BS287" s="1262" t="n">
        <v>0</v>
      </c>
      <c r="BU287" s="1309" t="n">
        <f aca="false">EDATE(BU286,1)</f>
        <v>44652</v>
      </c>
      <c r="BV287" s="1310" t="n">
        <v>3.05873415660214</v>
      </c>
      <c r="BW287" s="1310" t="n">
        <v>2.39761639887172</v>
      </c>
      <c r="BX287" s="1310"/>
      <c r="BY287" s="1310" t="n">
        <v>4.91978195372106</v>
      </c>
      <c r="BZ287" s="1311" t="n">
        <v>3.85641552589793</v>
      </c>
    </row>
    <row r="288" customFormat="false" ht="12.75" hidden="false" customHeight="false" outlineLevel="0" collapsed="false">
      <c r="A288" s="1246"/>
      <c r="B288" s="1312" t="n">
        <v>44075</v>
      </c>
      <c r="C288" s="1313" t="n">
        <v>67.9201624844237</v>
      </c>
      <c r="D288" s="1313"/>
      <c r="E288" s="1313"/>
      <c r="F288" s="1327"/>
      <c r="G288" s="1313"/>
      <c r="H288" s="1313"/>
      <c r="I288" s="1313"/>
      <c r="J288" s="1253"/>
      <c r="K288" s="1254"/>
      <c r="L288" s="1314" t="n">
        <v>0</v>
      </c>
      <c r="M288" s="1314" t="n">
        <v>0</v>
      </c>
      <c r="N288" s="1314" t="n">
        <v>0</v>
      </c>
      <c r="O288" s="1252"/>
      <c r="P288" s="1314" t="n">
        <v>0</v>
      </c>
      <c r="Q288" s="1314" t="n">
        <v>0</v>
      </c>
      <c r="R288" s="1314" t="n">
        <v>0</v>
      </c>
      <c r="S288" s="1252"/>
      <c r="T288" s="1252"/>
      <c r="U288" s="1252"/>
      <c r="V288" s="1252"/>
      <c r="W288" s="1252"/>
      <c r="X288" s="1314" t="n">
        <v>0</v>
      </c>
      <c r="Y288" s="1314" t="n">
        <v>0</v>
      </c>
      <c r="Z288" s="1314" t="n">
        <v>0</v>
      </c>
      <c r="AA288" s="1252" t="n">
        <v>0</v>
      </c>
      <c r="AB288" s="1314" t="n">
        <v>0</v>
      </c>
      <c r="AC288" s="1314" t="n">
        <v>0</v>
      </c>
      <c r="AD288" s="1314" t="n">
        <v>0</v>
      </c>
      <c r="AE288" s="1252"/>
      <c r="AF288" s="1314" t="n">
        <v>0</v>
      </c>
      <c r="AG288" s="1314" t="n">
        <v>0</v>
      </c>
      <c r="AH288" s="1314" t="n">
        <v>0</v>
      </c>
      <c r="AI288" s="1252"/>
      <c r="AJ288" s="1314" t="n">
        <v>0</v>
      </c>
      <c r="AK288" s="1314" t="n">
        <v>0</v>
      </c>
      <c r="AL288" s="1314" t="n">
        <v>0</v>
      </c>
      <c r="AM288" s="1166"/>
      <c r="AN288" s="1252"/>
      <c r="AO288" s="1252"/>
      <c r="AP288" s="1252"/>
      <c r="AQ288" s="0"/>
      <c r="AR288" s="0"/>
      <c r="AS288" s="0"/>
      <c r="AT288" s="0"/>
      <c r="AU288" s="0"/>
      <c r="AV288" s="0"/>
      <c r="AW288" s="1304"/>
      <c r="AX288" s="112" t="n">
        <f aca="false">AY288</f>
        <v>4.765</v>
      </c>
      <c r="AY288" s="112" t="n">
        <v>4.765</v>
      </c>
      <c r="AZ288" s="112" t="n">
        <f aca="false">AY288</f>
        <v>4.765</v>
      </c>
      <c r="BA288" s="163"/>
      <c r="BB288" s="163"/>
      <c r="BC288" s="163"/>
      <c r="BE288" s="163"/>
      <c r="BG288" s="1329"/>
      <c r="BH288" s="112"/>
      <c r="BI288" s="1330"/>
      <c r="BJ288" s="1262"/>
      <c r="BK288" s="1293" t="n">
        <v>0</v>
      </c>
      <c r="BL288" s="1294" t="n">
        <f aca="false">+AY288</f>
        <v>4.765</v>
      </c>
      <c r="BM288" s="1295" t="n">
        <f aca="false">AY288</f>
        <v>4.765</v>
      </c>
      <c r="BN288" s="163"/>
      <c r="BS288" s="1262" t="n">
        <v>0</v>
      </c>
      <c r="BU288" s="1309" t="n">
        <f aca="false">EDATE(BU287,1)</f>
        <v>44682</v>
      </c>
      <c r="BV288" s="1310" t="n">
        <v>3.03041559298197</v>
      </c>
      <c r="BW288" s="1310" t="n">
        <v>2.36810898701982</v>
      </c>
      <c r="BX288" s="1310"/>
      <c r="BY288" s="1310" t="n">
        <v>4.87423332114275</v>
      </c>
      <c r="BZ288" s="1311" t="n">
        <v>3.80895470553973</v>
      </c>
    </row>
    <row r="289" customFormat="false" ht="12.75" hidden="false" customHeight="false" outlineLevel="0" collapsed="false">
      <c r="A289" s="1246"/>
      <c r="B289" s="1312" t="n">
        <v>44105</v>
      </c>
      <c r="C289" s="1313" t="n">
        <v>57.7204144730601</v>
      </c>
      <c r="D289" s="1313"/>
      <c r="E289" s="1313"/>
      <c r="F289" s="1327"/>
      <c r="G289" s="1313"/>
      <c r="H289" s="1313"/>
      <c r="I289" s="1313"/>
      <c r="J289" s="1253"/>
      <c r="K289" s="1254"/>
      <c r="L289" s="1314" t="n">
        <v>0</v>
      </c>
      <c r="M289" s="1314" t="n">
        <v>0</v>
      </c>
      <c r="N289" s="1314" t="n">
        <v>0</v>
      </c>
      <c r="O289" s="1252"/>
      <c r="P289" s="1314" t="n">
        <v>0</v>
      </c>
      <c r="Q289" s="1314" t="n">
        <v>0</v>
      </c>
      <c r="R289" s="1314" t="n">
        <v>0</v>
      </c>
      <c r="S289" s="1252"/>
      <c r="T289" s="1252"/>
      <c r="U289" s="1252"/>
      <c r="V289" s="1252"/>
      <c r="W289" s="1252"/>
      <c r="X289" s="1314" t="n">
        <v>0</v>
      </c>
      <c r="Y289" s="1314" t="n">
        <v>0</v>
      </c>
      <c r="Z289" s="1314" t="n">
        <v>0</v>
      </c>
      <c r="AA289" s="1252" t="n">
        <v>0</v>
      </c>
      <c r="AB289" s="1314" t="n">
        <v>0</v>
      </c>
      <c r="AC289" s="1314" t="n">
        <v>0</v>
      </c>
      <c r="AD289" s="1314" t="n">
        <v>0</v>
      </c>
      <c r="AE289" s="1252"/>
      <c r="AF289" s="1314" t="n">
        <v>0</v>
      </c>
      <c r="AG289" s="1314" t="n">
        <v>0</v>
      </c>
      <c r="AH289" s="1314" t="n">
        <v>0</v>
      </c>
      <c r="AI289" s="1252"/>
      <c r="AJ289" s="1314" t="n">
        <v>0</v>
      </c>
      <c r="AK289" s="1314" t="n">
        <v>0</v>
      </c>
      <c r="AL289" s="1314" t="n">
        <v>0</v>
      </c>
      <c r="AM289" s="1166"/>
      <c r="AN289" s="1252"/>
      <c r="AO289" s="1252"/>
      <c r="AP289" s="1252"/>
      <c r="AQ289" s="0"/>
      <c r="AR289" s="0"/>
      <c r="AS289" s="0"/>
      <c r="AT289" s="0"/>
      <c r="AU289" s="0"/>
      <c r="AV289" s="0"/>
      <c r="AW289" s="1304"/>
      <c r="AX289" s="112" t="n">
        <f aca="false">AY289</f>
        <v>4.76</v>
      </c>
      <c r="AY289" s="112" t="n">
        <v>4.76</v>
      </c>
      <c r="AZ289" s="112" t="n">
        <f aca="false">AY289</f>
        <v>4.76</v>
      </c>
      <c r="BA289" s="163"/>
      <c r="BB289" s="163"/>
      <c r="BC289" s="163"/>
      <c r="BE289" s="163"/>
      <c r="BG289" s="1329"/>
      <c r="BH289" s="112"/>
      <c r="BI289" s="1330"/>
      <c r="BJ289" s="1262"/>
      <c r="BK289" s="1293" t="n">
        <v>0</v>
      </c>
      <c r="BL289" s="1294" t="n">
        <f aca="false">+AY289</f>
        <v>4.76</v>
      </c>
      <c r="BM289" s="1295" t="n">
        <f aca="false">AY289</f>
        <v>4.76</v>
      </c>
      <c r="BN289" s="163"/>
      <c r="BS289" s="1262" t="n">
        <v>0</v>
      </c>
      <c r="BU289" s="1309" t="n">
        <f aca="false">EDATE(BU288,1)</f>
        <v>44713</v>
      </c>
      <c r="BV289" s="1310" t="n">
        <v>3.03568416295781</v>
      </c>
      <c r="BW289" s="1310" t="n">
        <v>2.37590339769768</v>
      </c>
      <c r="BX289" s="1310"/>
      <c r="BY289" s="1310" t="n">
        <v>4.88270748534336</v>
      </c>
      <c r="BZ289" s="1311" t="n">
        <v>3.8214915260117</v>
      </c>
    </row>
    <row r="290" customFormat="false" ht="12.75" hidden="false" customHeight="false" outlineLevel="0" collapsed="false">
      <c r="A290" s="1246"/>
      <c r="B290" s="1312" t="n">
        <v>44136</v>
      </c>
      <c r="C290" s="1313" t="n">
        <v>59.2839181487958</v>
      </c>
      <c r="D290" s="1313"/>
      <c r="E290" s="1313"/>
      <c r="F290" s="1327"/>
      <c r="G290" s="1313"/>
      <c r="H290" s="1313"/>
      <c r="I290" s="1313"/>
      <c r="J290" s="1253"/>
      <c r="K290" s="1254"/>
      <c r="L290" s="1314" t="n">
        <v>0</v>
      </c>
      <c r="M290" s="1314" t="n">
        <v>0</v>
      </c>
      <c r="N290" s="1314" t="n">
        <v>0</v>
      </c>
      <c r="O290" s="1252"/>
      <c r="P290" s="1314" t="n">
        <v>0</v>
      </c>
      <c r="Q290" s="1314" t="n">
        <v>0</v>
      </c>
      <c r="R290" s="1314" t="n">
        <v>0</v>
      </c>
      <c r="S290" s="1252"/>
      <c r="T290" s="1252"/>
      <c r="U290" s="1252"/>
      <c r="V290" s="1252"/>
      <c r="W290" s="1252"/>
      <c r="X290" s="1314" t="n">
        <v>0</v>
      </c>
      <c r="Y290" s="1314" t="n">
        <v>0</v>
      </c>
      <c r="Z290" s="1314" t="n">
        <v>0</v>
      </c>
      <c r="AA290" s="1252" t="n">
        <v>0</v>
      </c>
      <c r="AB290" s="1314" t="n">
        <v>0</v>
      </c>
      <c r="AC290" s="1314" t="n">
        <v>0</v>
      </c>
      <c r="AD290" s="1314" t="n">
        <v>0</v>
      </c>
      <c r="AE290" s="1252"/>
      <c r="AF290" s="1314" t="n">
        <v>0</v>
      </c>
      <c r="AG290" s="1314" t="n">
        <v>0</v>
      </c>
      <c r="AH290" s="1314" t="n">
        <v>0</v>
      </c>
      <c r="AI290" s="1252"/>
      <c r="AJ290" s="1314" t="n">
        <v>0</v>
      </c>
      <c r="AK290" s="1314" t="n">
        <v>0</v>
      </c>
      <c r="AL290" s="1314" t="n">
        <v>0</v>
      </c>
      <c r="AM290" s="1166"/>
      <c r="AN290" s="1252"/>
      <c r="AO290" s="1252"/>
      <c r="AP290" s="1252"/>
      <c r="AQ290" s="0"/>
      <c r="AR290" s="0"/>
      <c r="AS290" s="0"/>
      <c r="AT290" s="0"/>
      <c r="AU290" s="0"/>
      <c r="AV290" s="0"/>
      <c r="AW290" s="1304"/>
      <c r="AX290" s="112" t="n">
        <f aca="false">AY290</f>
        <v>4.73</v>
      </c>
      <c r="AY290" s="112" t="n">
        <v>4.73</v>
      </c>
      <c r="AZ290" s="112" t="n">
        <f aca="false">AY290</f>
        <v>4.73</v>
      </c>
      <c r="BA290" s="163"/>
      <c r="BB290" s="163"/>
      <c r="BC290" s="163"/>
      <c r="BE290" s="163"/>
      <c r="BG290" s="1329"/>
      <c r="BH290" s="112"/>
      <c r="BI290" s="1330"/>
      <c r="BJ290" s="1262"/>
      <c r="BK290" s="1293" t="n">
        <v>0</v>
      </c>
      <c r="BL290" s="1294" t="n">
        <f aca="false">+AY290</f>
        <v>4.73</v>
      </c>
      <c r="BM290" s="1295" t="n">
        <f aca="false">AY290</f>
        <v>4.73</v>
      </c>
      <c r="BN290" s="163"/>
      <c r="BS290" s="1262" t="n">
        <v>0</v>
      </c>
      <c r="BU290" s="1309" t="n">
        <f aca="false">EDATE(BU289,1)</f>
        <v>44743</v>
      </c>
      <c r="BV290" s="1310" t="n">
        <v>3.07453986652968</v>
      </c>
      <c r="BW290" s="1310" t="n">
        <v>2.4126484766076</v>
      </c>
      <c r="BX290" s="1310"/>
      <c r="BY290" s="1310" t="n">
        <v>4.94520444632292</v>
      </c>
      <c r="BZ290" s="1311" t="n">
        <v>3.88059367966531</v>
      </c>
    </row>
    <row r="291" customFormat="false" ht="13.5" hidden="false" customHeight="false" outlineLevel="0" collapsed="false">
      <c r="A291" s="1246"/>
      <c r="B291" s="1312" t="n">
        <v>44166</v>
      </c>
      <c r="C291" s="1313" t="n">
        <v>62.3037596942817</v>
      </c>
      <c r="D291" s="1313"/>
      <c r="E291" s="1313"/>
      <c r="F291" s="1327"/>
      <c r="G291" s="1313"/>
      <c r="H291" s="1313"/>
      <c r="I291" s="1313"/>
      <c r="J291" s="1253"/>
      <c r="K291" s="1254"/>
      <c r="L291" s="1314" t="n">
        <v>0</v>
      </c>
      <c r="M291" s="1314" t="n">
        <v>0</v>
      </c>
      <c r="N291" s="1314" t="n">
        <v>0</v>
      </c>
      <c r="O291" s="1252"/>
      <c r="P291" s="1314" t="n">
        <v>0</v>
      </c>
      <c r="Q291" s="1314" t="n">
        <v>0</v>
      </c>
      <c r="R291" s="1314" t="n">
        <v>0</v>
      </c>
      <c r="S291" s="1252"/>
      <c r="T291" s="1252"/>
      <c r="U291" s="1252"/>
      <c r="V291" s="1252"/>
      <c r="W291" s="1252"/>
      <c r="X291" s="1314" t="n">
        <v>0</v>
      </c>
      <c r="Y291" s="1314" t="n">
        <v>0</v>
      </c>
      <c r="Z291" s="1314" t="n">
        <v>0</v>
      </c>
      <c r="AA291" s="1252" t="n">
        <v>0</v>
      </c>
      <c r="AB291" s="1314" t="n">
        <v>0</v>
      </c>
      <c r="AC291" s="1314" t="n">
        <v>0</v>
      </c>
      <c r="AD291" s="1314" t="n">
        <v>0</v>
      </c>
      <c r="AE291" s="1252"/>
      <c r="AF291" s="1314" t="n">
        <v>0</v>
      </c>
      <c r="AG291" s="1314" t="n">
        <v>0</v>
      </c>
      <c r="AH291" s="1314" t="n">
        <v>0</v>
      </c>
      <c r="AI291" s="1252"/>
      <c r="AJ291" s="1314" t="n">
        <v>0</v>
      </c>
      <c r="AK291" s="1314" t="n">
        <v>0</v>
      </c>
      <c r="AL291" s="1314" t="n">
        <v>0</v>
      </c>
      <c r="AM291" s="1166"/>
      <c r="AN291" s="1252"/>
      <c r="AO291" s="1252"/>
      <c r="AP291" s="1252"/>
      <c r="AQ291" s="0"/>
      <c r="AR291" s="0"/>
      <c r="AS291" s="0"/>
      <c r="AT291" s="0"/>
      <c r="AU291" s="0"/>
      <c r="AV291" s="0"/>
      <c r="AW291" s="1304"/>
      <c r="AX291" s="112" t="n">
        <f aca="false">AY291</f>
        <v>4.728</v>
      </c>
      <c r="AY291" s="112" t="n">
        <v>4.728</v>
      </c>
      <c r="AZ291" s="112" t="n">
        <f aca="false">AY291</f>
        <v>4.728</v>
      </c>
      <c r="BA291" s="163"/>
      <c r="BB291" s="163"/>
      <c r="BC291" s="163"/>
      <c r="BE291" s="163"/>
      <c r="BG291" s="1329"/>
      <c r="BH291" s="112"/>
      <c r="BI291" s="1330"/>
      <c r="BJ291" s="1262"/>
      <c r="BK291" s="1293" t="n">
        <v>0</v>
      </c>
      <c r="BL291" s="1294" t="n">
        <f aca="false">+AY291</f>
        <v>4.728</v>
      </c>
      <c r="BM291" s="1295" t="n">
        <f aca="false">AY291</f>
        <v>4.728</v>
      </c>
      <c r="BN291" s="163"/>
      <c r="BS291" s="1262" t="n">
        <v>0</v>
      </c>
      <c r="BU291" s="1331" t="n">
        <f aca="false">EDATE(BU290,1)</f>
        <v>44774</v>
      </c>
      <c r="BV291" s="1332" t="n">
        <v>3.14698270369756</v>
      </c>
      <c r="BW291" s="1332" t="n">
        <v>2.46999306945185</v>
      </c>
      <c r="BX291" s="1332"/>
      <c r="BY291" s="1332" t="n">
        <v>5.06172420408141</v>
      </c>
      <c r="BZ291" s="1333" t="n">
        <v>3.97282885885201</v>
      </c>
    </row>
    <row r="292" customFormat="false" ht="12.75" hidden="false" customHeight="false" outlineLevel="0" collapsed="false">
      <c r="A292" s="1246"/>
      <c r="B292" s="1312" t="n">
        <v>44197</v>
      </c>
      <c r="C292" s="1313" t="n">
        <v>60.7352524518013</v>
      </c>
      <c r="D292" s="1313"/>
      <c r="E292" s="1313"/>
      <c r="F292" s="1327"/>
      <c r="G292" s="1313"/>
      <c r="H292" s="1313"/>
      <c r="I292" s="1313"/>
      <c r="J292" s="1253"/>
      <c r="K292" s="1254"/>
      <c r="L292" s="1314" t="n">
        <v>0</v>
      </c>
      <c r="M292" s="1314" t="n">
        <v>0</v>
      </c>
      <c r="N292" s="1314" t="n">
        <v>0</v>
      </c>
      <c r="O292" s="1252"/>
      <c r="P292" s="1314" t="n">
        <v>0</v>
      </c>
      <c r="Q292" s="1314" t="n">
        <v>0</v>
      </c>
      <c r="R292" s="1314" t="n">
        <v>0</v>
      </c>
      <c r="S292" s="1252"/>
      <c r="T292" s="1252"/>
      <c r="U292" s="1252"/>
      <c r="V292" s="1252"/>
      <c r="W292" s="1252"/>
      <c r="X292" s="1314" t="n">
        <v>0</v>
      </c>
      <c r="Y292" s="1314" t="n">
        <v>0</v>
      </c>
      <c r="Z292" s="1314" t="n">
        <v>0</v>
      </c>
      <c r="AA292" s="1252" t="n">
        <v>0</v>
      </c>
      <c r="AB292" s="1314" t="n">
        <v>0</v>
      </c>
      <c r="AC292" s="1314" t="n">
        <v>0</v>
      </c>
      <c r="AD292" s="1314" t="n">
        <v>0</v>
      </c>
      <c r="AE292" s="1252"/>
      <c r="AF292" s="1314" t="n">
        <v>0</v>
      </c>
      <c r="AG292" s="1314" t="n">
        <v>0</v>
      </c>
      <c r="AH292" s="1314" t="n">
        <v>0</v>
      </c>
      <c r="AI292" s="1252"/>
      <c r="AJ292" s="1314" t="n">
        <v>0</v>
      </c>
      <c r="AK292" s="1314" t="n">
        <v>0</v>
      </c>
      <c r="AL292" s="1314" t="n">
        <v>0</v>
      </c>
      <c r="AM292" s="1166"/>
      <c r="AN292" s="1252"/>
      <c r="AO292" s="1252"/>
      <c r="AP292" s="1252"/>
      <c r="AQ292" s="0"/>
      <c r="AR292" s="0"/>
      <c r="AS292" s="0"/>
      <c r="AT292" s="0"/>
      <c r="AU292" s="0"/>
      <c r="AV292" s="0"/>
      <c r="AW292" s="1304"/>
      <c r="AX292" s="112" t="n">
        <f aca="false">AY292</f>
        <v>4.74</v>
      </c>
      <c r="AY292" s="112" t="n">
        <v>4.74</v>
      </c>
      <c r="AZ292" s="112" t="n">
        <f aca="false">AY292</f>
        <v>4.74</v>
      </c>
      <c r="BA292" s="163"/>
      <c r="BB292" s="163"/>
      <c r="BC292" s="163"/>
      <c r="BE292" s="163"/>
      <c r="BG292" s="1329"/>
      <c r="BH292" s="112"/>
      <c r="BI292" s="1330"/>
      <c r="BJ292" s="1262"/>
      <c r="BK292" s="1293" t="n">
        <v>0</v>
      </c>
      <c r="BL292" s="1294" t="n">
        <f aca="false">+AY292</f>
        <v>4.74</v>
      </c>
      <c r="BM292" s="1295" t="n">
        <f aca="false">AY292</f>
        <v>4.74</v>
      </c>
      <c r="BN292" s="163"/>
      <c r="BS292" s="1262" t="n">
        <v>0</v>
      </c>
    </row>
    <row r="293" customFormat="false" ht="12.75" hidden="false" customHeight="false" outlineLevel="0" collapsed="false">
      <c r="A293" s="1246"/>
      <c r="B293" s="1312" t="n">
        <v>44228</v>
      </c>
      <c r="C293" s="1313" t="n">
        <v>46.5318541121098</v>
      </c>
      <c r="D293" s="1313"/>
      <c r="E293" s="1313"/>
      <c r="F293" s="1327"/>
      <c r="G293" s="1313"/>
      <c r="H293" s="1313"/>
      <c r="I293" s="1313"/>
      <c r="J293" s="1253"/>
      <c r="K293" s="1254"/>
      <c r="L293" s="1314" t="n">
        <v>0</v>
      </c>
      <c r="M293" s="1314" t="n">
        <v>0</v>
      </c>
      <c r="N293" s="1314" t="n">
        <v>0</v>
      </c>
      <c r="O293" s="1252"/>
      <c r="P293" s="1314" t="n">
        <v>0</v>
      </c>
      <c r="Q293" s="1314" t="n">
        <v>0</v>
      </c>
      <c r="R293" s="1314" t="n">
        <v>0</v>
      </c>
      <c r="S293" s="1252"/>
      <c r="T293" s="1252"/>
      <c r="U293" s="1252"/>
      <c r="V293" s="1252"/>
      <c r="W293" s="1252"/>
      <c r="X293" s="1314" t="n">
        <v>0</v>
      </c>
      <c r="Y293" s="1314" t="n">
        <v>0</v>
      </c>
      <c r="Z293" s="1314" t="n">
        <v>0</v>
      </c>
      <c r="AA293" s="1252" t="n">
        <v>0</v>
      </c>
      <c r="AB293" s="1314" t="n">
        <v>0</v>
      </c>
      <c r="AC293" s="1314" t="n">
        <v>0</v>
      </c>
      <c r="AD293" s="1314" t="n">
        <v>0</v>
      </c>
      <c r="AE293" s="1252"/>
      <c r="AF293" s="1314" t="n">
        <v>0</v>
      </c>
      <c r="AG293" s="1314" t="n">
        <v>0</v>
      </c>
      <c r="AH293" s="1314" t="n">
        <v>0</v>
      </c>
      <c r="AI293" s="1252"/>
      <c r="AJ293" s="1314" t="n">
        <v>0</v>
      </c>
      <c r="AK293" s="1314" t="n">
        <v>0</v>
      </c>
      <c r="AL293" s="1314" t="n">
        <v>0</v>
      </c>
      <c r="AM293" s="1252"/>
      <c r="AN293" s="1252"/>
      <c r="AO293" s="1252"/>
      <c r="AP293" s="1252"/>
      <c r="AQ293" s="0"/>
      <c r="AR293" s="0"/>
      <c r="AS293" s="0"/>
      <c r="AT293" s="0"/>
      <c r="AU293" s="0"/>
      <c r="AV293" s="0"/>
      <c r="AW293" s="1304"/>
      <c r="AX293" s="112" t="n">
        <f aca="false">AY293</f>
        <v>4.789</v>
      </c>
      <c r="AY293" s="112" t="n">
        <v>4.789</v>
      </c>
      <c r="AZ293" s="112" t="n">
        <f aca="false">AY293</f>
        <v>4.789</v>
      </c>
      <c r="BA293" s="163"/>
      <c r="BB293" s="163"/>
      <c r="BC293" s="163"/>
      <c r="BE293" s="163"/>
      <c r="BG293" s="1329"/>
      <c r="BH293" s="112"/>
      <c r="BI293" s="1330"/>
      <c r="BJ293" s="1262"/>
      <c r="BK293" s="1293" t="n">
        <v>0</v>
      </c>
      <c r="BL293" s="1294" t="n">
        <f aca="false">+AY293</f>
        <v>4.789</v>
      </c>
      <c r="BM293" s="1295" t="n">
        <f aca="false">AY293</f>
        <v>4.789</v>
      </c>
      <c r="BN293" s="163"/>
      <c r="BS293" s="1262" t="n">
        <v>0</v>
      </c>
    </row>
    <row r="294" customFormat="false" ht="12.75" hidden="false" customHeight="false" outlineLevel="0" collapsed="false">
      <c r="A294" s="1246"/>
      <c r="B294" s="1312" t="n">
        <v>44256</v>
      </c>
      <c r="C294" s="1313" t="n">
        <v>44.2407034260179</v>
      </c>
      <c r="D294" s="1313"/>
      <c r="E294" s="1313"/>
      <c r="F294" s="1327"/>
      <c r="G294" s="1313"/>
      <c r="H294" s="1313"/>
      <c r="I294" s="1313"/>
      <c r="J294" s="1253"/>
      <c r="K294" s="1254"/>
      <c r="L294" s="1252"/>
      <c r="M294" s="1252"/>
      <c r="N294" s="1252"/>
      <c r="O294" s="1252"/>
      <c r="P294" s="1252"/>
      <c r="Q294" s="1252"/>
      <c r="R294" s="1252"/>
      <c r="S294" s="1252"/>
      <c r="T294" s="1252"/>
      <c r="U294" s="1252"/>
      <c r="V294" s="1252"/>
      <c r="W294" s="1252"/>
      <c r="X294" s="1252"/>
      <c r="Y294" s="1252"/>
      <c r="Z294" s="1252"/>
      <c r="AA294" s="1252"/>
      <c r="AB294" s="1252"/>
      <c r="AC294" s="1252"/>
      <c r="AD294" s="1252"/>
      <c r="AE294" s="1252"/>
      <c r="AF294" s="1252"/>
      <c r="AG294" s="1252"/>
      <c r="AH294" s="1252"/>
      <c r="AI294" s="1252"/>
      <c r="AJ294" s="1252"/>
      <c r="AK294" s="1252"/>
      <c r="AL294" s="1252"/>
      <c r="AM294" s="1252"/>
      <c r="AN294" s="1252"/>
      <c r="AO294" s="1252"/>
      <c r="AP294" s="1252"/>
      <c r="AQ294" s="0"/>
      <c r="AR294" s="0"/>
      <c r="AS294" s="0"/>
      <c r="AT294" s="0"/>
      <c r="AU294" s="0"/>
      <c r="AV294" s="0"/>
      <c r="AW294" s="1304"/>
      <c r="AX294" s="112" t="n">
        <f aca="false">AY294</f>
        <v>5.045</v>
      </c>
      <c r="AY294" s="112" t="n">
        <v>5.045</v>
      </c>
      <c r="AZ294" s="112" t="n">
        <f aca="false">AY294</f>
        <v>5.045</v>
      </c>
      <c r="BA294" s="163"/>
      <c r="BB294" s="163"/>
      <c r="BC294" s="163"/>
      <c r="BE294" s="163"/>
      <c r="BG294" s="1329"/>
      <c r="BH294" s="112"/>
      <c r="BI294" s="1330"/>
      <c r="BJ294" s="1262"/>
      <c r="BK294" s="1293" t="n">
        <v>0</v>
      </c>
      <c r="BL294" s="1294" t="n">
        <f aca="false">+AY294</f>
        <v>5.045</v>
      </c>
      <c r="BM294" s="1295" t="n">
        <f aca="false">AY294</f>
        <v>5.045</v>
      </c>
      <c r="BN294" s="163"/>
      <c r="BS294" s="1262" t="n">
        <v>0</v>
      </c>
    </row>
    <row r="295" customFormat="false" ht="12.75" hidden="false" customHeight="false" outlineLevel="0" collapsed="false">
      <c r="A295" s="1246"/>
      <c r="B295" s="1312" t="n">
        <v>44287</v>
      </c>
      <c r="C295" s="1313" t="n">
        <v>43.5616140089928</v>
      </c>
      <c r="D295" s="1313"/>
      <c r="E295" s="1313"/>
      <c r="F295" s="1327"/>
      <c r="G295" s="1313"/>
      <c r="H295" s="1313"/>
      <c r="I295" s="1313"/>
      <c r="J295" s="1253"/>
      <c r="K295" s="1254"/>
      <c r="L295" s="1252"/>
      <c r="M295" s="1252"/>
      <c r="N295" s="1252"/>
      <c r="O295" s="1252"/>
      <c r="P295" s="1252"/>
      <c r="Q295" s="1252"/>
      <c r="R295" s="1252"/>
      <c r="S295" s="1252"/>
      <c r="T295" s="1252"/>
      <c r="U295" s="1252"/>
      <c r="V295" s="1252"/>
      <c r="W295" s="1252"/>
      <c r="X295" s="1252"/>
      <c r="Y295" s="1252"/>
      <c r="Z295" s="1252"/>
      <c r="AA295" s="1252"/>
      <c r="AB295" s="1252"/>
      <c r="AC295" s="1252"/>
      <c r="AD295" s="1252"/>
      <c r="AE295" s="1252"/>
      <c r="AF295" s="1252"/>
      <c r="AG295" s="1252"/>
      <c r="AH295" s="1252"/>
      <c r="AI295" s="1252"/>
      <c r="AJ295" s="1252"/>
      <c r="AK295" s="1252"/>
      <c r="AL295" s="1252"/>
      <c r="AM295" s="1252"/>
      <c r="AN295" s="1252"/>
      <c r="AO295" s="1252"/>
      <c r="AP295" s="1252"/>
      <c r="AQ295" s="0"/>
      <c r="AR295" s="0"/>
      <c r="AS295" s="0"/>
      <c r="AT295" s="0"/>
      <c r="AU295" s="0"/>
      <c r="AV295" s="0"/>
      <c r="AW295" s="1304"/>
      <c r="AX295" s="112" t="n">
        <f aca="false">AY295</f>
        <v>5.002</v>
      </c>
      <c r="AY295" s="112" t="n">
        <v>5.002</v>
      </c>
      <c r="AZ295" s="112" t="n">
        <f aca="false">AY295</f>
        <v>5.002</v>
      </c>
      <c r="BA295" s="163"/>
      <c r="BB295" s="163"/>
      <c r="BC295" s="163"/>
      <c r="BE295" s="163"/>
      <c r="BG295" s="1329"/>
      <c r="BH295" s="112"/>
      <c r="BI295" s="1330"/>
      <c r="BJ295" s="1262"/>
      <c r="BK295" s="1293" t="n">
        <v>0</v>
      </c>
      <c r="BL295" s="1294" t="n">
        <f aca="false">+AY295</f>
        <v>5.002</v>
      </c>
      <c r="BM295" s="1295" t="n">
        <f aca="false">AY295</f>
        <v>5.002</v>
      </c>
      <c r="BN295" s="163"/>
      <c r="BS295" s="1262" t="n">
        <v>0</v>
      </c>
    </row>
    <row r="296" customFormat="false" ht="12.75" hidden="false" customHeight="false" outlineLevel="0" collapsed="false">
      <c r="A296" s="1246"/>
      <c r="B296" s="1312" t="n">
        <v>44317</v>
      </c>
      <c r="C296" s="1313" t="n">
        <v>48.8792008169008</v>
      </c>
      <c r="D296" s="1313"/>
      <c r="E296" s="1313"/>
      <c r="F296" s="1327"/>
      <c r="G296" s="1313"/>
      <c r="H296" s="1313"/>
      <c r="I296" s="1313"/>
      <c r="J296" s="1253"/>
      <c r="K296" s="1254"/>
      <c r="L296" s="1252"/>
      <c r="M296" s="1252"/>
      <c r="N296" s="1252"/>
      <c r="O296" s="1252"/>
      <c r="P296" s="1252"/>
      <c r="Q296" s="1252"/>
      <c r="R296" s="1252"/>
      <c r="S296" s="1252"/>
      <c r="T296" s="1252"/>
      <c r="U296" s="1252"/>
      <c r="V296" s="1252"/>
      <c r="W296" s="1252"/>
      <c r="X296" s="1252"/>
      <c r="Y296" s="1252"/>
      <c r="Z296" s="1252"/>
      <c r="AA296" s="1252"/>
      <c r="AB296" s="1252"/>
      <c r="AC296" s="1252"/>
      <c r="AD296" s="1252"/>
      <c r="AE296" s="1252"/>
      <c r="AF296" s="1252"/>
      <c r="AG296" s="1252"/>
      <c r="AH296" s="1252"/>
      <c r="AI296" s="1252"/>
      <c r="AJ296" s="1252"/>
      <c r="AK296" s="1252"/>
      <c r="AL296" s="1252"/>
      <c r="AM296" s="1252"/>
      <c r="AN296" s="1252"/>
      <c r="AO296" s="1252"/>
      <c r="AP296" s="1252"/>
      <c r="AQ296" s="0"/>
      <c r="AR296" s="0"/>
      <c r="AS296" s="0"/>
      <c r="AT296" s="0"/>
      <c r="AU296" s="0"/>
      <c r="AV296" s="0"/>
      <c r="AW296" s="1304"/>
      <c r="AX296" s="112" t="n">
        <f aca="false">AY296</f>
        <v>4.907</v>
      </c>
      <c r="AY296" s="112" t="n">
        <v>4.907</v>
      </c>
      <c r="AZ296" s="112" t="n">
        <f aca="false">AY296</f>
        <v>4.907</v>
      </c>
      <c r="BA296" s="163"/>
      <c r="BB296" s="163"/>
      <c r="BC296" s="163"/>
      <c r="BE296" s="163"/>
      <c r="BG296" s="1329"/>
      <c r="BH296" s="112"/>
      <c r="BI296" s="1330"/>
      <c r="BJ296" s="1262"/>
      <c r="BK296" s="1293" t="n">
        <v>0</v>
      </c>
      <c r="BL296" s="1294" t="n">
        <f aca="false">+AY296</f>
        <v>4.907</v>
      </c>
      <c r="BM296" s="1295" t="n">
        <f aca="false">AY296</f>
        <v>4.907</v>
      </c>
      <c r="BN296" s="163"/>
      <c r="BS296" s="1262" t="n">
        <v>0</v>
      </c>
    </row>
    <row r="297" customFormat="false" ht="12.75" hidden="false" customHeight="false" outlineLevel="0" collapsed="false">
      <c r="A297" s="1246"/>
      <c r="B297" s="1312" t="n">
        <v>44348</v>
      </c>
      <c r="C297" s="1313" t="n">
        <v>50.7379103805613</v>
      </c>
      <c r="D297" s="1313"/>
      <c r="E297" s="1313"/>
      <c r="F297" s="1327"/>
      <c r="G297" s="1313"/>
      <c r="H297" s="1313"/>
      <c r="I297" s="1313"/>
      <c r="J297" s="1253"/>
      <c r="K297" s="1254"/>
      <c r="L297" s="1252"/>
      <c r="M297" s="1252"/>
      <c r="N297" s="1252"/>
      <c r="O297" s="1252"/>
      <c r="P297" s="1252"/>
      <c r="Q297" s="1252"/>
      <c r="R297" s="1252"/>
      <c r="S297" s="1252"/>
      <c r="T297" s="1252"/>
      <c r="U297" s="1252"/>
      <c r="V297" s="1252"/>
      <c r="W297" s="1252"/>
      <c r="X297" s="1252"/>
      <c r="Y297" s="1252"/>
      <c r="Z297" s="1252"/>
      <c r="AA297" s="1252"/>
      <c r="AB297" s="1252"/>
      <c r="AC297" s="1252"/>
      <c r="AD297" s="1252"/>
      <c r="AE297" s="1252"/>
      <c r="AF297" s="1252"/>
      <c r="AG297" s="1252"/>
      <c r="AH297" s="1252"/>
      <c r="AI297" s="1252"/>
      <c r="AJ297" s="1252"/>
      <c r="AK297" s="1252"/>
      <c r="AL297" s="1252"/>
      <c r="AM297" s="1252"/>
      <c r="AN297" s="1252"/>
      <c r="AO297" s="1252"/>
      <c r="AP297" s="1252"/>
      <c r="AQ297" s="0"/>
      <c r="AR297" s="0"/>
      <c r="AS297" s="0"/>
      <c r="AT297" s="0"/>
      <c r="AU297" s="0"/>
      <c r="AV297" s="0"/>
      <c r="AW297" s="1304"/>
      <c r="AX297" s="112" t="n">
        <f aca="false">AY297</f>
        <v>4.815</v>
      </c>
      <c r="AY297" s="112" t="n">
        <v>4.815</v>
      </c>
      <c r="AZ297" s="112" t="n">
        <f aca="false">AY297</f>
        <v>4.815</v>
      </c>
      <c r="BA297" s="163"/>
      <c r="BB297" s="163"/>
      <c r="BC297" s="163"/>
      <c r="BE297" s="163"/>
      <c r="BG297" s="1329"/>
      <c r="BH297" s="112"/>
      <c r="BI297" s="1330"/>
      <c r="BJ297" s="1262"/>
      <c r="BK297" s="1293" t="n">
        <v>0</v>
      </c>
      <c r="BL297" s="1294" t="n">
        <f aca="false">+AY297</f>
        <v>4.815</v>
      </c>
      <c r="BM297" s="1295" t="n">
        <f aca="false">AY297</f>
        <v>4.815</v>
      </c>
      <c r="BN297" s="163"/>
      <c r="BS297" s="1262" t="n">
        <v>0</v>
      </c>
    </row>
    <row r="298" customFormat="false" ht="12.75" hidden="false" customHeight="false" outlineLevel="0" collapsed="false">
      <c r="A298" s="1246"/>
      <c r="B298" s="1312" t="n">
        <v>44378</v>
      </c>
      <c r="C298" s="1313" t="n">
        <v>66.6721832425028</v>
      </c>
      <c r="D298" s="1313"/>
      <c r="E298" s="1313"/>
      <c r="F298" s="1327"/>
      <c r="G298" s="1313"/>
      <c r="H298" s="1313"/>
      <c r="I298" s="1313"/>
      <c r="J298" s="1253"/>
      <c r="K298" s="1254"/>
      <c r="L298" s="1252"/>
      <c r="M298" s="1252"/>
      <c r="N298" s="1252"/>
      <c r="O298" s="1252"/>
      <c r="P298" s="1252"/>
      <c r="Q298" s="1252"/>
      <c r="R298" s="1252"/>
      <c r="S298" s="1252"/>
      <c r="T298" s="1252"/>
      <c r="U298" s="1252"/>
      <c r="V298" s="1252"/>
      <c r="W298" s="1252"/>
      <c r="X298" s="1252"/>
      <c r="Y298" s="1252"/>
      <c r="Z298" s="1252"/>
      <c r="AA298" s="1252"/>
      <c r="AB298" s="1252"/>
      <c r="AC298" s="1252"/>
      <c r="AD298" s="1252"/>
      <c r="AE298" s="1252"/>
      <c r="AF298" s="1252"/>
      <c r="AG298" s="1252"/>
      <c r="AH298" s="1252"/>
      <c r="AI298" s="1252"/>
      <c r="AJ298" s="1252"/>
      <c r="AK298" s="1252"/>
      <c r="AL298" s="1252"/>
      <c r="AM298" s="1252"/>
      <c r="AN298" s="1252"/>
      <c r="AO298" s="1252"/>
      <c r="AP298" s="1252"/>
      <c r="AQ298" s="0"/>
      <c r="AR298" s="0"/>
      <c r="AS298" s="0"/>
      <c r="AT298" s="0"/>
      <c r="AU298" s="0"/>
      <c r="AV298" s="0"/>
      <c r="AW298" s="1304"/>
      <c r="AX298" s="112" t="n">
        <f aca="false">AY298</f>
        <v>4.808</v>
      </c>
      <c r="AY298" s="112" t="n">
        <v>4.808</v>
      </c>
      <c r="AZ298" s="112" t="n">
        <f aca="false">AY298</f>
        <v>4.808</v>
      </c>
      <c r="BA298" s="163"/>
      <c r="BB298" s="163"/>
      <c r="BC298" s="163"/>
      <c r="BE298" s="163"/>
      <c r="BG298" s="1329"/>
      <c r="BH298" s="112"/>
      <c r="BI298" s="1330"/>
      <c r="BJ298" s="1262"/>
      <c r="BK298" s="1293" t="n">
        <v>0</v>
      </c>
      <c r="BL298" s="1294" t="n">
        <f aca="false">+AY298</f>
        <v>4.808</v>
      </c>
      <c r="BM298" s="1295" t="n">
        <f aca="false">AY298</f>
        <v>4.808</v>
      </c>
      <c r="BN298" s="163"/>
      <c r="BS298" s="1262" t="n">
        <v>0</v>
      </c>
    </row>
    <row r="299" customFormat="false" ht="12.75" hidden="false" customHeight="false" outlineLevel="0" collapsed="false">
      <c r="A299" s="1246"/>
      <c r="B299" s="1312" t="n">
        <v>44409</v>
      </c>
      <c r="C299" s="1313" t="n">
        <v>80.2998677059322</v>
      </c>
      <c r="D299" s="1313"/>
      <c r="E299" s="1313"/>
      <c r="F299" s="1327"/>
      <c r="G299" s="1313"/>
      <c r="H299" s="1313"/>
      <c r="I299" s="1313"/>
      <c r="J299" s="1253"/>
      <c r="K299" s="1254"/>
      <c r="L299" s="1252"/>
      <c r="M299" s="1252"/>
      <c r="N299" s="1252"/>
      <c r="O299" s="1252"/>
      <c r="P299" s="1252"/>
      <c r="Q299" s="1252"/>
      <c r="R299" s="1252"/>
      <c r="S299" s="1252"/>
      <c r="T299" s="1252"/>
      <c r="U299" s="1252"/>
      <c r="V299" s="1252"/>
      <c r="W299" s="1252"/>
      <c r="X299" s="1252"/>
      <c r="Y299" s="1252"/>
      <c r="Z299" s="1252"/>
      <c r="AA299" s="1252"/>
      <c r="AB299" s="1252"/>
      <c r="AC299" s="1252"/>
      <c r="AD299" s="1252"/>
      <c r="AE299" s="1252"/>
      <c r="AF299" s="1252"/>
      <c r="AG299" s="1252"/>
      <c r="AH299" s="1252"/>
      <c r="AI299" s="1252"/>
      <c r="AJ299" s="1252"/>
      <c r="AK299" s="1252"/>
      <c r="AL299" s="1252"/>
      <c r="AM299" s="1252"/>
      <c r="AN299" s="1252"/>
      <c r="AO299" s="1252"/>
      <c r="AP299" s="1252"/>
      <c r="AQ299" s="0"/>
      <c r="AR299" s="0"/>
      <c r="AS299" s="0"/>
      <c r="AT299" s="0"/>
      <c r="AU299" s="0"/>
      <c r="AV299" s="0"/>
      <c r="AW299" s="1304"/>
      <c r="AX299" s="112"/>
      <c r="AY299" s="112" t="n">
        <v>0</v>
      </c>
      <c r="AZ299" s="112"/>
      <c r="BA299" s="163"/>
      <c r="BB299" s="163"/>
      <c r="BC299" s="163"/>
      <c r="BE299" s="163"/>
      <c r="BG299" s="1329"/>
      <c r="BH299" s="112"/>
      <c r="BI299" s="1330"/>
      <c r="BJ299" s="1262"/>
      <c r="BK299" s="1293" t="n">
        <v>0</v>
      </c>
      <c r="BL299" s="1294" t="n">
        <f aca="false">+AY299</f>
        <v>0</v>
      </c>
      <c r="BM299" s="163"/>
      <c r="BN299" s="163"/>
      <c r="BS299" s="1262" t="n">
        <v>0</v>
      </c>
    </row>
    <row r="300" customFormat="false" ht="12.75" hidden="false" customHeight="false" outlineLevel="0" collapsed="false">
      <c r="A300" s="1246"/>
      <c r="B300" s="1312" t="n">
        <v>44440</v>
      </c>
      <c r="C300" s="1313" t="n">
        <v>70.6898082751364</v>
      </c>
      <c r="D300" s="1313"/>
      <c r="E300" s="1313"/>
      <c r="F300" s="1327"/>
      <c r="G300" s="1313"/>
      <c r="H300" s="1313"/>
      <c r="I300" s="1313"/>
      <c r="J300" s="1253"/>
      <c r="K300" s="1254"/>
      <c r="L300" s="1252"/>
      <c r="M300" s="1252"/>
      <c r="N300" s="1252"/>
      <c r="O300" s="1252"/>
      <c r="P300" s="1252"/>
      <c r="Q300" s="1252"/>
      <c r="R300" s="1252"/>
      <c r="S300" s="1252"/>
      <c r="T300" s="1252"/>
      <c r="U300" s="1252"/>
      <c r="V300" s="1252"/>
      <c r="W300" s="1252"/>
      <c r="X300" s="1252"/>
      <c r="Y300" s="1252"/>
      <c r="Z300" s="1252"/>
      <c r="AA300" s="1252"/>
      <c r="AB300" s="1252"/>
      <c r="AC300" s="1252"/>
      <c r="AD300" s="1252"/>
      <c r="AE300" s="1252"/>
      <c r="AF300" s="1252"/>
      <c r="AG300" s="1252"/>
      <c r="AH300" s="1252"/>
      <c r="AI300" s="1252"/>
      <c r="AJ300" s="1252"/>
      <c r="AK300" s="1252"/>
      <c r="AL300" s="1252"/>
      <c r="AM300" s="1252"/>
      <c r="AN300" s="1252"/>
      <c r="AO300" s="1252"/>
      <c r="AP300" s="1252"/>
      <c r="AQ300" s="0"/>
      <c r="AR300" s="0"/>
      <c r="AS300" s="0"/>
      <c r="AT300" s="0"/>
      <c r="AU300" s="0"/>
      <c r="AV300" s="0"/>
      <c r="AW300" s="1304"/>
      <c r="AX300" s="112"/>
      <c r="AY300" s="112"/>
      <c r="AZ300" s="112"/>
      <c r="BA300" s="163"/>
      <c r="BB300" s="163"/>
      <c r="BC300" s="163"/>
      <c r="BE300" s="163"/>
      <c r="BG300" s="1329"/>
      <c r="BH300" s="112"/>
      <c r="BI300" s="1330"/>
      <c r="BJ300" s="1262"/>
      <c r="BK300" s="1293" t="n">
        <v>0</v>
      </c>
      <c r="BL300" s="163"/>
      <c r="BM300" s="163"/>
      <c r="BN300" s="163"/>
      <c r="BS300" s="1262" t="n">
        <v>0</v>
      </c>
    </row>
    <row r="301" customFormat="false" ht="12.75" hidden="false" customHeight="false" outlineLevel="0" collapsed="false">
      <c r="A301" s="1246"/>
      <c r="B301" s="1312" t="n">
        <v>44470</v>
      </c>
      <c r="C301" s="1313" t="n">
        <v>59.5396894950102</v>
      </c>
      <c r="D301" s="1313"/>
      <c r="E301" s="1313"/>
      <c r="F301" s="1327"/>
      <c r="G301" s="1313"/>
      <c r="H301" s="1313"/>
      <c r="I301" s="1313"/>
      <c r="J301" s="1253"/>
      <c r="K301" s="1254"/>
      <c r="L301" s="1252"/>
      <c r="M301" s="1252"/>
      <c r="N301" s="1252"/>
      <c r="O301" s="1252"/>
      <c r="P301" s="1252"/>
      <c r="Q301" s="1252"/>
      <c r="R301" s="1252"/>
      <c r="S301" s="1252"/>
      <c r="T301" s="1252"/>
      <c r="U301" s="1252"/>
      <c r="V301" s="1252"/>
      <c r="W301" s="1252"/>
      <c r="X301" s="1252"/>
      <c r="Y301" s="1252"/>
      <c r="Z301" s="1252"/>
      <c r="AA301" s="1252"/>
      <c r="AB301" s="1252"/>
      <c r="AC301" s="1252"/>
      <c r="AD301" s="1252"/>
      <c r="AE301" s="1252"/>
      <c r="AF301" s="1252"/>
      <c r="AG301" s="1252"/>
      <c r="AH301" s="1252"/>
      <c r="AI301" s="1252"/>
      <c r="AJ301" s="1252"/>
      <c r="AK301" s="1252"/>
      <c r="AL301" s="1252"/>
      <c r="AM301" s="1252"/>
      <c r="AN301" s="1252"/>
      <c r="AO301" s="1252"/>
      <c r="AP301" s="1252"/>
      <c r="AQ301" s="0"/>
      <c r="AR301" s="0"/>
      <c r="AS301" s="0"/>
      <c r="AT301" s="0"/>
      <c r="AU301" s="0"/>
      <c r="AV301" s="0"/>
      <c r="AW301" s="1304"/>
      <c r="AX301" s="112"/>
      <c r="AY301" s="112"/>
      <c r="AZ301" s="112"/>
      <c r="BA301" s="163"/>
      <c r="BB301" s="163"/>
      <c r="BC301" s="163"/>
      <c r="BE301" s="163"/>
      <c r="BG301" s="1329"/>
      <c r="BH301" s="112"/>
      <c r="BI301" s="1330"/>
      <c r="BJ301" s="1262"/>
      <c r="BK301" s="1293" t="n">
        <v>0</v>
      </c>
      <c r="BL301" s="163"/>
      <c r="BM301" s="163"/>
      <c r="BN301" s="163"/>
      <c r="BS301" s="1262" t="n">
        <v>0</v>
      </c>
    </row>
    <row r="302" customFormat="false" ht="12.75" hidden="false" customHeight="false" outlineLevel="0" collapsed="false">
      <c r="A302" s="1246"/>
      <c r="B302" s="1312" t="n">
        <v>44501</v>
      </c>
      <c r="C302" s="1313" t="n">
        <v>62.1313824809842</v>
      </c>
      <c r="D302" s="1313"/>
      <c r="E302" s="1313"/>
      <c r="F302" s="1327"/>
      <c r="G302" s="1313"/>
      <c r="H302" s="1313"/>
      <c r="I302" s="1313"/>
      <c r="J302" s="1253"/>
      <c r="K302" s="1254"/>
      <c r="L302" s="1252"/>
      <c r="M302" s="1252"/>
      <c r="N302" s="1252"/>
      <c r="O302" s="1252"/>
      <c r="P302" s="1252"/>
      <c r="Q302" s="1252"/>
      <c r="R302" s="1252"/>
      <c r="S302" s="1252"/>
      <c r="T302" s="1252"/>
      <c r="U302" s="1252"/>
      <c r="V302" s="1252"/>
      <c r="W302" s="1252"/>
      <c r="X302" s="1252"/>
      <c r="Y302" s="1252"/>
      <c r="Z302" s="1252"/>
      <c r="AA302" s="1252"/>
      <c r="AB302" s="1252"/>
      <c r="AC302" s="1252"/>
      <c r="AD302" s="1252"/>
      <c r="AE302" s="1252"/>
      <c r="AF302" s="1252"/>
      <c r="AG302" s="1252"/>
      <c r="AH302" s="1252"/>
      <c r="AI302" s="1252"/>
      <c r="AJ302" s="1252"/>
      <c r="AK302" s="1252"/>
      <c r="AL302" s="1252"/>
      <c r="AM302" s="1252"/>
      <c r="AN302" s="1252"/>
      <c r="AO302" s="1252"/>
      <c r="AP302" s="1252"/>
      <c r="AQ302" s="0"/>
      <c r="AR302" s="0"/>
      <c r="AS302" s="0"/>
      <c r="AT302" s="0"/>
      <c r="AU302" s="0"/>
      <c r="AV302" s="0"/>
      <c r="AW302" s="1304"/>
      <c r="AX302" s="112"/>
      <c r="AY302" s="112"/>
      <c r="AZ302" s="112"/>
      <c r="BA302" s="163"/>
      <c r="BB302" s="163"/>
      <c r="BC302" s="163"/>
      <c r="BE302" s="163"/>
      <c r="BG302" s="1329"/>
      <c r="BH302" s="112"/>
      <c r="BI302" s="1330"/>
      <c r="BJ302" s="1262"/>
      <c r="BK302" s="1293" t="n">
        <v>0</v>
      </c>
      <c r="BL302" s="163"/>
      <c r="BM302" s="163"/>
      <c r="BN302" s="163"/>
      <c r="BS302" s="1262" t="n">
        <v>0</v>
      </c>
    </row>
    <row r="303" customFormat="false" ht="12.75" hidden="false" customHeight="false" outlineLevel="0" collapsed="false">
      <c r="A303" s="1246"/>
      <c r="B303" s="1312" t="n">
        <v>44531</v>
      </c>
      <c r="C303" s="1313" t="n">
        <v>64.9565058290449</v>
      </c>
      <c r="D303" s="1313"/>
      <c r="E303" s="1313"/>
      <c r="F303" s="1327"/>
      <c r="G303" s="1313"/>
      <c r="H303" s="1313"/>
      <c r="I303" s="1313"/>
      <c r="J303" s="1253"/>
      <c r="K303" s="1254"/>
      <c r="L303" s="1252"/>
      <c r="M303" s="1252"/>
      <c r="N303" s="1252"/>
      <c r="O303" s="1252"/>
      <c r="P303" s="1252"/>
      <c r="Q303" s="1252"/>
      <c r="R303" s="1252"/>
      <c r="S303" s="1252"/>
      <c r="T303" s="1252"/>
      <c r="U303" s="1252"/>
      <c r="V303" s="1252"/>
      <c r="W303" s="1252"/>
      <c r="X303" s="1252"/>
      <c r="Y303" s="1252"/>
      <c r="Z303" s="1252"/>
      <c r="AA303" s="1252"/>
      <c r="AB303" s="1252"/>
      <c r="AC303" s="1252"/>
      <c r="AD303" s="1252"/>
      <c r="AE303" s="1252"/>
      <c r="AF303" s="1252"/>
      <c r="AG303" s="1252"/>
      <c r="AH303" s="1252"/>
      <c r="AI303" s="1252"/>
      <c r="AJ303" s="1252"/>
      <c r="AK303" s="1252"/>
      <c r="AL303" s="1252"/>
      <c r="AM303" s="1252"/>
      <c r="AN303" s="1252"/>
      <c r="AO303" s="1252"/>
      <c r="AP303" s="1252"/>
      <c r="AQ303" s="0"/>
      <c r="AR303" s="0"/>
      <c r="AS303" s="0"/>
      <c r="AT303" s="0"/>
      <c r="AU303" s="0"/>
      <c r="AV303" s="0"/>
      <c r="AW303" s="1304"/>
      <c r="AX303" s="112"/>
      <c r="AY303" s="112"/>
      <c r="AZ303" s="112"/>
      <c r="BA303" s="163"/>
      <c r="BB303" s="163"/>
      <c r="BC303" s="163"/>
      <c r="BE303" s="163"/>
      <c r="BG303" s="1329"/>
      <c r="BH303" s="112"/>
      <c r="BI303" s="1330"/>
      <c r="BJ303" s="1262"/>
      <c r="BK303" s="1293" t="n">
        <v>0</v>
      </c>
      <c r="BL303" s="163"/>
      <c r="BM303" s="163"/>
      <c r="BN303" s="163"/>
      <c r="BS303" s="1262" t="n">
        <v>0</v>
      </c>
    </row>
    <row r="304" customFormat="false" ht="12.75" hidden="false" customHeight="false" outlineLevel="0" collapsed="false">
      <c r="A304" s="1246"/>
      <c r="B304" s="1312" t="n">
        <v>44562</v>
      </c>
      <c r="C304" s="1313" t="n">
        <v>22.18</v>
      </c>
      <c r="D304" s="1313"/>
      <c r="E304" s="1313"/>
      <c r="F304" s="1327"/>
      <c r="G304" s="1313"/>
      <c r="H304" s="1313"/>
      <c r="I304" s="1313"/>
      <c r="J304" s="1253"/>
      <c r="K304" s="1254"/>
      <c r="L304" s="1252"/>
      <c r="M304" s="1252"/>
      <c r="N304" s="1252"/>
      <c r="O304" s="1252"/>
      <c r="P304" s="1252"/>
      <c r="Q304" s="1252"/>
      <c r="R304" s="1252"/>
      <c r="S304" s="1252"/>
      <c r="T304" s="1252"/>
      <c r="U304" s="1252"/>
      <c r="V304" s="1252"/>
      <c r="W304" s="1252"/>
      <c r="X304" s="1252"/>
      <c r="Y304" s="1252"/>
      <c r="Z304" s="1252"/>
      <c r="AA304" s="1252"/>
      <c r="AB304" s="1252"/>
      <c r="AC304" s="1252"/>
      <c r="AD304" s="1252"/>
      <c r="AE304" s="1252"/>
      <c r="AF304" s="1252"/>
      <c r="AG304" s="1252"/>
      <c r="AH304" s="1252"/>
      <c r="AI304" s="1252"/>
      <c r="AJ304" s="1252"/>
      <c r="AK304" s="1252"/>
      <c r="AL304" s="1252"/>
      <c r="AM304" s="1252"/>
      <c r="AN304" s="1252"/>
      <c r="AO304" s="1252"/>
      <c r="AP304" s="1252"/>
      <c r="AQ304" s="0"/>
      <c r="AR304" s="0"/>
      <c r="AS304" s="0"/>
      <c r="AT304" s="0"/>
      <c r="AU304" s="0"/>
      <c r="AV304" s="807"/>
      <c r="AW304" s="1304"/>
      <c r="AX304" s="112"/>
      <c r="AY304" s="112"/>
      <c r="AZ304" s="112"/>
      <c r="BA304" s="163"/>
      <c r="BB304" s="163"/>
      <c r="BC304" s="163"/>
      <c r="BE304" s="163"/>
      <c r="BG304" s="1329"/>
      <c r="BH304" s="112"/>
      <c r="BI304" s="1330"/>
      <c r="BJ304" s="1262"/>
      <c r="BK304" s="1293" t="n">
        <v>0</v>
      </c>
      <c r="BL304" s="163"/>
      <c r="BM304" s="163"/>
      <c r="BN304" s="163"/>
      <c r="BS304" s="1262" t="n">
        <v>0</v>
      </c>
    </row>
    <row r="305" customFormat="false" ht="12.75" hidden="false" customHeight="false" outlineLevel="0" collapsed="false">
      <c r="A305" s="1246"/>
      <c r="B305" s="1312" t="n">
        <v>44593</v>
      </c>
      <c r="C305" s="1313" t="n">
        <v>24.04</v>
      </c>
      <c r="D305" s="1313"/>
      <c r="E305" s="1313"/>
      <c r="F305" s="1327"/>
      <c r="G305" s="1313"/>
      <c r="H305" s="1313"/>
      <c r="I305" s="1313"/>
      <c r="J305" s="1253"/>
      <c r="K305" s="1254"/>
      <c r="L305" s="1252"/>
      <c r="M305" s="1252"/>
      <c r="N305" s="1252"/>
      <c r="O305" s="1252"/>
      <c r="P305" s="1252"/>
      <c r="Q305" s="1252"/>
      <c r="R305" s="1252"/>
      <c r="S305" s="1252"/>
      <c r="T305" s="1252"/>
      <c r="U305" s="1252"/>
      <c r="V305" s="1252"/>
      <c r="W305" s="1252"/>
      <c r="X305" s="1252"/>
      <c r="Y305" s="1252"/>
      <c r="Z305" s="1252"/>
      <c r="AA305" s="1252"/>
      <c r="AB305" s="1252"/>
      <c r="AC305" s="1252"/>
      <c r="AD305" s="1252"/>
      <c r="AE305" s="1252"/>
      <c r="AF305" s="1252"/>
      <c r="AG305" s="1252"/>
      <c r="AH305" s="1252"/>
      <c r="AI305" s="1252"/>
      <c r="AJ305" s="1252"/>
      <c r="AK305" s="1252"/>
      <c r="AL305" s="1252"/>
      <c r="AM305" s="1252"/>
      <c r="AN305" s="1252"/>
      <c r="AO305" s="1252"/>
      <c r="AP305" s="1252"/>
      <c r="AQ305" s="0"/>
      <c r="AR305" s="0"/>
      <c r="AS305" s="0"/>
      <c r="AT305" s="0"/>
      <c r="AU305" s="0"/>
      <c r="AV305" s="807"/>
      <c r="AW305" s="1304"/>
      <c r="AX305" s="112"/>
      <c r="AY305" s="112"/>
      <c r="AZ305" s="112"/>
      <c r="BA305" s="163"/>
      <c r="BB305" s="163"/>
      <c r="BC305" s="163"/>
      <c r="BE305" s="163"/>
      <c r="BG305" s="1329"/>
      <c r="BH305" s="112"/>
      <c r="BI305" s="1330"/>
      <c r="BJ305" s="1262"/>
      <c r="BK305" s="1293" t="n">
        <v>0</v>
      </c>
      <c r="BL305" s="163"/>
      <c r="BM305" s="163"/>
      <c r="BN305" s="163"/>
      <c r="BS305" s="1262" t="n">
        <v>0</v>
      </c>
    </row>
    <row r="306" customFormat="false" ht="12.75" hidden="false" customHeight="false" outlineLevel="0" collapsed="false">
      <c r="A306" s="1246"/>
      <c r="B306" s="1312" t="n">
        <v>44621</v>
      </c>
      <c r="C306" s="1313" t="n">
        <v>24.41</v>
      </c>
      <c r="D306" s="1313"/>
      <c r="E306" s="1313"/>
      <c r="F306" s="1327"/>
      <c r="G306" s="1313"/>
      <c r="H306" s="1313"/>
      <c r="I306" s="1313"/>
      <c r="J306" s="1253"/>
      <c r="K306" s="1254"/>
      <c r="L306" s="1252"/>
      <c r="M306" s="1252"/>
      <c r="N306" s="1252"/>
      <c r="O306" s="1252"/>
      <c r="P306" s="1252"/>
      <c r="Q306" s="1252"/>
      <c r="R306" s="1252"/>
      <c r="S306" s="1252"/>
      <c r="T306" s="1252"/>
      <c r="U306" s="1252"/>
      <c r="V306" s="1252"/>
      <c r="W306" s="1252"/>
      <c r="X306" s="1252"/>
      <c r="Y306" s="1252"/>
      <c r="Z306" s="1252"/>
      <c r="AA306" s="1252"/>
      <c r="AB306" s="1252"/>
      <c r="AC306" s="1252"/>
      <c r="AD306" s="1252"/>
      <c r="AE306" s="1252"/>
      <c r="AF306" s="1252"/>
      <c r="AG306" s="1252"/>
      <c r="AH306" s="1252"/>
      <c r="AI306" s="1252"/>
      <c r="AJ306" s="1252"/>
      <c r="AK306" s="1252"/>
      <c r="AL306" s="1252"/>
      <c r="AM306" s="1252"/>
      <c r="AN306" s="1252"/>
      <c r="AO306" s="1252"/>
      <c r="AP306" s="1252"/>
      <c r="AQ306" s="0"/>
      <c r="AR306" s="0"/>
      <c r="AS306" s="0"/>
      <c r="AT306" s="0"/>
      <c r="AU306" s="0"/>
      <c r="AV306" s="807"/>
      <c r="AW306" s="1304"/>
      <c r="AX306" s="112"/>
      <c r="AY306" s="112"/>
      <c r="AZ306" s="112"/>
      <c r="BA306" s="163"/>
      <c r="BB306" s="163"/>
      <c r="BC306" s="163"/>
      <c r="BE306" s="163"/>
      <c r="BG306" s="1329"/>
      <c r="BH306" s="112"/>
      <c r="BI306" s="1330"/>
      <c r="BJ306" s="1262"/>
      <c r="BK306" s="1293" t="n">
        <v>0</v>
      </c>
      <c r="BL306" s="163"/>
      <c r="BM306" s="163"/>
      <c r="BN306" s="163"/>
      <c r="BS306" s="1262" t="n">
        <v>0</v>
      </c>
    </row>
    <row r="307" customFormat="false" ht="12.75" hidden="false" customHeight="false" outlineLevel="0" collapsed="false">
      <c r="A307" s="1246"/>
      <c r="B307" s="1312" t="n">
        <v>44652</v>
      </c>
      <c r="C307" s="1313" t="n">
        <v>21.91</v>
      </c>
      <c r="D307" s="1313"/>
      <c r="E307" s="1313"/>
      <c r="F307" s="1327"/>
      <c r="G307" s="1313"/>
      <c r="H307" s="1313"/>
      <c r="I307" s="1313"/>
      <c r="J307" s="1253"/>
      <c r="K307" s="1254"/>
      <c r="L307" s="1252"/>
      <c r="M307" s="1252"/>
      <c r="N307" s="1252"/>
      <c r="O307" s="1252"/>
      <c r="P307" s="1252"/>
      <c r="Q307" s="1252"/>
      <c r="R307" s="1252"/>
      <c r="S307" s="1252"/>
      <c r="T307" s="1252"/>
      <c r="U307" s="1252"/>
      <c r="V307" s="1252"/>
      <c r="W307" s="1252"/>
      <c r="X307" s="1252"/>
      <c r="Y307" s="1252"/>
      <c r="Z307" s="1252"/>
      <c r="AA307" s="1252"/>
      <c r="AB307" s="1252"/>
      <c r="AC307" s="1252"/>
      <c r="AD307" s="1252"/>
      <c r="AE307" s="1252"/>
      <c r="AF307" s="1252"/>
      <c r="AG307" s="1252"/>
      <c r="AH307" s="1252"/>
      <c r="AI307" s="1252"/>
      <c r="AJ307" s="1252"/>
      <c r="AK307" s="1252"/>
      <c r="AL307" s="1252"/>
      <c r="AM307" s="1252"/>
      <c r="AN307" s="1252"/>
      <c r="AO307" s="1252"/>
      <c r="AP307" s="1252"/>
      <c r="AQ307" s="0"/>
      <c r="AR307" s="0"/>
      <c r="AS307" s="0"/>
      <c r="AT307" s="0"/>
      <c r="AU307" s="0"/>
      <c r="AV307" s="807"/>
      <c r="AW307" s="1304"/>
      <c r="AX307" s="112"/>
      <c r="AY307" s="112"/>
      <c r="AZ307" s="112"/>
      <c r="BA307" s="163"/>
      <c r="BB307" s="163"/>
      <c r="BC307" s="163"/>
      <c r="BE307" s="163"/>
      <c r="BG307" s="1329"/>
      <c r="BH307" s="112"/>
      <c r="BI307" s="1330"/>
      <c r="BJ307" s="1262"/>
      <c r="BK307" s="1293" t="n">
        <v>0</v>
      </c>
      <c r="BL307" s="163"/>
      <c r="BM307" s="163"/>
      <c r="BN307" s="163"/>
      <c r="BS307" s="1262" t="n">
        <v>0</v>
      </c>
    </row>
    <row r="308" customFormat="false" ht="12.75" hidden="false" customHeight="false" outlineLevel="0" collapsed="false">
      <c r="A308" s="1246"/>
      <c r="B308" s="1312" t="n">
        <v>44682</v>
      </c>
      <c r="C308" s="1313" t="n">
        <v>24.22</v>
      </c>
      <c r="D308" s="1313"/>
      <c r="E308" s="1313"/>
      <c r="F308" s="1327"/>
      <c r="G308" s="1313"/>
      <c r="H308" s="1313"/>
      <c r="I308" s="1313"/>
      <c r="J308" s="1253"/>
      <c r="K308" s="1254"/>
      <c r="L308" s="1252"/>
      <c r="M308" s="1252"/>
      <c r="N308" s="1252"/>
      <c r="O308" s="1252"/>
      <c r="P308" s="1252"/>
      <c r="Q308" s="1252"/>
      <c r="R308" s="1252"/>
      <c r="S308" s="1252"/>
      <c r="T308" s="1252"/>
      <c r="U308" s="1252"/>
      <c r="V308" s="1252"/>
      <c r="W308" s="1252"/>
      <c r="X308" s="1252"/>
      <c r="Y308" s="1252"/>
      <c r="Z308" s="1252"/>
      <c r="AA308" s="1252"/>
      <c r="AB308" s="1252"/>
      <c r="AC308" s="1252"/>
      <c r="AD308" s="1252"/>
      <c r="AE308" s="1252"/>
      <c r="AF308" s="1252"/>
      <c r="AG308" s="1252"/>
      <c r="AH308" s="1252"/>
      <c r="AI308" s="1252"/>
      <c r="AJ308" s="1252"/>
      <c r="AK308" s="1252"/>
      <c r="AL308" s="1252"/>
      <c r="AM308" s="1252"/>
      <c r="AN308" s="1252"/>
      <c r="AO308" s="1252"/>
      <c r="AP308" s="1252"/>
      <c r="AQ308" s="0"/>
      <c r="AR308" s="0"/>
      <c r="AS308" s="0"/>
      <c r="AT308" s="0"/>
      <c r="AU308" s="0"/>
      <c r="AV308" s="807"/>
      <c r="AW308" s="1304"/>
      <c r="AX308" s="112"/>
      <c r="AY308" s="112"/>
      <c r="AZ308" s="112"/>
      <c r="BA308" s="163"/>
      <c r="BB308" s="163"/>
      <c r="BC308" s="163"/>
      <c r="BE308" s="163"/>
      <c r="BG308" s="1329"/>
      <c r="BH308" s="112"/>
      <c r="BI308" s="1330"/>
      <c r="BJ308" s="1262"/>
      <c r="BK308" s="1293" t="n">
        <v>0</v>
      </c>
      <c r="BL308" s="163"/>
      <c r="BM308" s="163"/>
      <c r="BN308" s="163"/>
      <c r="BS308" s="1262" t="n">
        <v>0</v>
      </c>
    </row>
    <row r="309" customFormat="false" ht="12.75" hidden="false" customHeight="false" outlineLevel="0" collapsed="false">
      <c r="A309" s="1246"/>
      <c r="B309" s="1312" t="n">
        <v>44713</v>
      </c>
      <c r="C309" s="1313" t="n">
        <v>26.47</v>
      </c>
      <c r="D309" s="1313"/>
      <c r="E309" s="1313"/>
      <c r="F309" s="1327"/>
      <c r="G309" s="1313"/>
      <c r="H309" s="1313"/>
      <c r="I309" s="1313"/>
      <c r="J309" s="1253"/>
      <c r="K309" s="1254"/>
      <c r="L309" s="1252"/>
      <c r="M309" s="1252"/>
      <c r="N309" s="1252"/>
      <c r="O309" s="1252"/>
      <c r="P309" s="1252"/>
      <c r="Q309" s="1252"/>
      <c r="R309" s="1252"/>
      <c r="S309" s="1252"/>
      <c r="T309" s="1252"/>
      <c r="U309" s="1252"/>
      <c r="V309" s="1252"/>
      <c r="W309" s="1252"/>
      <c r="X309" s="1252"/>
      <c r="Y309" s="1252"/>
      <c r="Z309" s="1252"/>
      <c r="AA309" s="1252"/>
      <c r="AB309" s="1252"/>
      <c r="AC309" s="1252"/>
      <c r="AD309" s="1252"/>
      <c r="AE309" s="1252"/>
      <c r="AF309" s="1252"/>
      <c r="AG309" s="1252"/>
      <c r="AH309" s="1252"/>
      <c r="AI309" s="1252"/>
      <c r="AJ309" s="1252"/>
      <c r="AK309" s="1252"/>
      <c r="AL309" s="1252"/>
      <c r="AM309" s="1252"/>
      <c r="AN309" s="1252"/>
      <c r="AO309" s="1252"/>
      <c r="AP309" s="1252"/>
      <c r="AQ309" s="0"/>
      <c r="AR309" s="0"/>
      <c r="AS309" s="0"/>
      <c r="AT309" s="0"/>
      <c r="AU309" s="0"/>
      <c r="AV309" s="807"/>
      <c r="AW309" s="1304"/>
      <c r="AX309" s="112"/>
      <c r="AY309" s="112"/>
      <c r="AZ309" s="112"/>
      <c r="BA309" s="163"/>
      <c r="BB309" s="163"/>
      <c r="BC309" s="163"/>
      <c r="BE309" s="163"/>
      <c r="BG309" s="1329"/>
      <c r="BH309" s="112"/>
      <c r="BI309" s="1330"/>
      <c r="BJ309" s="1262"/>
      <c r="BK309" s="1293" t="n">
        <v>0</v>
      </c>
      <c r="BL309" s="163"/>
      <c r="BM309" s="163"/>
      <c r="BN309" s="163"/>
      <c r="BS309" s="1262" t="n">
        <v>0</v>
      </c>
    </row>
    <row r="310" customFormat="false" ht="12.75" hidden="false" customHeight="false" outlineLevel="0" collapsed="false">
      <c r="A310" s="1246"/>
      <c r="B310" s="1312" t="n">
        <v>44743</v>
      </c>
      <c r="C310" s="1313" t="n">
        <v>33.22</v>
      </c>
      <c r="D310" s="1313"/>
      <c r="E310" s="1313"/>
      <c r="F310" s="1327"/>
      <c r="G310" s="1313"/>
      <c r="H310" s="1313"/>
      <c r="I310" s="1313"/>
      <c r="J310" s="1253"/>
      <c r="K310" s="1254"/>
      <c r="L310" s="1252"/>
      <c r="M310" s="1252"/>
      <c r="N310" s="1252"/>
      <c r="O310" s="1252"/>
      <c r="P310" s="1252"/>
      <c r="Q310" s="1252"/>
      <c r="R310" s="1252"/>
      <c r="S310" s="1252"/>
      <c r="T310" s="1252"/>
      <c r="U310" s="1252"/>
      <c r="V310" s="1252"/>
      <c r="W310" s="1252"/>
      <c r="X310" s="1252"/>
      <c r="Y310" s="1252"/>
      <c r="Z310" s="1252"/>
      <c r="AA310" s="1252"/>
      <c r="AB310" s="1252"/>
      <c r="AC310" s="1252"/>
      <c r="AD310" s="1252"/>
      <c r="AE310" s="1252"/>
      <c r="AF310" s="1252"/>
      <c r="AG310" s="1252"/>
      <c r="AH310" s="1252"/>
      <c r="AI310" s="1252"/>
      <c r="AJ310" s="1252"/>
      <c r="AK310" s="1252"/>
      <c r="AL310" s="1252"/>
      <c r="AM310" s="1252"/>
      <c r="AN310" s="1252"/>
      <c r="AO310" s="1252"/>
      <c r="AP310" s="1252"/>
      <c r="AQ310" s="0"/>
      <c r="AR310" s="0"/>
      <c r="AS310" s="0"/>
      <c r="AT310" s="0"/>
      <c r="AU310" s="0"/>
      <c r="AV310" s="807"/>
      <c r="AW310" s="1304"/>
      <c r="AX310" s="112"/>
      <c r="AY310" s="112"/>
      <c r="AZ310" s="112"/>
      <c r="BA310" s="163"/>
      <c r="BB310" s="163"/>
      <c r="BC310" s="163"/>
      <c r="BE310" s="163"/>
      <c r="BG310" s="1329"/>
      <c r="BH310" s="112"/>
      <c r="BI310" s="1330"/>
      <c r="BJ310" s="1262"/>
      <c r="BK310" s="1293" t="n">
        <v>0</v>
      </c>
      <c r="BL310" s="163"/>
      <c r="BM310" s="163"/>
      <c r="BN310" s="163"/>
      <c r="BS310" s="1262" t="n">
        <v>0</v>
      </c>
    </row>
    <row r="311" customFormat="false" ht="12.75" hidden="false" customHeight="false" outlineLevel="0" collapsed="false">
      <c r="A311" s="1246"/>
      <c r="B311" s="1312" t="n">
        <v>44774</v>
      </c>
      <c r="C311" s="1313" t="n">
        <v>52.95</v>
      </c>
      <c r="D311" s="1313"/>
      <c r="E311" s="1313"/>
      <c r="F311" s="1327"/>
      <c r="G311" s="1313"/>
      <c r="H311" s="1313"/>
      <c r="I311" s="1313"/>
      <c r="J311" s="1253"/>
      <c r="K311" s="1254"/>
      <c r="L311" s="1252"/>
      <c r="M311" s="1252"/>
      <c r="N311" s="1252"/>
      <c r="O311" s="1252"/>
      <c r="P311" s="1252"/>
      <c r="Q311" s="1252"/>
      <c r="R311" s="1252"/>
      <c r="S311" s="1252"/>
      <c r="T311" s="1252"/>
      <c r="U311" s="1252"/>
      <c r="V311" s="1252"/>
      <c r="W311" s="1252"/>
      <c r="X311" s="1252"/>
      <c r="Y311" s="1252"/>
      <c r="Z311" s="1252"/>
      <c r="AA311" s="1252"/>
      <c r="AB311" s="1252"/>
      <c r="AC311" s="1252"/>
      <c r="AD311" s="1252"/>
      <c r="AE311" s="1252"/>
      <c r="AF311" s="1252"/>
      <c r="AG311" s="1252"/>
      <c r="AH311" s="1252"/>
      <c r="AI311" s="1252"/>
      <c r="AJ311" s="1252"/>
      <c r="AK311" s="1252"/>
      <c r="AL311" s="1252"/>
      <c r="AM311" s="1252"/>
      <c r="AN311" s="1252"/>
      <c r="AO311" s="1252"/>
      <c r="AP311" s="1252"/>
      <c r="AQ311" s="0"/>
      <c r="AR311" s="0"/>
      <c r="AS311" s="0"/>
      <c r="AT311" s="0"/>
      <c r="AU311" s="0"/>
      <c r="AV311" s="807"/>
      <c r="AW311" s="1304"/>
      <c r="AX311" s="112"/>
      <c r="AY311" s="112"/>
      <c r="AZ311" s="112"/>
      <c r="BA311" s="163"/>
      <c r="BB311" s="163"/>
      <c r="BC311" s="163"/>
      <c r="BE311" s="163"/>
      <c r="BG311" s="1329"/>
      <c r="BH311" s="112"/>
      <c r="BI311" s="1330"/>
      <c r="BJ311" s="1262"/>
      <c r="BK311" s="1293" t="n">
        <v>0</v>
      </c>
      <c r="BL311" s="163"/>
      <c r="BM311" s="163"/>
      <c r="BN311" s="163"/>
      <c r="BS311" s="1262" t="n">
        <v>0</v>
      </c>
    </row>
    <row r="312" customFormat="false" ht="12.75" hidden="false" customHeight="false" outlineLevel="0" collapsed="false">
      <c r="A312" s="1246"/>
      <c r="B312" s="1312" t="n">
        <v>44805</v>
      </c>
      <c r="C312" s="1313" t="n">
        <v>69.95</v>
      </c>
      <c r="D312" s="1313"/>
      <c r="E312" s="1313"/>
      <c r="F312" s="1327"/>
      <c r="G312" s="1313"/>
      <c r="H312" s="1313"/>
      <c r="I312" s="1313"/>
      <c r="J312" s="1253"/>
      <c r="K312" s="1254"/>
      <c r="L312" s="1252"/>
      <c r="M312" s="1252"/>
      <c r="N312" s="1252"/>
      <c r="O312" s="1252"/>
      <c r="P312" s="1252"/>
      <c r="Q312" s="1252"/>
      <c r="R312" s="1252"/>
      <c r="S312" s="1252"/>
      <c r="T312" s="1252"/>
      <c r="U312" s="1252"/>
      <c r="V312" s="1252"/>
      <c r="W312" s="1252"/>
      <c r="X312" s="1252"/>
      <c r="Y312" s="1252"/>
      <c r="Z312" s="1252"/>
      <c r="AA312" s="1252"/>
      <c r="AB312" s="1252"/>
      <c r="AC312" s="1252"/>
      <c r="AD312" s="1252"/>
      <c r="AE312" s="1252"/>
      <c r="AF312" s="1252"/>
      <c r="AG312" s="1252"/>
      <c r="AH312" s="1252"/>
      <c r="AI312" s="1252"/>
      <c r="AJ312" s="1252"/>
      <c r="AK312" s="1252"/>
      <c r="AL312" s="1252"/>
      <c r="AM312" s="1252"/>
      <c r="AN312" s="1252"/>
      <c r="AO312" s="1252"/>
      <c r="AP312" s="1252"/>
      <c r="AQ312" s="0"/>
      <c r="AR312" s="0"/>
      <c r="AS312" s="0"/>
      <c r="AT312" s="0"/>
      <c r="AU312" s="0"/>
      <c r="AV312" s="807"/>
      <c r="AW312" s="1304"/>
      <c r="AX312" s="112"/>
      <c r="AY312" s="112"/>
      <c r="AZ312" s="112"/>
      <c r="BA312" s="163"/>
      <c r="BB312" s="163"/>
      <c r="BC312" s="163"/>
      <c r="BE312" s="163"/>
      <c r="BG312" s="1329"/>
      <c r="BH312" s="112"/>
      <c r="BI312" s="1330"/>
      <c r="BJ312" s="1262"/>
      <c r="BK312" s="1293" t="n">
        <v>0</v>
      </c>
      <c r="BL312" s="163"/>
      <c r="BM312" s="163"/>
      <c r="BN312" s="163"/>
      <c r="BS312" s="1262" t="n">
        <v>0</v>
      </c>
    </row>
    <row r="313" customFormat="false" ht="12.75" hidden="false" customHeight="false" outlineLevel="0" collapsed="false">
      <c r="A313" s="1246"/>
      <c r="B313" s="1312" t="n">
        <v>44835</v>
      </c>
      <c r="C313" s="1313" t="n">
        <v>49.95</v>
      </c>
      <c r="D313" s="1313"/>
      <c r="E313" s="1313"/>
      <c r="F313" s="1327"/>
      <c r="G313" s="1313"/>
      <c r="H313" s="1313"/>
      <c r="I313" s="1313"/>
      <c r="J313" s="1253"/>
      <c r="K313" s="1254"/>
      <c r="L313" s="1252"/>
      <c r="M313" s="1252"/>
      <c r="N313" s="1252"/>
      <c r="O313" s="1252"/>
      <c r="P313" s="1252"/>
      <c r="Q313" s="1252"/>
      <c r="R313" s="1252"/>
      <c r="S313" s="1252"/>
      <c r="T313" s="1252"/>
      <c r="U313" s="1252"/>
      <c r="V313" s="1252"/>
      <c r="W313" s="1252"/>
      <c r="X313" s="1252"/>
      <c r="Y313" s="1252"/>
      <c r="Z313" s="1252"/>
      <c r="AA313" s="1252"/>
      <c r="AB313" s="1252"/>
      <c r="AC313" s="1252"/>
      <c r="AD313" s="1252"/>
      <c r="AE313" s="1252"/>
      <c r="AF313" s="1252"/>
      <c r="AG313" s="1252"/>
      <c r="AH313" s="1252"/>
      <c r="AI313" s="1252"/>
      <c r="AJ313" s="1252"/>
      <c r="AK313" s="1252"/>
      <c r="AL313" s="1252"/>
      <c r="AM313" s="1252"/>
      <c r="AN313" s="1252"/>
      <c r="AO313" s="1252"/>
      <c r="AP313" s="1252"/>
      <c r="AQ313" s="0"/>
      <c r="AR313" s="0"/>
      <c r="AS313" s="0"/>
      <c r="AT313" s="0"/>
      <c r="AU313" s="0"/>
      <c r="AV313" s="807"/>
      <c r="AW313" s="1304"/>
      <c r="AX313" s="112"/>
      <c r="AY313" s="112"/>
      <c r="AZ313" s="112"/>
      <c r="BA313" s="163"/>
      <c r="BB313" s="163"/>
      <c r="BC313" s="163"/>
      <c r="BE313" s="163"/>
      <c r="BG313" s="1329"/>
      <c r="BH313" s="112"/>
      <c r="BI313" s="1330"/>
      <c r="BJ313" s="1262"/>
      <c r="BK313" s="1293" t="n">
        <v>0</v>
      </c>
      <c r="BL313" s="163"/>
      <c r="BM313" s="163"/>
      <c r="BN313" s="163"/>
      <c r="BS313" s="1262" t="n">
        <v>0</v>
      </c>
    </row>
    <row r="314" customFormat="false" ht="12.75" hidden="false" customHeight="false" outlineLevel="0" collapsed="false">
      <c r="A314" s="1246"/>
      <c r="B314" s="1312" t="n">
        <v>44866</v>
      </c>
      <c r="C314" s="1313" t="n">
        <v>35.73</v>
      </c>
      <c r="D314" s="1313"/>
      <c r="E314" s="1313"/>
      <c r="F314" s="1327"/>
      <c r="G314" s="1313"/>
      <c r="H314" s="1313"/>
      <c r="I314" s="1313"/>
      <c r="J314" s="1253"/>
      <c r="K314" s="1254"/>
      <c r="L314" s="1252"/>
      <c r="M314" s="1252"/>
      <c r="N314" s="1252"/>
      <c r="O314" s="1252"/>
      <c r="P314" s="1252"/>
      <c r="Q314" s="1252"/>
      <c r="R314" s="1252"/>
      <c r="S314" s="1252"/>
      <c r="T314" s="1252"/>
      <c r="U314" s="1252"/>
      <c r="V314" s="1252"/>
      <c r="W314" s="1252"/>
      <c r="X314" s="1252"/>
      <c r="Y314" s="1252"/>
      <c r="Z314" s="1252"/>
      <c r="AA314" s="1252"/>
      <c r="AB314" s="1252"/>
      <c r="AC314" s="1252"/>
      <c r="AD314" s="1252"/>
      <c r="AE314" s="1252"/>
      <c r="AF314" s="1252"/>
      <c r="AG314" s="1252"/>
      <c r="AH314" s="1252"/>
      <c r="AI314" s="1252"/>
      <c r="AJ314" s="1252"/>
      <c r="AK314" s="1252"/>
      <c r="AL314" s="1252"/>
      <c r="AM314" s="1252"/>
      <c r="AN314" s="1252"/>
      <c r="AO314" s="1252"/>
      <c r="AP314" s="1252"/>
      <c r="AQ314" s="0"/>
      <c r="AR314" s="0"/>
      <c r="AS314" s="0"/>
      <c r="AT314" s="0"/>
      <c r="AU314" s="0"/>
      <c r="AV314" s="807"/>
      <c r="AW314" s="1304"/>
      <c r="AX314" s="112"/>
      <c r="AY314" s="112"/>
      <c r="AZ314" s="112"/>
      <c r="BA314" s="163"/>
      <c r="BB314" s="163"/>
      <c r="BC314" s="163"/>
      <c r="BE314" s="163"/>
      <c r="BG314" s="1329"/>
      <c r="BH314" s="112"/>
      <c r="BI314" s="1330"/>
      <c r="BJ314" s="1262"/>
      <c r="BK314" s="1293" t="n">
        <v>0</v>
      </c>
      <c r="BL314" s="163"/>
      <c r="BM314" s="163"/>
      <c r="BN314" s="163"/>
      <c r="BS314" s="1262" t="n">
        <v>0</v>
      </c>
    </row>
    <row r="315" customFormat="false" ht="12.75" hidden="false" customHeight="false" outlineLevel="0" collapsed="false">
      <c r="A315" s="1246"/>
      <c r="B315" s="1312" t="n">
        <v>44896</v>
      </c>
      <c r="C315" s="1313" t="n">
        <v>22.23</v>
      </c>
      <c r="D315" s="1313"/>
      <c r="E315" s="1313"/>
      <c r="F315" s="1327"/>
      <c r="G315" s="1313"/>
      <c r="H315" s="1313"/>
      <c r="I315" s="1313"/>
      <c r="J315" s="1253"/>
      <c r="K315" s="1254"/>
      <c r="L315" s="1252"/>
      <c r="M315" s="1252"/>
      <c r="N315" s="1252"/>
      <c r="O315" s="1252"/>
      <c r="P315" s="1252"/>
      <c r="Q315" s="1252"/>
      <c r="R315" s="1252"/>
      <c r="S315" s="1252"/>
      <c r="T315" s="1252"/>
      <c r="U315" s="1252"/>
      <c r="V315" s="1252"/>
      <c r="W315" s="1252"/>
      <c r="X315" s="1252"/>
      <c r="Y315" s="1252"/>
      <c r="Z315" s="1252"/>
      <c r="AA315" s="1252"/>
      <c r="AB315" s="1252"/>
      <c r="AC315" s="1252"/>
      <c r="AD315" s="1252"/>
      <c r="AE315" s="1252"/>
      <c r="AF315" s="1252"/>
      <c r="AG315" s="1252"/>
      <c r="AH315" s="1252"/>
      <c r="AI315" s="1252"/>
      <c r="AJ315" s="1252"/>
      <c r="AK315" s="1252"/>
      <c r="AL315" s="1252"/>
      <c r="AM315" s="1252"/>
      <c r="AN315" s="1252"/>
      <c r="AO315" s="1252"/>
      <c r="AP315" s="1252"/>
      <c r="AQ315" s="0"/>
      <c r="AR315" s="0"/>
      <c r="AS315" s="0"/>
      <c r="AT315" s="0"/>
      <c r="AU315" s="0"/>
      <c r="AV315" s="807"/>
      <c r="AW315" s="1304"/>
      <c r="AX315" s="112"/>
      <c r="AY315" s="112"/>
      <c r="AZ315" s="112"/>
      <c r="BA315" s="163"/>
      <c r="BB315" s="163"/>
      <c r="BC315" s="163"/>
      <c r="BE315" s="163"/>
      <c r="BG315" s="1329"/>
      <c r="BH315" s="112"/>
      <c r="BI315" s="1330"/>
      <c r="BJ315" s="1262"/>
      <c r="BK315" s="1293" t="n">
        <v>0</v>
      </c>
      <c r="BL315" s="163"/>
      <c r="BM315" s="163"/>
      <c r="BN315" s="163"/>
      <c r="BS315" s="1262" t="n">
        <v>0</v>
      </c>
    </row>
    <row r="316" customFormat="false" ht="12.75" hidden="false" customHeight="false" outlineLevel="0" collapsed="false">
      <c r="A316" s="1246"/>
      <c r="B316" s="1312" t="n">
        <v>44927</v>
      </c>
      <c r="C316" s="1313" t="n">
        <v>22.23</v>
      </c>
      <c r="D316" s="1313"/>
      <c r="E316" s="1313"/>
      <c r="F316" s="1327"/>
      <c r="G316" s="1313"/>
      <c r="H316" s="1313"/>
      <c r="I316" s="1313"/>
      <c r="J316" s="1253"/>
      <c r="K316" s="1254"/>
      <c r="L316" s="1252"/>
      <c r="M316" s="1252"/>
      <c r="N316" s="1252"/>
      <c r="O316" s="1252"/>
      <c r="P316" s="1252"/>
      <c r="Q316" s="1252"/>
      <c r="R316" s="1252"/>
      <c r="S316" s="1252"/>
      <c r="T316" s="1252"/>
      <c r="U316" s="1252"/>
      <c r="V316" s="1252"/>
      <c r="W316" s="1252"/>
      <c r="X316" s="1252"/>
      <c r="Y316" s="1252"/>
      <c r="Z316" s="1252"/>
      <c r="AA316" s="1252"/>
      <c r="AB316" s="1252"/>
      <c r="AC316" s="1252"/>
      <c r="AD316" s="1252"/>
      <c r="AE316" s="1252"/>
      <c r="AF316" s="1252"/>
      <c r="AG316" s="1252"/>
      <c r="AH316" s="1252"/>
      <c r="AI316" s="1252"/>
      <c r="AJ316" s="1252"/>
      <c r="AK316" s="1252"/>
      <c r="AL316" s="1252"/>
      <c r="AM316" s="1252"/>
      <c r="AN316" s="1252"/>
      <c r="AO316" s="1252"/>
      <c r="AP316" s="1252"/>
      <c r="AQ316" s="0"/>
      <c r="AR316" s="0"/>
      <c r="AS316" s="0"/>
      <c r="AT316" s="0"/>
      <c r="AU316" s="0"/>
      <c r="AV316" s="807"/>
      <c r="AW316" s="1304"/>
      <c r="AX316" s="112"/>
      <c r="AY316" s="112"/>
      <c r="AZ316" s="112"/>
      <c r="BA316" s="163"/>
      <c r="BB316" s="163"/>
      <c r="BC316" s="163"/>
      <c r="BE316" s="163"/>
      <c r="BG316" s="1329"/>
      <c r="BH316" s="112"/>
      <c r="BI316" s="1330"/>
      <c r="BJ316" s="1262"/>
      <c r="BK316" s="1293" t="n">
        <v>0</v>
      </c>
      <c r="BL316" s="163"/>
      <c r="BM316" s="163"/>
      <c r="BN316" s="163"/>
      <c r="BS316" s="1262" t="n">
        <v>0</v>
      </c>
    </row>
    <row r="317" customFormat="false" ht="12.75" hidden="false" customHeight="false" outlineLevel="0" collapsed="false">
      <c r="A317" s="1246"/>
      <c r="B317" s="1252"/>
      <c r="C317" s="1252" t="n">
        <v>24.06</v>
      </c>
      <c r="D317" s="1313"/>
      <c r="E317" s="1313"/>
      <c r="F317" s="1252"/>
      <c r="G317" s="1313"/>
      <c r="H317" s="1313"/>
      <c r="I317" s="1313"/>
      <c r="J317" s="1252"/>
      <c r="K317" s="1254"/>
      <c r="L317" s="1252"/>
      <c r="M317" s="1252"/>
      <c r="N317" s="1252"/>
      <c r="O317" s="1252"/>
      <c r="P317" s="1252"/>
      <c r="Q317" s="1252"/>
      <c r="R317" s="1252"/>
      <c r="S317" s="1252"/>
      <c r="T317" s="1252"/>
      <c r="U317" s="1252"/>
      <c r="V317" s="1252"/>
      <c r="W317" s="1252"/>
      <c r="X317" s="1252"/>
      <c r="Y317" s="1252"/>
      <c r="Z317" s="1252"/>
      <c r="AA317" s="1252"/>
      <c r="AB317" s="1252"/>
      <c r="AC317" s="1252"/>
      <c r="AD317" s="1252"/>
      <c r="AE317" s="1252"/>
      <c r="AF317" s="1252"/>
      <c r="AG317" s="1252"/>
      <c r="AH317" s="1252"/>
      <c r="AI317" s="1252"/>
      <c r="AJ317" s="1252"/>
      <c r="AK317" s="1252"/>
      <c r="AL317" s="1252"/>
      <c r="AM317" s="1252"/>
      <c r="AN317" s="1252"/>
      <c r="AO317" s="1252"/>
      <c r="AP317" s="1252"/>
      <c r="AQ317" s="0"/>
      <c r="AR317" s="0"/>
      <c r="AS317" s="0"/>
      <c r="AT317" s="0"/>
      <c r="AU317" s="0"/>
      <c r="AV317" s="807"/>
      <c r="AW317" s="1304"/>
      <c r="AX317" s="112"/>
      <c r="AY317" s="112"/>
      <c r="AZ317" s="112"/>
      <c r="BA317" s="163"/>
      <c r="BB317" s="163"/>
      <c r="BC317" s="163"/>
      <c r="BE317" s="163"/>
      <c r="BG317" s="1329"/>
      <c r="BH317" s="112"/>
      <c r="BI317" s="1330"/>
      <c r="BJ317" s="1262"/>
      <c r="BK317" s="1293" t="n">
        <v>0</v>
      </c>
      <c r="BL317" s="163"/>
      <c r="BM317" s="163"/>
      <c r="BN317" s="163"/>
      <c r="BS317" s="1262" t="n">
        <v>0</v>
      </c>
    </row>
    <row r="318" customFormat="false" ht="12.75" hidden="false" customHeight="false" outlineLevel="0" collapsed="false">
      <c r="A318" s="1246"/>
      <c r="B318" s="1252"/>
      <c r="C318" s="1252" t="n">
        <v>24.44</v>
      </c>
      <c r="D318" s="1313"/>
      <c r="E318" s="1313"/>
      <c r="F318" s="1252"/>
      <c r="G318" s="1313"/>
      <c r="H318" s="1313"/>
      <c r="I318" s="1313"/>
      <c r="J318" s="1252"/>
      <c r="K318" s="1254"/>
      <c r="L318" s="1252"/>
      <c r="M318" s="1252"/>
      <c r="N318" s="1252"/>
      <c r="O318" s="1252"/>
      <c r="P318" s="1252"/>
      <c r="Q318" s="1252"/>
      <c r="R318" s="1252"/>
      <c r="S318" s="1252"/>
      <c r="T318" s="1252"/>
      <c r="U318" s="1252"/>
      <c r="V318" s="1252"/>
      <c r="W318" s="1252"/>
      <c r="X318" s="1252"/>
      <c r="Y318" s="1252"/>
      <c r="Z318" s="1252"/>
      <c r="AA318" s="1252"/>
      <c r="AB318" s="1252"/>
      <c r="AC318" s="1252"/>
      <c r="AD318" s="1252"/>
      <c r="AE318" s="1252"/>
      <c r="AF318" s="1252"/>
      <c r="AG318" s="1252"/>
      <c r="AH318" s="1252"/>
      <c r="AI318" s="1252"/>
      <c r="AJ318" s="1252"/>
      <c r="AK318" s="1252"/>
      <c r="AL318" s="1252"/>
      <c r="AM318" s="1252"/>
      <c r="AN318" s="1252"/>
      <c r="AO318" s="1252"/>
      <c r="AP318" s="1252"/>
      <c r="AQ318" s="0"/>
      <c r="AR318" s="0"/>
      <c r="AS318" s="0"/>
      <c r="AT318" s="0"/>
      <c r="AU318" s="0"/>
      <c r="AV318" s="807"/>
      <c r="AW318" s="1304"/>
      <c r="AX318" s="112"/>
      <c r="AY318" s="112"/>
      <c r="AZ318" s="112"/>
      <c r="BA318" s="163"/>
      <c r="BB318" s="163"/>
      <c r="BC318" s="163"/>
      <c r="BE318" s="163"/>
      <c r="BG318" s="1329"/>
      <c r="BH318" s="112"/>
      <c r="BI318" s="1330"/>
      <c r="BJ318" s="1262"/>
      <c r="BK318" s="1293" t="n">
        <v>0</v>
      </c>
      <c r="BL318" s="163"/>
      <c r="BM318" s="163"/>
      <c r="BN318" s="163"/>
      <c r="BS318" s="1262" t="n">
        <v>0</v>
      </c>
    </row>
    <row r="319" customFormat="false" ht="12.75" hidden="false" customHeight="false" outlineLevel="0" collapsed="false">
      <c r="A319" s="1246"/>
      <c r="B319" s="1252"/>
      <c r="C319" s="1252" t="n">
        <v>21.94</v>
      </c>
      <c r="D319" s="1313"/>
      <c r="E319" s="1313"/>
      <c r="F319" s="1252"/>
      <c r="G319" s="1313"/>
      <c r="H319" s="1313"/>
      <c r="I319" s="1313"/>
      <c r="J319" s="1252"/>
      <c r="K319" s="1254"/>
      <c r="L319" s="1252"/>
      <c r="M319" s="1252"/>
      <c r="N319" s="1252"/>
      <c r="O319" s="1252"/>
      <c r="P319" s="1252"/>
      <c r="Q319" s="1252"/>
      <c r="R319" s="1252"/>
      <c r="S319" s="1252"/>
      <c r="T319" s="1252"/>
      <c r="U319" s="1252"/>
      <c r="V319" s="1252"/>
      <c r="W319" s="1252"/>
      <c r="X319" s="1252"/>
      <c r="Y319" s="1252"/>
      <c r="Z319" s="1252"/>
      <c r="AA319" s="1252"/>
      <c r="AB319" s="1252"/>
      <c r="AC319" s="1252"/>
      <c r="AD319" s="1252"/>
      <c r="AE319" s="1252"/>
      <c r="AF319" s="1252"/>
      <c r="AG319" s="1252"/>
      <c r="AH319" s="1252"/>
      <c r="AI319" s="1252"/>
      <c r="AJ319" s="1252"/>
      <c r="AK319" s="1252"/>
      <c r="AL319" s="1252"/>
      <c r="AM319" s="1252"/>
      <c r="AN319" s="1252"/>
      <c r="AO319" s="1252"/>
      <c r="AP319" s="1252"/>
      <c r="AQ319" s="0"/>
      <c r="AR319" s="0"/>
      <c r="AS319" s="0"/>
      <c r="AT319" s="0"/>
      <c r="AU319" s="0"/>
      <c r="AV319" s="807"/>
      <c r="AW319" s="1304"/>
      <c r="AX319" s="112"/>
      <c r="AY319" s="112"/>
      <c r="AZ319" s="112"/>
      <c r="BA319" s="163"/>
      <c r="BB319" s="163"/>
      <c r="BC319" s="163"/>
      <c r="BE319" s="163"/>
      <c r="BG319" s="1329"/>
      <c r="BH319" s="112"/>
      <c r="BI319" s="1330"/>
      <c r="BJ319" s="1262"/>
      <c r="BK319" s="1293" t="n">
        <v>0</v>
      </c>
      <c r="BL319" s="163"/>
      <c r="BM319" s="163"/>
      <c r="BN319" s="163"/>
      <c r="BS319" s="1262" t="n">
        <v>0</v>
      </c>
    </row>
    <row r="320" customFormat="false" ht="12.75" hidden="false" customHeight="false" outlineLevel="0" collapsed="false">
      <c r="A320" s="1246"/>
      <c r="B320" s="1252"/>
      <c r="C320" s="1252" t="n">
        <v>24.26</v>
      </c>
      <c r="D320" s="1313"/>
      <c r="E320" s="1313"/>
      <c r="F320" s="1252"/>
      <c r="G320" s="1313"/>
      <c r="H320" s="1313"/>
      <c r="I320" s="1313"/>
      <c r="J320" s="1252"/>
      <c r="K320" s="1254"/>
      <c r="L320" s="1252"/>
      <c r="M320" s="1252"/>
      <c r="N320" s="1252"/>
      <c r="O320" s="1252"/>
      <c r="P320" s="1252"/>
      <c r="Q320" s="1252"/>
      <c r="R320" s="1252"/>
      <c r="S320" s="1252"/>
      <c r="T320" s="1252"/>
      <c r="U320" s="1252"/>
      <c r="V320" s="1252"/>
      <c r="W320" s="1252"/>
      <c r="X320" s="1252"/>
      <c r="Y320" s="1252"/>
      <c r="Z320" s="1252"/>
      <c r="AA320" s="1252"/>
      <c r="AB320" s="1252"/>
      <c r="AC320" s="1252"/>
      <c r="AD320" s="1252"/>
      <c r="AE320" s="1252"/>
      <c r="AF320" s="1252"/>
      <c r="AG320" s="1252"/>
      <c r="AH320" s="1252"/>
      <c r="AI320" s="1252"/>
      <c r="AJ320" s="1252"/>
      <c r="AK320" s="1252"/>
      <c r="AL320" s="1252"/>
      <c r="AM320" s="1252"/>
      <c r="AN320" s="1252"/>
      <c r="AO320" s="1252"/>
      <c r="AP320" s="1252"/>
      <c r="AQ320" s="0"/>
      <c r="AR320" s="0"/>
      <c r="AS320" s="0"/>
      <c r="AT320" s="0"/>
      <c r="AU320" s="0"/>
      <c r="AV320" s="807"/>
      <c r="AW320" s="1304"/>
      <c r="AX320" s="112"/>
      <c r="AY320" s="112"/>
      <c r="AZ320" s="112"/>
      <c r="BA320" s="163"/>
      <c r="BB320" s="163"/>
      <c r="BC320" s="163"/>
      <c r="BE320" s="163"/>
      <c r="BG320" s="1329"/>
      <c r="BH320" s="112"/>
      <c r="BI320" s="1330"/>
      <c r="BJ320" s="1262"/>
      <c r="BK320" s="1293" t="n">
        <v>0</v>
      </c>
      <c r="BL320" s="163"/>
      <c r="BM320" s="163"/>
      <c r="BN320" s="163"/>
      <c r="BS320" s="1262" t="n">
        <v>0</v>
      </c>
    </row>
    <row r="321" customFormat="false" ht="12.75" hidden="false" customHeight="false" outlineLevel="0" collapsed="false">
      <c r="A321" s="1246"/>
      <c r="B321" s="1252"/>
      <c r="C321" s="1252" t="n">
        <v>26.51</v>
      </c>
      <c r="D321" s="1313"/>
      <c r="E321" s="1313"/>
      <c r="F321" s="1252"/>
      <c r="G321" s="1313"/>
      <c r="H321" s="1313"/>
      <c r="I321" s="1313"/>
      <c r="J321" s="1252"/>
      <c r="K321" s="1254"/>
      <c r="L321" s="1252"/>
      <c r="M321" s="1252"/>
      <c r="N321" s="1252"/>
      <c r="O321" s="1252"/>
      <c r="P321" s="1252"/>
      <c r="Q321" s="1252"/>
      <c r="R321" s="1252"/>
      <c r="S321" s="1252"/>
      <c r="T321" s="1252"/>
      <c r="U321" s="1252"/>
      <c r="V321" s="1252"/>
      <c r="W321" s="1252"/>
      <c r="X321" s="1252"/>
      <c r="Y321" s="1252"/>
      <c r="Z321" s="1252"/>
      <c r="AA321" s="1252"/>
      <c r="AB321" s="1252"/>
      <c r="AC321" s="1252"/>
      <c r="AD321" s="1252"/>
      <c r="AE321" s="1252"/>
      <c r="AF321" s="1252"/>
      <c r="AG321" s="1252"/>
      <c r="AH321" s="1252"/>
      <c r="AI321" s="1252"/>
      <c r="AJ321" s="1252"/>
      <c r="AK321" s="1252"/>
      <c r="AL321" s="1252"/>
      <c r="AM321" s="1252"/>
      <c r="AN321" s="1252"/>
      <c r="AO321" s="1252"/>
      <c r="AP321" s="1252"/>
      <c r="AQ321" s="0"/>
      <c r="AR321" s="0"/>
      <c r="AS321" s="0"/>
      <c r="AT321" s="0"/>
      <c r="AU321" s="0"/>
      <c r="AV321" s="807"/>
      <c r="AW321" s="1304"/>
      <c r="AX321" s="112"/>
      <c r="AY321" s="112"/>
      <c r="AZ321" s="112"/>
      <c r="BA321" s="163"/>
      <c r="BB321" s="163"/>
      <c r="BC321" s="163"/>
      <c r="BE321" s="163"/>
      <c r="BG321" s="1329"/>
      <c r="BH321" s="112"/>
      <c r="BI321" s="1330"/>
      <c r="BJ321" s="1262"/>
      <c r="BK321" s="1293" t="n">
        <v>0</v>
      </c>
      <c r="BL321" s="163"/>
      <c r="BM321" s="163"/>
      <c r="BN321" s="163"/>
      <c r="BS321" s="1262" t="n">
        <v>0</v>
      </c>
    </row>
    <row r="322" customFormat="false" ht="12.75" hidden="false" customHeight="false" outlineLevel="0" collapsed="false">
      <c r="A322" s="1246"/>
      <c r="B322" s="1252"/>
      <c r="C322" s="1252" t="n">
        <v>33.26</v>
      </c>
      <c r="D322" s="1313"/>
      <c r="E322" s="1313"/>
      <c r="F322" s="1252"/>
      <c r="G322" s="1313"/>
      <c r="H322" s="1313"/>
      <c r="I322" s="1313"/>
      <c r="J322" s="1252"/>
      <c r="K322" s="1254"/>
      <c r="L322" s="1252"/>
      <c r="M322" s="1252"/>
      <c r="N322" s="1252"/>
      <c r="O322" s="1252"/>
      <c r="P322" s="1252"/>
      <c r="Q322" s="1252"/>
      <c r="R322" s="1252"/>
      <c r="S322" s="1252"/>
      <c r="T322" s="1252"/>
      <c r="U322" s="1252"/>
      <c r="V322" s="1252"/>
      <c r="W322" s="1252"/>
      <c r="X322" s="1252"/>
      <c r="Y322" s="1252"/>
      <c r="Z322" s="1252"/>
      <c r="AA322" s="1252"/>
      <c r="AB322" s="1252"/>
      <c r="AC322" s="1252"/>
      <c r="AD322" s="1252"/>
      <c r="AE322" s="1252"/>
      <c r="AF322" s="1252"/>
      <c r="AG322" s="1252"/>
      <c r="AH322" s="1252"/>
      <c r="AI322" s="1252"/>
      <c r="AJ322" s="1252"/>
      <c r="AK322" s="1252"/>
      <c r="AL322" s="1252"/>
      <c r="AM322" s="1252"/>
      <c r="AN322" s="1252"/>
      <c r="AO322" s="1252"/>
      <c r="AP322" s="1252"/>
      <c r="AQ322" s="0"/>
      <c r="AR322" s="0"/>
      <c r="AS322" s="0"/>
      <c r="AT322" s="0"/>
      <c r="AU322" s="0"/>
      <c r="AV322" s="807"/>
      <c r="AW322" s="1304"/>
      <c r="AX322" s="112"/>
      <c r="AY322" s="112"/>
      <c r="AZ322" s="112"/>
      <c r="BA322" s="163"/>
      <c r="BB322" s="163"/>
      <c r="BC322" s="163"/>
      <c r="BE322" s="163"/>
      <c r="BG322" s="1329"/>
      <c r="BH322" s="112"/>
      <c r="BI322" s="1330"/>
      <c r="BJ322" s="1262"/>
      <c r="BK322" s="1293" t="n">
        <v>0</v>
      </c>
      <c r="BL322" s="163"/>
      <c r="BM322" s="163"/>
      <c r="BN322" s="163"/>
      <c r="BS322" s="1262" t="n">
        <v>0</v>
      </c>
    </row>
    <row r="323" customFormat="false" ht="12.75" hidden="false" customHeight="false" outlineLevel="0" collapsed="false">
      <c r="A323" s="1246"/>
      <c r="B323" s="1252"/>
      <c r="C323" s="1252" t="n">
        <v>53.05</v>
      </c>
      <c r="D323" s="1313"/>
      <c r="E323" s="1313"/>
      <c r="F323" s="1252"/>
      <c r="G323" s="1313"/>
      <c r="H323" s="1313"/>
      <c r="I323" s="1313"/>
      <c r="J323" s="1252"/>
      <c r="K323" s="1254"/>
      <c r="L323" s="1252"/>
      <c r="M323" s="1252"/>
      <c r="N323" s="1252"/>
      <c r="O323" s="1252"/>
      <c r="P323" s="1252"/>
      <c r="Q323" s="1252"/>
      <c r="R323" s="1252"/>
      <c r="S323" s="1252"/>
      <c r="T323" s="1252"/>
      <c r="U323" s="1252"/>
      <c r="V323" s="1252"/>
      <c r="W323" s="1252"/>
      <c r="X323" s="1252"/>
      <c r="Y323" s="1252"/>
      <c r="Z323" s="1252"/>
      <c r="AA323" s="1252"/>
      <c r="AB323" s="1252"/>
      <c r="AC323" s="1252"/>
      <c r="AD323" s="1252"/>
      <c r="AE323" s="1252"/>
      <c r="AF323" s="1252"/>
      <c r="AG323" s="1252"/>
      <c r="AH323" s="1252"/>
      <c r="AI323" s="1252"/>
      <c r="AJ323" s="1252"/>
      <c r="AK323" s="1252"/>
      <c r="AL323" s="1252"/>
      <c r="AM323" s="1252"/>
      <c r="AN323" s="1252"/>
      <c r="AO323" s="1252"/>
      <c r="AP323" s="1252"/>
      <c r="AQ323" s="0"/>
      <c r="AR323" s="0"/>
      <c r="AS323" s="0"/>
      <c r="AT323" s="0"/>
      <c r="AU323" s="0"/>
      <c r="AV323" s="807"/>
      <c r="AW323" s="1304"/>
      <c r="AX323" s="112"/>
      <c r="AY323" s="112"/>
      <c r="AZ323" s="112"/>
      <c r="BA323" s="163"/>
      <c r="BB323" s="163"/>
      <c r="BC323" s="163"/>
      <c r="BE323" s="163"/>
      <c r="BG323" s="1329"/>
      <c r="BH323" s="112"/>
      <c r="BI323" s="1330"/>
      <c r="BJ323" s="1262"/>
      <c r="BK323" s="1293" t="n">
        <v>0</v>
      </c>
      <c r="BL323" s="163"/>
      <c r="BM323" s="163"/>
      <c r="BN323" s="163"/>
      <c r="BS323" s="1262" t="n">
        <v>0</v>
      </c>
    </row>
    <row r="324" customFormat="false" ht="12.75" hidden="false" customHeight="false" outlineLevel="0" collapsed="false">
      <c r="A324" s="1246"/>
      <c r="B324" s="1252"/>
      <c r="C324" s="1252"/>
      <c r="D324" s="1252"/>
      <c r="E324" s="1252"/>
      <c r="F324" s="1252"/>
      <c r="G324" s="1252"/>
      <c r="H324" s="1252"/>
      <c r="I324" s="1252"/>
      <c r="J324" s="1252"/>
      <c r="K324" s="1254"/>
      <c r="L324" s="1252"/>
      <c r="M324" s="1252"/>
      <c r="N324" s="1252"/>
      <c r="O324" s="1252"/>
      <c r="P324" s="1252"/>
      <c r="Q324" s="1252"/>
      <c r="R324" s="1252"/>
      <c r="S324" s="1252"/>
      <c r="T324" s="1252"/>
      <c r="U324" s="1252"/>
      <c r="V324" s="1252"/>
      <c r="W324" s="1252"/>
      <c r="X324" s="1252"/>
      <c r="Y324" s="1252"/>
      <c r="Z324" s="1252"/>
      <c r="AA324" s="1252"/>
      <c r="AB324" s="1252"/>
      <c r="AC324" s="1252"/>
      <c r="AD324" s="1252"/>
      <c r="AE324" s="1252"/>
      <c r="AF324" s="1252"/>
      <c r="AG324" s="1252"/>
      <c r="AH324" s="1252"/>
      <c r="AI324" s="1252"/>
      <c r="AJ324" s="1252"/>
      <c r="AK324" s="1252"/>
      <c r="AL324" s="1252"/>
      <c r="AM324" s="1252"/>
      <c r="AN324" s="1252"/>
      <c r="AO324" s="1252"/>
      <c r="AP324" s="1252"/>
      <c r="AQ324" s="0"/>
      <c r="AR324" s="0"/>
      <c r="AS324" s="0"/>
      <c r="AT324" s="0"/>
      <c r="AU324" s="0"/>
      <c r="AV324" s="807"/>
      <c r="AW324" s="1304"/>
      <c r="AX324" s="112"/>
      <c r="AY324" s="112"/>
      <c r="AZ324" s="112"/>
      <c r="BA324" s="163"/>
      <c r="BB324" s="163"/>
      <c r="BC324" s="163"/>
      <c r="BE324" s="163"/>
      <c r="BG324" s="1329"/>
      <c r="BH324" s="112"/>
      <c r="BI324" s="1330"/>
      <c r="BJ324" s="1262"/>
      <c r="BK324" s="1293" t="n">
        <v>0</v>
      </c>
      <c r="BL324" s="163"/>
      <c r="BM324" s="163"/>
      <c r="BN324" s="163"/>
      <c r="BS324" s="1262" t="n">
        <v>0</v>
      </c>
    </row>
    <row r="325" customFormat="false" ht="12.75" hidden="false" customHeight="false" outlineLevel="0" collapsed="false">
      <c r="A325" s="1246"/>
      <c r="B325" s="1252"/>
      <c r="C325" s="1252"/>
      <c r="D325" s="1252"/>
      <c r="E325" s="1252"/>
      <c r="F325" s="1252"/>
      <c r="G325" s="1252"/>
      <c r="H325" s="1252"/>
      <c r="I325" s="1252"/>
      <c r="J325" s="1252"/>
      <c r="K325" s="1254"/>
      <c r="L325" s="1252"/>
      <c r="M325" s="1252"/>
      <c r="N325" s="1252"/>
      <c r="O325" s="1252"/>
      <c r="P325" s="1252"/>
      <c r="Q325" s="1252"/>
      <c r="R325" s="1252"/>
      <c r="S325" s="1252"/>
      <c r="T325" s="1252"/>
      <c r="U325" s="1252"/>
      <c r="V325" s="1252"/>
      <c r="W325" s="1252"/>
      <c r="X325" s="1252"/>
      <c r="Y325" s="1252"/>
      <c r="Z325" s="1252"/>
      <c r="AA325" s="1252"/>
      <c r="AB325" s="1252"/>
      <c r="AC325" s="1252"/>
      <c r="AD325" s="1252"/>
      <c r="AE325" s="1252"/>
      <c r="AF325" s="1252"/>
      <c r="AG325" s="1252"/>
      <c r="AH325" s="1252"/>
      <c r="AI325" s="1252"/>
      <c r="AJ325" s="1252"/>
      <c r="AK325" s="1252"/>
      <c r="AL325" s="1252"/>
      <c r="AM325" s="1252"/>
      <c r="AN325" s="1252"/>
      <c r="AO325" s="1252"/>
      <c r="AP325" s="1252"/>
      <c r="AQ325" s="0"/>
      <c r="AR325" s="0"/>
      <c r="AS325" s="0"/>
      <c r="AT325" s="0"/>
      <c r="AU325" s="0"/>
      <c r="AV325" s="807"/>
      <c r="AW325" s="1304"/>
      <c r="AX325" s="112"/>
      <c r="AY325" s="112"/>
      <c r="AZ325" s="112"/>
      <c r="BA325" s="163"/>
      <c r="BB325" s="163"/>
      <c r="BC325" s="163"/>
      <c r="BE325" s="163"/>
      <c r="BG325" s="1329"/>
      <c r="BH325" s="112"/>
      <c r="BI325" s="1330"/>
      <c r="BJ325" s="1262"/>
      <c r="BK325" s="1293" t="n">
        <v>0</v>
      </c>
      <c r="BL325" s="163"/>
      <c r="BM325" s="163"/>
      <c r="BN325" s="163"/>
      <c r="BS325" s="1262" t="n">
        <v>0</v>
      </c>
    </row>
    <row r="326" customFormat="false" ht="12.75" hidden="false" customHeight="false" outlineLevel="0" collapsed="false">
      <c r="A326" s="1246"/>
      <c r="B326" s="1252"/>
      <c r="C326" s="1252"/>
      <c r="D326" s="1252"/>
      <c r="E326" s="1252"/>
      <c r="F326" s="1252"/>
      <c r="G326" s="1252"/>
      <c r="H326" s="1252"/>
      <c r="I326" s="1252"/>
      <c r="J326" s="1252"/>
      <c r="K326" s="1254"/>
      <c r="L326" s="1252"/>
      <c r="M326" s="1252"/>
      <c r="N326" s="1252"/>
      <c r="O326" s="1252"/>
      <c r="P326" s="1252"/>
      <c r="Q326" s="1252"/>
      <c r="R326" s="1252"/>
      <c r="S326" s="1252"/>
      <c r="T326" s="1252"/>
      <c r="U326" s="1252"/>
      <c r="V326" s="1252"/>
      <c r="W326" s="1252"/>
      <c r="X326" s="1252"/>
      <c r="Y326" s="1252"/>
      <c r="Z326" s="1252"/>
      <c r="AA326" s="1252"/>
      <c r="AB326" s="1252"/>
      <c r="AC326" s="1252"/>
      <c r="AD326" s="1252"/>
      <c r="AE326" s="1252"/>
      <c r="AF326" s="1252"/>
      <c r="AG326" s="1252"/>
      <c r="AH326" s="1252"/>
      <c r="AI326" s="1252"/>
      <c r="AJ326" s="1252"/>
      <c r="AK326" s="1252"/>
      <c r="AL326" s="1252"/>
      <c r="AM326" s="1252"/>
      <c r="AN326" s="1252"/>
      <c r="AO326" s="1252"/>
      <c r="AP326" s="1252"/>
      <c r="AQ326" s="0"/>
      <c r="AR326" s="0"/>
      <c r="AS326" s="0"/>
      <c r="AT326" s="0"/>
      <c r="AU326" s="0"/>
      <c r="AV326" s="807"/>
      <c r="AW326" s="1304"/>
      <c r="AX326" s="112"/>
      <c r="AY326" s="112"/>
      <c r="AZ326" s="112"/>
      <c r="BA326" s="163"/>
      <c r="BB326" s="163"/>
      <c r="BC326" s="163"/>
      <c r="BE326" s="163"/>
      <c r="BG326" s="1329"/>
      <c r="BH326" s="112"/>
      <c r="BI326" s="1330"/>
      <c r="BJ326" s="1262"/>
      <c r="BK326" s="1293" t="n">
        <v>0</v>
      </c>
      <c r="BL326" s="163"/>
      <c r="BM326" s="163"/>
      <c r="BN326" s="163"/>
      <c r="BS326" s="1262" t="n">
        <v>0</v>
      </c>
    </row>
    <row r="327" customFormat="false" ht="12.75" hidden="false" customHeight="false" outlineLevel="0" collapsed="false">
      <c r="A327" s="1246"/>
      <c r="B327" s="1252"/>
      <c r="C327" s="1252"/>
      <c r="D327" s="1252"/>
      <c r="E327" s="1252"/>
      <c r="F327" s="1252"/>
      <c r="G327" s="1252"/>
      <c r="H327" s="1252"/>
      <c r="I327" s="1252"/>
      <c r="J327" s="1252"/>
      <c r="K327" s="1254"/>
      <c r="L327" s="1252"/>
      <c r="M327" s="1252"/>
      <c r="N327" s="1252"/>
      <c r="O327" s="1252"/>
      <c r="P327" s="1252"/>
      <c r="Q327" s="1252"/>
      <c r="R327" s="1252"/>
      <c r="S327" s="1252"/>
      <c r="T327" s="1252"/>
      <c r="U327" s="1252"/>
      <c r="V327" s="1252"/>
      <c r="W327" s="1252"/>
      <c r="X327" s="1252"/>
      <c r="Y327" s="1252"/>
      <c r="Z327" s="1252"/>
      <c r="AA327" s="1252"/>
      <c r="AB327" s="1252"/>
      <c r="AC327" s="1252"/>
      <c r="AD327" s="1252"/>
      <c r="AE327" s="1252"/>
      <c r="AF327" s="1252"/>
      <c r="AG327" s="1252"/>
      <c r="AH327" s="1252"/>
      <c r="AI327" s="1252"/>
      <c r="AJ327" s="1252"/>
      <c r="AK327" s="1252"/>
      <c r="AL327" s="1252"/>
      <c r="AM327" s="1252"/>
      <c r="AN327" s="1252"/>
      <c r="AO327" s="1252"/>
      <c r="AP327" s="1252"/>
      <c r="AQ327" s="0"/>
      <c r="AR327" s="0"/>
      <c r="AS327" s="0"/>
      <c r="AT327" s="0"/>
      <c r="AU327" s="0"/>
      <c r="AV327" s="807"/>
      <c r="AW327" s="1304"/>
      <c r="AX327" s="112"/>
      <c r="AY327" s="112"/>
      <c r="AZ327" s="112"/>
      <c r="BA327" s="163"/>
      <c r="BB327" s="163"/>
      <c r="BC327" s="163"/>
      <c r="BE327" s="163"/>
      <c r="BG327" s="1329"/>
      <c r="BH327" s="112"/>
      <c r="BI327" s="1330"/>
      <c r="BJ327" s="1262"/>
      <c r="BK327" s="1293" t="n">
        <v>0</v>
      </c>
      <c r="BL327" s="163"/>
      <c r="BM327" s="163"/>
      <c r="BN327" s="163"/>
      <c r="BS327" s="1262" t="n">
        <v>0</v>
      </c>
    </row>
    <row r="328" customFormat="false" ht="12.75" hidden="false" customHeight="false" outlineLevel="0" collapsed="false">
      <c r="A328" s="1246"/>
      <c r="B328" s="1252"/>
      <c r="C328" s="1252"/>
      <c r="D328" s="1252"/>
      <c r="E328" s="1252"/>
      <c r="F328" s="1252"/>
      <c r="G328" s="1252"/>
      <c r="H328" s="1252"/>
      <c r="I328" s="1252"/>
      <c r="J328" s="1252"/>
      <c r="K328" s="1254"/>
      <c r="L328" s="1252"/>
      <c r="M328" s="1252"/>
      <c r="N328" s="1252"/>
      <c r="O328" s="1252"/>
      <c r="P328" s="1252"/>
      <c r="Q328" s="1252"/>
      <c r="R328" s="1252"/>
      <c r="S328" s="1252"/>
      <c r="T328" s="1252"/>
      <c r="U328" s="1252"/>
      <c r="V328" s="1252"/>
      <c r="W328" s="1252"/>
      <c r="X328" s="1252"/>
      <c r="Y328" s="1252"/>
      <c r="Z328" s="1252"/>
      <c r="AA328" s="1252"/>
      <c r="AB328" s="1252"/>
      <c r="AC328" s="1252"/>
      <c r="AD328" s="1252"/>
      <c r="AE328" s="1252"/>
      <c r="AF328" s="1252"/>
      <c r="AG328" s="1252"/>
      <c r="AH328" s="1252"/>
      <c r="AI328" s="1252"/>
      <c r="AJ328" s="1252"/>
      <c r="AK328" s="1252"/>
      <c r="AL328" s="1252"/>
      <c r="AM328" s="1252"/>
      <c r="AN328" s="1252"/>
      <c r="AO328" s="1252"/>
      <c r="AP328" s="1252"/>
      <c r="AQ328" s="0"/>
      <c r="AR328" s="0"/>
      <c r="AS328" s="0"/>
      <c r="AT328" s="0"/>
      <c r="AU328" s="0"/>
      <c r="AV328" s="807"/>
      <c r="AW328" s="1304"/>
      <c r="AX328" s="112"/>
      <c r="AY328" s="112"/>
      <c r="AZ328" s="112"/>
      <c r="BA328" s="163"/>
      <c r="BB328" s="163"/>
      <c r="BC328" s="163"/>
      <c r="BE328" s="163"/>
      <c r="BG328" s="1329"/>
      <c r="BH328" s="112"/>
      <c r="BI328" s="1330"/>
      <c r="BJ328" s="1262"/>
      <c r="BK328" s="1293" t="n">
        <v>0</v>
      </c>
      <c r="BL328" s="163"/>
      <c r="BM328" s="163"/>
      <c r="BN328" s="163"/>
      <c r="BS328" s="1262" t="n">
        <v>0</v>
      </c>
    </row>
    <row r="329" customFormat="false" ht="12.75" hidden="false" customHeight="false" outlineLevel="0" collapsed="false">
      <c r="A329" s="1246"/>
      <c r="B329" s="1252"/>
      <c r="C329" s="1252"/>
      <c r="D329" s="1252"/>
      <c r="E329" s="1252"/>
      <c r="F329" s="1252"/>
      <c r="G329" s="1252"/>
      <c r="H329" s="1252"/>
      <c r="I329" s="1252"/>
      <c r="J329" s="1252"/>
      <c r="K329" s="1254"/>
      <c r="L329" s="1252"/>
      <c r="M329" s="1252"/>
      <c r="N329" s="1252"/>
      <c r="O329" s="1252"/>
      <c r="P329" s="1252"/>
      <c r="Q329" s="1252"/>
      <c r="R329" s="1252"/>
      <c r="S329" s="1252"/>
      <c r="T329" s="1252"/>
      <c r="U329" s="1252"/>
      <c r="V329" s="1252"/>
      <c r="W329" s="1252"/>
      <c r="X329" s="1252"/>
      <c r="Y329" s="1252"/>
      <c r="Z329" s="1252"/>
      <c r="AA329" s="1252"/>
      <c r="AB329" s="1252"/>
      <c r="AC329" s="1252"/>
      <c r="AD329" s="1252"/>
      <c r="AE329" s="1252"/>
      <c r="AF329" s="1252"/>
      <c r="AG329" s="1252"/>
      <c r="AH329" s="1252"/>
      <c r="AI329" s="1252"/>
      <c r="AJ329" s="1252"/>
      <c r="AK329" s="1252"/>
      <c r="AL329" s="1252"/>
      <c r="AM329" s="1252"/>
      <c r="AN329" s="1252"/>
      <c r="AO329" s="1252"/>
      <c r="AP329" s="1252"/>
      <c r="AQ329" s="0"/>
      <c r="AR329" s="0"/>
      <c r="AS329" s="0"/>
      <c r="AT329" s="0"/>
      <c r="AU329" s="0"/>
      <c r="AV329" s="807"/>
      <c r="AW329" s="1304"/>
      <c r="AX329" s="112"/>
      <c r="AY329" s="112"/>
      <c r="AZ329" s="112"/>
      <c r="BA329" s="163"/>
      <c r="BB329" s="163"/>
      <c r="BC329" s="163"/>
      <c r="BE329" s="163"/>
      <c r="BG329" s="1329"/>
      <c r="BH329" s="112"/>
      <c r="BI329" s="1330"/>
      <c r="BJ329" s="1262"/>
      <c r="BK329" s="1293" t="n">
        <v>0</v>
      </c>
      <c r="BL329" s="163"/>
      <c r="BM329" s="163"/>
      <c r="BN329" s="163"/>
      <c r="BS329" s="1262" t="n">
        <v>0</v>
      </c>
    </row>
    <row r="330" customFormat="false" ht="12.75" hidden="false" customHeight="false" outlineLevel="0" collapsed="false">
      <c r="A330" s="1246"/>
      <c r="B330" s="1252"/>
      <c r="C330" s="1252"/>
      <c r="D330" s="1252"/>
      <c r="E330" s="1252"/>
      <c r="F330" s="1252"/>
      <c r="G330" s="1252"/>
      <c r="H330" s="1252"/>
      <c r="I330" s="1252"/>
      <c r="J330" s="1252"/>
      <c r="K330" s="1254"/>
      <c r="L330" s="1252"/>
      <c r="M330" s="1252"/>
      <c r="N330" s="1252"/>
      <c r="O330" s="1252"/>
      <c r="P330" s="1252"/>
      <c r="Q330" s="1252"/>
      <c r="R330" s="1252"/>
      <c r="S330" s="1252"/>
      <c r="T330" s="1252"/>
      <c r="U330" s="1252"/>
      <c r="V330" s="1252"/>
      <c r="W330" s="1252"/>
      <c r="X330" s="1252"/>
      <c r="Y330" s="1252"/>
      <c r="Z330" s="1252"/>
      <c r="AA330" s="1252"/>
      <c r="AB330" s="1252"/>
      <c r="AC330" s="1252"/>
      <c r="AD330" s="1252"/>
      <c r="AE330" s="1252"/>
      <c r="AF330" s="1252"/>
      <c r="AG330" s="1252"/>
      <c r="AH330" s="1252"/>
      <c r="AI330" s="1252"/>
      <c r="AJ330" s="1252"/>
      <c r="AK330" s="1252"/>
      <c r="AL330" s="1252"/>
      <c r="AM330" s="1252"/>
      <c r="AN330" s="1252"/>
      <c r="AO330" s="1252"/>
      <c r="AP330" s="1252"/>
      <c r="AQ330" s="0"/>
      <c r="AR330" s="0"/>
      <c r="AS330" s="0"/>
      <c r="AT330" s="0"/>
      <c r="AU330" s="0"/>
      <c r="AV330" s="807"/>
      <c r="AW330" s="1304"/>
      <c r="AX330" s="112"/>
      <c r="AY330" s="112"/>
      <c r="AZ330" s="112"/>
      <c r="BA330" s="163"/>
      <c r="BB330" s="163"/>
      <c r="BC330" s="163"/>
      <c r="BE330" s="163"/>
      <c r="BG330" s="1329"/>
      <c r="BH330" s="112"/>
      <c r="BI330" s="1330"/>
      <c r="BJ330" s="1262"/>
      <c r="BK330" s="1293" t="n">
        <v>0</v>
      </c>
      <c r="BL330" s="163"/>
      <c r="BM330" s="163"/>
      <c r="BN330" s="163"/>
      <c r="BS330" s="1262" t="n">
        <v>0</v>
      </c>
    </row>
    <row r="331" customFormat="false" ht="12.75" hidden="false" customHeight="false" outlineLevel="0" collapsed="false">
      <c r="A331" s="1246"/>
      <c r="B331" s="1252"/>
      <c r="C331" s="1252"/>
      <c r="D331" s="1252"/>
      <c r="E331" s="1252"/>
      <c r="F331" s="1252"/>
      <c r="G331" s="1252"/>
      <c r="H331" s="1252"/>
      <c r="I331" s="1252"/>
      <c r="J331" s="1252"/>
      <c r="K331" s="1254"/>
      <c r="L331" s="1252"/>
      <c r="M331" s="1252"/>
      <c r="N331" s="1252"/>
      <c r="O331" s="1252"/>
      <c r="P331" s="1252"/>
      <c r="Q331" s="1252"/>
      <c r="R331" s="1252"/>
      <c r="S331" s="1252"/>
      <c r="T331" s="1252"/>
      <c r="U331" s="1252"/>
      <c r="V331" s="1252"/>
      <c r="W331" s="1252"/>
      <c r="X331" s="1252"/>
      <c r="Y331" s="1252"/>
      <c r="Z331" s="1252"/>
      <c r="AA331" s="1252"/>
      <c r="AB331" s="1252"/>
      <c r="AC331" s="1252"/>
      <c r="AD331" s="1252"/>
      <c r="AE331" s="1252"/>
      <c r="AF331" s="1252"/>
      <c r="AG331" s="1252"/>
      <c r="AH331" s="1252"/>
      <c r="AI331" s="1252"/>
      <c r="AJ331" s="1252"/>
      <c r="AK331" s="1252"/>
      <c r="AL331" s="1252"/>
      <c r="AM331" s="1252"/>
      <c r="AN331" s="1252"/>
      <c r="AO331" s="1252"/>
      <c r="AP331" s="1252"/>
      <c r="AQ331" s="0"/>
      <c r="AR331" s="0"/>
      <c r="AS331" s="0"/>
      <c r="AT331" s="0"/>
      <c r="AU331" s="0"/>
      <c r="AV331" s="807"/>
      <c r="AW331" s="1304"/>
      <c r="AX331" s="112"/>
      <c r="AY331" s="112"/>
      <c r="AZ331" s="112"/>
      <c r="BA331" s="163"/>
      <c r="BB331" s="163"/>
      <c r="BC331" s="163"/>
      <c r="BE331" s="163"/>
      <c r="BG331" s="1329"/>
      <c r="BH331" s="112"/>
      <c r="BI331" s="1330"/>
      <c r="BJ331" s="1262"/>
      <c r="BK331" s="1293" t="n">
        <v>0</v>
      </c>
      <c r="BL331" s="163"/>
      <c r="BM331" s="163"/>
      <c r="BN331" s="163"/>
      <c r="BS331" s="1262" t="n">
        <v>0</v>
      </c>
    </row>
    <row r="332" customFormat="false" ht="12.75" hidden="false" customHeight="false" outlineLevel="0" collapsed="false">
      <c r="A332" s="1246"/>
      <c r="B332" s="1252"/>
      <c r="C332" s="1252"/>
      <c r="D332" s="1252"/>
      <c r="E332" s="1252"/>
      <c r="F332" s="1252"/>
      <c r="G332" s="1252"/>
      <c r="H332" s="1252"/>
      <c r="I332" s="1252"/>
      <c r="J332" s="1252"/>
      <c r="K332" s="1254"/>
      <c r="L332" s="1252"/>
      <c r="M332" s="1252"/>
      <c r="N332" s="1252"/>
      <c r="O332" s="1252"/>
      <c r="P332" s="1252"/>
      <c r="Q332" s="1252"/>
      <c r="R332" s="1252"/>
      <c r="S332" s="1252"/>
      <c r="T332" s="1252"/>
      <c r="U332" s="1252"/>
      <c r="V332" s="1252"/>
      <c r="W332" s="1252"/>
      <c r="X332" s="1252"/>
      <c r="Y332" s="1252"/>
      <c r="Z332" s="1252"/>
      <c r="AA332" s="1252"/>
      <c r="AB332" s="1252"/>
      <c r="AC332" s="1252"/>
      <c r="AD332" s="1252"/>
      <c r="AE332" s="1252"/>
      <c r="AF332" s="1252"/>
      <c r="AG332" s="1252"/>
      <c r="AH332" s="1252"/>
      <c r="AI332" s="1252"/>
      <c r="AJ332" s="1252"/>
      <c r="AK332" s="1252"/>
      <c r="AL332" s="1252"/>
      <c r="AM332" s="1252"/>
      <c r="AN332" s="1252"/>
      <c r="AO332" s="1252"/>
      <c r="AP332" s="1252"/>
      <c r="AQ332" s="0"/>
      <c r="AR332" s="0"/>
      <c r="AS332" s="0"/>
      <c r="AT332" s="0"/>
      <c r="AU332" s="0"/>
      <c r="AV332" s="807"/>
      <c r="AW332" s="1304"/>
      <c r="AX332" s="112"/>
      <c r="AY332" s="112"/>
      <c r="AZ332" s="112"/>
      <c r="BA332" s="163"/>
      <c r="BB332" s="163"/>
      <c r="BC332" s="163"/>
      <c r="BE332" s="163"/>
      <c r="BG332" s="1329"/>
      <c r="BH332" s="112"/>
      <c r="BI332" s="1330"/>
      <c r="BJ332" s="1262"/>
      <c r="BK332" s="1293" t="n">
        <v>0</v>
      </c>
      <c r="BL332" s="163"/>
      <c r="BM332" s="163"/>
      <c r="BN332" s="163"/>
      <c r="BS332" s="1262" t="n">
        <v>0</v>
      </c>
    </row>
    <row r="333" customFormat="false" ht="12.75" hidden="false" customHeight="false" outlineLevel="0" collapsed="false">
      <c r="A333" s="1246"/>
      <c r="B333" s="1252"/>
      <c r="C333" s="1252"/>
      <c r="D333" s="1252"/>
      <c r="E333" s="1252"/>
      <c r="F333" s="1252"/>
      <c r="G333" s="1252"/>
      <c r="H333" s="1252"/>
      <c r="I333" s="1252"/>
      <c r="J333" s="1252"/>
      <c r="K333" s="1254"/>
      <c r="L333" s="1252"/>
      <c r="M333" s="1252"/>
      <c r="N333" s="1252"/>
      <c r="O333" s="1252"/>
      <c r="P333" s="1252"/>
      <c r="Q333" s="1252"/>
      <c r="R333" s="1252"/>
      <c r="S333" s="1252"/>
      <c r="T333" s="1252"/>
      <c r="U333" s="1252"/>
      <c r="V333" s="1252"/>
      <c r="W333" s="1252"/>
      <c r="X333" s="1252"/>
      <c r="Y333" s="1252"/>
      <c r="Z333" s="1252"/>
      <c r="AA333" s="1252"/>
      <c r="AB333" s="1252"/>
      <c r="AC333" s="1252"/>
      <c r="AD333" s="1252"/>
      <c r="AE333" s="1252"/>
      <c r="AF333" s="1252"/>
      <c r="AG333" s="1252"/>
      <c r="AH333" s="1252"/>
      <c r="AI333" s="1252"/>
      <c r="AJ333" s="1252"/>
      <c r="AK333" s="1252"/>
      <c r="AL333" s="1252"/>
      <c r="AM333" s="1252"/>
      <c r="AN333" s="1252"/>
      <c r="AO333" s="1252"/>
      <c r="AP333" s="1252"/>
      <c r="AQ333" s="0"/>
      <c r="AR333" s="0"/>
      <c r="AS333" s="0"/>
      <c r="AT333" s="0"/>
      <c r="AU333" s="0"/>
      <c r="AV333" s="807"/>
      <c r="AW333" s="1304"/>
      <c r="AX333" s="112"/>
      <c r="AY333" s="112"/>
      <c r="AZ333" s="112"/>
      <c r="BA333" s="163"/>
      <c r="BB333" s="163"/>
      <c r="BC333" s="163"/>
      <c r="BE333" s="163"/>
      <c r="BG333" s="1329"/>
      <c r="BH333" s="112"/>
      <c r="BI333" s="1330"/>
      <c r="BJ333" s="1262"/>
      <c r="BK333" s="1293" t="n">
        <v>0</v>
      </c>
      <c r="BL333" s="163"/>
      <c r="BM333" s="163"/>
      <c r="BN333" s="163"/>
      <c r="BS333" s="1262" t="n">
        <v>0</v>
      </c>
    </row>
    <row r="334" customFormat="false" ht="12.75" hidden="false" customHeight="false" outlineLevel="0" collapsed="false">
      <c r="A334" s="1246"/>
      <c r="B334" s="1252"/>
      <c r="C334" s="1252"/>
      <c r="D334" s="1252"/>
      <c r="E334" s="1252"/>
      <c r="F334" s="1252"/>
      <c r="G334" s="1252"/>
      <c r="H334" s="1252"/>
      <c r="I334" s="1252"/>
      <c r="J334" s="1252"/>
      <c r="K334" s="1254"/>
      <c r="L334" s="1252"/>
      <c r="M334" s="1252"/>
      <c r="N334" s="1252"/>
      <c r="O334" s="1252"/>
      <c r="P334" s="1252"/>
      <c r="Q334" s="1252"/>
      <c r="R334" s="1252"/>
      <c r="S334" s="1252"/>
      <c r="T334" s="1252"/>
      <c r="U334" s="1252"/>
      <c r="V334" s="1252"/>
      <c r="W334" s="1252"/>
      <c r="X334" s="1252"/>
      <c r="Y334" s="1252"/>
      <c r="Z334" s="1252"/>
      <c r="AA334" s="1252"/>
      <c r="AB334" s="1252"/>
      <c r="AC334" s="1252"/>
      <c r="AD334" s="1252"/>
      <c r="AE334" s="1252"/>
      <c r="AF334" s="1252"/>
      <c r="AG334" s="1252"/>
      <c r="AH334" s="1252"/>
      <c r="AI334" s="1252"/>
      <c r="AJ334" s="1252"/>
      <c r="AK334" s="1252"/>
      <c r="AL334" s="1252"/>
      <c r="AM334" s="1252"/>
      <c r="AN334" s="1252"/>
      <c r="AO334" s="1252"/>
      <c r="AP334" s="1252"/>
      <c r="AQ334" s="0"/>
      <c r="AR334" s="0"/>
      <c r="AS334" s="0"/>
      <c r="AT334" s="0"/>
      <c r="AU334" s="0"/>
      <c r="AV334" s="807"/>
      <c r="AW334" s="1304"/>
      <c r="AX334" s="112"/>
      <c r="AY334" s="112"/>
      <c r="AZ334" s="112"/>
      <c r="BA334" s="163"/>
      <c r="BB334" s="163"/>
      <c r="BC334" s="163"/>
      <c r="BE334" s="163"/>
      <c r="BG334" s="1329"/>
      <c r="BH334" s="112"/>
      <c r="BI334" s="1330"/>
      <c r="BJ334" s="1262"/>
      <c r="BK334" s="1293" t="n">
        <v>0</v>
      </c>
      <c r="BL334" s="163"/>
      <c r="BM334" s="163"/>
      <c r="BN334" s="163"/>
      <c r="BS334" s="1262" t="n">
        <v>0</v>
      </c>
    </row>
    <row r="335" customFormat="false" ht="12.75" hidden="false" customHeight="false" outlineLevel="0" collapsed="false">
      <c r="A335" s="1246"/>
      <c r="B335" s="1252"/>
      <c r="C335" s="1252"/>
      <c r="D335" s="1252"/>
      <c r="E335" s="1252"/>
      <c r="F335" s="1252"/>
      <c r="G335" s="1252"/>
      <c r="H335" s="1252"/>
      <c r="I335" s="1252"/>
      <c r="J335" s="1252"/>
      <c r="K335" s="1254"/>
      <c r="L335" s="1252"/>
      <c r="M335" s="1252"/>
      <c r="N335" s="1252"/>
      <c r="O335" s="1252"/>
      <c r="P335" s="1252"/>
      <c r="Q335" s="1252"/>
      <c r="R335" s="1252"/>
      <c r="S335" s="1252"/>
      <c r="T335" s="1252"/>
      <c r="U335" s="1252"/>
      <c r="V335" s="1252"/>
      <c r="W335" s="1252"/>
      <c r="X335" s="1252"/>
      <c r="Y335" s="1252"/>
      <c r="Z335" s="1252"/>
      <c r="AA335" s="1252"/>
      <c r="AB335" s="1252"/>
      <c r="AC335" s="1252"/>
      <c r="AD335" s="1252"/>
      <c r="AE335" s="1252"/>
      <c r="AF335" s="1252"/>
      <c r="AG335" s="1252"/>
      <c r="AH335" s="1252"/>
      <c r="AI335" s="1252"/>
      <c r="AJ335" s="1252"/>
      <c r="AK335" s="1252"/>
      <c r="AL335" s="1252"/>
      <c r="AM335" s="1252"/>
      <c r="AN335" s="1252"/>
      <c r="AO335" s="1252"/>
      <c r="AP335" s="1252"/>
      <c r="AQ335" s="0"/>
      <c r="AR335" s="0"/>
      <c r="AS335" s="0"/>
      <c r="AT335" s="0"/>
      <c r="AU335" s="0"/>
      <c r="AV335" s="807"/>
      <c r="AW335" s="1304"/>
      <c r="AX335" s="112"/>
      <c r="AY335" s="112"/>
      <c r="AZ335" s="112"/>
      <c r="BA335" s="163"/>
      <c r="BB335" s="163"/>
      <c r="BC335" s="163"/>
      <c r="BE335" s="163"/>
      <c r="BG335" s="1329"/>
      <c r="BH335" s="112"/>
      <c r="BI335" s="1330"/>
      <c r="BJ335" s="1262"/>
      <c r="BK335" s="1293" t="n">
        <v>0</v>
      </c>
      <c r="BL335" s="163"/>
      <c r="BM335" s="163"/>
      <c r="BN335" s="163"/>
      <c r="BS335" s="1262" t="n">
        <v>0</v>
      </c>
    </row>
    <row r="336" customFormat="false" ht="12.75" hidden="false" customHeight="false" outlineLevel="0" collapsed="false">
      <c r="A336" s="1246"/>
      <c r="B336" s="1252"/>
      <c r="C336" s="1252"/>
      <c r="D336" s="1252"/>
      <c r="E336" s="1252"/>
      <c r="F336" s="1252"/>
      <c r="G336" s="1252"/>
      <c r="H336" s="1252"/>
      <c r="I336" s="1252"/>
      <c r="J336" s="1252"/>
      <c r="K336" s="1254"/>
      <c r="L336" s="1252"/>
      <c r="M336" s="1252"/>
      <c r="N336" s="1252"/>
      <c r="O336" s="1252"/>
      <c r="P336" s="1252"/>
      <c r="Q336" s="1252"/>
      <c r="R336" s="1252"/>
      <c r="S336" s="1252"/>
      <c r="T336" s="1252"/>
      <c r="U336" s="1252"/>
      <c r="V336" s="1252"/>
      <c r="W336" s="1252"/>
      <c r="X336" s="1252"/>
      <c r="Y336" s="1252"/>
      <c r="Z336" s="1252"/>
      <c r="AA336" s="1252"/>
      <c r="AB336" s="1252"/>
      <c r="AC336" s="1252"/>
      <c r="AD336" s="1252"/>
      <c r="AE336" s="1252"/>
      <c r="AF336" s="1252"/>
      <c r="AG336" s="1252"/>
      <c r="AH336" s="1252"/>
      <c r="AI336" s="1252"/>
      <c r="AJ336" s="1252"/>
      <c r="AK336" s="1252"/>
      <c r="AL336" s="1252"/>
      <c r="AM336" s="1252"/>
      <c r="AN336" s="1252"/>
      <c r="AO336" s="1252"/>
      <c r="AP336" s="1252"/>
      <c r="AQ336" s="0"/>
      <c r="AR336" s="0"/>
      <c r="AS336" s="0"/>
      <c r="AT336" s="0"/>
      <c r="AU336" s="0"/>
      <c r="AV336" s="807"/>
      <c r="AW336" s="1304"/>
      <c r="AX336" s="112"/>
      <c r="AY336" s="112"/>
      <c r="AZ336" s="112"/>
      <c r="BA336" s="163"/>
      <c r="BB336" s="163"/>
      <c r="BC336" s="163"/>
      <c r="BE336" s="163"/>
      <c r="BG336" s="1329"/>
      <c r="BH336" s="112"/>
      <c r="BI336" s="1330"/>
      <c r="BJ336" s="1262"/>
      <c r="BK336" s="1293" t="n">
        <v>0</v>
      </c>
      <c r="BL336" s="163"/>
      <c r="BM336" s="163"/>
      <c r="BN336" s="163"/>
      <c r="BS336" s="1262" t="n">
        <v>0</v>
      </c>
    </row>
    <row r="337" customFormat="false" ht="12.75" hidden="false" customHeight="false" outlineLevel="0" collapsed="false">
      <c r="A337" s="1246"/>
      <c r="B337" s="1252"/>
      <c r="C337" s="1252"/>
      <c r="D337" s="1252"/>
      <c r="E337" s="1252"/>
      <c r="F337" s="1252"/>
      <c r="G337" s="1252"/>
      <c r="H337" s="1252"/>
      <c r="I337" s="1252"/>
      <c r="J337" s="1252"/>
      <c r="K337" s="1254"/>
      <c r="L337" s="1252"/>
      <c r="M337" s="1252"/>
      <c r="N337" s="1252"/>
      <c r="O337" s="1252"/>
      <c r="P337" s="1252"/>
      <c r="Q337" s="1252"/>
      <c r="R337" s="1252"/>
      <c r="S337" s="1252"/>
      <c r="T337" s="1252"/>
      <c r="U337" s="1252"/>
      <c r="V337" s="1252"/>
      <c r="W337" s="1252"/>
      <c r="X337" s="1252"/>
      <c r="Y337" s="1252"/>
      <c r="Z337" s="1252"/>
      <c r="AA337" s="1252"/>
      <c r="AB337" s="1252"/>
      <c r="AC337" s="1252"/>
      <c r="AD337" s="1252"/>
      <c r="AE337" s="1252"/>
      <c r="AF337" s="1252"/>
      <c r="AG337" s="1252"/>
      <c r="AH337" s="1252"/>
      <c r="AI337" s="1252"/>
      <c r="AJ337" s="1252"/>
      <c r="AK337" s="1252"/>
      <c r="AL337" s="1252"/>
      <c r="AM337" s="1252"/>
      <c r="AN337" s="1252"/>
      <c r="AO337" s="1252"/>
      <c r="AP337" s="1252"/>
      <c r="AQ337" s="0"/>
      <c r="AR337" s="0"/>
      <c r="AS337" s="0"/>
      <c r="AT337" s="0"/>
      <c r="AU337" s="0"/>
      <c r="AV337" s="807"/>
      <c r="AW337" s="1304"/>
      <c r="AX337" s="112"/>
      <c r="AY337" s="112"/>
      <c r="AZ337" s="112"/>
      <c r="BA337" s="163"/>
      <c r="BB337" s="163"/>
      <c r="BC337" s="163"/>
      <c r="BE337" s="163"/>
      <c r="BG337" s="1329"/>
      <c r="BH337" s="112"/>
      <c r="BI337" s="1330"/>
      <c r="BJ337" s="1262"/>
      <c r="BK337" s="1293" t="n">
        <v>0</v>
      </c>
      <c r="BL337" s="163"/>
      <c r="BM337" s="163"/>
      <c r="BN337" s="163"/>
      <c r="BS337" s="1262" t="n">
        <v>0</v>
      </c>
    </row>
    <row r="338" customFormat="false" ht="12.75" hidden="false" customHeight="false" outlineLevel="0" collapsed="false">
      <c r="A338" s="1246"/>
      <c r="B338" s="1252"/>
      <c r="C338" s="1252"/>
      <c r="D338" s="1252"/>
      <c r="E338" s="1252"/>
      <c r="F338" s="1252"/>
      <c r="G338" s="1252"/>
      <c r="H338" s="1252"/>
      <c r="I338" s="1252"/>
      <c r="J338" s="1252"/>
      <c r="K338" s="1254"/>
      <c r="L338" s="1252"/>
      <c r="M338" s="1252"/>
      <c r="N338" s="1252"/>
      <c r="O338" s="1252"/>
      <c r="P338" s="1252"/>
      <c r="Q338" s="1252"/>
      <c r="R338" s="1252"/>
      <c r="S338" s="1252"/>
      <c r="T338" s="1252"/>
      <c r="U338" s="1252"/>
      <c r="V338" s="1252"/>
      <c r="W338" s="1252"/>
      <c r="X338" s="1252"/>
      <c r="Y338" s="1252"/>
      <c r="Z338" s="1252"/>
      <c r="AA338" s="1252"/>
      <c r="AB338" s="1252"/>
      <c r="AC338" s="1252"/>
      <c r="AD338" s="1252"/>
      <c r="AE338" s="1252"/>
      <c r="AF338" s="1252"/>
      <c r="AG338" s="1252"/>
      <c r="AH338" s="1252"/>
      <c r="AI338" s="1252"/>
      <c r="AJ338" s="1252"/>
      <c r="AK338" s="1252"/>
      <c r="AL338" s="1252"/>
      <c r="AM338" s="1252"/>
      <c r="AN338" s="1252"/>
      <c r="AO338" s="1252"/>
      <c r="AP338" s="1252"/>
      <c r="AQ338" s="0"/>
      <c r="AR338" s="0"/>
      <c r="AS338" s="0"/>
      <c r="AT338" s="0"/>
      <c r="AU338" s="0"/>
      <c r="AV338" s="807"/>
      <c r="AW338" s="1304"/>
      <c r="AX338" s="112"/>
      <c r="AY338" s="112"/>
      <c r="AZ338" s="112"/>
      <c r="BA338" s="163"/>
      <c r="BB338" s="163"/>
      <c r="BC338" s="163"/>
      <c r="BE338" s="163"/>
      <c r="BG338" s="1329"/>
      <c r="BH338" s="112"/>
      <c r="BI338" s="1330"/>
      <c r="BJ338" s="1262"/>
      <c r="BK338" s="1293" t="n">
        <v>0</v>
      </c>
      <c r="BL338" s="163"/>
      <c r="BM338" s="163"/>
      <c r="BN338" s="163"/>
      <c r="BS338" s="1262" t="n">
        <v>0</v>
      </c>
    </row>
    <row r="339" customFormat="false" ht="12.75" hidden="false" customHeight="false" outlineLevel="0" collapsed="false">
      <c r="A339" s="1246"/>
      <c r="B339" s="1252"/>
      <c r="C339" s="1252"/>
      <c r="D339" s="1252"/>
      <c r="E339" s="1252"/>
      <c r="F339" s="1252"/>
      <c r="G339" s="1252"/>
      <c r="H339" s="1252"/>
      <c r="I339" s="1252"/>
      <c r="J339" s="1252"/>
      <c r="K339" s="1254"/>
      <c r="L339" s="1252"/>
      <c r="M339" s="1252"/>
      <c r="N339" s="1252"/>
      <c r="O339" s="1252"/>
      <c r="P339" s="1252"/>
      <c r="Q339" s="1252"/>
      <c r="R339" s="1252"/>
      <c r="S339" s="1252"/>
      <c r="T339" s="1252"/>
      <c r="U339" s="1252"/>
      <c r="V339" s="1252"/>
      <c r="W339" s="1252"/>
      <c r="X339" s="1252"/>
      <c r="Y339" s="1252"/>
      <c r="Z339" s="1252"/>
      <c r="AA339" s="1252"/>
      <c r="AB339" s="1252"/>
      <c r="AC339" s="1252"/>
      <c r="AD339" s="1252"/>
      <c r="AE339" s="1252"/>
      <c r="AF339" s="1252"/>
      <c r="AG339" s="1252"/>
      <c r="AH339" s="1252"/>
      <c r="AI339" s="1252"/>
      <c r="AJ339" s="1252"/>
      <c r="AK339" s="1252"/>
      <c r="AL339" s="1252"/>
      <c r="AM339" s="1252"/>
      <c r="AN339" s="1252"/>
      <c r="AO339" s="1252"/>
      <c r="AP339" s="1252"/>
      <c r="AQ339" s="0"/>
      <c r="AR339" s="0"/>
      <c r="AS339" s="0"/>
      <c r="AT339" s="0"/>
      <c r="AU339" s="0"/>
      <c r="AV339" s="807"/>
      <c r="AW339" s="1304"/>
      <c r="AX339" s="112"/>
      <c r="AY339" s="112"/>
      <c r="AZ339" s="112"/>
      <c r="BA339" s="163"/>
      <c r="BB339" s="163"/>
      <c r="BC339" s="163"/>
      <c r="BE339" s="163"/>
      <c r="BG339" s="1329"/>
      <c r="BH339" s="112"/>
      <c r="BI339" s="1330"/>
      <c r="BJ339" s="1262"/>
      <c r="BK339" s="1293" t="n">
        <v>0</v>
      </c>
      <c r="BL339" s="163"/>
      <c r="BM339" s="163"/>
      <c r="BN339" s="163"/>
      <c r="BS339" s="1262" t="n">
        <v>0</v>
      </c>
    </row>
    <row r="340" customFormat="false" ht="12.75" hidden="false" customHeight="false" outlineLevel="0" collapsed="false">
      <c r="A340" s="1246"/>
      <c r="B340" s="1252"/>
      <c r="C340" s="1252"/>
      <c r="D340" s="1252"/>
      <c r="E340" s="1252"/>
      <c r="F340" s="1252"/>
      <c r="G340" s="1252"/>
      <c r="H340" s="1252"/>
      <c r="I340" s="1252"/>
      <c r="J340" s="1252"/>
      <c r="K340" s="1254"/>
      <c r="L340" s="1252"/>
      <c r="M340" s="1252"/>
      <c r="N340" s="1252"/>
      <c r="O340" s="1252"/>
      <c r="P340" s="1252"/>
      <c r="Q340" s="1252"/>
      <c r="R340" s="1252"/>
      <c r="S340" s="1252"/>
      <c r="T340" s="1252"/>
      <c r="U340" s="1252"/>
      <c r="V340" s="1252"/>
      <c r="W340" s="1252"/>
      <c r="X340" s="1252"/>
      <c r="Y340" s="1252"/>
      <c r="Z340" s="1252"/>
      <c r="AA340" s="1252"/>
      <c r="AB340" s="1252"/>
      <c r="AC340" s="1252"/>
      <c r="AD340" s="1252"/>
      <c r="AE340" s="1252"/>
      <c r="AF340" s="1252"/>
      <c r="AG340" s="1252"/>
      <c r="AH340" s="1252"/>
      <c r="AI340" s="1252"/>
      <c r="AJ340" s="1252"/>
      <c r="AK340" s="1252"/>
      <c r="AL340" s="1252"/>
      <c r="AM340" s="1252"/>
      <c r="AN340" s="1252"/>
      <c r="AO340" s="1252"/>
      <c r="AP340" s="1252"/>
      <c r="AQ340" s="0"/>
      <c r="AR340" s="0"/>
      <c r="AS340" s="0"/>
      <c r="AT340" s="0"/>
      <c r="AU340" s="0"/>
      <c r="AV340" s="807"/>
      <c r="AW340" s="1304"/>
      <c r="AX340" s="112"/>
      <c r="AY340" s="112"/>
      <c r="AZ340" s="112"/>
      <c r="BA340" s="163"/>
      <c r="BB340" s="163"/>
      <c r="BC340" s="163"/>
      <c r="BE340" s="163"/>
      <c r="BG340" s="1329"/>
      <c r="BH340" s="112"/>
      <c r="BI340" s="1330"/>
      <c r="BJ340" s="1262"/>
      <c r="BK340" s="1293" t="n">
        <v>0</v>
      </c>
      <c r="BL340" s="163"/>
      <c r="BM340" s="163"/>
      <c r="BN340" s="163"/>
      <c r="BS340" s="1262" t="n">
        <v>0</v>
      </c>
    </row>
    <row r="341" customFormat="false" ht="12.75" hidden="false" customHeight="false" outlineLevel="0" collapsed="false">
      <c r="A341" s="1246"/>
      <c r="B341" s="1252"/>
      <c r="C341" s="1252"/>
      <c r="D341" s="1252"/>
      <c r="E341" s="1252"/>
      <c r="F341" s="1252"/>
      <c r="G341" s="1252"/>
      <c r="H341" s="1252"/>
      <c r="I341" s="1252"/>
      <c r="J341" s="1252"/>
      <c r="K341" s="1254"/>
      <c r="L341" s="1252"/>
      <c r="M341" s="1252"/>
      <c r="N341" s="1252"/>
      <c r="O341" s="1252"/>
      <c r="P341" s="1252"/>
      <c r="Q341" s="1252"/>
      <c r="R341" s="1252"/>
      <c r="S341" s="1252"/>
      <c r="T341" s="1252"/>
      <c r="U341" s="1252"/>
      <c r="V341" s="1252"/>
      <c r="W341" s="1252"/>
      <c r="X341" s="1252"/>
      <c r="Y341" s="1252"/>
      <c r="Z341" s="1252"/>
      <c r="AA341" s="1252"/>
      <c r="AB341" s="1252"/>
      <c r="AC341" s="1252"/>
      <c r="AD341" s="1252"/>
      <c r="AE341" s="1252"/>
      <c r="AF341" s="1252"/>
      <c r="AG341" s="1252"/>
      <c r="AH341" s="1252"/>
      <c r="AI341" s="1252"/>
      <c r="AJ341" s="1252"/>
      <c r="AK341" s="1252"/>
      <c r="AL341" s="1252"/>
      <c r="AM341" s="1252"/>
      <c r="AN341" s="1252"/>
      <c r="AO341" s="1252"/>
      <c r="AP341" s="1252"/>
      <c r="AQ341" s="0"/>
      <c r="AR341" s="0"/>
      <c r="AS341" s="0"/>
      <c r="AT341" s="0"/>
      <c r="AU341" s="0"/>
      <c r="AV341" s="807"/>
      <c r="AW341" s="1304"/>
      <c r="AX341" s="112"/>
      <c r="AY341" s="112"/>
      <c r="AZ341" s="112"/>
      <c r="BA341" s="163"/>
      <c r="BB341" s="163"/>
      <c r="BC341" s="163"/>
      <c r="BE341" s="163"/>
      <c r="BG341" s="1329"/>
      <c r="BH341" s="112"/>
      <c r="BI341" s="1330"/>
      <c r="BJ341" s="1262"/>
      <c r="BK341" s="1293" t="n">
        <v>0</v>
      </c>
      <c r="BL341" s="163"/>
      <c r="BM341" s="163"/>
      <c r="BN341" s="163"/>
      <c r="BS341" s="1262" t="n">
        <v>0</v>
      </c>
    </row>
    <row r="342" customFormat="false" ht="12.75" hidden="false" customHeight="false" outlineLevel="0" collapsed="false">
      <c r="A342" s="1246"/>
      <c r="B342" s="1252"/>
      <c r="C342" s="1252"/>
      <c r="D342" s="1252"/>
      <c r="E342" s="1252"/>
      <c r="F342" s="1252"/>
      <c r="G342" s="1252"/>
      <c r="H342" s="1252"/>
      <c r="I342" s="1252"/>
      <c r="J342" s="1252"/>
      <c r="K342" s="1254"/>
      <c r="L342" s="1252"/>
      <c r="M342" s="1252"/>
      <c r="N342" s="1252"/>
      <c r="O342" s="1252"/>
      <c r="P342" s="1252"/>
      <c r="Q342" s="1252"/>
      <c r="R342" s="1252"/>
      <c r="S342" s="1252"/>
      <c r="T342" s="1252"/>
      <c r="U342" s="1252"/>
      <c r="V342" s="1252"/>
      <c r="W342" s="1252"/>
      <c r="X342" s="1252"/>
      <c r="Y342" s="1252"/>
      <c r="Z342" s="1252"/>
      <c r="AA342" s="1252"/>
      <c r="AB342" s="1252"/>
      <c r="AC342" s="1252"/>
      <c r="AD342" s="1252"/>
      <c r="AE342" s="1252"/>
      <c r="AF342" s="1252"/>
      <c r="AG342" s="1252"/>
      <c r="AH342" s="1252"/>
      <c r="AI342" s="1252"/>
      <c r="AJ342" s="1252"/>
      <c r="AK342" s="1252"/>
      <c r="AL342" s="1252"/>
      <c r="AM342" s="1252"/>
      <c r="AN342" s="1252"/>
      <c r="AO342" s="1252"/>
      <c r="AP342" s="1252"/>
      <c r="AQ342" s="0"/>
      <c r="AR342" s="0"/>
      <c r="AS342" s="0"/>
      <c r="AT342" s="0"/>
      <c r="AU342" s="0"/>
      <c r="AV342" s="807"/>
      <c r="AW342" s="1304"/>
      <c r="AX342" s="112"/>
      <c r="AY342" s="112"/>
      <c r="AZ342" s="112"/>
      <c r="BA342" s="163"/>
      <c r="BB342" s="163"/>
      <c r="BC342" s="163"/>
      <c r="BE342" s="163"/>
      <c r="BG342" s="1329"/>
      <c r="BH342" s="112"/>
      <c r="BI342" s="1330"/>
      <c r="BJ342" s="1262"/>
      <c r="BK342" s="1293" t="n">
        <v>0</v>
      </c>
      <c r="BL342" s="163"/>
      <c r="BM342" s="163"/>
      <c r="BN342" s="163"/>
      <c r="BS342" s="1262" t="n">
        <v>0</v>
      </c>
    </row>
    <row r="343" customFormat="false" ht="12.75" hidden="false" customHeight="false" outlineLevel="0" collapsed="false">
      <c r="A343" s="1246"/>
      <c r="B343" s="1252"/>
      <c r="C343" s="1252"/>
      <c r="D343" s="1252"/>
      <c r="E343" s="1252"/>
      <c r="F343" s="1252"/>
      <c r="G343" s="1252"/>
      <c r="H343" s="1252"/>
      <c r="I343" s="1252"/>
      <c r="J343" s="1252"/>
      <c r="K343" s="1254"/>
      <c r="L343" s="1252"/>
      <c r="M343" s="1252"/>
      <c r="N343" s="1252"/>
      <c r="O343" s="1252"/>
      <c r="P343" s="1252"/>
      <c r="Q343" s="1252"/>
      <c r="R343" s="1252"/>
      <c r="S343" s="1252"/>
      <c r="T343" s="1252"/>
      <c r="U343" s="1252"/>
      <c r="V343" s="1252"/>
      <c r="W343" s="1252"/>
      <c r="X343" s="1252"/>
      <c r="Y343" s="1252"/>
      <c r="Z343" s="1252"/>
      <c r="AA343" s="1252"/>
      <c r="AB343" s="1252"/>
      <c r="AC343" s="1252"/>
      <c r="AD343" s="1252"/>
      <c r="AE343" s="1252"/>
      <c r="AF343" s="1252"/>
      <c r="AG343" s="1252"/>
      <c r="AH343" s="1252"/>
      <c r="AI343" s="1252"/>
      <c r="AJ343" s="1252"/>
      <c r="AK343" s="1252"/>
      <c r="AL343" s="1252"/>
      <c r="AM343" s="1252"/>
      <c r="AN343" s="1252"/>
      <c r="AO343" s="1252"/>
      <c r="AP343" s="1252"/>
      <c r="AQ343" s="0"/>
      <c r="AR343" s="0"/>
      <c r="AS343" s="0"/>
      <c r="AT343" s="0"/>
      <c r="AU343" s="0"/>
      <c r="AV343" s="807"/>
      <c r="AW343" s="1304"/>
      <c r="AX343" s="112"/>
      <c r="AY343" s="112"/>
      <c r="AZ343" s="112"/>
      <c r="BA343" s="163"/>
      <c r="BB343" s="163"/>
      <c r="BC343" s="163"/>
      <c r="BE343" s="163"/>
      <c r="BG343" s="1329"/>
      <c r="BH343" s="112"/>
      <c r="BI343" s="1330"/>
      <c r="BJ343" s="1262"/>
      <c r="BK343" s="1293" t="n">
        <v>0</v>
      </c>
      <c r="BL343" s="163"/>
      <c r="BM343" s="163"/>
      <c r="BN343" s="163"/>
      <c r="BS343" s="1262" t="n">
        <v>0</v>
      </c>
    </row>
    <row r="344" customFormat="false" ht="12.75" hidden="false" customHeight="false" outlineLevel="0" collapsed="false">
      <c r="A344" s="1246"/>
      <c r="B344" s="1252"/>
      <c r="C344" s="1252"/>
      <c r="D344" s="1252"/>
      <c r="E344" s="1252"/>
      <c r="F344" s="1252"/>
      <c r="G344" s="1252"/>
      <c r="H344" s="1252"/>
      <c r="I344" s="1252"/>
      <c r="J344" s="1252"/>
      <c r="K344" s="1254"/>
      <c r="L344" s="1252"/>
      <c r="M344" s="1252"/>
      <c r="N344" s="1252"/>
      <c r="O344" s="1252"/>
      <c r="P344" s="1252"/>
      <c r="Q344" s="1252"/>
      <c r="R344" s="1252"/>
      <c r="S344" s="1252"/>
      <c r="T344" s="1252"/>
      <c r="U344" s="1252"/>
      <c r="V344" s="1252"/>
      <c r="W344" s="1252"/>
      <c r="X344" s="1252"/>
      <c r="Y344" s="1252"/>
      <c r="Z344" s="1252"/>
      <c r="AA344" s="1252"/>
      <c r="AB344" s="1252"/>
      <c r="AC344" s="1252"/>
      <c r="AD344" s="1252"/>
      <c r="AE344" s="1252"/>
      <c r="AF344" s="1252"/>
      <c r="AG344" s="1252"/>
      <c r="AH344" s="1252"/>
      <c r="AI344" s="1252"/>
      <c r="AJ344" s="1252"/>
      <c r="AK344" s="1252"/>
      <c r="AL344" s="1252"/>
      <c r="AM344" s="1252"/>
      <c r="AN344" s="1252"/>
      <c r="AO344" s="1252"/>
      <c r="AP344" s="1252"/>
      <c r="AQ344" s="0"/>
      <c r="AR344" s="0"/>
      <c r="AS344" s="0"/>
      <c r="AT344" s="0"/>
      <c r="AU344" s="0"/>
      <c r="AV344" s="807"/>
      <c r="AW344" s="1304"/>
      <c r="AX344" s="112"/>
      <c r="AY344" s="112"/>
      <c r="AZ344" s="112"/>
      <c r="BA344" s="163"/>
      <c r="BB344" s="163"/>
      <c r="BC344" s="163"/>
      <c r="BE344" s="163"/>
      <c r="BG344" s="1329"/>
      <c r="BH344" s="112"/>
      <c r="BI344" s="1330"/>
      <c r="BJ344" s="1262"/>
      <c r="BK344" s="1293" t="n">
        <v>0</v>
      </c>
      <c r="BL344" s="163"/>
      <c r="BM344" s="163"/>
      <c r="BN344" s="163"/>
      <c r="BS344" s="1262" t="n">
        <v>0</v>
      </c>
    </row>
    <row r="345" customFormat="false" ht="12.75" hidden="false" customHeight="false" outlineLevel="0" collapsed="false">
      <c r="A345" s="1246"/>
      <c r="B345" s="1252"/>
      <c r="C345" s="1252"/>
      <c r="D345" s="1252"/>
      <c r="E345" s="1252"/>
      <c r="F345" s="1252"/>
      <c r="G345" s="1252"/>
      <c r="H345" s="1252"/>
      <c r="I345" s="1252"/>
      <c r="J345" s="1252"/>
      <c r="K345" s="1254"/>
      <c r="L345" s="1252"/>
      <c r="M345" s="1252"/>
      <c r="N345" s="1252"/>
      <c r="O345" s="1252"/>
      <c r="P345" s="1252"/>
      <c r="Q345" s="1252"/>
      <c r="R345" s="1252"/>
      <c r="S345" s="1252"/>
      <c r="T345" s="1252"/>
      <c r="U345" s="1252"/>
      <c r="V345" s="1252"/>
      <c r="W345" s="1252"/>
      <c r="X345" s="1252"/>
      <c r="Y345" s="1252"/>
      <c r="Z345" s="1252"/>
      <c r="AA345" s="1252"/>
      <c r="AB345" s="1252"/>
      <c r="AC345" s="1252"/>
      <c r="AD345" s="1252"/>
      <c r="AE345" s="1252"/>
      <c r="AF345" s="1252"/>
      <c r="AG345" s="1252"/>
      <c r="AH345" s="1252"/>
      <c r="AI345" s="1252"/>
      <c r="AJ345" s="1252"/>
      <c r="AK345" s="1252"/>
      <c r="AL345" s="1252"/>
      <c r="AM345" s="1252"/>
      <c r="AN345" s="1252"/>
      <c r="AO345" s="1252"/>
      <c r="AP345" s="1252"/>
      <c r="AQ345" s="0"/>
      <c r="AR345" s="0"/>
      <c r="AS345" s="0"/>
      <c r="AT345" s="0"/>
      <c r="AU345" s="0"/>
      <c r="AV345" s="807"/>
      <c r="AW345" s="1304"/>
      <c r="AX345" s="112"/>
      <c r="AY345" s="112"/>
      <c r="AZ345" s="112"/>
      <c r="BA345" s="163"/>
      <c r="BB345" s="163"/>
      <c r="BC345" s="163"/>
      <c r="BE345" s="163"/>
      <c r="BG345" s="1329"/>
      <c r="BH345" s="112"/>
      <c r="BI345" s="1330"/>
      <c r="BJ345" s="1262"/>
      <c r="BK345" s="1293" t="n">
        <v>0</v>
      </c>
      <c r="BL345" s="163"/>
      <c r="BM345" s="163"/>
      <c r="BN345" s="163"/>
      <c r="BS345" s="1262" t="n">
        <v>0</v>
      </c>
    </row>
    <row r="346" customFormat="false" ht="12.75" hidden="false" customHeight="false" outlineLevel="0" collapsed="false">
      <c r="A346" s="1246"/>
      <c r="B346" s="1252"/>
      <c r="C346" s="1252"/>
      <c r="D346" s="1252"/>
      <c r="E346" s="1252"/>
      <c r="F346" s="1252"/>
      <c r="G346" s="1252"/>
      <c r="H346" s="1252"/>
      <c r="I346" s="1252"/>
      <c r="J346" s="1252"/>
      <c r="K346" s="1254"/>
      <c r="L346" s="1252"/>
      <c r="M346" s="1252"/>
      <c r="N346" s="1252"/>
      <c r="O346" s="1252"/>
      <c r="P346" s="1252"/>
      <c r="Q346" s="1252"/>
      <c r="R346" s="1252"/>
      <c r="S346" s="1252"/>
      <c r="T346" s="1252"/>
      <c r="U346" s="1252"/>
      <c r="V346" s="1252"/>
      <c r="W346" s="1252"/>
      <c r="X346" s="1252"/>
      <c r="Y346" s="1252"/>
      <c r="Z346" s="1252"/>
      <c r="AA346" s="1252"/>
      <c r="AB346" s="1252"/>
      <c r="AC346" s="1252"/>
      <c r="AD346" s="1252"/>
      <c r="AE346" s="1252"/>
      <c r="AF346" s="1252"/>
      <c r="AG346" s="1252"/>
      <c r="AH346" s="1252"/>
      <c r="AI346" s="1252"/>
      <c r="AJ346" s="1252"/>
      <c r="AK346" s="1252"/>
      <c r="AL346" s="1252"/>
      <c r="AM346" s="1252"/>
      <c r="AN346" s="1252"/>
      <c r="AO346" s="1252"/>
      <c r="AP346" s="1252"/>
      <c r="AQ346" s="0"/>
      <c r="AR346" s="0"/>
      <c r="AS346" s="0"/>
      <c r="AT346" s="0"/>
      <c r="AU346" s="0"/>
      <c r="AV346" s="807"/>
      <c r="AW346" s="1304"/>
      <c r="AX346" s="112"/>
      <c r="AY346" s="112"/>
      <c r="AZ346" s="112"/>
      <c r="BA346" s="163"/>
      <c r="BB346" s="163"/>
      <c r="BC346" s="163"/>
      <c r="BE346" s="163"/>
      <c r="BG346" s="1329"/>
      <c r="BH346" s="112"/>
      <c r="BI346" s="1330"/>
      <c r="BJ346" s="1262"/>
      <c r="BK346" s="1293" t="n">
        <v>0</v>
      </c>
      <c r="BL346" s="163"/>
      <c r="BM346" s="163"/>
      <c r="BN346" s="163"/>
      <c r="BS346" s="1262" t="n">
        <v>0</v>
      </c>
    </row>
    <row r="347" customFormat="false" ht="12.75" hidden="false" customHeight="false" outlineLevel="0" collapsed="false">
      <c r="A347" s="1246"/>
      <c r="B347" s="1252"/>
      <c r="C347" s="1252"/>
      <c r="D347" s="1252"/>
      <c r="E347" s="1252"/>
      <c r="F347" s="1252"/>
      <c r="G347" s="1252"/>
      <c r="H347" s="1252"/>
      <c r="I347" s="1252"/>
      <c r="J347" s="1252"/>
      <c r="K347" s="1254"/>
      <c r="L347" s="1252"/>
      <c r="M347" s="1252"/>
      <c r="N347" s="1252"/>
      <c r="O347" s="1252"/>
      <c r="P347" s="1252"/>
      <c r="Q347" s="1252"/>
      <c r="R347" s="1252"/>
      <c r="S347" s="1252"/>
      <c r="T347" s="1252"/>
      <c r="U347" s="1252"/>
      <c r="V347" s="1252"/>
      <c r="W347" s="1252"/>
      <c r="X347" s="1252"/>
      <c r="Y347" s="1252"/>
      <c r="Z347" s="1252"/>
      <c r="AA347" s="1252"/>
      <c r="AB347" s="1252"/>
      <c r="AC347" s="1252"/>
      <c r="AD347" s="1252"/>
      <c r="AE347" s="1252"/>
      <c r="AF347" s="1252"/>
      <c r="AG347" s="1252"/>
      <c r="AH347" s="1252"/>
      <c r="AI347" s="1252"/>
      <c r="AJ347" s="1252"/>
      <c r="AK347" s="1252"/>
      <c r="AL347" s="1252"/>
      <c r="AM347" s="1252"/>
      <c r="AN347" s="1252"/>
      <c r="AO347" s="1252"/>
      <c r="AP347" s="1252"/>
      <c r="AQ347" s="0"/>
      <c r="AR347" s="0"/>
      <c r="AS347" s="0"/>
      <c r="AT347" s="0"/>
      <c r="AU347" s="0"/>
      <c r="AV347" s="807"/>
      <c r="AW347" s="1304"/>
      <c r="AX347" s="112"/>
      <c r="AY347" s="112"/>
      <c r="AZ347" s="112"/>
      <c r="BA347" s="163"/>
      <c r="BB347" s="163"/>
      <c r="BC347" s="163"/>
      <c r="BE347" s="163"/>
      <c r="BG347" s="1329"/>
      <c r="BH347" s="112"/>
      <c r="BI347" s="1330"/>
      <c r="BJ347" s="1262"/>
      <c r="BK347" s="1293" t="n">
        <v>0</v>
      </c>
      <c r="BL347" s="163"/>
      <c r="BM347" s="163"/>
      <c r="BN347" s="163"/>
      <c r="BS347" s="1262" t="n">
        <v>0</v>
      </c>
    </row>
    <row r="348" customFormat="false" ht="12.75" hidden="false" customHeight="false" outlineLevel="0" collapsed="false">
      <c r="A348" s="1246"/>
      <c r="B348" s="1252"/>
      <c r="C348" s="1252"/>
      <c r="D348" s="1252"/>
      <c r="E348" s="1252"/>
      <c r="F348" s="1252"/>
      <c r="G348" s="1252"/>
      <c r="H348" s="1252"/>
      <c r="I348" s="1252"/>
      <c r="J348" s="1252"/>
      <c r="K348" s="1254"/>
      <c r="L348" s="1252"/>
      <c r="M348" s="1252"/>
      <c r="N348" s="1252"/>
      <c r="O348" s="1252"/>
      <c r="P348" s="1252"/>
      <c r="Q348" s="1252"/>
      <c r="R348" s="1252"/>
      <c r="S348" s="1252"/>
      <c r="T348" s="1252"/>
      <c r="U348" s="1252"/>
      <c r="V348" s="1252"/>
      <c r="W348" s="1252"/>
      <c r="X348" s="1252"/>
      <c r="Y348" s="1252"/>
      <c r="Z348" s="1252"/>
      <c r="AA348" s="1252"/>
      <c r="AB348" s="1252"/>
      <c r="AC348" s="1252"/>
      <c r="AD348" s="1252"/>
      <c r="AE348" s="1252"/>
      <c r="AF348" s="1252"/>
      <c r="AG348" s="1252"/>
      <c r="AH348" s="1252"/>
      <c r="AI348" s="1252"/>
      <c r="AJ348" s="1252"/>
      <c r="AK348" s="1252"/>
      <c r="AL348" s="1252"/>
      <c r="AM348" s="1252"/>
      <c r="AN348" s="1252"/>
      <c r="AO348" s="1252"/>
      <c r="AP348" s="1252"/>
      <c r="AQ348" s="0"/>
      <c r="AR348" s="0"/>
      <c r="AS348" s="0"/>
      <c r="AT348" s="0"/>
      <c r="AU348" s="0"/>
      <c r="AV348" s="807"/>
      <c r="AW348" s="1304"/>
      <c r="AX348" s="112"/>
      <c r="AY348" s="112"/>
      <c r="AZ348" s="112"/>
      <c r="BA348" s="163"/>
      <c r="BB348" s="163"/>
      <c r="BC348" s="163"/>
      <c r="BE348" s="163"/>
      <c r="BG348" s="1329"/>
      <c r="BH348" s="112"/>
      <c r="BI348" s="1330"/>
      <c r="BJ348" s="1262"/>
      <c r="BK348" s="1293" t="n">
        <v>0</v>
      </c>
      <c r="BL348" s="163"/>
      <c r="BM348" s="163"/>
      <c r="BN348" s="163"/>
      <c r="BS348" s="1262" t="n">
        <v>0</v>
      </c>
    </row>
    <row r="349" customFormat="false" ht="12.75" hidden="false" customHeight="false" outlineLevel="0" collapsed="false">
      <c r="A349" s="1246"/>
      <c r="B349" s="1252"/>
      <c r="C349" s="1252"/>
      <c r="D349" s="1252"/>
      <c r="E349" s="1252"/>
      <c r="F349" s="1252"/>
      <c r="G349" s="1252"/>
      <c r="H349" s="1252"/>
      <c r="I349" s="1252"/>
      <c r="J349" s="1252"/>
      <c r="K349" s="1254"/>
      <c r="L349" s="1252"/>
      <c r="M349" s="1252"/>
      <c r="N349" s="1252"/>
      <c r="O349" s="1252"/>
      <c r="P349" s="1252"/>
      <c r="Q349" s="1252"/>
      <c r="R349" s="1252"/>
      <c r="S349" s="1252"/>
      <c r="T349" s="1252"/>
      <c r="U349" s="1252"/>
      <c r="V349" s="1252"/>
      <c r="W349" s="1252"/>
      <c r="X349" s="1252"/>
      <c r="Y349" s="1252"/>
      <c r="Z349" s="1252"/>
      <c r="AA349" s="1252"/>
      <c r="AB349" s="1252"/>
      <c r="AC349" s="1252"/>
      <c r="AD349" s="1252"/>
      <c r="AE349" s="1252"/>
      <c r="AF349" s="1252"/>
      <c r="AG349" s="1252"/>
      <c r="AH349" s="1252"/>
      <c r="AI349" s="1252"/>
      <c r="AJ349" s="1252"/>
      <c r="AK349" s="1252"/>
      <c r="AL349" s="1252"/>
      <c r="AM349" s="1252"/>
      <c r="AN349" s="1252"/>
      <c r="AO349" s="1252"/>
      <c r="AP349" s="1252"/>
      <c r="AQ349" s="0"/>
      <c r="AR349" s="0"/>
      <c r="AS349" s="0"/>
      <c r="AT349" s="0"/>
      <c r="AU349" s="0"/>
      <c r="AV349" s="807"/>
      <c r="AW349" s="1304"/>
      <c r="AX349" s="112"/>
      <c r="AY349" s="112"/>
      <c r="AZ349" s="112"/>
      <c r="BA349" s="163"/>
      <c r="BB349" s="163"/>
      <c r="BC349" s="163"/>
      <c r="BE349" s="163"/>
      <c r="BG349" s="1329"/>
      <c r="BH349" s="112"/>
      <c r="BI349" s="1330"/>
      <c r="BJ349" s="1262"/>
      <c r="BK349" s="1293" t="n">
        <v>0</v>
      </c>
      <c r="BL349" s="163"/>
      <c r="BM349" s="163"/>
      <c r="BN349" s="163"/>
      <c r="BS349" s="1262" t="n">
        <v>0</v>
      </c>
    </row>
    <row r="350" customFormat="false" ht="12.75" hidden="false" customHeight="false" outlineLevel="0" collapsed="false">
      <c r="A350" s="1246"/>
      <c r="B350" s="1252"/>
      <c r="C350" s="1252"/>
      <c r="D350" s="1252"/>
      <c r="E350" s="1252"/>
      <c r="F350" s="1252"/>
      <c r="G350" s="1252"/>
      <c r="H350" s="1252"/>
      <c r="I350" s="1252"/>
      <c r="J350" s="1252"/>
      <c r="K350" s="1254"/>
      <c r="L350" s="1252"/>
      <c r="M350" s="1252"/>
      <c r="N350" s="1252"/>
      <c r="O350" s="1252"/>
      <c r="P350" s="1252"/>
      <c r="Q350" s="1252"/>
      <c r="R350" s="1252"/>
      <c r="S350" s="1252"/>
      <c r="T350" s="1252"/>
      <c r="U350" s="1252"/>
      <c r="V350" s="1252"/>
      <c r="W350" s="1252"/>
      <c r="X350" s="1252"/>
      <c r="Y350" s="1252"/>
      <c r="Z350" s="1252"/>
      <c r="AA350" s="1252"/>
      <c r="AB350" s="1252"/>
      <c r="AC350" s="1252"/>
      <c r="AD350" s="1252"/>
      <c r="AE350" s="1252"/>
      <c r="AF350" s="1252"/>
      <c r="AG350" s="1252"/>
      <c r="AH350" s="1252"/>
      <c r="AI350" s="1252"/>
      <c r="AJ350" s="1252"/>
      <c r="AK350" s="1252"/>
      <c r="AL350" s="1252"/>
      <c r="AM350" s="1252"/>
      <c r="AN350" s="1252"/>
      <c r="AO350" s="1252"/>
      <c r="AP350" s="1252"/>
      <c r="AQ350" s="0"/>
      <c r="AR350" s="0"/>
      <c r="AS350" s="0"/>
      <c r="AT350" s="0"/>
      <c r="AU350" s="0"/>
      <c r="AV350" s="807"/>
      <c r="AW350" s="1304"/>
      <c r="AX350" s="112"/>
      <c r="AY350" s="112"/>
      <c r="AZ350" s="112"/>
      <c r="BA350" s="163"/>
      <c r="BB350" s="163"/>
      <c r="BC350" s="163"/>
      <c r="BE350" s="163"/>
      <c r="BG350" s="1329"/>
      <c r="BH350" s="112"/>
      <c r="BI350" s="1330"/>
      <c r="BJ350" s="1262"/>
      <c r="BK350" s="1293" t="n">
        <v>0</v>
      </c>
      <c r="BL350" s="163"/>
      <c r="BM350" s="163"/>
      <c r="BN350" s="163"/>
      <c r="BS350" s="1262" t="n">
        <v>0</v>
      </c>
    </row>
    <row r="351" customFormat="false" ht="12.75" hidden="false" customHeight="false" outlineLevel="0" collapsed="false">
      <c r="A351" s="1246"/>
      <c r="B351" s="1252"/>
      <c r="C351" s="1252"/>
      <c r="D351" s="1252"/>
      <c r="E351" s="1252"/>
      <c r="F351" s="1252"/>
      <c r="G351" s="1252"/>
      <c r="H351" s="1252"/>
      <c r="I351" s="1252"/>
      <c r="J351" s="1252"/>
      <c r="K351" s="1254"/>
      <c r="L351" s="1252"/>
      <c r="M351" s="1252"/>
      <c r="N351" s="1252"/>
      <c r="O351" s="1252"/>
      <c r="P351" s="1252"/>
      <c r="Q351" s="1252"/>
      <c r="R351" s="1252"/>
      <c r="S351" s="1252"/>
      <c r="T351" s="1252"/>
      <c r="U351" s="1252"/>
      <c r="V351" s="1252"/>
      <c r="W351" s="1252"/>
      <c r="X351" s="1252"/>
      <c r="Y351" s="1252"/>
      <c r="Z351" s="1252"/>
      <c r="AA351" s="1252"/>
      <c r="AB351" s="1252"/>
      <c r="AC351" s="1252"/>
      <c r="AD351" s="1252"/>
      <c r="AE351" s="1252"/>
      <c r="AF351" s="1252"/>
      <c r="AG351" s="1252"/>
      <c r="AH351" s="1252"/>
      <c r="AI351" s="1252"/>
      <c r="AJ351" s="1252"/>
      <c r="AK351" s="1252"/>
      <c r="AL351" s="1252"/>
      <c r="AM351" s="1252"/>
      <c r="AN351" s="1252"/>
      <c r="AO351" s="1252"/>
      <c r="AP351" s="1252"/>
      <c r="AQ351" s="0"/>
      <c r="AR351" s="0"/>
      <c r="AS351" s="0"/>
      <c r="AT351" s="0"/>
      <c r="AU351" s="0"/>
      <c r="AV351" s="807"/>
      <c r="AW351" s="1304"/>
      <c r="AX351" s="112"/>
      <c r="AY351" s="112"/>
      <c r="AZ351" s="112"/>
      <c r="BA351" s="163"/>
      <c r="BB351" s="163"/>
      <c r="BC351" s="163"/>
      <c r="BE351" s="163"/>
      <c r="BG351" s="1329"/>
      <c r="BH351" s="112"/>
      <c r="BI351" s="1330"/>
      <c r="BJ351" s="1262"/>
      <c r="BK351" s="1293" t="n">
        <v>0</v>
      </c>
      <c r="BL351" s="163"/>
      <c r="BM351" s="163"/>
      <c r="BN351" s="163"/>
      <c r="BS351" s="1262" t="n">
        <v>0</v>
      </c>
    </row>
    <row r="352" customFormat="false" ht="12.75" hidden="false" customHeight="false" outlineLevel="0" collapsed="false">
      <c r="A352" s="1246"/>
      <c r="B352" s="1252"/>
      <c r="C352" s="1252"/>
      <c r="D352" s="1252"/>
      <c r="E352" s="1252"/>
      <c r="F352" s="1252"/>
      <c r="G352" s="1252"/>
      <c r="H352" s="1252"/>
      <c r="I352" s="1252"/>
      <c r="J352" s="1252"/>
      <c r="K352" s="1254"/>
      <c r="L352" s="1252"/>
      <c r="M352" s="1252"/>
      <c r="N352" s="1252"/>
      <c r="O352" s="1252"/>
      <c r="P352" s="1252"/>
      <c r="Q352" s="1252"/>
      <c r="R352" s="1252"/>
      <c r="S352" s="1252"/>
      <c r="T352" s="1252"/>
      <c r="U352" s="1252"/>
      <c r="V352" s="1252"/>
      <c r="W352" s="1252"/>
      <c r="X352" s="1252"/>
      <c r="Y352" s="1252"/>
      <c r="Z352" s="1252"/>
      <c r="AA352" s="1252"/>
      <c r="AB352" s="1252"/>
      <c r="AC352" s="1252"/>
      <c r="AD352" s="1252"/>
      <c r="AE352" s="1252"/>
      <c r="AF352" s="1252"/>
      <c r="AG352" s="1252"/>
      <c r="AH352" s="1252"/>
      <c r="AI352" s="1252"/>
      <c r="AJ352" s="1252"/>
      <c r="AK352" s="1252"/>
      <c r="AL352" s="1252"/>
      <c r="AM352" s="1252"/>
      <c r="AN352" s="1252"/>
      <c r="AO352" s="1252"/>
      <c r="AP352" s="1252"/>
      <c r="AQ352" s="0"/>
      <c r="AR352" s="0"/>
      <c r="AS352" s="0"/>
      <c r="AT352" s="0"/>
      <c r="AU352" s="0"/>
      <c r="AV352" s="807"/>
      <c r="AW352" s="1304"/>
      <c r="AX352" s="112"/>
      <c r="AY352" s="112"/>
      <c r="AZ352" s="112"/>
      <c r="BA352" s="163"/>
      <c r="BB352" s="163"/>
      <c r="BC352" s="163"/>
      <c r="BE352" s="163"/>
      <c r="BG352" s="1329"/>
      <c r="BH352" s="112"/>
      <c r="BI352" s="1330"/>
      <c r="BJ352" s="1262"/>
      <c r="BK352" s="1293" t="n">
        <v>0</v>
      </c>
      <c r="BL352" s="163"/>
      <c r="BM352" s="163"/>
      <c r="BN352" s="163"/>
      <c r="BS352" s="1262" t="n">
        <v>0</v>
      </c>
    </row>
    <row r="353" customFormat="false" ht="12.75" hidden="false" customHeight="false" outlineLevel="0" collapsed="false">
      <c r="A353" s="1246"/>
      <c r="B353" s="1252"/>
      <c r="C353" s="1252"/>
      <c r="D353" s="1252"/>
      <c r="E353" s="1252"/>
      <c r="F353" s="1252"/>
      <c r="G353" s="1252"/>
      <c r="H353" s="1252"/>
      <c r="I353" s="1252"/>
      <c r="J353" s="1252"/>
      <c r="K353" s="1254"/>
      <c r="L353" s="1252"/>
      <c r="M353" s="1252"/>
      <c r="N353" s="1252"/>
      <c r="O353" s="1252"/>
      <c r="P353" s="1252"/>
      <c r="Q353" s="1252"/>
      <c r="R353" s="1252"/>
      <c r="S353" s="1252"/>
      <c r="T353" s="1252"/>
      <c r="U353" s="1252"/>
      <c r="V353" s="1252"/>
      <c r="W353" s="1252"/>
      <c r="X353" s="1252"/>
      <c r="Y353" s="1252"/>
      <c r="Z353" s="1252"/>
      <c r="AA353" s="1252"/>
      <c r="AB353" s="1252"/>
      <c r="AC353" s="1252"/>
      <c r="AD353" s="1252"/>
      <c r="AE353" s="1252"/>
      <c r="AF353" s="1252"/>
      <c r="AG353" s="1252"/>
      <c r="AH353" s="1252"/>
      <c r="AI353" s="1252"/>
      <c r="AJ353" s="1252"/>
      <c r="AK353" s="1252"/>
      <c r="AL353" s="1252"/>
      <c r="AM353" s="1252"/>
      <c r="AN353" s="1252"/>
      <c r="AO353" s="1252"/>
      <c r="AP353" s="1252"/>
      <c r="AQ353" s="0"/>
      <c r="AR353" s="0"/>
      <c r="AS353" s="0"/>
      <c r="AT353" s="0"/>
      <c r="AU353" s="0"/>
      <c r="AV353" s="807"/>
      <c r="AW353" s="1304"/>
      <c r="AX353" s="112"/>
      <c r="AY353" s="112"/>
      <c r="AZ353" s="112"/>
      <c r="BA353" s="163"/>
      <c r="BB353" s="163"/>
      <c r="BC353" s="163"/>
      <c r="BE353" s="163"/>
      <c r="BG353" s="1329"/>
      <c r="BH353" s="112"/>
      <c r="BI353" s="1330"/>
      <c r="BJ353" s="1262"/>
      <c r="BK353" s="1293" t="n">
        <v>0</v>
      </c>
      <c r="BL353" s="163"/>
      <c r="BM353" s="163"/>
      <c r="BN353" s="163"/>
      <c r="BS353" s="1262" t="n">
        <v>0</v>
      </c>
    </row>
    <row r="354" customFormat="false" ht="12.75" hidden="false" customHeight="false" outlineLevel="0" collapsed="false">
      <c r="A354" s="1246"/>
      <c r="B354" s="1252"/>
      <c r="C354" s="1252"/>
      <c r="D354" s="1252"/>
      <c r="E354" s="1252"/>
      <c r="F354" s="1252"/>
      <c r="G354" s="1252"/>
      <c r="H354" s="1252"/>
      <c r="I354" s="1252"/>
      <c r="J354" s="1252"/>
      <c r="K354" s="1254"/>
      <c r="L354" s="1252"/>
      <c r="M354" s="1252"/>
      <c r="N354" s="1252"/>
      <c r="O354" s="1252"/>
      <c r="P354" s="1252"/>
      <c r="Q354" s="1252"/>
      <c r="R354" s="1252"/>
      <c r="S354" s="1252"/>
      <c r="T354" s="1252"/>
      <c r="U354" s="1252"/>
      <c r="V354" s="1252"/>
      <c r="W354" s="1252"/>
      <c r="X354" s="1252"/>
      <c r="Y354" s="1252"/>
      <c r="Z354" s="1252"/>
      <c r="AA354" s="1252"/>
      <c r="AB354" s="1252"/>
      <c r="AC354" s="1252"/>
      <c r="AD354" s="1252"/>
      <c r="AE354" s="1252"/>
      <c r="AF354" s="1252"/>
      <c r="AG354" s="1252"/>
      <c r="AH354" s="1252"/>
      <c r="AI354" s="1252"/>
      <c r="AJ354" s="1252"/>
      <c r="AK354" s="1252"/>
      <c r="AL354" s="1252"/>
      <c r="AM354" s="1252"/>
      <c r="AN354" s="1252"/>
      <c r="AO354" s="1252"/>
      <c r="AP354" s="1252"/>
      <c r="AQ354" s="0"/>
      <c r="AR354" s="0"/>
      <c r="AS354" s="0"/>
      <c r="AT354" s="0"/>
      <c r="AU354" s="0"/>
      <c r="AV354" s="807"/>
      <c r="AW354" s="1304"/>
      <c r="AX354" s="112"/>
      <c r="AY354" s="112"/>
      <c r="AZ354" s="112"/>
      <c r="BA354" s="163"/>
      <c r="BB354" s="163"/>
      <c r="BC354" s="163"/>
      <c r="BE354" s="163"/>
      <c r="BG354" s="1329"/>
      <c r="BH354" s="112"/>
      <c r="BI354" s="1330"/>
      <c r="BJ354" s="1262"/>
      <c r="BK354" s="1293" t="n">
        <v>0</v>
      </c>
      <c r="BL354" s="163"/>
      <c r="BM354" s="163"/>
      <c r="BN354" s="163"/>
      <c r="BS354" s="1262" t="n">
        <v>0</v>
      </c>
    </row>
    <row r="355" customFormat="false" ht="12.75" hidden="false" customHeight="false" outlineLevel="0" collapsed="false">
      <c r="A355" s="1246"/>
      <c r="B355" s="1252"/>
      <c r="C355" s="1252"/>
      <c r="D355" s="1252"/>
      <c r="E355" s="1252"/>
      <c r="F355" s="1252"/>
      <c r="G355" s="1252"/>
      <c r="H355" s="1252"/>
      <c r="I355" s="1252"/>
      <c r="J355" s="1252"/>
      <c r="K355" s="1254"/>
      <c r="L355" s="1252"/>
      <c r="M355" s="1252"/>
      <c r="N355" s="1252"/>
      <c r="O355" s="1252"/>
      <c r="P355" s="1252"/>
      <c r="Q355" s="1252"/>
      <c r="R355" s="1252"/>
      <c r="S355" s="1252"/>
      <c r="T355" s="1252"/>
      <c r="U355" s="1252"/>
      <c r="V355" s="1252"/>
      <c r="W355" s="1252"/>
      <c r="X355" s="1252"/>
      <c r="Y355" s="1252"/>
      <c r="Z355" s="1252"/>
      <c r="AA355" s="1252"/>
      <c r="AB355" s="1252"/>
      <c r="AC355" s="1252"/>
      <c r="AD355" s="1252"/>
      <c r="AE355" s="1252"/>
      <c r="AF355" s="1252"/>
      <c r="AG355" s="1252"/>
      <c r="AH355" s="1252"/>
      <c r="AI355" s="1252"/>
      <c r="AJ355" s="1252"/>
      <c r="AK355" s="1252"/>
      <c r="AL355" s="1252"/>
      <c r="AM355" s="1252"/>
      <c r="AN355" s="1252"/>
      <c r="AO355" s="1252"/>
      <c r="AP355" s="1252"/>
      <c r="AQ355" s="0"/>
      <c r="AR355" s="0"/>
      <c r="AS355" s="0"/>
      <c r="AT355" s="0"/>
      <c r="AU355" s="0"/>
      <c r="AV355" s="807"/>
      <c r="AW355" s="1304"/>
      <c r="AX355" s="112"/>
      <c r="AY355" s="112"/>
      <c r="AZ355" s="112"/>
      <c r="BA355" s="163"/>
      <c r="BB355" s="163"/>
      <c r="BC355" s="163"/>
      <c r="BE355" s="163"/>
      <c r="BG355" s="1329"/>
      <c r="BH355" s="112"/>
      <c r="BI355" s="1330"/>
      <c r="BJ355" s="1262"/>
      <c r="BK355" s="1293" t="n">
        <v>0</v>
      </c>
      <c r="BL355" s="163"/>
      <c r="BM355" s="163"/>
      <c r="BN355" s="163"/>
      <c r="BS355" s="1262" t="n">
        <v>0</v>
      </c>
    </row>
    <row r="356" customFormat="false" ht="12.75" hidden="false" customHeight="false" outlineLevel="0" collapsed="false">
      <c r="A356" s="1246"/>
      <c r="B356" s="1252"/>
      <c r="C356" s="1252"/>
      <c r="D356" s="1252"/>
      <c r="E356" s="1252"/>
      <c r="F356" s="1252"/>
      <c r="G356" s="1252"/>
      <c r="H356" s="1252"/>
      <c r="I356" s="1252"/>
      <c r="J356" s="1252"/>
      <c r="K356" s="1254"/>
      <c r="L356" s="1252"/>
      <c r="M356" s="1252"/>
      <c r="N356" s="1252"/>
      <c r="O356" s="1252"/>
      <c r="P356" s="1252"/>
      <c r="Q356" s="1252"/>
      <c r="R356" s="1252"/>
      <c r="S356" s="1252"/>
      <c r="T356" s="1252"/>
      <c r="U356" s="1252"/>
      <c r="V356" s="1252"/>
      <c r="W356" s="1252"/>
      <c r="X356" s="1252"/>
      <c r="Y356" s="1252"/>
      <c r="Z356" s="1252"/>
      <c r="AA356" s="1252"/>
      <c r="AB356" s="1252"/>
      <c r="AC356" s="1252"/>
      <c r="AD356" s="1252"/>
      <c r="AE356" s="1252"/>
      <c r="AF356" s="1252"/>
      <c r="AG356" s="1252"/>
      <c r="AH356" s="1252"/>
      <c r="AI356" s="1252"/>
      <c r="AJ356" s="1252"/>
      <c r="AK356" s="1252"/>
      <c r="AL356" s="1252"/>
      <c r="AM356" s="1252"/>
      <c r="AN356" s="1252"/>
      <c r="AO356" s="1252"/>
      <c r="AP356" s="1252"/>
      <c r="AQ356" s="0"/>
      <c r="AR356" s="0"/>
      <c r="AS356" s="0"/>
      <c r="AT356" s="0"/>
      <c r="AU356" s="0"/>
      <c r="AV356" s="807"/>
      <c r="AW356" s="1304"/>
      <c r="AX356" s="112"/>
      <c r="AY356" s="112"/>
      <c r="AZ356" s="112"/>
      <c r="BA356" s="163"/>
      <c r="BB356" s="163"/>
      <c r="BC356" s="163"/>
      <c r="BE356" s="163"/>
      <c r="BG356" s="1329"/>
      <c r="BH356" s="112"/>
      <c r="BI356" s="1330"/>
      <c r="BJ356" s="1262"/>
      <c r="BK356" s="1293" t="n">
        <v>0</v>
      </c>
      <c r="BL356" s="163"/>
      <c r="BM356" s="163"/>
      <c r="BN356" s="163"/>
      <c r="BS356" s="1262" t="n">
        <v>0</v>
      </c>
    </row>
    <row r="357" customFormat="false" ht="12.75" hidden="false" customHeight="false" outlineLevel="0" collapsed="false">
      <c r="A357" s="1246"/>
      <c r="B357" s="1252"/>
      <c r="C357" s="1252"/>
      <c r="D357" s="1252"/>
      <c r="E357" s="1252"/>
      <c r="F357" s="1252"/>
      <c r="G357" s="1252"/>
      <c r="H357" s="1252"/>
      <c r="I357" s="1252"/>
      <c r="J357" s="1252"/>
      <c r="K357" s="1254"/>
      <c r="L357" s="1252"/>
      <c r="M357" s="1252"/>
      <c r="N357" s="1252"/>
      <c r="O357" s="1252"/>
      <c r="P357" s="1252"/>
      <c r="Q357" s="1252"/>
      <c r="R357" s="1252"/>
      <c r="S357" s="1252"/>
      <c r="T357" s="1252"/>
      <c r="U357" s="1252"/>
      <c r="V357" s="1252"/>
      <c r="W357" s="1252"/>
      <c r="X357" s="1252"/>
      <c r="Y357" s="1252"/>
      <c r="Z357" s="1252"/>
      <c r="AA357" s="1252"/>
      <c r="AB357" s="1252"/>
      <c r="AC357" s="1252"/>
      <c r="AD357" s="1252"/>
      <c r="AE357" s="1252"/>
      <c r="AF357" s="1252"/>
      <c r="AG357" s="1252"/>
      <c r="AH357" s="1252"/>
      <c r="AI357" s="1252"/>
      <c r="AJ357" s="1252"/>
      <c r="AK357" s="1252"/>
      <c r="AL357" s="1252"/>
      <c r="AM357" s="1252"/>
      <c r="AN357" s="1252"/>
      <c r="AO357" s="1252"/>
      <c r="AP357" s="1252"/>
      <c r="AQ357" s="0"/>
      <c r="AR357" s="0"/>
      <c r="AS357" s="0"/>
      <c r="AT357" s="0"/>
      <c r="AU357" s="0"/>
      <c r="AV357" s="807"/>
      <c r="AW357" s="1304"/>
      <c r="AX357" s="112"/>
      <c r="AY357" s="112"/>
      <c r="AZ357" s="112"/>
      <c r="BA357" s="163"/>
      <c r="BB357" s="163"/>
      <c r="BC357" s="163"/>
      <c r="BE357" s="163"/>
      <c r="BG357" s="1329"/>
      <c r="BH357" s="112"/>
      <c r="BI357" s="1330"/>
      <c r="BJ357" s="1262"/>
      <c r="BK357" s="1293" t="n">
        <v>0</v>
      </c>
      <c r="BL357" s="163"/>
      <c r="BM357" s="163"/>
      <c r="BN357" s="163"/>
      <c r="BS357" s="1262" t="n">
        <v>0</v>
      </c>
    </row>
    <row r="358" customFormat="false" ht="12.75" hidden="false" customHeight="false" outlineLevel="0" collapsed="false">
      <c r="A358" s="1246"/>
      <c r="B358" s="1252"/>
      <c r="C358" s="1252"/>
      <c r="D358" s="1252"/>
      <c r="E358" s="1252"/>
      <c r="F358" s="1252"/>
      <c r="G358" s="1252"/>
      <c r="H358" s="1252"/>
      <c r="I358" s="1252"/>
      <c r="J358" s="1252"/>
      <c r="K358" s="1254"/>
      <c r="L358" s="1252"/>
      <c r="M358" s="1252"/>
      <c r="N358" s="1252"/>
      <c r="O358" s="1252"/>
      <c r="P358" s="1252"/>
      <c r="Q358" s="1252"/>
      <c r="R358" s="1252"/>
      <c r="S358" s="1252"/>
      <c r="T358" s="1252"/>
      <c r="U358" s="1252"/>
      <c r="V358" s="1252"/>
      <c r="W358" s="1252"/>
      <c r="X358" s="1252"/>
      <c r="Y358" s="1252"/>
      <c r="Z358" s="1252"/>
      <c r="AA358" s="1252"/>
      <c r="AB358" s="1252"/>
      <c r="AC358" s="1252"/>
      <c r="AD358" s="1252"/>
      <c r="AE358" s="1252"/>
      <c r="AF358" s="1252"/>
      <c r="AG358" s="1252"/>
      <c r="AH358" s="1252"/>
      <c r="AI358" s="1252"/>
      <c r="AJ358" s="1252"/>
      <c r="AK358" s="1252"/>
      <c r="AL358" s="1252"/>
      <c r="AM358" s="1252"/>
      <c r="AN358" s="1252"/>
      <c r="AO358" s="1252"/>
      <c r="AP358" s="1252"/>
      <c r="AQ358" s="0"/>
      <c r="AR358" s="0"/>
      <c r="AS358" s="0"/>
      <c r="AT358" s="0"/>
      <c r="AU358" s="0"/>
      <c r="AV358" s="807"/>
      <c r="AW358" s="1304"/>
      <c r="AX358" s="112"/>
      <c r="AY358" s="112"/>
      <c r="AZ358" s="112"/>
      <c r="BA358" s="163"/>
      <c r="BB358" s="163"/>
      <c r="BC358" s="163"/>
      <c r="BE358" s="163"/>
      <c r="BG358" s="1329"/>
      <c r="BH358" s="112"/>
      <c r="BI358" s="1330"/>
      <c r="BJ358" s="1262"/>
      <c r="BK358" s="1293" t="n">
        <v>0</v>
      </c>
      <c r="BL358" s="163"/>
      <c r="BM358" s="163"/>
      <c r="BN358" s="163"/>
      <c r="BS358" s="1262" t="n">
        <v>0</v>
      </c>
    </row>
    <row r="359" customFormat="false" ht="12.75" hidden="false" customHeight="false" outlineLevel="0" collapsed="false">
      <c r="A359" s="1246"/>
      <c r="B359" s="1252"/>
      <c r="C359" s="1252"/>
      <c r="D359" s="1252"/>
      <c r="E359" s="1252"/>
      <c r="F359" s="1252"/>
      <c r="G359" s="1252"/>
      <c r="H359" s="1252"/>
      <c r="I359" s="1252"/>
      <c r="J359" s="1252"/>
      <c r="K359" s="1254"/>
      <c r="L359" s="1252"/>
      <c r="M359" s="1252"/>
      <c r="N359" s="1252"/>
      <c r="O359" s="1252"/>
      <c r="P359" s="1252"/>
      <c r="Q359" s="1252"/>
      <c r="R359" s="1252"/>
      <c r="S359" s="1252"/>
      <c r="T359" s="1252"/>
      <c r="U359" s="1252"/>
      <c r="V359" s="1252"/>
      <c r="W359" s="1252"/>
      <c r="X359" s="1252"/>
      <c r="Y359" s="1252"/>
      <c r="Z359" s="1252"/>
      <c r="AA359" s="1252"/>
      <c r="AB359" s="1252"/>
      <c r="AC359" s="1252"/>
      <c r="AD359" s="1252"/>
      <c r="AE359" s="1252"/>
      <c r="AF359" s="1252"/>
      <c r="AG359" s="1252"/>
      <c r="AH359" s="1252"/>
      <c r="AI359" s="1252"/>
      <c r="AJ359" s="1252"/>
      <c r="AK359" s="1252"/>
      <c r="AL359" s="1252"/>
      <c r="AM359" s="1252"/>
      <c r="AN359" s="1252"/>
      <c r="AO359" s="1252"/>
      <c r="AP359" s="1252"/>
      <c r="AQ359" s="0"/>
      <c r="AR359" s="0"/>
      <c r="AS359" s="0"/>
      <c r="AT359" s="0"/>
      <c r="AU359" s="0"/>
      <c r="AV359" s="807"/>
      <c r="AW359" s="1304"/>
      <c r="AX359" s="112"/>
      <c r="AY359" s="112"/>
      <c r="AZ359" s="112"/>
      <c r="BA359" s="163"/>
      <c r="BB359" s="163"/>
      <c r="BC359" s="163"/>
      <c r="BE359" s="163"/>
      <c r="BG359" s="1329"/>
      <c r="BH359" s="112"/>
      <c r="BI359" s="1330"/>
      <c r="BJ359" s="1262"/>
      <c r="BK359" s="1293" t="n">
        <v>0</v>
      </c>
      <c r="BL359" s="163"/>
      <c r="BM359" s="163"/>
      <c r="BN359" s="163"/>
      <c r="BS359" s="1262" t="n">
        <v>0</v>
      </c>
    </row>
    <row r="360" customFormat="false" ht="12.75" hidden="false" customHeight="false" outlineLevel="0" collapsed="false">
      <c r="A360" s="1246"/>
      <c r="B360" s="1252"/>
      <c r="C360" s="1252"/>
      <c r="D360" s="1252"/>
      <c r="E360" s="1252"/>
      <c r="F360" s="1252"/>
      <c r="G360" s="1252"/>
      <c r="H360" s="1252"/>
      <c r="I360" s="1252"/>
      <c r="J360" s="1252"/>
      <c r="K360" s="1254"/>
      <c r="L360" s="1252"/>
      <c r="M360" s="1252"/>
      <c r="N360" s="1252"/>
      <c r="O360" s="1252"/>
      <c r="P360" s="1252"/>
      <c r="Q360" s="1252"/>
      <c r="R360" s="1252"/>
      <c r="S360" s="1252"/>
      <c r="T360" s="1252"/>
      <c r="U360" s="1252"/>
      <c r="V360" s="1252"/>
      <c r="W360" s="1252"/>
      <c r="X360" s="1252"/>
      <c r="Y360" s="1252"/>
      <c r="Z360" s="1252"/>
      <c r="AA360" s="1252"/>
      <c r="AB360" s="1252"/>
      <c r="AC360" s="1252"/>
      <c r="AD360" s="1252"/>
      <c r="AE360" s="1252"/>
      <c r="AF360" s="1252"/>
      <c r="AG360" s="1252"/>
      <c r="AH360" s="1252"/>
      <c r="AI360" s="1252"/>
      <c r="AJ360" s="1252"/>
      <c r="AK360" s="1252"/>
      <c r="AL360" s="1252"/>
      <c r="AM360" s="1252"/>
      <c r="AN360" s="1252"/>
      <c r="AO360" s="1252"/>
      <c r="AP360" s="1252"/>
      <c r="AQ360" s="0"/>
      <c r="AR360" s="0"/>
      <c r="AS360" s="0"/>
      <c r="AT360" s="0"/>
      <c r="AU360" s="0"/>
      <c r="AV360" s="807"/>
      <c r="AW360" s="1304"/>
      <c r="AX360" s="112"/>
      <c r="AY360" s="112"/>
      <c r="AZ360" s="112"/>
      <c r="BA360" s="163"/>
      <c r="BB360" s="163"/>
      <c r="BC360" s="163"/>
      <c r="BE360" s="163"/>
      <c r="BG360" s="1329"/>
      <c r="BH360" s="112"/>
      <c r="BI360" s="1330"/>
      <c r="BJ360" s="1262"/>
      <c r="BK360" s="1293" t="n">
        <v>0</v>
      </c>
      <c r="BL360" s="163"/>
      <c r="BM360" s="163"/>
      <c r="BN360" s="163"/>
      <c r="BS360" s="1262" t="n">
        <v>0</v>
      </c>
    </row>
    <row r="361" customFormat="false" ht="12.75" hidden="false" customHeight="false" outlineLevel="0" collapsed="false">
      <c r="A361" s="1246"/>
      <c r="B361" s="1252"/>
      <c r="C361" s="1252"/>
      <c r="D361" s="1252"/>
      <c r="E361" s="1252"/>
      <c r="F361" s="1252"/>
      <c r="G361" s="1252"/>
      <c r="H361" s="1252"/>
      <c r="I361" s="1252"/>
      <c r="J361" s="1252"/>
      <c r="K361" s="1254"/>
      <c r="L361" s="1252"/>
      <c r="M361" s="1252"/>
      <c r="N361" s="1252"/>
      <c r="O361" s="1252"/>
      <c r="P361" s="1252"/>
      <c r="Q361" s="1252"/>
      <c r="R361" s="1252"/>
      <c r="S361" s="1252"/>
      <c r="T361" s="1252"/>
      <c r="U361" s="1252"/>
      <c r="V361" s="1252"/>
      <c r="W361" s="1252"/>
      <c r="X361" s="1252"/>
      <c r="Y361" s="1252"/>
      <c r="Z361" s="1252"/>
      <c r="AA361" s="1252"/>
      <c r="AB361" s="1252"/>
      <c r="AC361" s="1252"/>
      <c r="AD361" s="1252"/>
      <c r="AE361" s="1252"/>
      <c r="AF361" s="1252"/>
      <c r="AG361" s="1252"/>
      <c r="AH361" s="1252"/>
      <c r="AI361" s="1252"/>
      <c r="AJ361" s="1252"/>
      <c r="AK361" s="1252"/>
      <c r="AL361" s="1252"/>
      <c r="AM361" s="1252"/>
      <c r="AN361" s="1252"/>
      <c r="AO361" s="1252"/>
      <c r="AP361" s="1252"/>
      <c r="AQ361" s="0"/>
      <c r="AR361" s="0"/>
      <c r="AS361" s="0"/>
      <c r="AT361" s="0"/>
      <c r="AU361" s="0"/>
      <c r="AV361" s="807"/>
      <c r="AW361" s="1304"/>
      <c r="AX361" s="112"/>
      <c r="AY361" s="112"/>
      <c r="AZ361" s="112"/>
      <c r="BA361" s="163"/>
      <c r="BB361" s="163"/>
      <c r="BC361" s="163"/>
      <c r="BE361" s="163"/>
      <c r="BG361" s="1329"/>
      <c r="BH361" s="112"/>
      <c r="BI361" s="1330"/>
      <c r="BJ361" s="1262"/>
      <c r="BK361" s="1293" t="n">
        <v>0</v>
      </c>
      <c r="BL361" s="163"/>
      <c r="BM361" s="163"/>
      <c r="BN361" s="163"/>
      <c r="BS361" s="1262" t="n">
        <v>0</v>
      </c>
    </row>
    <row r="362" customFormat="false" ht="12.75" hidden="false" customHeight="false" outlineLevel="0" collapsed="false">
      <c r="A362" s="1246"/>
      <c r="B362" s="1252"/>
      <c r="C362" s="1252"/>
      <c r="D362" s="1252"/>
      <c r="E362" s="1252"/>
      <c r="F362" s="1252"/>
      <c r="G362" s="1252"/>
      <c r="H362" s="1252"/>
      <c r="I362" s="1252"/>
      <c r="J362" s="1252"/>
      <c r="K362" s="1254"/>
      <c r="L362" s="1252"/>
      <c r="M362" s="1252"/>
      <c r="N362" s="1252"/>
      <c r="O362" s="1252"/>
      <c r="P362" s="1252"/>
      <c r="Q362" s="1252"/>
      <c r="R362" s="1252"/>
      <c r="S362" s="1252"/>
      <c r="T362" s="1252"/>
      <c r="U362" s="1252"/>
      <c r="V362" s="1252"/>
      <c r="W362" s="1252"/>
      <c r="X362" s="1252"/>
      <c r="Y362" s="1252"/>
      <c r="Z362" s="1252"/>
      <c r="AA362" s="1252"/>
      <c r="AB362" s="1252"/>
      <c r="AC362" s="1252"/>
      <c r="AD362" s="1252"/>
      <c r="AE362" s="1252"/>
      <c r="AF362" s="1252"/>
      <c r="AG362" s="1252"/>
      <c r="AH362" s="1252"/>
      <c r="AI362" s="1252"/>
      <c r="AJ362" s="1252"/>
      <c r="AK362" s="1252"/>
      <c r="AL362" s="1252"/>
      <c r="AM362" s="1252"/>
      <c r="AN362" s="1252"/>
      <c r="AO362" s="1252"/>
      <c r="AP362" s="1252"/>
      <c r="AQ362" s="0"/>
      <c r="AR362" s="0"/>
      <c r="AS362" s="0"/>
      <c r="AT362" s="0"/>
      <c r="AU362" s="0"/>
      <c r="AV362" s="807"/>
      <c r="AW362" s="1304"/>
      <c r="AX362" s="112"/>
      <c r="AY362" s="112"/>
      <c r="AZ362" s="112"/>
      <c r="BA362" s="163"/>
      <c r="BB362" s="163"/>
      <c r="BC362" s="163"/>
      <c r="BE362" s="163"/>
      <c r="BG362" s="1329"/>
      <c r="BH362" s="112"/>
      <c r="BI362" s="1330"/>
      <c r="BJ362" s="1262"/>
      <c r="BK362" s="1293" t="n">
        <v>0</v>
      </c>
      <c r="BL362" s="163"/>
      <c r="BM362" s="163"/>
      <c r="BN362" s="163"/>
      <c r="BS362" s="1262" t="n">
        <v>0</v>
      </c>
    </row>
    <row r="363" customFormat="false" ht="12.75" hidden="false" customHeight="false" outlineLevel="0" collapsed="false">
      <c r="A363" s="1244"/>
      <c r="B363" s="1252"/>
      <c r="C363" s="1252"/>
      <c r="D363" s="1252"/>
      <c r="E363" s="1252"/>
      <c r="F363" s="1252"/>
      <c r="G363" s="1252"/>
      <c r="H363" s="1252"/>
      <c r="I363" s="1252"/>
      <c r="J363" s="1252"/>
      <c r="K363" s="1254"/>
      <c r="L363" s="1252"/>
      <c r="M363" s="1252"/>
      <c r="N363" s="1252"/>
      <c r="O363" s="1252"/>
      <c r="P363" s="1252"/>
      <c r="Q363" s="1252"/>
      <c r="R363" s="1252"/>
      <c r="S363" s="1252"/>
      <c r="T363" s="1252"/>
      <c r="U363" s="1252"/>
      <c r="V363" s="1252"/>
      <c r="W363" s="1252"/>
      <c r="X363" s="1252"/>
      <c r="Y363" s="1252"/>
      <c r="Z363" s="1252"/>
      <c r="AA363" s="1252"/>
      <c r="AB363" s="1252"/>
      <c r="AC363" s="1252"/>
      <c r="AD363" s="1252"/>
      <c r="AE363" s="1252"/>
      <c r="AF363" s="1252"/>
      <c r="AG363" s="1252"/>
      <c r="AH363" s="1252"/>
      <c r="AI363" s="1252"/>
      <c r="AJ363" s="1252"/>
      <c r="AK363" s="1252"/>
      <c r="AL363" s="1252"/>
      <c r="AM363" s="1252"/>
      <c r="AN363" s="1252"/>
      <c r="AO363" s="1252"/>
      <c r="AP363" s="1252"/>
      <c r="AQ363" s="0"/>
      <c r="AR363" s="0"/>
      <c r="AS363" s="0"/>
      <c r="AT363" s="0"/>
      <c r="AU363" s="0"/>
      <c r="AV363" s="807"/>
      <c r="AW363" s="1304"/>
      <c r="AX363" s="112"/>
      <c r="AY363" s="112"/>
      <c r="AZ363" s="112"/>
      <c r="BA363" s="163"/>
      <c r="BB363" s="163"/>
      <c r="BC363" s="163"/>
      <c r="BE363" s="163"/>
      <c r="BG363" s="1329"/>
      <c r="BH363" s="112"/>
      <c r="BI363" s="1330"/>
      <c r="BJ363" s="1262"/>
      <c r="BK363" s="1293" t="n">
        <v>0</v>
      </c>
      <c r="BL363" s="163"/>
      <c r="BM363" s="163"/>
      <c r="BN363" s="163"/>
      <c r="BS363" s="1262" t="n">
        <v>0</v>
      </c>
    </row>
    <row r="364" customFormat="false" ht="12.75" hidden="false" customHeight="false" outlineLevel="0" collapsed="false">
      <c r="A364" s="1244"/>
      <c r="B364" s="1252"/>
      <c r="C364" s="1252"/>
      <c r="D364" s="1252"/>
      <c r="E364" s="1252"/>
      <c r="F364" s="1252"/>
      <c r="G364" s="1252"/>
      <c r="H364" s="1252"/>
      <c r="I364" s="1252"/>
      <c r="J364" s="1252"/>
      <c r="K364" s="1254"/>
      <c r="L364" s="1252"/>
      <c r="M364" s="1252"/>
      <c r="N364" s="1252"/>
      <c r="O364" s="1252"/>
      <c r="P364" s="1252"/>
      <c r="Q364" s="1252"/>
      <c r="R364" s="1252"/>
      <c r="S364" s="1252"/>
      <c r="T364" s="1252"/>
      <c r="U364" s="1252"/>
      <c r="V364" s="1252"/>
      <c r="W364" s="1252"/>
      <c r="X364" s="1252"/>
      <c r="Y364" s="1252"/>
      <c r="Z364" s="1252"/>
      <c r="AA364" s="1252"/>
      <c r="AB364" s="1252"/>
      <c r="AC364" s="1252"/>
      <c r="AD364" s="1252"/>
      <c r="AE364" s="1252"/>
      <c r="AF364" s="1252"/>
      <c r="AG364" s="1252"/>
      <c r="AH364" s="1252"/>
      <c r="AI364" s="1252"/>
      <c r="AJ364" s="1252"/>
      <c r="AK364" s="1252"/>
      <c r="AL364" s="1252"/>
      <c r="AM364" s="1252"/>
      <c r="AN364" s="1252"/>
      <c r="AO364" s="1252"/>
      <c r="AP364" s="1252"/>
      <c r="AQ364" s="0"/>
      <c r="AR364" s="0"/>
      <c r="AS364" s="0"/>
      <c r="AT364" s="0"/>
      <c r="AU364" s="0"/>
      <c r="AV364" s="807"/>
      <c r="AW364" s="1304"/>
      <c r="AX364" s="112"/>
      <c r="AY364" s="112"/>
      <c r="AZ364" s="112"/>
      <c r="BA364" s="163"/>
      <c r="BB364" s="163"/>
      <c r="BC364" s="163"/>
      <c r="BE364" s="163"/>
      <c r="BG364" s="1329"/>
      <c r="BH364" s="112"/>
      <c r="BI364" s="1330"/>
      <c r="BJ364" s="1262"/>
      <c r="BK364" s="1293" t="n">
        <v>0</v>
      </c>
      <c r="BL364" s="163"/>
      <c r="BM364" s="163"/>
      <c r="BN364" s="163"/>
      <c r="BS364" s="1262" t="n">
        <v>0</v>
      </c>
    </row>
    <row r="365" customFormat="false" ht="12.75" hidden="false" customHeight="false" outlineLevel="0" collapsed="false">
      <c r="A365" s="1244"/>
      <c r="B365" s="1252"/>
      <c r="C365" s="1252"/>
      <c r="D365" s="1252"/>
      <c r="E365" s="1252"/>
      <c r="F365" s="1252"/>
      <c r="G365" s="1252"/>
      <c r="H365" s="1252"/>
      <c r="I365" s="1252"/>
      <c r="J365" s="1252"/>
      <c r="K365" s="1254"/>
      <c r="L365" s="1252"/>
      <c r="M365" s="1252"/>
      <c r="N365" s="1252"/>
      <c r="O365" s="1252"/>
      <c r="P365" s="1252"/>
      <c r="Q365" s="1252"/>
      <c r="R365" s="1252"/>
      <c r="S365" s="1252"/>
      <c r="T365" s="1252"/>
      <c r="U365" s="1252"/>
      <c r="V365" s="1252"/>
      <c r="W365" s="1252"/>
      <c r="X365" s="1252"/>
      <c r="Y365" s="1252"/>
      <c r="Z365" s="1252"/>
      <c r="AA365" s="1252"/>
      <c r="AB365" s="1252"/>
      <c r="AC365" s="1252"/>
      <c r="AD365" s="1252"/>
      <c r="AE365" s="1252"/>
      <c r="AF365" s="1252"/>
      <c r="AG365" s="1252"/>
      <c r="AH365" s="1252"/>
      <c r="AI365" s="1252"/>
      <c r="AJ365" s="1252"/>
      <c r="AK365" s="1252"/>
      <c r="AL365" s="1252"/>
      <c r="AM365" s="1252"/>
      <c r="AN365" s="1252"/>
      <c r="AO365" s="1252"/>
      <c r="AP365" s="1252"/>
      <c r="AQ365" s="0"/>
      <c r="AR365" s="0"/>
      <c r="AS365" s="0"/>
      <c r="AT365" s="0"/>
      <c r="AU365" s="0"/>
      <c r="AV365" s="807"/>
      <c r="AW365" s="1304"/>
      <c r="AX365" s="112"/>
      <c r="AY365" s="112"/>
      <c r="AZ365" s="112"/>
      <c r="BA365" s="163"/>
      <c r="BB365" s="163"/>
      <c r="BC365" s="163"/>
      <c r="BE365" s="163"/>
      <c r="BG365" s="1329"/>
      <c r="BH365" s="112"/>
      <c r="BI365" s="1330"/>
      <c r="BJ365" s="1262"/>
      <c r="BK365" s="1293" t="n">
        <v>0</v>
      </c>
      <c r="BL365" s="163"/>
      <c r="BM365" s="163"/>
      <c r="BN365" s="163"/>
      <c r="BS365" s="1262" t="n">
        <v>0</v>
      </c>
    </row>
    <row r="366" customFormat="false" ht="12.75" hidden="false" customHeight="false" outlineLevel="0" collapsed="false">
      <c r="A366" s="1244"/>
      <c r="B366" s="1252"/>
      <c r="C366" s="1252"/>
      <c r="D366" s="1252"/>
      <c r="E366" s="1252"/>
      <c r="F366" s="1252"/>
      <c r="G366" s="1252"/>
      <c r="H366" s="1252"/>
      <c r="I366" s="1252"/>
      <c r="J366" s="1252"/>
      <c r="K366" s="1254"/>
      <c r="L366" s="1252"/>
      <c r="M366" s="1252"/>
      <c r="N366" s="1252"/>
      <c r="O366" s="1252"/>
      <c r="P366" s="1252"/>
      <c r="Q366" s="1252"/>
      <c r="R366" s="1252"/>
      <c r="S366" s="1252"/>
      <c r="T366" s="1252"/>
      <c r="U366" s="1252"/>
      <c r="V366" s="1252"/>
      <c r="W366" s="1252"/>
      <c r="X366" s="1252"/>
      <c r="Y366" s="1252"/>
      <c r="Z366" s="1252"/>
      <c r="AA366" s="1252"/>
      <c r="AB366" s="1252"/>
      <c r="AC366" s="1252"/>
      <c r="AD366" s="1252"/>
      <c r="AE366" s="1252"/>
      <c r="AF366" s="1252"/>
      <c r="AG366" s="1252"/>
      <c r="AH366" s="1252"/>
      <c r="AI366" s="1252"/>
      <c r="AJ366" s="1252"/>
      <c r="AK366" s="1252"/>
      <c r="AL366" s="1252"/>
      <c r="AM366" s="1252"/>
      <c r="AN366" s="1252"/>
      <c r="AO366" s="1252"/>
      <c r="AP366" s="1252"/>
      <c r="AQ366" s="0"/>
      <c r="AR366" s="0"/>
      <c r="AS366" s="0"/>
      <c r="AT366" s="0"/>
      <c r="AU366" s="0"/>
      <c r="AV366" s="807"/>
      <c r="AW366" s="1304"/>
      <c r="AX366" s="112"/>
      <c r="AY366" s="112"/>
      <c r="AZ366" s="112"/>
      <c r="BA366" s="163"/>
      <c r="BB366" s="163"/>
      <c r="BC366" s="163"/>
      <c r="BE366" s="163"/>
      <c r="BG366" s="1329"/>
      <c r="BH366" s="112"/>
      <c r="BI366" s="1330"/>
      <c r="BJ366" s="1262"/>
      <c r="BK366" s="163"/>
      <c r="BL366" s="163"/>
      <c r="BM366" s="163"/>
      <c r="BN366" s="163"/>
    </row>
    <row r="367" customFormat="false" ht="12.75" hidden="false" customHeight="false" outlineLevel="0" collapsed="false">
      <c r="A367" s="1244"/>
      <c r="B367" s="1252"/>
      <c r="C367" s="1252"/>
      <c r="D367" s="1252"/>
      <c r="E367" s="1252"/>
      <c r="F367" s="1252"/>
      <c r="G367" s="1252"/>
      <c r="H367" s="1252"/>
      <c r="I367" s="1252"/>
      <c r="J367" s="1252"/>
      <c r="K367" s="1254"/>
      <c r="L367" s="1252"/>
      <c r="M367" s="1252"/>
      <c r="N367" s="1252"/>
      <c r="O367" s="1252"/>
      <c r="P367" s="1252"/>
      <c r="Q367" s="1252"/>
      <c r="R367" s="1252"/>
      <c r="S367" s="1252"/>
      <c r="T367" s="1252"/>
      <c r="U367" s="1252"/>
      <c r="V367" s="1252"/>
      <c r="W367" s="1252"/>
      <c r="X367" s="1252"/>
      <c r="Y367" s="1252"/>
      <c r="Z367" s="1252"/>
      <c r="AA367" s="1252"/>
      <c r="AB367" s="1252"/>
      <c r="AC367" s="1252"/>
      <c r="AD367" s="1252"/>
      <c r="AE367" s="1252"/>
      <c r="AF367" s="1252"/>
      <c r="AG367" s="1252"/>
      <c r="AH367" s="1252"/>
      <c r="AI367" s="1252"/>
      <c r="AJ367" s="1252"/>
      <c r="AK367" s="1252"/>
      <c r="AL367" s="1252"/>
      <c r="AM367" s="1252"/>
      <c r="AN367" s="1252"/>
      <c r="AO367" s="1252"/>
      <c r="AP367" s="1252"/>
      <c r="AQ367" s="0"/>
      <c r="AR367" s="0"/>
      <c r="AS367" s="0"/>
      <c r="AT367" s="0"/>
      <c r="AU367" s="0"/>
      <c r="AV367" s="807"/>
      <c r="AW367" s="1304"/>
      <c r="AX367" s="112"/>
      <c r="AY367" s="112"/>
      <c r="AZ367" s="112"/>
      <c r="BA367" s="163"/>
      <c r="BB367" s="163"/>
      <c r="BC367" s="163"/>
      <c r="BE367" s="163"/>
      <c r="BG367" s="1329"/>
      <c r="BH367" s="112"/>
      <c r="BI367" s="1330"/>
      <c r="BJ367" s="1262"/>
      <c r="BK367" s="163"/>
      <c r="BL367" s="163"/>
      <c r="BM367" s="163"/>
      <c r="BN367" s="163"/>
    </row>
    <row r="368" customFormat="false" ht="12.75" hidden="false" customHeight="false" outlineLevel="0" collapsed="false">
      <c r="A368" s="1244"/>
      <c r="B368" s="1252"/>
      <c r="C368" s="1252"/>
      <c r="D368" s="1252"/>
      <c r="E368" s="1252"/>
      <c r="F368" s="1252"/>
      <c r="G368" s="1252"/>
      <c r="H368" s="1252"/>
      <c r="I368" s="1252"/>
      <c r="J368" s="1252"/>
      <c r="K368" s="1254"/>
      <c r="L368" s="1252"/>
      <c r="M368" s="1252"/>
      <c r="N368" s="1252"/>
      <c r="O368" s="1252"/>
      <c r="P368" s="1252"/>
      <c r="Q368" s="1252"/>
      <c r="R368" s="1252"/>
      <c r="S368" s="1252"/>
      <c r="T368" s="1252"/>
      <c r="U368" s="1252"/>
      <c r="V368" s="1252"/>
      <c r="W368" s="1252"/>
      <c r="X368" s="1252"/>
      <c r="Y368" s="1252"/>
      <c r="Z368" s="1252"/>
      <c r="AA368" s="1252"/>
      <c r="AB368" s="1252"/>
      <c r="AC368" s="1252"/>
      <c r="AD368" s="1252"/>
      <c r="AE368" s="1252"/>
      <c r="AF368" s="1252"/>
      <c r="AG368" s="1252"/>
      <c r="AH368" s="1252"/>
      <c r="AI368" s="1252"/>
      <c r="AJ368" s="1252"/>
      <c r="AK368" s="1252"/>
      <c r="AL368" s="1252"/>
      <c r="AM368" s="1252"/>
      <c r="AN368" s="1252"/>
      <c r="AO368" s="1252"/>
      <c r="AP368" s="1252"/>
      <c r="AQ368" s="0"/>
      <c r="AR368" s="0"/>
      <c r="AS368" s="0"/>
      <c r="AT368" s="0"/>
      <c r="AU368" s="0"/>
      <c r="AV368" s="807"/>
      <c r="AW368" s="1304"/>
      <c r="AX368" s="112"/>
      <c r="AY368" s="112"/>
      <c r="AZ368" s="112"/>
      <c r="BA368" s="163"/>
      <c r="BB368" s="163"/>
      <c r="BC368" s="163"/>
      <c r="BE368" s="163"/>
      <c r="BG368" s="1329"/>
      <c r="BH368" s="112"/>
      <c r="BI368" s="1330"/>
      <c r="BJ368" s="1262"/>
      <c r="BK368" s="163"/>
      <c r="BL368" s="163"/>
      <c r="BM368" s="163"/>
      <c r="BN368" s="163"/>
    </row>
    <row r="369" customFormat="false" ht="12.75" hidden="false" customHeight="false" outlineLevel="0" collapsed="false">
      <c r="A369" s="1244"/>
      <c r="B369" s="1252"/>
      <c r="C369" s="1252"/>
      <c r="D369" s="1252"/>
      <c r="E369" s="1252"/>
      <c r="F369" s="1252"/>
      <c r="G369" s="1252"/>
      <c r="H369" s="1252"/>
      <c r="I369" s="1252"/>
      <c r="J369" s="1252"/>
      <c r="K369" s="1254"/>
      <c r="L369" s="1252"/>
      <c r="M369" s="1252"/>
      <c r="N369" s="1252"/>
      <c r="O369" s="1252"/>
      <c r="P369" s="1252"/>
      <c r="Q369" s="1252"/>
      <c r="R369" s="1252"/>
      <c r="S369" s="1252"/>
      <c r="T369" s="1252"/>
      <c r="U369" s="1252"/>
      <c r="V369" s="1252"/>
      <c r="W369" s="1252"/>
      <c r="X369" s="1252"/>
      <c r="Y369" s="1252"/>
      <c r="Z369" s="1252"/>
      <c r="AA369" s="1252"/>
      <c r="AB369" s="1252"/>
      <c r="AC369" s="1252"/>
      <c r="AD369" s="1252"/>
      <c r="AE369" s="1252"/>
      <c r="AF369" s="1252"/>
      <c r="AG369" s="1252"/>
      <c r="AH369" s="1252"/>
      <c r="AI369" s="1252"/>
      <c r="AJ369" s="1252"/>
      <c r="AK369" s="1252"/>
      <c r="AL369" s="1252"/>
      <c r="AM369" s="1252"/>
      <c r="AN369" s="1252"/>
      <c r="AO369" s="1252"/>
      <c r="AP369" s="1252"/>
      <c r="AQ369" s="0"/>
      <c r="AR369" s="0"/>
      <c r="AS369" s="0"/>
      <c r="AT369" s="0"/>
      <c r="AU369" s="0"/>
      <c r="AV369" s="807"/>
      <c r="AW369" s="1304"/>
      <c r="AX369" s="112"/>
      <c r="AY369" s="112"/>
      <c r="AZ369" s="112"/>
      <c r="BA369" s="163"/>
      <c r="BB369" s="163"/>
      <c r="BC369" s="163"/>
      <c r="BE369" s="163"/>
      <c r="BG369" s="1329"/>
      <c r="BH369" s="112"/>
      <c r="BI369" s="1330"/>
      <c r="BJ369" s="1262"/>
      <c r="BK369" s="163"/>
      <c r="BL369" s="163"/>
      <c r="BM369" s="163"/>
      <c r="BN369" s="163"/>
    </row>
    <row r="370" customFormat="false" ht="12.75" hidden="false" customHeight="false" outlineLevel="0" collapsed="false">
      <c r="A370" s="1244"/>
      <c r="B370" s="1252"/>
      <c r="C370" s="1252"/>
      <c r="D370" s="1252"/>
      <c r="E370" s="1252"/>
      <c r="F370" s="1252"/>
      <c r="G370" s="1252"/>
      <c r="H370" s="1252"/>
      <c r="I370" s="1252"/>
      <c r="J370" s="1252"/>
      <c r="K370" s="1254"/>
      <c r="L370" s="1252"/>
      <c r="M370" s="1252"/>
      <c r="N370" s="1252"/>
      <c r="O370" s="1252"/>
      <c r="P370" s="1252"/>
      <c r="Q370" s="1252"/>
      <c r="R370" s="1252"/>
      <c r="S370" s="1252"/>
      <c r="T370" s="1252"/>
      <c r="U370" s="1252"/>
      <c r="V370" s="1252"/>
      <c r="W370" s="1252"/>
      <c r="X370" s="1252"/>
      <c r="Y370" s="1252"/>
      <c r="Z370" s="1252"/>
      <c r="AA370" s="1252"/>
      <c r="AB370" s="1252"/>
      <c r="AC370" s="1252"/>
      <c r="AD370" s="1252"/>
      <c r="AE370" s="1252"/>
      <c r="AF370" s="1252"/>
      <c r="AG370" s="1252"/>
      <c r="AH370" s="1252"/>
      <c r="AI370" s="1252"/>
      <c r="AJ370" s="1252"/>
      <c r="AK370" s="1252"/>
      <c r="AL370" s="1252"/>
      <c r="AM370" s="1252"/>
      <c r="AN370" s="1252"/>
      <c r="AO370" s="1252"/>
      <c r="AP370" s="1252"/>
      <c r="AQ370" s="0"/>
      <c r="AR370" s="0"/>
      <c r="AS370" s="0"/>
      <c r="AT370" s="0"/>
      <c r="AU370" s="0"/>
      <c r="AV370" s="807"/>
      <c r="AW370" s="1304"/>
      <c r="AX370" s="112"/>
      <c r="AY370" s="112"/>
      <c r="AZ370" s="112"/>
      <c r="BA370" s="163"/>
      <c r="BB370" s="163"/>
      <c r="BC370" s="163"/>
      <c r="BE370" s="163"/>
      <c r="BG370" s="1329"/>
      <c r="BH370" s="112"/>
      <c r="BI370" s="1330"/>
      <c r="BJ370" s="1262"/>
      <c r="BK370" s="163"/>
      <c r="BL370" s="163"/>
      <c r="BM370" s="163"/>
      <c r="BN370" s="163"/>
    </row>
    <row r="371" customFormat="false" ht="12.75" hidden="false" customHeight="false" outlineLevel="0" collapsed="false">
      <c r="A371" s="1244"/>
      <c r="B371" s="1252"/>
      <c r="C371" s="1252"/>
      <c r="D371" s="1252"/>
      <c r="E371" s="1252"/>
      <c r="F371" s="1252"/>
      <c r="G371" s="1252"/>
      <c r="H371" s="1252"/>
      <c r="I371" s="1252"/>
      <c r="J371" s="1252"/>
      <c r="K371" s="1254"/>
      <c r="L371" s="1252"/>
      <c r="M371" s="1252"/>
      <c r="N371" s="1252"/>
      <c r="O371" s="1252"/>
      <c r="P371" s="1252"/>
      <c r="Q371" s="1252"/>
      <c r="R371" s="1252"/>
      <c r="S371" s="1252"/>
      <c r="T371" s="1252"/>
      <c r="U371" s="1252"/>
      <c r="V371" s="1252"/>
      <c r="W371" s="1252"/>
      <c r="X371" s="1252"/>
      <c r="Y371" s="1252"/>
      <c r="Z371" s="1252"/>
      <c r="AA371" s="1252"/>
      <c r="AB371" s="1252"/>
      <c r="AC371" s="1252"/>
      <c r="AD371" s="1252"/>
      <c r="AE371" s="1252"/>
      <c r="AF371" s="1252"/>
      <c r="AG371" s="1252"/>
      <c r="AH371" s="1252"/>
      <c r="AI371" s="1252"/>
      <c r="AJ371" s="1252"/>
      <c r="AK371" s="1252"/>
      <c r="AL371" s="1252"/>
      <c r="AM371" s="1252"/>
      <c r="AN371" s="1252"/>
      <c r="AO371" s="1252"/>
      <c r="AP371" s="1252"/>
      <c r="AQ371" s="0"/>
      <c r="AR371" s="0"/>
      <c r="AS371" s="0"/>
      <c r="AT371" s="0"/>
      <c r="AU371" s="0"/>
      <c r="AV371" s="807"/>
      <c r="AW371" s="1304"/>
      <c r="AX371" s="112"/>
      <c r="AY371" s="112"/>
      <c r="AZ371" s="112"/>
      <c r="BA371" s="163"/>
      <c r="BB371" s="163"/>
      <c r="BC371" s="163"/>
      <c r="BE371" s="163"/>
      <c r="BG371" s="1329"/>
      <c r="BH371" s="112"/>
      <c r="BI371" s="1330"/>
      <c r="BJ371" s="1262"/>
      <c r="BK371" s="163"/>
      <c r="BL371" s="163"/>
      <c r="BM371" s="163"/>
      <c r="BN371" s="163"/>
    </row>
    <row r="372" customFormat="false" ht="12.75" hidden="false" customHeight="false" outlineLevel="0" collapsed="false">
      <c r="A372" s="1244"/>
      <c r="B372" s="1252"/>
      <c r="C372" s="1252"/>
      <c r="D372" s="1252"/>
      <c r="E372" s="1252"/>
      <c r="F372" s="1252"/>
      <c r="G372" s="1252"/>
      <c r="H372" s="1252"/>
      <c r="I372" s="1252"/>
      <c r="J372" s="1252"/>
      <c r="K372" s="1254"/>
      <c r="L372" s="1252"/>
      <c r="M372" s="1252"/>
      <c r="N372" s="1252"/>
      <c r="O372" s="1252"/>
      <c r="P372" s="1252"/>
      <c r="Q372" s="1252"/>
      <c r="R372" s="1252"/>
      <c r="S372" s="1252"/>
      <c r="T372" s="1252"/>
      <c r="U372" s="1252"/>
      <c r="V372" s="1252"/>
      <c r="W372" s="1252"/>
      <c r="X372" s="1252"/>
      <c r="Y372" s="1252"/>
      <c r="Z372" s="1252"/>
      <c r="AA372" s="1252"/>
      <c r="AB372" s="1252"/>
      <c r="AC372" s="1252"/>
      <c r="AD372" s="1252"/>
      <c r="AE372" s="1252"/>
      <c r="AF372" s="1252"/>
      <c r="AG372" s="1252"/>
      <c r="AH372" s="1252"/>
      <c r="AI372" s="1252"/>
      <c r="AJ372" s="1252"/>
      <c r="AK372" s="1252"/>
      <c r="AL372" s="1252"/>
      <c r="AM372" s="1252"/>
      <c r="AN372" s="1252"/>
      <c r="AO372" s="1252"/>
      <c r="AP372" s="1252"/>
      <c r="AQ372" s="0"/>
      <c r="AR372" s="0"/>
      <c r="AS372" s="0"/>
      <c r="AT372" s="0"/>
      <c r="AU372" s="0"/>
      <c r="AV372" s="807"/>
      <c r="AW372" s="1304"/>
      <c r="AX372" s="112"/>
      <c r="AY372" s="112"/>
      <c r="AZ372" s="112"/>
      <c r="BA372" s="163"/>
      <c r="BB372" s="163"/>
      <c r="BC372" s="163"/>
      <c r="BE372" s="163"/>
      <c r="BG372" s="1329"/>
      <c r="BH372" s="112"/>
      <c r="BI372" s="1330"/>
      <c r="BJ372" s="1262"/>
      <c r="BK372" s="163"/>
      <c r="BL372" s="163"/>
      <c r="BM372" s="163"/>
      <c r="BN372" s="163"/>
    </row>
    <row r="373" customFormat="false" ht="12.75" hidden="false" customHeight="false" outlineLevel="0" collapsed="false">
      <c r="A373" s="1244"/>
      <c r="B373" s="1252"/>
      <c r="C373" s="1252"/>
      <c r="D373" s="1252"/>
      <c r="E373" s="1252"/>
      <c r="F373" s="1252"/>
      <c r="G373" s="1252"/>
      <c r="H373" s="1252"/>
      <c r="I373" s="1252"/>
      <c r="J373" s="1252"/>
      <c r="K373" s="1254"/>
      <c r="L373" s="1252"/>
      <c r="M373" s="1252"/>
      <c r="N373" s="1252"/>
      <c r="O373" s="1252"/>
      <c r="P373" s="1252"/>
      <c r="Q373" s="1252"/>
      <c r="R373" s="1252"/>
      <c r="S373" s="1252"/>
      <c r="T373" s="1252"/>
      <c r="U373" s="1252"/>
      <c r="V373" s="1252"/>
      <c r="W373" s="1252"/>
      <c r="X373" s="1252"/>
      <c r="Y373" s="1252"/>
      <c r="Z373" s="1252"/>
      <c r="AA373" s="1252"/>
      <c r="AB373" s="1252"/>
      <c r="AC373" s="1252"/>
      <c r="AD373" s="1252"/>
      <c r="AE373" s="1252"/>
      <c r="AF373" s="1252"/>
      <c r="AG373" s="1252"/>
      <c r="AH373" s="1252"/>
      <c r="AI373" s="1252"/>
      <c r="AJ373" s="1252"/>
      <c r="AK373" s="1252"/>
      <c r="AL373" s="1252"/>
      <c r="AM373" s="1252"/>
      <c r="AN373" s="1252"/>
      <c r="AO373" s="1252"/>
      <c r="AP373" s="1252"/>
      <c r="AQ373" s="0"/>
      <c r="AR373" s="0"/>
      <c r="AS373" s="0"/>
      <c r="AT373" s="0"/>
      <c r="AU373" s="0"/>
      <c r="AV373" s="807"/>
      <c r="AW373" s="1304"/>
      <c r="AX373" s="112"/>
      <c r="AY373" s="112"/>
      <c r="AZ373" s="112"/>
      <c r="BA373" s="163"/>
      <c r="BB373" s="163"/>
      <c r="BC373" s="163"/>
      <c r="BE373" s="163"/>
      <c r="BG373" s="1329"/>
      <c r="BH373" s="112"/>
      <c r="BI373" s="1330"/>
      <c r="BJ373" s="1262"/>
      <c r="BK373" s="163"/>
      <c r="BL373" s="163"/>
      <c r="BM373" s="163"/>
      <c r="BN373" s="163"/>
    </row>
    <row r="374" customFormat="false" ht="12.75" hidden="false" customHeight="false" outlineLevel="0" collapsed="false">
      <c r="A374" s="1244"/>
      <c r="B374" s="1252"/>
      <c r="C374" s="1252"/>
      <c r="D374" s="1252"/>
      <c r="E374" s="1252"/>
      <c r="F374" s="1252"/>
      <c r="G374" s="1252"/>
      <c r="H374" s="1252"/>
      <c r="I374" s="1252"/>
      <c r="J374" s="1252"/>
      <c r="K374" s="1254"/>
      <c r="L374" s="1252"/>
      <c r="M374" s="1252"/>
      <c r="N374" s="1252"/>
      <c r="O374" s="1252"/>
      <c r="P374" s="1252"/>
      <c r="Q374" s="1252"/>
      <c r="R374" s="1252"/>
      <c r="S374" s="1252"/>
      <c r="T374" s="1252"/>
      <c r="U374" s="1252"/>
      <c r="V374" s="1252"/>
      <c r="W374" s="1252"/>
      <c r="X374" s="1252"/>
      <c r="Y374" s="1252"/>
      <c r="Z374" s="1252"/>
      <c r="AA374" s="1252"/>
      <c r="AB374" s="1252"/>
      <c r="AC374" s="1252"/>
      <c r="AD374" s="1252"/>
      <c r="AE374" s="1252"/>
      <c r="AF374" s="1252"/>
      <c r="AG374" s="1252"/>
      <c r="AH374" s="1252"/>
      <c r="AI374" s="1252"/>
      <c r="AJ374" s="1252"/>
      <c r="AK374" s="1252"/>
      <c r="AL374" s="1252"/>
      <c r="AM374" s="1252"/>
      <c r="AN374" s="1252"/>
      <c r="AO374" s="1252"/>
      <c r="AP374" s="1252"/>
      <c r="AQ374" s="0"/>
      <c r="AR374" s="0"/>
      <c r="AS374" s="0"/>
      <c r="AT374" s="0"/>
      <c r="AU374" s="0"/>
      <c r="AV374" s="807"/>
      <c r="AW374" s="1304"/>
      <c r="AX374" s="112"/>
      <c r="AY374" s="112"/>
      <c r="AZ374" s="112"/>
      <c r="BA374" s="163"/>
      <c r="BB374" s="163"/>
      <c r="BC374" s="163"/>
      <c r="BE374" s="163"/>
      <c r="BG374" s="1329"/>
      <c r="BH374" s="112"/>
      <c r="BI374" s="1330"/>
      <c r="BJ374" s="1262"/>
      <c r="BK374" s="163"/>
      <c r="BL374" s="163"/>
      <c r="BM374" s="163"/>
      <c r="BN374" s="163"/>
    </row>
    <row r="375" customFormat="false" ht="12.75" hidden="false" customHeight="false" outlineLevel="0" collapsed="false">
      <c r="A375" s="1244"/>
      <c r="B375" s="1252"/>
      <c r="C375" s="1252"/>
      <c r="D375" s="1252"/>
      <c r="E375" s="1252"/>
      <c r="F375" s="1252"/>
      <c r="G375" s="1252"/>
      <c r="H375" s="1252"/>
      <c r="I375" s="1252"/>
      <c r="J375" s="1252"/>
      <c r="K375" s="1254"/>
      <c r="L375" s="1252"/>
      <c r="M375" s="1252"/>
      <c r="N375" s="1252"/>
      <c r="O375" s="1252"/>
      <c r="P375" s="1252"/>
      <c r="Q375" s="1252"/>
      <c r="R375" s="1252"/>
      <c r="S375" s="1252"/>
      <c r="T375" s="1252"/>
      <c r="U375" s="1252"/>
      <c r="V375" s="1252"/>
      <c r="W375" s="1252"/>
      <c r="X375" s="1252"/>
      <c r="Y375" s="1252"/>
      <c r="Z375" s="1252"/>
      <c r="AA375" s="1252"/>
      <c r="AB375" s="1252"/>
      <c r="AC375" s="1252"/>
      <c r="AD375" s="1252"/>
      <c r="AE375" s="1252"/>
      <c r="AF375" s="1252"/>
      <c r="AG375" s="1252"/>
      <c r="AH375" s="1252"/>
      <c r="AI375" s="1252"/>
      <c r="AJ375" s="1252"/>
      <c r="AK375" s="1252"/>
      <c r="AL375" s="1252"/>
      <c r="AM375" s="1252"/>
      <c r="AN375" s="1252"/>
      <c r="AO375" s="1252"/>
      <c r="AP375" s="1252"/>
      <c r="AQ375" s="0"/>
      <c r="AR375" s="0"/>
      <c r="AS375" s="0"/>
      <c r="AT375" s="0"/>
      <c r="AU375" s="0"/>
      <c r="AV375" s="807"/>
      <c r="AW375" s="1304"/>
      <c r="AX375" s="112"/>
      <c r="AY375" s="112"/>
      <c r="AZ375" s="112"/>
      <c r="BA375" s="163"/>
      <c r="BB375" s="163"/>
      <c r="BC375" s="163"/>
      <c r="BE375" s="163"/>
      <c r="BG375" s="1329"/>
      <c r="BH375" s="112"/>
      <c r="BI375" s="1330"/>
      <c r="BJ375" s="1262"/>
      <c r="BK375" s="163"/>
      <c r="BL375" s="163"/>
      <c r="BM375" s="163"/>
      <c r="BN375" s="163"/>
    </row>
    <row r="376" customFormat="false" ht="12.75" hidden="false" customHeight="false" outlineLevel="0" collapsed="false">
      <c r="A376" s="1244"/>
      <c r="B376" s="1252"/>
      <c r="C376" s="1252"/>
      <c r="D376" s="1252"/>
      <c r="E376" s="1252"/>
      <c r="F376" s="1252"/>
      <c r="G376" s="1252"/>
      <c r="H376" s="1252"/>
      <c r="I376" s="1252"/>
      <c r="J376" s="1252"/>
      <c r="K376" s="1254"/>
      <c r="L376" s="1252"/>
      <c r="M376" s="1252"/>
      <c r="N376" s="1252"/>
      <c r="O376" s="1252"/>
      <c r="P376" s="1252"/>
      <c r="Q376" s="1252"/>
      <c r="R376" s="1252"/>
      <c r="S376" s="1252"/>
      <c r="T376" s="1252"/>
      <c r="U376" s="1252"/>
      <c r="V376" s="1252"/>
      <c r="W376" s="1252"/>
      <c r="X376" s="1252"/>
      <c r="Y376" s="1252"/>
      <c r="Z376" s="1252"/>
      <c r="AA376" s="1252"/>
      <c r="AB376" s="1252"/>
      <c r="AC376" s="1252"/>
      <c r="AD376" s="1252"/>
      <c r="AE376" s="1252"/>
      <c r="AF376" s="1252"/>
      <c r="AG376" s="1252"/>
      <c r="AH376" s="1252"/>
      <c r="AI376" s="1252"/>
      <c r="AJ376" s="1252"/>
      <c r="AK376" s="1252"/>
      <c r="AL376" s="1252"/>
      <c r="AM376" s="1252"/>
      <c r="AN376" s="1252"/>
      <c r="AO376" s="1252"/>
      <c r="AP376" s="1252"/>
      <c r="AQ376" s="0"/>
      <c r="AR376" s="0"/>
      <c r="AS376" s="0"/>
      <c r="AT376" s="0"/>
      <c r="AU376" s="0"/>
      <c r="AV376" s="807"/>
      <c r="AW376" s="1304"/>
      <c r="AX376" s="112"/>
      <c r="AY376" s="112"/>
      <c r="AZ376" s="112"/>
      <c r="BA376" s="163"/>
      <c r="BB376" s="163"/>
      <c r="BC376" s="163"/>
      <c r="BE376" s="163"/>
      <c r="BG376" s="1329"/>
      <c r="BH376" s="112"/>
      <c r="BI376" s="1330"/>
      <c r="BJ376" s="1262"/>
      <c r="BK376" s="163"/>
      <c r="BL376" s="163"/>
      <c r="BM376" s="163"/>
      <c r="BN376" s="163"/>
    </row>
    <row r="377" customFormat="false" ht="12.75" hidden="false" customHeight="false" outlineLevel="0" collapsed="false">
      <c r="A377" s="1244"/>
      <c r="B377" s="1252"/>
      <c r="C377" s="1252"/>
      <c r="D377" s="1252"/>
      <c r="E377" s="1252"/>
      <c r="F377" s="1252"/>
      <c r="G377" s="1252"/>
      <c r="H377" s="1252"/>
      <c r="I377" s="1252"/>
      <c r="J377" s="1252"/>
      <c r="K377" s="1254"/>
      <c r="L377" s="1252"/>
      <c r="M377" s="1252"/>
      <c r="N377" s="1252"/>
      <c r="O377" s="1252"/>
      <c r="P377" s="1252"/>
      <c r="Q377" s="1252"/>
      <c r="R377" s="1252"/>
      <c r="S377" s="1252"/>
      <c r="T377" s="1252"/>
      <c r="U377" s="1252"/>
      <c r="V377" s="1252"/>
      <c r="W377" s="1252"/>
      <c r="X377" s="1252"/>
      <c r="Y377" s="1252"/>
      <c r="Z377" s="1252"/>
      <c r="AA377" s="1252"/>
      <c r="AB377" s="1252"/>
      <c r="AC377" s="1252"/>
      <c r="AD377" s="1252"/>
      <c r="AE377" s="1252"/>
      <c r="AF377" s="1252"/>
      <c r="AG377" s="1252"/>
      <c r="AH377" s="1252"/>
      <c r="AI377" s="1252"/>
      <c r="AJ377" s="1252"/>
      <c r="AK377" s="1252"/>
      <c r="AL377" s="1252"/>
      <c r="AM377" s="1252"/>
      <c r="AN377" s="1252"/>
      <c r="AO377" s="1252"/>
      <c r="AP377" s="1252"/>
      <c r="AQ377" s="0"/>
      <c r="AR377" s="0"/>
      <c r="AS377" s="0"/>
      <c r="AT377" s="0"/>
      <c r="AU377" s="0"/>
      <c r="AV377" s="807"/>
      <c r="AW377" s="1304"/>
      <c r="AX377" s="112"/>
      <c r="AY377" s="112"/>
      <c r="AZ377" s="112"/>
      <c r="BA377" s="163"/>
      <c r="BB377" s="163"/>
      <c r="BC377" s="163"/>
      <c r="BE377" s="163"/>
      <c r="BG377" s="1329"/>
      <c r="BH377" s="112"/>
      <c r="BI377" s="1330"/>
      <c r="BJ377" s="1262"/>
      <c r="BK377" s="163"/>
      <c r="BL377" s="163"/>
      <c r="BM377" s="163"/>
      <c r="BN377" s="163"/>
    </row>
    <row r="378" customFormat="false" ht="12.75" hidden="false" customHeight="false" outlineLevel="0" collapsed="false">
      <c r="A378" s="1244"/>
      <c r="B378" s="1252"/>
      <c r="C378" s="1252"/>
      <c r="D378" s="1252"/>
      <c r="E378" s="1252"/>
      <c r="F378" s="1252"/>
      <c r="G378" s="1252"/>
      <c r="H378" s="1252"/>
      <c r="I378" s="1252"/>
      <c r="J378" s="1252"/>
      <c r="K378" s="1254"/>
      <c r="L378" s="1252"/>
      <c r="M378" s="1252"/>
      <c r="N378" s="1252"/>
      <c r="O378" s="1252"/>
      <c r="P378" s="1252"/>
      <c r="Q378" s="1252"/>
      <c r="R378" s="1252"/>
      <c r="S378" s="1252"/>
      <c r="T378" s="1252"/>
      <c r="U378" s="1252"/>
      <c r="V378" s="1252"/>
      <c r="W378" s="1252"/>
      <c r="X378" s="1252"/>
      <c r="Y378" s="1252"/>
      <c r="Z378" s="1252"/>
      <c r="AA378" s="1252"/>
      <c r="AB378" s="1252"/>
      <c r="AC378" s="1252"/>
      <c r="AD378" s="1252"/>
      <c r="AE378" s="1252"/>
      <c r="AF378" s="1252"/>
      <c r="AG378" s="1252"/>
      <c r="AH378" s="1252"/>
      <c r="AI378" s="1252"/>
      <c r="AJ378" s="1252"/>
      <c r="AK378" s="1252"/>
      <c r="AL378" s="1252"/>
      <c r="AM378" s="1252"/>
      <c r="AN378" s="1252"/>
      <c r="AO378" s="1252"/>
      <c r="AP378" s="1252"/>
      <c r="AQ378" s="0"/>
      <c r="AR378" s="0"/>
      <c r="AS378" s="0"/>
      <c r="AT378" s="0"/>
      <c r="AU378" s="0"/>
      <c r="AV378" s="807"/>
      <c r="AW378" s="1304"/>
      <c r="AX378" s="112"/>
      <c r="AY378" s="112"/>
      <c r="AZ378" s="112"/>
      <c r="BA378" s="163"/>
      <c r="BB378" s="163"/>
      <c r="BC378" s="163"/>
      <c r="BE378" s="163"/>
      <c r="BG378" s="1329"/>
      <c r="BH378" s="112"/>
      <c r="BI378" s="1330"/>
      <c r="BJ378" s="1262"/>
      <c r="BK378" s="163"/>
      <c r="BL378" s="163"/>
      <c r="BM378" s="163"/>
      <c r="BN378" s="163"/>
    </row>
    <row r="379" customFormat="false" ht="12.75" hidden="false" customHeight="false" outlineLevel="0" collapsed="false">
      <c r="A379" s="1244"/>
      <c r="B379" s="1252"/>
      <c r="C379" s="1252"/>
      <c r="D379" s="1252"/>
      <c r="E379" s="1252"/>
      <c r="F379" s="1252"/>
      <c r="G379" s="1252"/>
      <c r="H379" s="1252"/>
      <c r="I379" s="1252"/>
      <c r="J379" s="1252"/>
      <c r="K379" s="1254"/>
      <c r="L379" s="1252"/>
      <c r="M379" s="1252"/>
      <c r="N379" s="1252"/>
      <c r="O379" s="1252"/>
      <c r="P379" s="1252"/>
      <c r="Q379" s="1252"/>
      <c r="R379" s="1252"/>
      <c r="S379" s="1252"/>
      <c r="T379" s="1252"/>
      <c r="U379" s="1252"/>
      <c r="V379" s="1252"/>
      <c r="W379" s="1252"/>
      <c r="X379" s="1252"/>
      <c r="Y379" s="1252"/>
      <c r="Z379" s="1252"/>
      <c r="AA379" s="1252"/>
      <c r="AB379" s="1252"/>
      <c r="AC379" s="1252"/>
      <c r="AD379" s="1252"/>
      <c r="AE379" s="1252"/>
      <c r="AF379" s="1252"/>
      <c r="AG379" s="1252"/>
      <c r="AH379" s="1252"/>
      <c r="AI379" s="1252"/>
      <c r="AJ379" s="1252"/>
      <c r="AK379" s="1252"/>
      <c r="AL379" s="1252"/>
      <c r="AM379" s="1252"/>
      <c r="AN379" s="1252"/>
      <c r="AO379" s="1252"/>
      <c r="AP379" s="1252"/>
      <c r="AQ379" s="0"/>
      <c r="AR379" s="0"/>
      <c r="AS379" s="0"/>
      <c r="AT379" s="0"/>
      <c r="AU379" s="0"/>
      <c r="AV379" s="807"/>
      <c r="AW379" s="1304"/>
      <c r="AX379" s="112"/>
      <c r="AY379" s="112"/>
      <c r="AZ379" s="112"/>
      <c r="BA379" s="163"/>
      <c r="BB379" s="163"/>
      <c r="BC379" s="163"/>
      <c r="BE379" s="163"/>
      <c r="BG379" s="1329"/>
      <c r="BH379" s="112"/>
      <c r="BI379" s="1330"/>
      <c r="BJ379" s="1262"/>
      <c r="BK379" s="163"/>
      <c r="BL379" s="163"/>
      <c r="BM379" s="163"/>
      <c r="BN379" s="163"/>
    </row>
    <row r="380" customFormat="false" ht="12.75" hidden="false" customHeight="false" outlineLevel="0" collapsed="false">
      <c r="A380" s="1244"/>
      <c r="B380" s="1252"/>
      <c r="C380" s="1252"/>
      <c r="D380" s="1252"/>
      <c r="E380" s="1252"/>
      <c r="F380" s="1252"/>
      <c r="G380" s="1252"/>
      <c r="H380" s="1252"/>
      <c r="I380" s="1252"/>
      <c r="J380" s="1252"/>
      <c r="K380" s="1254"/>
      <c r="L380" s="1252"/>
      <c r="M380" s="1252"/>
      <c r="N380" s="1252"/>
      <c r="O380" s="1252"/>
      <c r="P380" s="1252"/>
      <c r="Q380" s="1252"/>
      <c r="R380" s="1252"/>
      <c r="S380" s="1252"/>
      <c r="T380" s="1252"/>
      <c r="U380" s="1252"/>
      <c r="V380" s="1252"/>
      <c r="W380" s="1252"/>
      <c r="X380" s="1252"/>
      <c r="Y380" s="1252"/>
      <c r="Z380" s="1252"/>
      <c r="AA380" s="1252"/>
      <c r="AB380" s="1252"/>
      <c r="AC380" s="1252"/>
      <c r="AD380" s="1252"/>
      <c r="AE380" s="1252"/>
      <c r="AF380" s="1252"/>
      <c r="AG380" s="1252"/>
      <c r="AH380" s="1252"/>
      <c r="AI380" s="1252"/>
      <c r="AJ380" s="1252"/>
      <c r="AK380" s="1252"/>
      <c r="AL380" s="1252"/>
      <c r="AM380" s="1252"/>
      <c r="AN380" s="1252"/>
      <c r="AO380" s="1252"/>
      <c r="AP380" s="1252"/>
      <c r="AQ380" s="0"/>
      <c r="AR380" s="0"/>
      <c r="AS380" s="0"/>
      <c r="AT380" s="0"/>
      <c r="AU380" s="0"/>
      <c r="AV380" s="807"/>
      <c r="AW380" s="1304"/>
      <c r="AX380" s="112"/>
      <c r="AY380" s="112"/>
      <c r="AZ380" s="112"/>
      <c r="BA380" s="163"/>
      <c r="BB380" s="163"/>
      <c r="BC380" s="163"/>
      <c r="BE380" s="163"/>
      <c r="BG380" s="1329"/>
      <c r="BH380" s="112"/>
      <c r="BI380" s="1330"/>
      <c r="BJ380" s="1262"/>
      <c r="BK380" s="163"/>
      <c r="BL380" s="163"/>
      <c r="BM380" s="163"/>
      <c r="BN380" s="163"/>
    </row>
    <row r="381" customFormat="false" ht="12.75" hidden="false" customHeight="false" outlineLevel="0" collapsed="false">
      <c r="A381" s="1244"/>
      <c r="B381" s="1252"/>
      <c r="C381" s="1252"/>
      <c r="D381" s="1252"/>
      <c r="E381" s="1252"/>
      <c r="F381" s="1252"/>
      <c r="G381" s="1252"/>
      <c r="H381" s="1252"/>
      <c r="I381" s="1252"/>
      <c r="J381" s="1252"/>
      <c r="K381" s="1254"/>
      <c r="L381" s="1252"/>
      <c r="M381" s="1252"/>
      <c r="N381" s="1252"/>
      <c r="O381" s="1252"/>
      <c r="P381" s="1252"/>
      <c r="Q381" s="1252"/>
      <c r="R381" s="1252"/>
      <c r="S381" s="1252"/>
      <c r="T381" s="1252"/>
      <c r="U381" s="1252"/>
      <c r="V381" s="1252"/>
      <c r="W381" s="1252"/>
      <c r="X381" s="1252"/>
      <c r="Y381" s="1252"/>
      <c r="Z381" s="1252"/>
      <c r="AA381" s="1252"/>
      <c r="AB381" s="1252"/>
      <c r="AC381" s="1252"/>
      <c r="AD381" s="1252"/>
      <c r="AE381" s="1252"/>
      <c r="AF381" s="1252"/>
      <c r="AG381" s="1252"/>
      <c r="AH381" s="1252"/>
      <c r="AI381" s="1252"/>
      <c r="AJ381" s="1252"/>
      <c r="AK381" s="1252"/>
      <c r="AL381" s="1252"/>
      <c r="AM381" s="1252"/>
      <c r="AN381" s="1252"/>
      <c r="AO381" s="1252"/>
      <c r="AP381" s="1252"/>
      <c r="AQ381" s="0"/>
      <c r="AR381" s="0"/>
      <c r="AS381" s="0"/>
      <c r="AT381" s="0"/>
      <c r="AU381" s="0"/>
      <c r="AV381" s="807"/>
      <c r="AW381" s="1304"/>
      <c r="AX381" s="112"/>
      <c r="AY381" s="112"/>
      <c r="AZ381" s="112"/>
      <c r="BA381" s="163"/>
      <c r="BB381" s="163"/>
      <c r="BC381" s="163"/>
      <c r="BE381" s="163"/>
      <c r="BG381" s="1329"/>
      <c r="BH381" s="112"/>
      <c r="BI381" s="1330"/>
      <c r="BJ381" s="1262"/>
      <c r="BK381" s="163"/>
      <c r="BL381" s="163"/>
      <c r="BM381" s="163"/>
      <c r="BN381" s="163"/>
    </row>
    <row r="382" customFormat="false" ht="12.75" hidden="false" customHeight="false" outlineLevel="0" collapsed="false">
      <c r="A382" s="1244"/>
      <c r="B382" s="1252"/>
      <c r="C382" s="1252"/>
      <c r="D382" s="1252"/>
      <c r="E382" s="1252"/>
      <c r="F382" s="1252"/>
      <c r="G382" s="1252"/>
      <c r="H382" s="1252"/>
      <c r="I382" s="1252"/>
      <c r="J382" s="1252"/>
      <c r="K382" s="1254"/>
      <c r="L382" s="1252"/>
      <c r="M382" s="1252"/>
      <c r="N382" s="1252"/>
      <c r="O382" s="1252"/>
      <c r="P382" s="1252"/>
      <c r="Q382" s="1252"/>
      <c r="R382" s="1252"/>
      <c r="S382" s="1252"/>
      <c r="T382" s="1252"/>
      <c r="U382" s="1252"/>
      <c r="V382" s="1252"/>
      <c r="W382" s="1252"/>
      <c r="X382" s="1252"/>
      <c r="Y382" s="1252"/>
      <c r="Z382" s="1252"/>
      <c r="AA382" s="1252"/>
      <c r="AB382" s="1252"/>
      <c r="AC382" s="1252"/>
      <c r="AD382" s="1252"/>
      <c r="AE382" s="1252"/>
      <c r="AF382" s="1252"/>
      <c r="AG382" s="1252"/>
      <c r="AH382" s="1252"/>
      <c r="AI382" s="1252"/>
      <c r="AJ382" s="1252"/>
      <c r="AK382" s="1252"/>
      <c r="AL382" s="1252"/>
      <c r="AM382" s="1252"/>
      <c r="AN382" s="1252"/>
      <c r="AO382" s="1252"/>
      <c r="AP382" s="1252"/>
      <c r="AQ382" s="0"/>
      <c r="AR382" s="0"/>
      <c r="AS382" s="0"/>
      <c r="AT382" s="0"/>
      <c r="AU382" s="0"/>
      <c r="AV382" s="807"/>
      <c r="AW382" s="1304"/>
      <c r="AX382" s="112"/>
      <c r="AY382" s="112"/>
      <c r="AZ382" s="112"/>
      <c r="BA382" s="163"/>
      <c r="BB382" s="163"/>
      <c r="BC382" s="163"/>
      <c r="BE382" s="163"/>
      <c r="BG382" s="1329"/>
      <c r="BH382" s="112"/>
      <c r="BI382" s="1330"/>
      <c r="BJ382" s="1262"/>
      <c r="BK382" s="163"/>
      <c r="BL382" s="163"/>
      <c r="BM382" s="163"/>
      <c r="BN382" s="163"/>
    </row>
    <row r="383" customFormat="false" ht="12.75" hidden="false" customHeight="false" outlineLevel="0" collapsed="false">
      <c r="A383" s="1244"/>
      <c r="B383" s="1252"/>
      <c r="C383" s="1252"/>
      <c r="D383" s="1252"/>
      <c r="E383" s="1252"/>
      <c r="F383" s="1252"/>
      <c r="G383" s="1252"/>
      <c r="H383" s="1252"/>
      <c r="I383" s="1252"/>
      <c r="J383" s="1252"/>
      <c r="K383" s="1254"/>
      <c r="L383" s="1252"/>
      <c r="M383" s="1252"/>
      <c r="N383" s="1252"/>
      <c r="O383" s="1252"/>
      <c r="P383" s="1252"/>
      <c r="Q383" s="1252"/>
      <c r="R383" s="1252"/>
      <c r="S383" s="1252"/>
      <c r="T383" s="1252"/>
      <c r="U383" s="1252"/>
      <c r="V383" s="1252"/>
      <c r="W383" s="1252"/>
      <c r="X383" s="1252"/>
      <c r="Y383" s="1252"/>
      <c r="Z383" s="1252"/>
      <c r="AA383" s="1252"/>
      <c r="AB383" s="1252"/>
      <c r="AC383" s="1252"/>
      <c r="AD383" s="1252"/>
      <c r="AE383" s="1252"/>
      <c r="AF383" s="1252"/>
      <c r="AG383" s="1252"/>
      <c r="AH383" s="1252"/>
      <c r="AI383" s="1252"/>
      <c r="AJ383" s="1252"/>
      <c r="AK383" s="1252"/>
      <c r="AL383" s="1252"/>
      <c r="AM383" s="1252"/>
      <c r="AN383" s="1252"/>
      <c r="AO383" s="1252"/>
      <c r="AP383" s="1252"/>
      <c r="AQ383" s="0"/>
      <c r="AR383" s="0"/>
      <c r="AS383" s="0"/>
      <c r="AT383" s="0"/>
      <c r="AU383" s="0"/>
      <c r="AV383" s="807"/>
      <c r="AW383" s="1304"/>
      <c r="AX383" s="112"/>
      <c r="AY383" s="112"/>
      <c r="AZ383" s="112"/>
      <c r="BA383" s="163"/>
      <c r="BB383" s="163"/>
      <c r="BC383" s="163"/>
      <c r="BE383" s="163"/>
      <c r="BG383" s="1329"/>
      <c r="BH383" s="112"/>
      <c r="BI383" s="1330"/>
      <c r="BJ383" s="1262"/>
      <c r="BK383" s="163"/>
      <c r="BL383" s="163"/>
      <c r="BM383" s="163"/>
      <c r="BN383" s="163"/>
    </row>
    <row r="384" customFormat="false" ht="12.75" hidden="false" customHeight="false" outlineLevel="0" collapsed="false">
      <c r="A384" s="1244"/>
      <c r="B384" s="1252"/>
      <c r="C384" s="1252"/>
      <c r="D384" s="1252"/>
      <c r="E384" s="1252"/>
      <c r="F384" s="1252"/>
      <c r="G384" s="1252"/>
      <c r="H384" s="1252"/>
      <c r="I384" s="1252"/>
      <c r="J384" s="1252"/>
      <c r="K384" s="1254"/>
      <c r="L384" s="1252"/>
      <c r="M384" s="1252"/>
      <c r="N384" s="1252"/>
      <c r="O384" s="1252"/>
      <c r="P384" s="1252"/>
      <c r="Q384" s="1252"/>
      <c r="R384" s="1252"/>
      <c r="S384" s="1252"/>
      <c r="T384" s="1252"/>
      <c r="U384" s="1252"/>
      <c r="V384" s="1252"/>
      <c r="W384" s="1252"/>
      <c r="X384" s="1252"/>
      <c r="Y384" s="1252"/>
      <c r="Z384" s="1252"/>
      <c r="AA384" s="1252"/>
      <c r="AB384" s="1252"/>
      <c r="AC384" s="1252"/>
      <c r="AD384" s="1252"/>
      <c r="AE384" s="1252"/>
      <c r="AF384" s="1252"/>
      <c r="AG384" s="1252"/>
      <c r="AH384" s="1252"/>
      <c r="AI384" s="1252"/>
      <c r="AJ384" s="1252"/>
      <c r="AK384" s="1252"/>
      <c r="AL384" s="1252"/>
      <c r="AM384" s="1252"/>
      <c r="AN384" s="1252"/>
      <c r="AO384" s="1252"/>
      <c r="AP384" s="1252"/>
      <c r="AQ384" s="0"/>
      <c r="AR384" s="0"/>
      <c r="AS384" s="0"/>
      <c r="AT384" s="0"/>
      <c r="AU384" s="0"/>
      <c r="AV384" s="807"/>
      <c r="AW384" s="1304"/>
      <c r="AX384" s="112"/>
      <c r="AY384" s="112"/>
      <c r="AZ384" s="112"/>
      <c r="BA384" s="163"/>
      <c r="BB384" s="163"/>
      <c r="BC384" s="163"/>
      <c r="BE384" s="163"/>
      <c r="BG384" s="1329"/>
      <c r="BH384" s="112"/>
      <c r="BI384" s="1330"/>
      <c r="BJ384" s="1262"/>
      <c r="BK384" s="163"/>
      <c r="BL384" s="163"/>
      <c r="BM384" s="163"/>
      <c r="BN384" s="163"/>
    </row>
    <row r="385" customFormat="false" ht="12.75" hidden="false" customHeight="false" outlineLevel="0" collapsed="false">
      <c r="A385" s="1244"/>
      <c r="B385" s="1252"/>
      <c r="C385" s="1252"/>
      <c r="D385" s="1252"/>
      <c r="E385" s="1252"/>
      <c r="F385" s="1252"/>
      <c r="G385" s="1252"/>
      <c r="H385" s="1252"/>
      <c r="I385" s="1252"/>
      <c r="J385" s="1252"/>
      <c r="K385" s="1254"/>
      <c r="L385" s="1252"/>
      <c r="M385" s="1252"/>
      <c r="N385" s="1252"/>
      <c r="O385" s="1252"/>
      <c r="P385" s="1252"/>
      <c r="Q385" s="1252"/>
      <c r="R385" s="1252"/>
      <c r="S385" s="1252"/>
      <c r="T385" s="1252"/>
      <c r="U385" s="1252"/>
      <c r="V385" s="1252"/>
      <c r="W385" s="1252"/>
      <c r="X385" s="1252"/>
      <c r="Y385" s="1252"/>
      <c r="Z385" s="1252"/>
      <c r="AA385" s="1252"/>
      <c r="AB385" s="1252"/>
      <c r="AC385" s="1252"/>
      <c r="AD385" s="1252"/>
      <c r="AE385" s="1252"/>
      <c r="AF385" s="1252"/>
      <c r="AG385" s="1252"/>
      <c r="AH385" s="1252"/>
      <c r="AI385" s="1252"/>
      <c r="AJ385" s="1252"/>
      <c r="AK385" s="1252"/>
      <c r="AL385" s="1252"/>
      <c r="AM385" s="1252"/>
      <c r="AN385" s="1252"/>
      <c r="AO385" s="1252"/>
      <c r="AP385" s="1252"/>
      <c r="AQ385" s="0"/>
      <c r="AR385" s="0"/>
      <c r="AS385" s="0"/>
      <c r="AT385" s="0"/>
      <c r="AU385" s="0"/>
      <c r="AV385" s="807"/>
      <c r="AW385" s="1304"/>
      <c r="AX385" s="112"/>
      <c r="AY385" s="112"/>
      <c r="AZ385" s="112"/>
      <c r="BA385" s="163"/>
      <c r="BB385" s="163"/>
      <c r="BC385" s="163"/>
      <c r="BE385" s="163"/>
      <c r="BG385" s="1329"/>
      <c r="BH385" s="112"/>
      <c r="BI385" s="1330"/>
      <c r="BJ385" s="1262"/>
      <c r="BK385" s="163"/>
      <c r="BL385" s="163"/>
      <c r="BM385" s="163"/>
      <c r="BN385" s="163"/>
    </row>
    <row r="386" customFormat="false" ht="12.75" hidden="false" customHeight="false" outlineLevel="0" collapsed="false">
      <c r="A386" s="1244"/>
      <c r="B386" s="1252"/>
      <c r="C386" s="1252"/>
      <c r="D386" s="1252"/>
      <c r="E386" s="1252"/>
      <c r="F386" s="1252"/>
      <c r="G386" s="1252"/>
      <c r="H386" s="1252"/>
      <c r="I386" s="1252"/>
      <c r="J386" s="1252"/>
      <c r="K386" s="1254"/>
      <c r="L386" s="1252"/>
      <c r="M386" s="1252"/>
      <c r="N386" s="1252"/>
      <c r="O386" s="1252"/>
      <c r="P386" s="1252"/>
      <c r="Q386" s="1252"/>
      <c r="R386" s="1252"/>
      <c r="S386" s="1252"/>
      <c r="T386" s="1252"/>
      <c r="U386" s="1252"/>
      <c r="V386" s="1252"/>
      <c r="W386" s="1252"/>
      <c r="X386" s="1252"/>
      <c r="Y386" s="1252"/>
      <c r="Z386" s="1252"/>
      <c r="AA386" s="1252"/>
      <c r="AB386" s="1252"/>
      <c r="AC386" s="1252"/>
      <c r="AD386" s="1252"/>
      <c r="AE386" s="1252"/>
      <c r="AF386" s="1252"/>
      <c r="AG386" s="1252"/>
      <c r="AH386" s="1252"/>
      <c r="AI386" s="1252"/>
      <c r="AJ386" s="1252"/>
      <c r="AK386" s="1252"/>
      <c r="AL386" s="1252"/>
      <c r="AM386" s="1252"/>
      <c r="AN386" s="1252"/>
      <c r="AO386" s="1252"/>
      <c r="AP386" s="1252"/>
      <c r="AQ386" s="0"/>
      <c r="AR386" s="0"/>
      <c r="AS386" s="0"/>
      <c r="AT386" s="0"/>
      <c r="AU386" s="0"/>
      <c r="AV386" s="807"/>
      <c r="AW386" s="1304"/>
      <c r="AX386" s="112"/>
      <c r="AY386" s="112"/>
      <c r="AZ386" s="112"/>
      <c r="BA386" s="163"/>
      <c r="BB386" s="163"/>
      <c r="BC386" s="163"/>
      <c r="BE386" s="163"/>
      <c r="BG386" s="1329"/>
      <c r="BH386" s="112"/>
      <c r="BI386" s="1330"/>
      <c r="BJ386" s="1262"/>
      <c r="BK386" s="163"/>
      <c r="BL386" s="163"/>
      <c r="BM386" s="163"/>
      <c r="BN386" s="163"/>
    </row>
    <row r="387" customFormat="false" ht="12.75" hidden="false" customHeight="false" outlineLevel="0" collapsed="false">
      <c r="A387" s="1244"/>
      <c r="B387" s="1252"/>
      <c r="C387" s="1252"/>
      <c r="D387" s="1252"/>
      <c r="E387" s="1252"/>
      <c r="F387" s="1252"/>
      <c r="G387" s="1252"/>
      <c r="H387" s="1252"/>
      <c r="I387" s="1252"/>
      <c r="J387" s="1252"/>
      <c r="K387" s="1254"/>
      <c r="L387" s="1252"/>
      <c r="M387" s="1252"/>
      <c r="N387" s="1252"/>
      <c r="O387" s="1252"/>
      <c r="P387" s="1252"/>
      <c r="Q387" s="1252"/>
      <c r="R387" s="1252"/>
      <c r="S387" s="1252"/>
      <c r="T387" s="1252"/>
      <c r="U387" s="1252"/>
      <c r="V387" s="1252"/>
      <c r="W387" s="1252"/>
      <c r="X387" s="1252"/>
      <c r="Y387" s="1252"/>
      <c r="Z387" s="1252"/>
      <c r="AA387" s="1252"/>
      <c r="AB387" s="1252"/>
      <c r="AC387" s="1252"/>
      <c r="AD387" s="1252"/>
      <c r="AE387" s="1252"/>
      <c r="AF387" s="1252"/>
      <c r="AG387" s="1252"/>
      <c r="AH387" s="1252"/>
      <c r="AI387" s="1252"/>
      <c r="AJ387" s="1252"/>
      <c r="AK387" s="1252"/>
      <c r="AL387" s="1252"/>
      <c r="AM387" s="1252"/>
      <c r="AN387" s="1252"/>
      <c r="AO387" s="1252"/>
      <c r="AP387" s="1252"/>
      <c r="AQ387" s="0"/>
      <c r="AR387" s="0"/>
      <c r="AS387" s="0"/>
      <c r="AT387" s="0"/>
      <c r="AU387" s="0"/>
      <c r="AV387" s="807"/>
      <c r="AW387" s="1304"/>
      <c r="AX387" s="112"/>
      <c r="AY387" s="112"/>
      <c r="AZ387" s="112"/>
      <c r="BA387" s="163"/>
      <c r="BB387" s="163"/>
      <c r="BC387" s="163"/>
      <c r="BE387" s="163"/>
      <c r="BG387" s="1329"/>
      <c r="BH387" s="112"/>
      <c r="BI387" s="1330"/>
      <c r="BJ387" s="1262"/>
      <c r="BK387" s="163"/>
      <c r="BL387" s="163"/>
      <c r="BM387" s="163"/>
      <c r="BN387" s="163"/>
    </row>
    <row r="388" customFormat="false" ht="12.75" hidden="false" customHeight="false" outlineLevel="0" collapsed="false">
      <c r="A388" s="1244"/>
      <c r="B388" s="1252"/>
      <c r="C388" s="1252"/>
      <c r="D388" s="1252"/>
      <c r="E388" s="1252"/>
      <c r="F388" s="1252"/>
      <c r="G388" s="1252"/>
      <c r="H388" s="1252"/>
      <c r="I388" s="1252"/>
      <c r="J388" s="1252"/>
      <c r="K388" s="1254"/>
      <c r="L388" s="1252"/>
      <c r="M388" s="1252"/>
      <c r="N388" s="1252"/>
      <c r="O388" s="1252"/>
      <c r="P388" s="1252"/>
      <c r="Q388" s="1252"/>
      <c r="R388" s="1252"/>
      <c r="S388" s="1252"/>
      <c r="T388" s="1252"/>
      <c r="U388" s="1252"/>
      <c r="V388" s="1252"/>
      <c r="W388" s="1252"/>
      <c r="X388" s="1252"/>
      <c r="Y388" s="1252"/>
      <c r="Z388" s="1252"/>
      <c r="AA388" s="1252"/>
      <c r="AB388" s="1252"/>
      <c r="AC388" s="1252"/>
      <c r="AD388" s="1252"/>
      <c r="AE388" s="1252"/>
      <c r="AF388" s="1252"/>
      <c r="AG388" s="1252"/>
      <c r="AH388" s="1252"/>
      <c r="AI388" s="1252"/>
      <c r="AJ388" s="1252"/>
      <c r="AK388" s="1252"/>
      <c r="AL388" s="1252"/>
      <c r="AM388" s="1252"/>
      <c r="AN388" s="1252"/>
      <c r="AO388" s="1252"/>
      <c r="AP388" s="1252"/>
      <c r="AQ388" s="0"/>
      <c r="AR388" s="0"/>
      <c r="AS388" s="0"/>
      <c r="AT388" s="0"/>
      <c r="AU388" s="0"/>
      <c r="AV388" s="807"/>
      <c r="AW388" s="1304"/>
      <c r="AX388" s="112"/>
      <c r="AY388" s="112"/>
      <c r="AZ388" s="112"/>
      <c r="BA388" s="163"/>
      <c r="BB388" s="163"/>
      <c r="BC388" s="163"/>
      <c r="BE388" s="163"/>
      <c r="BG388" s="1329"/>
      <c r="BH388" s="112"/>
      <c r="BI388" s="1330"/>
      <c r="BJ388" s="1262"/>
      <c r="BK388" s="163"/>
      <c r="BL388" s="163"/>
      <c r="BM388" s="163"/>
      <c r="BN388" s="163"/>
    </row>
    <row r="389" customFormat="false" ht="12.75" hidden="false" customHeight="false" outlineLevel="0" collapsed="false">
      <c r="A389" s="1244"/>
      <c r="B389" s="1252"/>
      <c r="C389" s="1252"/>
      <c r="D389" s="1252"/>
      <c r="E389" s="1252"/>
      <c r="F389" s="1252"/>
      <c r="G389" s="1252"/>
      <c r="H389" s="1252"/>
      <c r="I389" s="1252"/>
      <c r="J389" s="1252"/>
      <c r="K389" s="1254"/>
      <c r="L389" s="1252"/>
      <c r="M389" s="1252"/>
      <c r="N389" s="1252"/>
      <c r="O389" s="1252"/>
      <c r="P389" s="1252"/>
      <c r="Q389" s="1252"/>
      <c r="R389" s="1252"/>
      <c r="S389" s="1252"/>
      <c r="T389" s="1252"/>
      <c r="U389" s="1252"/>
      <c r="V389" s="1252"/>
      <c r="W389" s="1252"/>
      <c r="X389" s="1252"/>
      <c r="Y389" s="1252"/>
      <c r="Z389" s="1252"/>
      <c r="AA389" s="1252"/>
      <c r="AB389" s="1252"/>
      <c r="AC389" s="1252"/>
      <c r="AD389" s="1252"/>
      <c r="AE389" s="1252"/>
      <c r="AF389" s="1252"/>
      <c r="AG389" s="1252"/>
      <c r="AH389" s="1252"/>
      <c r="AI389" s="1252"/>
      <c r="AJ389" s="1252"/>
      <c r="AK389" s="1252"/>
      <c r="AL389" s="1252"/>
      <c r="AM389" s="1252"/>
      <c r="AN389" s="1252"/>
      <c r="AO389" s="1252"/>
      <c r="AP389" s="1252"/>
      <c r="AQ389" s="0"/>
      <c r="AR389" s="0"/>
      <c r="AS389" s="0"/>
      <c r="AT389" s="0"/>
      <c r="AU389" s="0"/>
      <c r="AV389" s="807"/>
      <c r="AW389" s="1304"/>
      <c r="AX389" s="112"/>
      <c r="AY389" s="112"/>
      <c r="AZ389" s="112"/>
      <c r="BA389" s="163"/>
      <c r="BB389" s="163"/>
      <c r="BC389" s="163"/>
      <c r="BE389" s="163"/>
      <c r="BG389" s="1329"/>
      <c r="BH389" s="112"/>
      <c r="BI389" s="1330"/>
      <c r="BJ389" s="1262"/>
      <c r="BK389" s="163"/>
      <c r="BL389" s="163"/>
      <c r="BM389" s="163"/>
      <c r="BN389" s="163"/>
    </row>
    <row r="390" customFormat="false" ht="12.75" hidden="false" customHeight="false" outlineLevel="0" collapsed="false">
      <c r="A390" s="1244"/>
      <c r="B390" s="1252"/>
      <c r="C390" s="1252"/>
      <c r="D390" s="1252"/>
      <c r="E390" s="1252"/>
      <c r="F390" s="1252"/>
      <c r="G390" s="1252"/>
      <c r="H390" s="1252"/>
      <c r="I390" s="1252"/>
      <c r="J390" s="1252"/>
      <c r="K390" s="1254"/>
      <c r="L390" s="1252"/>
      <c r="M390" s="1252"/>
      <c r="N390" s="1252"/>
      <c r="O390" s="1252"/>
      <c r="P390" s="1252"/>
      <c r="Q390" s="1252"/>
      <c r="R390" s="1252"/>
      <c r="S390" s="1252"/>
      <c r="T390" s="1252"/>
      <c r="U390" s="1252"/>
      <c r="V390" s="1252"/>
      <c r="W390" s="1252"/>
      <c r="X390" s="1252"/>
      <c r="Y390" s="1252"/>
      <c r="Z390" s="1252"/>
      <c r="AA390" s="1252"/>
      <c r="AB390" s="1252"/>
      <c r="AC390" s="1252"/>
      <c r="AD390" s="1252"/>
      <c r="AE390" s="1252"/>
      <c r="AF390" s="1252"/>
      <c r="AG390" s="1252"/>
      <c r="AH390" s="1252"/>
      <c r="AI390" s="1252"/>
      <c r="AJ390" s="1252"/>
      <c r="AK390" s="1252"/>
      <c r="AL390" s="1252"/>
      <c r="AM390" s="1252"/>
      <c r="AN390" s="1252"/>
      <c r="AO390" s="1252"/>
      <c r="AP390" s="1252"/>
      <c r="AQ390" s="0"/>
      <c r="AR390" s="0"/>
      <c r="AS390" s="0"/>
      <c r="AT390" s="0"/>
      <c r="AU390" s="0"/>
      <c r="AV390" s="807"/>
      <c r="AW390" s="1304"/>
      <c r="AX390" s="112"/>
      <c r="AY390" s="112"/>
      <c r="AZ390" s="112"/>
      <c r="BA390" s="163"/>
      <c r="BB390" s="163"/>
      <c r="BC390" s="163"/>
      <c r="BE390" s="163"/>
      <c r="BG390" s="1329"/>
      <c r="BH390" s="112"/>
      <c r="BI390" s="1330"/>
      <c r="BJ390" s="1262"/>
      <c r="BK390" s="163"/>
      <c r="BL390" s="163"/>
      <c r="BM390" s="163"/>
      <c r="BN390" s="163"/>
    </row>
    <row r="391" customFormat="false" ht="12.75" hidden="false" customHeight="false" outlineLevel="0" collapsed="false">
      <c r="A391" s="1244"/>
      <c r="B391" s="1252"/>
      <c r="C391" s="1252"/>
      <c r="D391" s="1252"/>
      <c r="E391" s="1252"/>
      <c r="F391" s="1252"/>
      <c r="G391" s="1252"/>
      <c r="H391" s="1252"/>
      <c r="I391" s="1252"/>
      <c r="J391" s="1252"/>
      <c r="K391" s="1254"/>
      <c r="L391" s="1252"/>
      <c r="M391" s="1252"/>
      <c r="N391" s="1252"/>
      <c r="O391" s="1252"/>
      <c r="P391" s="1252"/>
      <c r="Q391" s="1252"/>
      <c r="R391" s="1252"/>
      <c r="S391" s="1252"/>
      <c r="T391" s="1252"/>
      <c r="U391" s="1252"/>
      <c r="V391" s="1252"/>
      <c r="W391" s="1252"/>
      <c r="X391" s="1252"/>
      <c r="Y391" s="1252"/>
      <c r="Z391" s="1252"/>
      <c r="AA391" s="1252"/>
      <c r="AB391" s="1252"/>
      <c r="AC391" s="1252"/>
      <c r="AD391" s="1252"/>
      <c r="AE391" s="1252"/>
      <c r="AF391" s="1252"/>
      <c r="AG391" s="1252"/>
      <c r="AH391" s="1252"/>
      <c r="AI391" s="1252"/>
      <c r="AJ391" s="1252"/>
      <c r="AK391" s="1252"/>
      <c r="AL391" s="1252"/>
      <c r="AM391" s="1252"/>
      <c r="AN391" s="1252"/>
      <c r="AO391" s="1252"/>
      <c r="AP391" s="1252"/>
      <c r="AQ391" s="0"/>
      <c r="AR391" s="0"/>
      <c r="AS391" s="0"/>
      <c r="AT391" s="0"/>
      <c r="AU391" s="0"/>
      <c r="AV391" s="807"/>
      <c r="AW391" s="1304"/>
      <c r="AX391" s="112"/>
      <c r="AY391" s="112"/>
      <c r="AZ391" s="112"/>
      <c r="BA391" s="163"/>
      <c r="BB391" s="163"/>
      <c r="BC391" s="163"/>
      <c r="BE391" s="163"/>
      <c r="BG391" s="1329"/>
      <c r="BH391" s="112"/>
      <c r="BI391" s="1330"/>
      <c r="BJ391" s="1262"/>
      <c r="BK391" s="163"/>
      <c r="BL391" s="163"/>
      <c r="BM391" s="163"/>
      <c r="BN391" s="163"/>
    </row>
    <row r="392" customFormat="false" ht="12.75" hidden="false" customHeight="false" outlineLevel="0" collapsed="false">
      <c r="A392" s="1244"/>
      <c r="B392" s="1252"/>
      <c r="C392" s="1252"/>
      <c r="D392" s="1252"/>
      <c r="E392" s="1252"/>
      <c r="F392" s="1252"/>
      <c r="G392" s="1252"/>
      <c r="H392" s="1252"/>
      <c r="I392" s="1252"/>
      <c r="J392" s="1252"/>
      <c r="K392" s="1254"/>
      <c r="L392" s="1252"/>
      <c r="M392" s="1252"/>
      <c r="N392" s="1252"/>
      <c r="O392" s="1252"/>
      <c r="P392" s="1252"/>
      <c r="Q392" s="1252"/>
      <c r="R392" s="1252"/>
      <c r="S392" s="1252"/>
      <c r="T392" s="1252"/>
      <c r="U392" s="1252"/>
      <c r="V392" s="1252"/>
      <c r="W392" s="1252"/>
      <c r="X392" s="1252"/>
      <c r="Y392" s="1252"/>
      <c r="Z392" s="1252"/>
      <c r="AA392" s="1252"/>
      <c r="AB392" s="1252"/>
      <c r="AC392" s="1252"/>
      <c r="AD392" s="1252"/>
      <c r="AE392" s="1252"/>
      <c r="AF392" s="1252"/>
      <c r="AG392" s="1252"/>
      <c r="AH392" s="1252"/>
      <c r="AI392" s="1252"/>
      <c r="AJ392" s="1252"/>
      <c r="AK392" s="1252"/>
      <c r="AL392" s="1252"/>
      <c r="AM392" s="1252"/>
      <c r="AN392" s="1252"/>
      <c r="AO392" s="1252"/>
      <c r="AP392" s="1252"/>
      <c r="AQ392" s="0"/>
      <c r="AR392" s="0"/>
      <c r="AS392" s="0"/>
      <c r="AT392" s="0"/>
      <c r="AU392" s="0"/>
      <c r="AV392" s="807"/>
      <c r="AW392" s="1304"/>
      <c r="AX392" s="112"/>
      <c r="AY392" s="112"/>
      <c r="AZ392" s="112"/>
      <c r="BA392" s="163"/>
      <c r="BB392" s="163"/>
      <c r="BC392" s="163"/>
      <c r="BE392" s="163"/>
      <c r="BG392" s="1329"/>
      <c r="BH392" s="112"/>
      <c r="BI392" s="1330"/>
      <c r="BJ392" s="1262"/>
      <c r="BK392" s="163"/>
      <c r="BL392" s="163"/>
      <c r="BM392" s="163"/>
      <c r="BN392" s="163"/>
    </row>
    <row r="393" customFormat="false" ht="12.75" hidden="false" customHeight="false" outlineLevel="0" collapsed="false">
      <c r="A393" s="1244"/>
      <c r="B393" s="1252"/>
      <c r="C393" s="1252"/>
      <c r="D393" s="1252"/>
      <c r="E393" s="1252"/>
      <c r="F393" s="1252"/>
      <c r="G393" s="1252"/>
      <c r="H393" s="1252"/>
      <c r="I393" s="1252"/>
      <c r="J393" s="1252"/>
      <c r="K393" s="1254"/>
      <c r="L393" s="1252"/>
      <c r="M393" s="1252"/>
      <c r="N393" s="1252"/>
      <c r="O393" s="1252"/>
      <c r="P393" s="1252"/>
      <c r="Q393" s="1252"/>
      <c r="R393" s="1252"/>
      <c r="S393" s="1252"/>
      <c r="T393" s="1252"/>
      <c r="U393" s="1252"/>
      <c r="V393" s="1252"/>
      <c r="W393" s="1252"/>
      <c r="X393" s="1252"/>
      <c r="Y393" s="1252"/>
      <c r="Z393" s="1252"/>
      <c r="AA393" s="1252"/>
      <c r="AB393" s="1252"/>
      <c r="AC393" s="1252"/>
      <c r="AD393" s="1252"/>
      <c r="AE393" s="1252"/>
      <c r="AF393" s="1252"/>
      <c r="AG393" s="1252"/>
      <c r="AH393" s="1252"/>
      <c r="AI393" s="1252"/>
      <c r="AJ393" s="1252"/>
      <c r="AK393" s="1252"/>
      <c r="AL393" s="1252"/>
      <c r="AM393" s="1252"/>
      <c r="AN393" s="1252"/>
      <c r="AO393" s="1252"/>
      <c r="AP393" s="1252"/>
      <c r="AQ393" s="0"/>
      <c r="AR393" s="0"/>
      <c r="AS393" s="0"/>
      <c r="AT393" s="0"/>
      <c r="AU393" s="0"/>
      <c r="AV393" s="807"/>
      <c r="AW393" s="1304"/>
      <c r="AX393" s="112"/>
      <c r="AY393" s="112"/>
      <c r="AZ393" s="112"/>
      <c r="BA393" s="163"/>
      <c r="BB393" s="163"/>
      <c r="BC393" s="163"/>
      <c r="BE393" s="163"/>
      <c r="BG393" s="1329"/>
      <c r="BH393" s="112"/>
      <c r="BI393" s="1330"/>
      <c r="BJ393" s="1262"/>
      <c r="BK393" s="163"/>
      <c r="BL393" s="163"/>
      <c r="BM393" s="163"/>
      <c r="BN393" s="163"/>
    </row>
    <row r="394" customFormat="false" ht="12.75" hidden="false" customHeight="false" outlineLevel="0" collapsed="false">
      <c r="A394" s="1244"/>
      <c r="B394" s="1252"/>
      <c r="C394" s="1252"/>
      <c r="D394" s="1252"/>
      <c r="E394" s="1252"/>
      <c r="F394" s="1252"/>
      <c r="G394" s="1252"/>
      <c r="H394" s="1252"/>
      <c r="I394" s="1252"/>
      <c r="J394" s="1252"/>
      <c r="K394" s="1254"/>
      <c r="L394" s="1252"/>
      <c r="M394" s="1252"/>
      <c r="N394" s="1252"/>
      <c r="O394" s="1252"/>
      <c r="P394" s="1252"/>
      <c r="Q394" s="1252"/>
      <c r="R394" s="1252"/>
      <c r="S394" s="1252"/>
      <c r="T394" s="1252"/>
      <c r="U394" s="1252"/>
      <c r="V394" s="1252"/>
      <c r="W394" s="1252"/>
      <c r="X394" s="1252"/>
      <c r="Y394" s="1252"/>
      <c r="Z394" s="1252"/>
      <c r="AA394" s="1252"/>
      <c r="AB394" s="1252"/>
      <c r="AC394" s="1252"/>
      <c r="AD394" s="1252"/>
      <c r="AE394" s="1252"/>
      <c r="AF394" s="1252"/>
      <c r="AG394" s="1252"/>
      <c r="AH394" s="1252"/>
      <c r="AI394" s="1252"/>
      <c r="AJ394" s="1252"/>
      <c r="AK394" s="1252"/>
      <c r="AL394" s="1252"/>
      <c r="AM394" s="1252"/>
      <c r="AN394" s="1252"/>
      <c r="AO394" s="1252"/>
      <c r="AP394" s="1252"/>
      <c r="AQ394" s="0"/>
      <c r="AR394" s="0"/>
      <c r="AS394" s="0"/>
      <c r="AT394" s="0"/>
      <c r="AU394" s="0"/>
      <c r="AV394" s="807"/>
      <c r="AW394" s="1304"/>
      <c r="AX394" s="112"/>
      <c r="AY394" s="112"/>
      <c r="AZ394" s="112"/>
      <c r="BA394" s="163"/>
      <c r="BB394" s="163"/>
      <c r="BC394" s="163"/>
      <c r="BE394" s="163"/>
      <c r="BG394" s="1329"/>
      <c r="BH394" s="112"/>
      <c r="BI394" s="1330"/>
      <c r="BJ394" s="1262"/>
      <c r="BK394" s="163"/>
      <c r="BL394" s="163"/>
      <c r="BM394" s="163"/>
      <c r="BN394" s="163"/>
    </row>
    <row r="395" customFormat="false" ht="12.75" hidden="false" customHeight="false" outlineLevel="0" collapsed="false">
      <c r="A395" s="1244"/>
      <c r="B395" s="1252"/>
      <c r="C395" s="1252"/>
      <c r="D395" s="1252"/>
      <c r="E395" s="1252"/>
      <c r="F395" s="1252"/>
      <c r="G395" s="1252"/>
      <c r="H395" s="1252"/>
      <c r="I395" s="1252"/>
      <c r="J395" s="1252"/>
      <c r="K395" s="1254"/>
      <c r="L395" s="1252"/>
      <c r="M395" s="1252"/>
      <c r="N395" s="1252"/>
      <c r="O395" s="1252"/>
      <c r="P395" s="1252"/>
      <c r="Q395" s="1252"/>
      <c r="R395" s="1252"/>
      <c r="S395" s="1252"/>
      <c r="T395" s="1252"/>
      <c r="U395" s="1252"/>
      <c r="V395" s="1252"/>
      <c r="W395" s="1252"/>
      <c r="X395" s="1252"/>
      <c r="Y395" s="1252"/>
      <c r="Z395" s="1252"/>
      <c r="AA395" s="1252"/>
      <c r="AB395" s="1252"/>
      <c r="AC395" s="1252"/>
      <c r="AD395" s="1252"/>
      <c r="AE395" s="1252"/>
      <c r="AF395" s="1252"/>
      <c r="AG395" s="1252"/>
      <c r="AH395" s="1252"/>
      <c r="AI395" s="1252"/>
      <c r="AJ395" s="1252"/>
      <c r="AK395" s="1252"/>
      <c r="AL395" s="1252"/>
      <c r="AM395" s="1252"/>
      <c r="AN395" s="1252"/>
      <c r="AO395" s="1252"/>
      <c r="AP395" s="1252"/>
      <c r="AQ395" s="0"/>
      <c r="AR395" s="0"/>
      <c r="AS395" s="0"/>
      <c r="AT395" s="0"/>
      <c r="AU395" s="0"/>
      <c r="AV395" s="807"/>
      <c r="AW395" s="1304"/>
      <c r="AX395" s="112"/>
      <c r="AY395" s="112"/>
      <c r="AZ395" s="112"/>
      <c r="BA395" s="163"/>
      <c r="BB395" s="163"/>
      <c r="BC395" s="163"/>
      <c r="BE395" s="163"/>
      <c r="BG395" s="1329"/>
      <c r="BH395" s="112"/>
      <c r="BI395" s="1330"/>
      <c r="BJ395" s="1262"/>
      <c r="BK395" s="163"/>
      <c r="BL395" s="163"/>
      <c r="BM395" s="163"/>
      <c r="BN395" s="163"/>
    </row>
    <row r="396" customFormat="false" ht="12.75" hidden="false" customHeight="false" outlineLevel="0" collapsed="false">
      <c r="A396" s="1244"/>
      <c r="B396" s="1252"/>
      <c r="C396" s="1252"/>
      <c r="D396" s="1252"/>
      <c r="E396" s="1252"/>
      <c r="F396" s="1252"/>
      <c r="G396" s="1252"/>
      <c r="H396" s="1252"/>
      <c r="I396" s="1252"/>
      <c r="J396" s="1252"/>
      <c r="K396" s="1254"/>
      <c r="L396" s="1252"/>
      <c r="M396" s="1252"/>
      <c r="N396" s="1252"/>
      <c r="O396" s="1252"/>
      <c r="P396" s="1252"/>
      <c r="Q396" s="1252"/>
      <c r="R396" s="1252"/>
      <c r="S396" s="1252"/>
      <c r="T396" s="1252"/>
      <c r="U396" s="1252"/>
      <c r="V396" s="1252"/>
      <c r="W396" s="1252"/>
      <c r="X396" s="1252"/>
      <c r="Y396" s="1252"/>
      <c r="Z396" s="1252"/>
      <c r="AA396" s="1252"/>
      <c r="AB396" s="1252"/>
      <c r="AC396" s="1252"/>
      <c r="AD396" s="1252"/>
      <c r="AE396" s="1252"/>
      <c r="AF396" s="1252"/>
      <c r="AG396" s="1252"/>
      <c r="AH396" s="1252"/>
      <c r="AI396" s="1252"/>
      <c r="AJ396" s="1252"/>
      <c r="AK396" s="1252"/>
      <c r="AL396" s="1252"/>
      <c r="AM396" s="1252"/>
      <c r="AN396" s="1252"/>
      <c r="AO396" s="1252"/>
      <c r="AP396" s="1252"/>
      <c r="AQ396" s="0"/>
      <c r="AR396" s="0"/>
      <c r="AS396" s="0"/>
      <c r="AT396" s="0"/>
      <c r="AU396" s="0"/>
      <c r="AV396" s="807"/>
      <c r="AW396" s="1304"/>
      <c r="AX396" s="112"/>
      <c r="AY396" s="112"/>
      <c r="AZ396" s="112"/>
      <c r="BA396" s="163"/>
      <c r="BB396" s="163"/>
      <c r="BC396" s="163"/>
      <c r="BE396" s="163"/>
      <c r="BG396" s="1329"/>
      <c r="BH396" s="112"/>
      <c r="BI396" s="1330"/>
      <c r="BJ396" s="1262"/>
      <c r="BK396" s="163"/>
      <c r="BL396" s="163"/>
      <c r="BM396" s="163"/>
      <c r="BN396" s="163"/>
    </row>
    <row r="397" customFormat="false" ht="12.75" hidden="false" customHeight="false" outlineLevel="0" collapsed="false">
      <c r="A397" s="1244"/>
      <c r="B397" s="1252"/>
      <c r="C397" s="1252"/>
      <c r="D397" s="1252"/>
      <c r="E397" s="1252"/>
      <c r="F397" s="1252"/>
      <c r="G397" s="1252"/>
      <c r="H397" s="1252"/>
      <c r="I397" s="1252"/>
      <c r="J397" s="1252"/>
      <c r="K397" s="1254"/>
      <c r="L397" s="1252"/>
      <c r="M397" s="1252"/>
      <c r="N397" s="1252"/>
      <c r="O397" s="1252"/>
      <c r="P397" s="1252"/>
      <c r="Q397" s="1252"/>
      <c r="R397" s="1252"/>
      <c r="S397" s="1252"/>
      <c r="T397" s="1252"/>
      <c r="U397" s="1252"/>
      <c r="V397" s="1252"/>
      <c r="W397" s="1252"/>
      <c r="X397" s="1252"/>
      <c r="Y397" s="1252"/>
      <c r="Z397" s="1252"/>
      <c r="AA397" s="1252"/>
      <c r="AB397" s="1252"/>
      <c r="AC397" s="1252"/>
      <c r="AD397" s="1252"/>
      <c r="AE397" s="1252"/>
      <c r="AF397" s="1252"/>
      <c r="AG397" s="1252"/>
      <c r="AH397" s="1252"/>
      <c r="AI397" s="1252"/>
      <c r="AJ397" s="1252"/>
      <c r="AK397" s="1252"/>
      <c r="AL397" s="1252"/>
      <c r="AM397" s="1252"/>
      <c r="AN397" s="1252"/>
      <c r="AO397" s="1252"/>
      <c r="AP397" s="1252"/>
      <c r="AQ397" s="0"/>
      <c r="AR397" s="0"/>
      <c r="AS397" s="0"/>
      <c r="AT397" s="0"/>
      <c r="AU397" s="0"/>
      <c r="AV397" s="807"/>
      <c r="AW397" s="1304"/>
      <c r="AX397" s="112"/>
      <c r="AY397" s="112"/>
      <c r="AZ397" s="112"/>
      <c r="BA397" s="163"/>
      <c r="BB397" s="163"/>
      <c r="BC397" s="163"/>
      <c r="BE397" s="163"/>
      <c r="BG397" s="1329"/>
      <c r="BH397" s="112"/>
      <c r="BI397" s="1330"/>
      <c r="BJ397" s="1262"/>
      <c r="BK397" s="163"/>
      <c r="BL397" s="163"/>
      <c r="BM397" s="163"/>
      <c r="BN397" s="163"/>
    </row>
    <row r="398" customFormat="false" ht="12.75" hidden="false" customHeight="false" outlineLevel="0" collapsed="false">
      <c r="A398" s="1244"/>
      <c r="B398" s="1252"/>
      <c r="C398" s="1252"/>
      <c r="D398" s="1252"/>
      <c r="E398" s="1252"/>
      <c r="F398" s="1252"/>
      <c r="G398" s="1252"/>
      <c r="H398" s="1252"/>
      <c r="I398" s="1252"/>
      <c r="J398" s="1252"/>
      <c r="K398" s="1254"/>
      <c r="L398" s="1252"/>
      <c r="M398" s="1252"/>
      <c r="N398" s="1252"/>
      <c r="O398" s="1252"/>
      <c r="P398" s="1252"/>
      <c r="Q398" s="1252"/>
      <c r="R398" s="1252"/>
      <c r="S398" s="1252"/>
      <c r="T398" s="1252"/>
      <c r="U398" s="1252"/>
      <c r="V398" s="1252"/>
      <c r="W398" s="1252"/>
      <c r="X398" s="1252"/>
      <c r="Y398" s="1252"/>
      <c r="Z398" s="1252"/>
      <c r="AA398" s="1252"/>
      <c r="AB398" s="1252"/>
      <c r="AC398" s="1252"/>
      <c r="AD398" s="1252"/>
      <c r="AE398" s="1252"/>
      <c r="AF398" s="1252"/>
      <c r="AG398" s="1252"/>
      <c r="AH398" s="1252"/>
      <c r="AI398" s="1252"/>
      <c r="AJ398" s="1252"/>
      <c r="AK398" s="1252"/>
      <c r="AL398" s="1252"/>
      <c r="AM398" s="1252"/>
      <c r="AN398" s="1252"/>
      <c r="AO398" s="1252"/>
      <c r="AP398" s="1252"/>
      <c r="AQ398" s="0"/>
      <c r="AR398" s="0"/>
      <c r="AS398" s="0"/>
      <c r="AT398" s="0"/>
      <c r="AU398" s="0"/>
      <c r="AV398" s="807"/>
      <c r="AW398" s="1304"/>
      <c r="AX398" s="112"/>
      <c r="AY398" s="112"/>
      <c r="AZ398" s="112"/>
      <c r="BA398" s="163"/>
      <c r="BB398" s="163"/>
      <c r="BC398" s="163"/>
      <c r="BE398" s="163"/>
      <c r="BG398" s="1329"/>
      <c r="BH398" s="112"/>
      <c r="BI398" s="1330"/>
      <c r="BJ398" s="1262"/>
      <c r="BK398" s="163"/>
      <c r="BL398" s="163"/>
      <c r="BM398" s="163"/>
      <c r="BN398" s="163"/>
    </row>
    <row r="399" customFormat="false" ht="12.75" hidden="false" customHeight="false" outlineLevel="0" collapsed="false">
      <c r="A399" s="1244"/>
      <c r="B399" s="1252"/>
      <c r="C399" s="1252"/>
      <c r="D399" s="1252"/>
      <c r="E399" s="1252"/>
      <c r="F399" s="1252"/>
      <c r="G399" s="1252"/>
      <c r="H399" s="1252"/>
      <c r="I399" s="1252"/>
      <c r="J399" s="1252"/>
      <c r="K399" s="1254"/>
      <c r="L399" s="1252"/>
      <c r="M399" s="1252"/>
      <c r="N399" s="1252"/>
      <c r="O399" s="1252"/>
      <c r="P399" s="1252"/>
      <c r="Q399" s="1252"/>
      <c r="R399" s="1252"/>
      <c r="S399" s="1252"/>
      <c r="T399" s="1252"/>
      <c r="U399" s="1252"/>
      <c r="V399" s="1252"/>
      <c r="W399" s="1252"/>
      <c r="X399" s="1252"/>
      <c r="Y399" s="1252"/>
      <c r="Z399" s="1252"/>
      <c r="AA399" s="1252"/>
      <c r="AB399" s="1252"/>
      <c r="AC399" s="1252"/>
      <c r="AD399" s="1252"/>
      <c r="AE399" s="1252"/>
      <c r="AF399" s="1252"/>
      <c r="AG399" s="1252"/>
      <c r="AH399" s="1252"/>
      <c r="AI399" s="1252"/>
      <c r="AJ399" s="1252"/>
      <c r="AK399" s="1252"/>
      <c r="AL399" s="1252"/>
      <c r="AM399" s="1252"/>
      <c r="AN399" s="1252"/>
      <c r="AO399" s="1252"/>
      <c r="AP399" s="1252"/>
      <c r="AQ399" s="0"/>
      <c r="AR399" s="0"/>
      <c r="AS399" s="0"/>
      <c r="AT399" s="0"/>
      <c r="AU399" s="0"/>
      <c r="AV399" s="807"/>
      <c r="AW399" s="1304"/>
      <c r="AX399" s="112"/>
      <c r="AY399" s="112"/>
      <c r="AZ399" s="112"/>
      <c r="BA399" s="163"/>
      <c r="BB399" s="163"/>
      <c r="BC399" s="163"/>
      <c r="BE399" s="163"/>
      <c r="BG399" s="1329"/>
      <c r="BH399" s="112"/>
      <c r="BI399" s="1330"/>
      <c r="BJ399" s="1262"/>
      <c r="BK399" s="163"/>
      <c r="BL399" s="163"/>
      <c r="BM399" s="163"/>
      <c r="BN399" s="163"/>
    </row>
    <row r="400" customFormat="false" ht="12.75" hidden="false" customHeight="false" outlineLevel="0" collapsed="false">
      <c r="A400" s="1244"/>
      <c r="B400" s="1252"/>
      <c r="C400" s="1252"/>
      <c r="D400" s="1252"/>
      <c r="E400" s="1252"/>
      <c r="F400" s="1252"/>
      <c r="G400" s="1252"/>
      <c r="H400" s="1252"/>
      <c r="I400" s="1252"/>
      <c r="J400" s="1252"/>
      <c r="K400" s="1254"/>
      <c r="L400" s="1252"/>
      <c r="M400" s="1252"/>
      <c r="N400" s="1252"/>
      <c r="O400" s="1252"/>
      <c r="P400" s="1252"/>
      <c r="Q400" s="1252"/>
      <c r="R400" s="1252"/>
      <c r="S400" s="1252"/>
      <c r="T400" s="1252"/>
      <c r="U400" s="1252"/>
      <c r="V400" s="1252"/>
      <c r="W400" s="1252"/>
      <c r="X400" s="1252"/>
      <c r="Y400" s="1252"/>
      <c r="Z400" s="1252"/>
      <c r="AA400" s="1252"/>
      <c r="AB400" s="1252"/>
      <c r="AC400" s="1252"/>
      <c r="AD400" s="1252"/>
      <c r="AE400" s="1252"/>
      <c r="AF400" s="1252"/>
      <c r="AG400" s="1252"/>
      <c r="AH400" s="1252"/>
      <c r="AI400" s="1252"/>
      <c r="AJ400" s="1252"/>
      <c r="AK400" s="1252"/>
      <c r="AL400" s="1252"/>
      <c r="AM400" s="1252"/>
      <c r="AN400" s="1252"/>
      <c r="AO400" s="1252"/>
      <c r="AP400" s="1252"/>
      <c r="AQ400" s="0"/>
      <c r="AR400" s="0"/>
      <c r="AS400" s="0"/>
      <c r="AT400" s="0"/>
      <c r="AU400" s="0"/>
      <c r="AV400" s="807"/>
      <c r="AW400" s="1304"/>
      <c r="AX400" s="112"/>
      <c r="AY400" s="112"/>
      <c r="AZ400" s="112"/>
      <c r="BA400" s="163"/>
      <c r="BB400" s="163"/>
      <c r="BC400" s="163"/>
      <c r="BE400" s="163"/>
      <c r="BG400" s="1329"/>
      <c r="BH400" s="112"/>
      <c r="BI400" s="1330"/>
      <c r="BJ400" s="1262"/>
      <c r="BK400" s="163"/>
      <c r="BL400" s="163"/>
      <c r="BM400" s="163"/>
      <c r="BN400" s="163"/>
    </row>
    <row r="401" customFormat="false" ht="12.75" hidden="false" customHeight="false" outlineLevel="0" collapsed="false">
      <c r="B401" s="1252"/>
      <c r="C401" s="1252"/>
      <c r="D401" s="1252"/>
      <c r="E401" s="1252"/>
      <c r="F401" s="1252"/>
      <c r="G401" s="1252"/>
      <c r="H401" s="1252"/>
      <c r="I401" s="1252"/>
      <c r="J401" s="1252"/>
      <c r="K401" s="1254"/>
      <c r="L401" s="1252"/>
      <c r="M401" s="1252"/>
      <c r="N401" s="1252"/>
      <c r="O401" s="1252"/>
      <c r="P401" s="1252"/>
      <c r="Q401" s="1252"/>
      <c r="R401" s="1252"/>
      <c r="S401" s="1252"/>
      <c r="T401" s="1252"/>
      <c r="U401" s="1252"/>
      <c r="V401" s="1252"/>
      <c r="W401" s="1252"/>
      <c r="X401" s="1252"/>
      <c r="Y401" s="1252"/>
      <c r="Z401" s="1252"/>
      <c r="AA401" s="1252"/>
      <c r="AB401" s="1252"/>
      <c r="AC401" s="1252"/>
      <c r="AD401" s="1252"/>
      <c r="AE401" s="1252"/>
      <c r="AF401" s="1252"/>
      <c r="AG401" s="1252"/>
      <c r="AH401" s="1252"/>
      <c r="AI401" s="1252"/>
      <c r="AJ401" s="1252"/>
      <c r="AK401" s="1252"/>
      <c r="AL401" s="1252"/>
      <c r="AM401" s="1252"/>
      <c r="AN401" s="1252"/>
      <c r="AO401" s="1252"/>
      <c r="AP401" s="1252"/>
      <c r="AQ401" s="0"/>
      <c r="AR401" s="0"/>
      <c r="AS401" s="0"/>
      <c r="AT401" s="0"/>
      <c r="AU401" s="0"/>
      <c r="AV401" s="807"/>
      <c r="AW401" s="1304"/>
      <c r="AX401" s="112"/>
      <c r="AY401" s="112"/>
      <c r="AZ401" s="112"/>
      <c r="BA401" s="163"/>
      <c r="BB401" s="163"/>
      <c r="BC401" s="163"/>
      <c r="BE401" s="163"/>
      <c r="BG401" s="1329"/>
      <c r="BH401" s="112"/>
      <c r="BI401" s="1330"/>
      <c r="BJ401" s="1262"/>
      <c r="BK401" s="163"/>
      <c r="BL401" s="163"/>
      <c r="BM401" s="163"/>
      <c r="BN401" s="163"/>
    </row>
    <row r="402" customFormat="false" ht="12.75" hidden="false" customHeight="false" outlineLevel="0" collapsed="false">
      <c r="B402" s="1252"/>
      <c r="C402" s="1252"/>
      <c r="D402" s="1252"/>
      <c r="E402" s="1252"/>
      <c r="F402" s="1252"/>
      <c r="G402" s="1252"/>
      <c r="H402" s="1252"/>
      <c r="I402" s="1252"/>
      <c r="J402" s="1252"/>
      <c r="K402" s="1254"/>
      <c r="L402" s="1252"/>
      <c r="M402" s="1252"/>
      <c r="N402" s="1252"/>
      <c r="O402" s="1252"/>
      <c r="P402" s="1252"/>
      <c r="Q402" s="1252"/>
      <c r="R402" s="1252"/>
      <c r="S402" s="1252"/>
      <c r="T402" s="1252"/>
      <c r="U402" s="1252"/>
      <c r="V402" s="1252"/>
      <c r="W402" s="1252"/>
      <c r="X402" s="1252"/>
      <c r="Y402" s="1252"/>
      <c r="Z402" s="1252"/>
      <c r="AA402" s="1252"/>
      <c r="AB402" s="1252"/>
      <c r="AC402" s="1252"/>
      <c r="AD402" s="1252"/>
      <c r="AE402" s="1252"/>
      <c r="AF402" s="1252"/>
      <c r="AG402" s="1252"/>
      <c r="AH402" s="1252"/>
      <c r="AI402" s="1252"/>
      <c r="AJ402" s="1252"/>
      <c r="AK402" s="1252"/>
      <c r="AL402" s="1252"/>
      <c r="AM402" s="1252"/>
      <c r="AN402" s="1252"/>
      <c r="AO402" s="1252"/>
      <c r="AP402" s="1252"/>
      <c r="AQ402" s="0"/>
      <c r="AR402" s="0"/>
      <c r="AS402" s="0"/>
      <c r="AT402" s="0"/>
      <c r="AU402" s="0"/>
      <c r="AV402" s="807"/>
      <c r="AW402" s="1304"/>
      <c r="AX402" s="112"/>
      <c r="AY402" s="112"/>
      <c r="AZ402" s="112"/>
      <c r="BA402" s="163"/>
      <c r="BB402" s="163"/>
      <c r="BC402" s="163"/>
      <c r="BE402" s="163"/>
      <c r="BG402" s="1329"/>
      <c r="BH402" s="112"/>
      <c r="BI402" s="1330"/>
      <c r="BJ402" s="1262"/>
      <c r="BK402" s="163"/>
      <c r="BL402" s="163"/>
      <c r="BM402" s="163"/>
      <c r="BN402" s="163"/>
    </row>
    <row r="403" customFormat="false" ht="12.75" hidden="false" customHeight="false" outlineLevel="0" collapsed="false">
      <c r="B403" s="1252"/>
      <c r="C403" s="1252"/>
      <c r="D403" s="1252"/>
      <c r="E403" s="1252"/>
      <c r="F403" s="1252"/>
      <c r="G403" s="1252"/>
      <c r="H403" s="1252"/>
      <c r="I403" s="1252"/>
      <c r="J403" s="1252"/>
      <c r="K403" s="1254"/>
      <c r="L403" s="1252"/>
      <c r="M403" s="1252"/>
      <c r="N403" s="1252"/>
      <c r="O403" s="1252"/>
      <c r="P403" s="1252"/>
      <c r="Q403" s="1252"/>
      <c r="R403" s="1252"/>
      <c r="S403" s="1252"/>
      <c r="T403" s="1252"/>
      <c r="U403" s="1252"/>
      <c r="V403" s="1252"/>
      <c r="W403" s="1252"/>
      <c r="X403" s="1252"/>
      <c r="Y403" s="1252"/>
      <c r="Z403" s="1252"/>
      <c r="AA403" s="1252"/>
      <c r="AB403" s="1252"/>
      <c r="AC403" s="1252"/>
      <c r="AD403" s="1252"/>
      <c r="AE403" s="1252"/>
      <c r="AF403" s="1252"/>
      <c r="AG403" s="1252"/>
      <c r="AH403" s="1252"/>
      <c r="AI403" s="1252"/>
      <c r="AJ403" s="1252"/>
      <c r="AK403" s="1252"/>
      <c r="AL403" s="1252"/>
      <c r="AM403" s="1252"/>
      <c r="AN403" s="1252"/>
      <c r="AO403" s="1252"/>
      <c r="AP403" s="1252"/>
      <c r="AQ403" s="0"/>
      <c r="AR403" s="0"/>
      <c r="AS403" s="0"/>
      <c r="AT403" s="0"/>
      <c r="AU403" s="0"/>
      <c r="AV403" s="807"/>
      <c r="AW403" s="1304"/>
      <c r="AX403" s="112"/>
      <c r="AY403" s="112"/>
      <c r="AZ403" s="112"/>
      <c r="BA403" s="163"/>
      <c r="BB403" s="163"/>
      <c r="BC403" s="163"/>
      <c r="BE403" s="163"/>
      <c r="BG403" s="1329"/>
      <c r="BH403" s="112"/>
      <c r="BI403" s="1330"/>
      <c r="BJ403" s="1262"/>
      <c r="BK403" s="163"/>
      <c r="BL403" s="163"/>
      <c r="BM403" s="163"/>
      <c r="BN403" s="163"/>
    </row>
    <row r="404" customFormat="false" ht="12.75" hidden="false" customHeight="false" outlineLevel="0" collapsed="false">
      <c r="B404" s="1252"/>
      <c r="C404" s="1252"/>
      <c r="D404" s="1252"/>
      <c r="E404" s="1252"/>
      <c r="F404" s="1252"/>
      <c r="G404" s="1252"/>
      <c r="H404" s="1252"/>
      <c r="I404" s="1252"/>
      <c r="J404" s="1252"/>
      <c r="K404" s="1254"/>
      <c r="L404" s="1252"/>
      <c r="M404" s="1252"/>
      <c r="N404" s="1252"/>
      <c r="O404" s="1252"/>
      <c r="P404" s="1252"/>
      <c r="Q404" s="1252"/>
      <c r="R404" s="1252"/>
      <c r="S404" s="1252"/>
      <c r="T404" s="1252"/>
      <c r="U404" s="1252"/>
      <c r="V404" s="1252"/>
      <c r="W404" s="1252"/>
      <c r="X404" s="1252"/>
      <c r="Y404" s="1252"/>
      <c r="Z404" s="1252"/>
      <c r="AA404" s="1252"/>
      <c r="AB404" s="1252"/>
      <c r="AC404" s="1252"/>
      <c r="AD404" s="1252"/>
      <c r="AE404" s="1252"/>
      <c r="AF404" s="1252"/>
      <c r="AG404" s="1252"/>
      <c r="AH404" s="1252"/>
      <c r="AI404" s="1252"/>
      <c r="AJ404" s="1252"/>
      <c r="AK404" s="1252"/>
      <c r="AL404" s="1252"/>
      <c r="AM404" s="1252"/>
      <c r="AN404" s="1252"/>
      <c r="AO404" s="1252"/>
      <c r="AP404" s="1252"/>
      <c r="AQ404" s="807"/>
      <c r="AR404" s="807"/>
      <c r="AS404" s="807"/>
      <c r="AT404" s="807"/>
      <c r="AU404" s="807"/>
      <c r="AV404" s="807"/>
      <c r="AW404" s="1304"/>
      <c r="AX404" s="112"/>
      <c r="AY404" s="112"/>
      <c r="AZ404" s="112"/>
      <c r="BA404" s="163"/>
      <c r="BB404" s="163"/>
      <c r="BC404" s="163"/>
      <c r="BE404" s="163"/>
      <c r="BG404" s="1329"/>
      <c r="BH404" s="112"/>
      <c r="BI404" s="1330"/>
      <c r="BJ404" s="1262"/>
      <c r="BK404" s="163"/>
      <c r="BL404" s="163"/>
      <c r="BM404" s="163"/>
      <c r="BN404" s="163"/>
    </row>
    <row r="405" customFormat="false" ht="12.75" hidden="false" customHeight="false" outlineLevel="0" collapsed="false">
      <c r="B405" s="1252"/>
      <c r="C405" s="1252"/>
      <c r="D405" s="1252"/>
      <c r="E405" s="1252"/>
      <c r="F405" s="1252"/>
      <c r="G405" s="1252"/>
      <c r="H405" s="1252"/>
      <c r="I405" s="1252"/>
      <c r="J405" s="1252"/>
      <c r="K405" s="1254"/>
      <c r="L405" s="1252"/>
      <c r="M405" s="1252"/>
      <c r="N405" s="1252"/>
      <c r="O405" s="1252"/>
      <c r="P405" s="1252"/>
      <c r="Q405" s="1252"/>
      <c r="R405" s="1252"/>
      <c r="S405" s="1252"/>
      <c r="T405" s="1252"/>
      <c r="U405" s="1252"/>
      <c r="V405" s="1252"/>
      <c r="W405" s="1252"/>
      <c r="X405" s="1252"/>
      <c r="Y405" s="1252"/>
      <c r="Z405" s="1252"/>
      <c r="AA405" s="1252"/>
      <c r="AB405" s="1252"/>
      <c r="AC405" s="1252"/>
      <c r="AD405" s="1252"/>
      <c r="AE405" s="1252"/>
      <c r="AF405" s="1252"/>
      <c r="AG405" s="1252"/>
      <c r="AH405" s="1252"/>
      <c r="AI405" s="1252"/>
      <c r="AJ405" s="1252"/>
      <c r="AK405" s="1252"/>
      <c r="AL405" s="1252"/>
      <c r="AM405" s="1252"/>
      <c r="AN405" s="1252"/>
      <c r="AO405" s="1252"/>
      <c r="AP405" s="1252"/>
      <c r="AQ405" s="807"/>
      <c r="AR405" s="807"/>
      <c r="AS405" s="807"/>
      <c r="AT405" s="807"/>
      <c r="AU405" s="807"/>
      <c r="AV405" s="807"/>
      <c r="AW405" s="1304"/>
      <c r="AX405" s="112"/>
      <c r="AY405" s="112"/>
      <c r="AZ405" s="112"/>
      <c r="BA405" s="163"/>
      <c r="BB405" s="163"/>
      <c r="BC405" s="163"/>
      <c r="BE405" s="163"/>
      <c r="BG405" s="1329"/>
      <c r="BH405" s="112"/>
      <c r="BI405" s="1330"/>
      <c r="BJ405" s="1262"/>
      <c r="BK405" s="163"/>
      <c r="BL405" s="163"/>
      <c r="BM405" s="163"/>
      <c r="BN405" s="163"/>
    </row>
    <row r="406" customFormat="false" ht="12.75" hidden="false" customHeight="false" outlineLevel="0" collapsed="false">
      <c r="B406" s="1252"/>
      <c r="C406" s="1252"/>
      <c r="D406" s="1252"/>
      <c r="E406" s="1252"/>
      <c r="F406" s="1252"/>
      <c r="G406" s="1252"/>
      <c r="H406" s="1252"/>
      <c r="I406" s="1252"/>
      <c r="J406" s="1252"/>
      <c r="K406" s="1254"/>
      <c r="L406" s="1252"/>
      <c r="M406" s="1252"/>
      <c r="N406" s="1252"/>
      <c r="O406" s="1252"/>
      <c r="P406" s="1252"/>
      <c r="Q406" s="1252"/>
      <c r="R406" s="1252"/>
      <c r="S406" s="1252"/>
      <c r="T406" s="1252"/>
      <c r="U406" s="1252"/>
      <c r="V406" s="1252"/>
      <c r="W406" s="1252"/>
      <c r="X406" s="1252"/>
      <c r="Y406" s="1252"/>
      <c r="Z406" s="1252"/>
      <c r="AA406" s="1252"/>
      <c r="AB406" s="1252"/>
      <c r="AC406" s="1252"/>
      <c r="AD406" s="1252"/>
      <c r="AE406" s="1252"/>
      <c r="AF406" s="1252"/>
      <c r="AG406" s="1252"/>
      <c r="AH406" s="1252"/>
      <c r="AI406" s="1252"/>
      <c r="AJ406" s="1252"/>
      <c r="AK406" s="1252"/>
      <c r="AL406" s="1252"/>
      <c r="AM406" s="1252"/>
      <c r="AN406" s="1252"/>
      <c r="AO406" s="1252"/>
      <c r="AP406" s="1252"/>
      <c r="AQ406" s="807"/>
      <c r="AR406" s="807"/>
      <c r="AS406" s="807"/>
      <c r="AT406" s="807"/>
      <c r="AU406" s="807"/>
      <c r="AV406" s="807"/>
      <c r="AW406" s="1304"/>
      <c r="AX406" s="112"/>
      <c r="AY406" s="112"/>
      <c r="AZ406" s="112"/>
      <c r="BA406" s="163"/>
      <c r="BB406" s="163"/>
      <c r="BC406" s="163"/>
      <c r="BE406" s="163"/>
      <c r="BG406" s="1329"/>
      <c r="BH406" s="112"/>
      <c r="BI406" s="1330"/>
      <c r="BJ406" s="1262"/>
      <c r="BK406" s="163"/>
      <c r="BL406" s="163"/>
      <c r="BM406" s="163"/>
      <c r="BN406" s="163"/>
    </row>
    <row r="407" customFormat="false" ht="12.75" hidden="false" customHeight="false" outlineLevel="0" collapsed="false">
      <c r="B407" s="1252"/>
      <c r="C407" s="1252"/>
      <c r="D407" s="1252"/>
      <c r="E407" s="1252"/>
      <c r="F407" s="1252"/>
      <c r="G407" s="1252"/>
      <c r="H407" s="1252"/>
      <c r="I407" s="1252"/>
      <c r="J407" s="1252"/>
      <c r="K407" s="1254"/>
      <c r="L407" s="1252"/>
      <c r="M407" s="1252"/>
      <c r="N407" s="1252"/>
      <c r="O407" s="1252"/>
      <c r="P407" s="1252"/>
      <c r="Q407" s="1252"/>
      <c r="R407" s="1252"/>
      <c r="S407" s="1252"/>
      <c r="T407" s="1252"/>
      <c r="U407" s="1252"/>
      <c r="V407" s="1252"/>
      <c r="W407" s="1252"/>
      <c r="X407" s="1252"/>
      <c r="Y407" s="1252"/>
      <c r="Z407" s="1252"/>
      <c r="AA407" s="1252"/>
      <c r="AB407" s="1252"/>
      <c r="AC407" s="1252"/>
      <c r="AD407" s="1252"/>
      <c r="AE407" s="1252"/>
      <c r="AF407" s="1252"/>
      <c r="AG407" s="1252"/>
      <c r="AH407" s="1252"/>
      <c r="AI407" s="1252"/>
      <c r="AJ407" s="1252"/>
      <c r="AK407" s="1252"/>
      <c r="AL407" s="1252"/>
      <c r="AM407" s="1252"/>
      <c r="AN407" s="1252"/>
      <c r="AO407" s="1252"/>
      <c r="AP407" s="1252"/>
      <c r="AQ407" s="807"/>
      <c r="AR407" s="807"/>
      <c r="AS407" s="807"/>
      <c r="AT407" s="807"/>
      <c r="AU407" s="807"/>
      <c r="AV407" s="807"/>
      <c r="AW407" s="1304"/>
      <c r="AX407" s="112"/>
      <c r="AY407" s="112"/>
      <c r="AZ407" s="112"/>
      <c r="BA407" s="163"/>
      <c r="BB407" s="163"/>
      <c r="BC407" s="163"/>
      <c r="BE407" s="163"/>
      <c r="BG407" s="1329"/>
      <c r="BH407" s="112"/>
      <c r="BI407" s="1330"/>
      <c r="BJ407" s="1262"/>
      <c r="BK407" s="163"/>
      <c r="BL407" s="163"/>
      <c r="BM407" s="163"/>
      <c r="BN407" s="163"/>
    </row>
    <row r="408" customFormat="false" ht="12.75" hidden="false" customHeight="false" outlineLevel="0" collapsed="false">
      <c r="B408" s="1252"/>
      <c r="C408" s="1252"/>
      <c r="D408" s="1252"/>
      <c r="E408" s="1252"/>
      <c r="F408" s="1252"/>
      <c r="G408" s="1252"/>
      <c r="H408" s="1252"/>
      <c r="I408" s="1252"/>
      <c r="J408" s="1252"/>
      <c r="K408" s="1254"/>
      <c r="L408" s="1252"/>
      <c r="M408" s="1252"/>
      <c r="N408" s="1252"/>
      <c r="O408" s="1252"/>
      <c r="P408" s="1252"/>
      <c r="Q408" s="1252"/>
      <c r="R408" s="1252"/>
      <c r="S408" s="1252"/>
      <c r="T408" s="1252"/>
      <c r="U408" s="1252"/>
      <c r="V408" s="1252"/>
      <c r="W408" s="1252"/>
      <c r="X408" s="1252"/>
      <c r="Y408" s="1252"/>
      <c r="Z408" s="1252"/>
      <c r="AA408" s="1252"/>
      <c r="AB408" s="1252"/>
      <c r="AC408" s="1252"/>
      <c r="AD408" s="1252"/>
      <c r="AE408" s="1252"/>
      <c r="AF408" s="1252"/>
      <c r="AG408" s="1252"/>
      <c r="AH408" s="1252"/>
      <c r="AI408" s="1252"/>
      <c r="AJ408" s="1252"/>
      <c r="AK408" s="1252"/>
      <c r="AL408" s="1252"/>
      <c r="AM408" s="1252"/>
      <c r="AN408" s="1252"/>
      <c r="AO408" s="1252"/>
      <c r="AP408" s="1252"/>
      <c r="AQ408" s="807"/>
      <c r="AR408" s="807"/>
      <c r="AS408" s="807"/>
      <c r="AT408" s="807"/>
      <c r="AU408" s="807"/>
      <c r="AV408" s="807"/>
      <c r="AW408" s="1304"/>
      <c r="AX408" s="112"/>
      <c r="AY408" s="112"/>
      <c r="AZ408" s="112"/>
      <c r="BA408" s="163"/>
      <c r="BB408" s="163"/>
      <c r="BC408" s="163"/>
      <c r="BE408" s="163"/>
      <c r="BG408" s="1329"/>
      <c r="BH408" s="112"/>
      <c r="BI408" s="1330"/>
      <c r="BJ408" s="1262"/>
      <c r="BK408" s="163"/>
      <c r="BL408" s="163"/>
      <c r="BM408" s="163"/>
      <c r="BN408" s="163"/>
    </row>
    <row r="409" customFormat="false" ht="12.75" hidden="false" customHeight="false" outlineLevel="0" collapsed="false">
      <c r="B409" s="1252"/>
      <c r="C409" s="1252"/>
      <c r="D409" s="1252"/>
      <c r="E409" s="1252"/>
      <c r="F409" s="1252"/>
      <c r="G409" s="1252"/>
      <c r="H409" s="1252"/>
      <c r="I409" s="1252"/>
      <c r="J409" s="1252"/>
      <c r="K409" s="1254"/>
      <c r="L409" s="1252"/>
      <c r="M409" s="1252"/>
      <c r="N409" s="1252"/>
      <c r="O409" s="1252"/>
      <c r="P409" s="1252"/>
      <c r="Q409" s="1252"/>
      <c r="R409" s="1252"/>
      <c r="S409" s="1252"/>
      <c r="T409" s="1252"/>
      <c r="U409" s="1252"/>
      <c r="V409" s="1252"/>
      <c r="W409" s="1252"/>
      <c r="X409" s="1252"/>
      <c r="Y409" s="1252"/>
      <c r="Z409" s="1252"/>
      <c r="AA409" s="1252"/>
      <c r="AB409" s="1252"/>
      <c r="AC409" s="1252"/>
      <c r="AD409" s="1252"/>
      <c r="AE409" s="1252"/>
      <c r="AF409" s="1252"/>
      <c r="AG409" s="1252"/>
      <c r="AH409" s="1252"/>
      <c r="AI409" s="1252"/>
      <c r="AJ409" s="1252"/>
      <c r="AK409" s="1252"/>
      <c r="AL409" s="1252"/>
      <c r="AM409" s="1252"/>
      <c r="AN409" s="1252"/>
      <c r="AO409" s="1252"/>
      <c r="AP409" s="1252"/>
      <c r="AQ409" s="807"/>
      <c r="AR409" s="807"/>
      <c r="AS409" s="807"/>
      <c r="AT409" s="807"/>
      <c r="AU409" s="807"/>
      <c r="AV409" s="807"/>
      <c r="AW409" s="1304"/>
      <c r="AX409" s="112"/>
      <c r="AY409" s="112"/>
      <c r="AZ409" s="112"/>
      <c r="BA409" s="163"/>
      <c r="BB409" s="163"/>
      <c r="BC409" s="163"/>
      <c r="BE409" s="163"/>
      <c r="BG409" s="1329"/>
      <c r="BH409" s="112"/>
      <c r="BI409" s="1330"/>
      <c r="BJ409" s="1262"/>
      <c r="BK409" s="163"/>
      <c r="BL409" s="163"/>
      <c r="BM409" s="163"/>
      <c r="BN409" s="163"/>
    </row>
    <row r="410" customFormat="false" ht="12.75" hidden="false" customHeight="false" outlineLevel="0" collapsed="false">
      <c r="B410" s="1252"/>
      <c r="C410" s="1252"/>
      <c r="D410" s="1252"/>
      <c r="E410" s="1252"/>
      <c r="F410" s="1252"/>
      <c r="G410" s="1252"/>
      <c r="H410" s="1252"/>
      <c r="I410" s="1252"/>
      <c r="J410" s="1252"/>
      <c r="K410" s="1254"/>
      <c r="L410" s="1252"/>
      <c r="M410" s="1252"/>
      <c r="N410" s="1252"/>
      <c r="O410" s="1252"/>
      <c r="P410" s="1252"/>
      <c r="Q410" s="1252"/>
      <c r="R410" s="1252"/>
      <c r="S410" s="1252"/>
      <c r="T410" s="1252"/>
      <c r="U410" s="1252"/>
      <c r="V410" s="1252"/>
      <c r="W410" s="1252"/>
      <c r="X410" s="1252"/>
      <c r="Y410" s="1252"/>
      <c r="Z410" s="1252"/>
      <c r="AA410" s="1252"/>
      <c r="AB410" s="1252"/>
      <c r="AC410" s="1252"/>
      <c r="AD410" s="1252"/>
      <c r="AE410" s="1252"/>
      <c r="AF410" s="1252"/>
      <c r="AG410" s="1252"/>
      <c r="AH410" s="1252"/>
      <c r="AI410" s="1252"/>
      <c r="AJ410" s="1252"/>
      <c r="AK410" s="1252"/>
      <c r="AL410" s="1252"/>
      <c r="AM410" s="1252"/>
      <c r="AN410" s="1252"/>
      <c r="AO410" s="1252"/>
      <c r="AP410" s="1252"/>
      <c r="AQ410" s="807"/>
      <c r="AR410" s="807"/>
      <c r="AS410" s="807"/>
      <c r="AT410" s="807"/>
      <c r="AU410" s="807"/>
      <c r="AV410" s="807"/>
      <c r="AW410" s="1304"/>
      <c r="AX410" s="112"/>
      <c r="AY410" s="112"/>
      <c r="AZ410" s="112"/>
      <c r="BA410" s="163"/>
      <c r="BB410" s="163"/>
      <c r="BC410" s="163"/>
      <c r="BE410" s="163"/>
      <c r="BG410" s="1329"/>
      <c r="BH410" s="112"/>
      <c r="BI410" s="1330"/>
      <c r="BJ410" s="1262"/>
      <c r="BK410" s="163"/>
      <c r="BL410" s="163"/>
      <c r="BM410" s="163"/>
      <c r="BN410" s="163"/>
    </row>
    <row r="411" customFormat="false" ht="12.75" hidden="false" customHeight="false" outlineLevel="0" collapsed="false">
      <c r="B411" s="1252"/>
      <c r="C411" s="1252"/>
      <c r="D411" s="1252"/>
      <c r="E411" s="1252"/>
      <c r="F411" s="1252"/>
      <c r="G411" s="1252"/>
      <c r="H411" s="1252"/>
      <c r="I411" s="1252"/>
      <c r="J411" s="1252"/>
      <c r="K411" s="1254"/>
      <c r="L411" s="1252"/>
      <c r="M411" s="1252"/>
      <c r="N411" s="1252"/>
      <c r="O411" s="1252"/>
      <c r="P411" s="1252"/>
      <c r="Q411" s="1252"/>
      <c r="R411" s="1252"/>
      <c r="S411" s="1252"/>
      <c r="T411" s="1252"/>
      <c r="U411" s="1252"/>
      <c r="V411" s="1252"/>
      <c r="W411" s="1252"/>
      <c r="X411" s="1252"/>
      <c r="Y411" s="1252"/>
      <c r="Z411" s="1252"/>
      <c r="AA411" s="1252"/>
      <c r="AB411" s="1252"/>
      <c r="AC411" s="1252"/>
      <c r="AD411" s="1252"/>
      <c r="AE411" s="1252"/>
      <c r="AF411" s="1252"/>
      <c r="AG411" s="1252"/>
      <c r="AH411" s="1252"/>
      <c r="AI411" s="1252"/>
      <c r="AJ411" s="1252"/>
      <c r="AK411" s="1252"/>
      <c r="AL411" s="1252"/>
      <c r="AM411" s="1252"/>
      <c r="AN411" s="1252"/>
      <c r="AO411" s="1252"/>
      <c r="AP411" s="1252"/>
      <c r="AQ411" s="807"/>
      <c r="AR411" s="807"/>
      <c r="AS411" s="807"/>
      <c r="AT411" s="807"/>
      <c r="AU411" s="807"/>
      <c r="AV411" s="807"/>
      <c r="AW411" s="1304"/>
      <c r="AX411" s="112"/>
      <c r="AY411" s="112"/>
      <c r="AZ411" s="112"/>
      <c r="BA411" s="163"/>
      <c r="BB411" s="163"/>
      <c r="BC411" s="163"/>
      <c r="BE411" s="163"/>
      <c r="BG411" s="1329"/>
      <c r="BH411" s="112"/>
      <c r="BI411" s="1330"/>
      <c r="BJ411" s="1262"/>
      <c r="BK411" s="163"/>
      <c r="BL411" s="163"/>
      <c r="BM411" s="163"/>
      <c r="BN411" s="163"/>
    </row>
    <row r="412" customFormat="false" ht="12.75" hidden="false" customHeight="false" outlineLevel="0" collapsed="false">
      <c r="B412" s="1252"/>
      <c r="C412" s="1252"/>
      <c r="D412" s="1252"/>
      <c r="E412" s="1252"/>
      <c r="F412" s="1252"/>
      <c r="G412" s="1252"/>
      <c r="H412" s="1252"/>
      <c r="I412" s="1252"/>
      <c r="J412" s="1252"/>
      <c r="K412" s="1254"/>
      <c r="L412" s="1252"/>
      <c r="M412" s="1252"/>
      <c r="N412" s="1252"/>
      <c r="O412" s="1252"/>
      <c r="P412" s="1252"/>
      <c r="Q412" s="1252"/>
      <c r="R412" s="1252"/>
      <c r="S412" s="1252"/>
      <c r="T412" s="1252"/>
      <c r="U412" s="1252"/>
      <c r="V412" s="1252"/>
      <c r="W412" s="1252"/>
      <c r="X412" s="1252"/>
      <c r="Y412" s="1252"/>
      <c r="Z412" s="1252"/>
      <c r="AA412" s="1252"/>
      <c r="AB412" s="1252"/>
      <c r="AC412" s="1252"/>
      <c r="AD412" s="1252"/>
      <c r="AE412" s="1252"/>
      <c r="AF412" s="1252"/>
      <c r="AG412" s="1252"/>
      <c r="AH412" s="1252"/>
      <c r="AI412" s="1252"/>
      <c r="AJ412" s="1252"/>
      <c r="AK412" s="1252"/>
      <c r="AL412" s="1252"/>
      <c r="AM412" s="1252"/>
      <c r="AN412" s="1252"/>
      <c r="AO412" s="1252"/>
      <c r="AP412" s="1252"/>
      <c r="AQ412" s="807"/>
      <c r="AR412" s="807"/>
      <c r="AS412" s="807"/>
      <c r="AT412" s="807"/>
      <c r="AU412" s="807"/>
      <c r="AV412" s="807"/>
      <c r="AW412" s="1304"/>
      <c r="AX412" s="112"/>
      <c r="AY412" s="112"/>
      <c r="AZ412" s="112"/>
      <c r="BA412" s="163"/>
      <c r="BB412" s="163"/>
      <c r="BC412" s="163"/>
      <c r="BE412" s="163"/>
      <c r="BG412" s="1329"/>
      <c r="BH412" s="112"/>
      <c r="BI412" s="1330"/>
      <c r="BJ412" s="1262"/>
      <c r="BK412" s="163"/>
      <c r="BL412" s="163"/>
      <c r="BM412" s="163"/>
      <c r="BN412" s="163"/>
    </row>
    <row r="413" customFormat="false" ht="12.75" hidden="false" customHeight="false" outlineLevel="0" collapsed="false">
      <c r="B413" s="1252"/>
      <c r="C413" s="1252"/>
      <c r="D413" s="1252"/>
      <c r="E413" s="1252"/>
      <c r="F413" s="1252"/>
      <c r="G413" s="1252"/>
      <c r="H413" s="1252"/>
      <c r="I413" s="1252"/>
      <c r="J413" s="1252"/>
      <c r="K413" s="1254"/>
      <c r="L413" s="1252"/>
      <c r="M413" s="1252"/>
      <c r="N413" s="1252"/>
      <c r="O413" s="1252"/>
      <c r="P413" s="1252"/>
      <c r="Q413" s="1252"/>
      <c r="R413" s="1252"/>
      <c r="S413" s="1252"/>
      <c r="T413" s="1252"/>
      <c r="U413" s="1252"/>
      <c r="V413" s="1252"/>
      <c r="W413" s="1252"/>
      <c r="X413" s="1252"/>
      <c r="Y413" s="1252"/>
      <c r="Z413" s="1252"/>
      <c r="AA413" s="1252"/>
      <c r="AB413" s="1252"/>
      <c r="AC413" s="1252"/>
      <c r="AD413" s="1252"/>
      <c r="AE413" s="1252"/>
      <c r="AF413" s="1252"/>
      <c r="AG413" s="1252"/>
      <c r="AH413" s="1252"/>
      <c r="AI413" s="1252"/>
      <c r="AJ413" s="1252"/>
      <c r="AK413" s="1252"/>
      <c r="AL413" s="1252"/>
      <c r="AM413" s="1252"/>
      <c r="AN413" s="1252"/>
      <c r="AO413" s="1252"/>
      <c r="AP413" s="1252"/>
      <c r="AQ413" s="807"/>
      <c r="AR413" s="807"/>
      <c r="AS413" s="807"/>
      <c r="AT413" s="807"/>
      <c r="AU413" s="807"/>
      <c r="AV413" s="807"/>
      <c r="AW413" s="1304"/>
      <c r="AX413" s="112"/>
      <c r="AY413" s="112"/>
      <c r="AZ413" s="112"/>
      <c r="BA413" s="163"/>
      <c r="BB413" s="163"/>
      <c r="BC413" s="163"/>
      <c r="BE413" s="163"/>
      <c r="BG413" s="1329"/>
      <c r="BH413" s="112"/>
      <c r="BI413" s="1330"/>
      <c r="BJ413" s="1262"/>
      <c r="BK413" s="163"/>
      <c r="BL413" s="163"/>
      <c r="BM413" s="163"/>
      <c r="BN413" s="163"/>
    </row>
    <row r="414" customFormat="false" ht="12.75" hidden="false" customHeight="false" outlineLevel="0" collapsed="false">
      <c r="B414" s="1252"/>
      <c r="C414" s="1252"/>
      <c r="D414" s="1252"/>
      <c r="E414" s="1252"/>
      <c r="F414" s="1252"/>
      <c r="G414" s="1252"/>
      <c r="H414" s="1252"/>
      <c r="I414" s="1252"/>
      <c r="J414" s="1252"/>
      <c r="K414" s="1254"/>
      <c r="L414" s="1252"/>
      <c r="M414" s="1252"/>
      <c r="N414" s="1252"/>
      <c r="O414" s="1252"/>
      <c r="P414" s="1252"/>
      <c r="Q414" s="1252"/>
      <c r="R414" s="1252"/>
      <c r="S414" s="1252"/>
      <c r="T414" s="1252"/>
      <c r="U414" s="1252"/>
      <c r="V414" s="1252"/>
      <c r="W414" s="1252"/>
      <c r="X414" s="1252"/>
      <c r="Y414" s="1252"/>
      <c r="Z414" s="1252"/>
      <c r="AA414" s="1252"/>
      <c r="AB414" s="1252"/>
      <c r="AC414" s="1252"/>
      <c r="AD414" s="1252"/>
      <c r="AE414" s="1252"/>
      <c r="AF414" s="1252"/>
      <c r="AG414" s="1252"/>
      <c r="AH414" s="1252"/>
      <c r="AI414" s="1252"/>
      <c r="AJ414" s="1252"/>
      <c r="AK414" s="1252"/>
      <c r="AL414" s="1252"/>
      <c r="AM414" s="1252"/>
      <c r="AN414" s="1252"/>
      <c r="AO414" s="1252"/>
      <c r="AP414" s="1252"/>
      <c r="AQ414" s="807"/>
      <c r="AR414" s="807"/>
      <c r="AS414" s="807"/>
      <c r="AT414" s="807"/>
      <c r="AU414" s="807"/>
      <c r="AV414" s="807"/>
      <c r="AW414" s="1304"/>
      <c r="AX414" s="112"/>
      <c r="AY414" s="112"/>
      <c r="AZ414" s="112"/>
      <c r="BA414" s="163"/>
      <c r="BB414" s="163"/>
      <c r="BC414" s="163"/>
      <c r="BE414" s="163"/>
      <c r="BG414" s="1329"/>
      <c r="BH414" s="112"/>
      <c r="BI414" s="1330"/>
      <c r="BJ414" s="1262"/>
      <c r="BK414" s="163"/>
      <c r="BL414" s="163"/>
      <c r="BM414" s="163"/>
      <c r="BN414" s="163"/>
    </row>
    <row r="415" customFormat="false" ht="12.75" hidden="false" customHeight="false" outlineLevel="0" collapsed="false">
      <c r="B415" s="1252"/>
      <c r="C415" s="1252"/>
      <c r="D415" s="1252"/>
      <c r="E415" s="1252"/>
      <c r="F415" s="1252"/>
      <c r="G415" s="1252"/>
      <c r="H415" s="1252"/>
      <c r="I415" s="1252"/>
      <c r="J415" s="1252"/>
      <c r="K415" s="1254"/>
      <c r="L415" s="1252"/>
      <c r="M415" s="1252"/>
      <c r="N415" s="1252"/>
      <c r="O415" s="1252"/>
      <c r="P415" s="1252"/>
      <c r="Q415" s="1252"/>
      <c r="R415" s="1252"/>
      <c r="S415" s="1252"/>
      <c r="T415" s="1252"/>
      <c r="U415" s="1252"/>
      <c r="V415" s="1252"/>
      <c r="W415" s="1252"/>
      <c r="X415" s="1252"/>
      <c r="Y415" s="1252"/>
      <c r="Z415" s="1252"/>
      <c r="AA415" s="1252"/>
      <c r="AB415" s="1252"/>
      <c r="AC415" s="1252"/>
      <c r="AD415" s="1252"/>
      <c r="AE415" s="1252"/>
      <c r="AF415" s="1252"/>
      <c r="AG415" s="1252"/>
      <c r="AH415" s="1252"/>
      <c r="AI415" s="1252"/>
      <c r="AJ415" s="1252"/>
      <c r="AK415" s="1252"/>
      <c r="AL415" s="1252"/>
      <c r="AM415" s="1252"/>
      <c r="AN415" s="1252"/>
      <c r="AO415" s="1252"/>
      <c r="AP415" s="1252"/>
      <c r="AQ415" s="807"/>
      <c r="AR415" s="807"/>
      <c r="AS415" s="807"/>
      <c r="AT415" s="807"/>
      <c r="AU415" s="807"/>
      <c r="AV415" s="807"/>
      <c r="AW415" s="1304"/>
      <c r="AX415" s="112"/>
      <c r="AY415" s="112"/>
      <c r="AZ415" s="112"/>
      <c r="BA415" s="163"/>
      <c r="BB415" s="163"/>
      <c r="BC415" s="163"/>
      <c r="BE415" s="163"/>
      <c r="BG415" s="1329"/>
      <c r="BH415" s="112"/>
      <c r="BI415" s="1330"/>
      <c r="BJ415" s="1262"/>
      <c r="BK415" s="163"/>
      <c r="BL415" s="163"/>
      <c r="BM415" s="163"/>
      <c r="BN415" s="163"/>
    </row>
    <row r="416" customFormat="false" ht="12.75" hidden="false" customHeight="false" outlineLevel="0" collapsed="false">
      <c r="B416" s="1252"/>
      <c r="C416" s="1252"/>
      <c r="D416" s="1252"/>
      <c r="E416" s="1252"/>
      <c r="F416" s="1252"/>
      <c r="G416" s="1252"/>
      <c r="H416" s="1252"/>
      <c r="I416" s="1252"/>
      <c r="J416" s="1252"/>
      <c r="K416" s="1254"/>
      <c r="L416" s="1252"/>
      <c r="M416" s="1252"/>
      <c r="N416" s="1252"/>
      <c r="O416" s="1252"/>
      <c r="P416" s="1252"/>
      <c r="Q416" s="1252"/>
      <c r="R416" s="1252"/>
      <c r="S416" s="1252"/>
      <c r="T416" s="1252"/>
      <c r="U416" s="1252"/>
      <c r="V416" s="1252"/>
      <c r="W416" s="1252"/>
      <c r="X416" s="1252"/>
      <c r="Y416" s="1252"/>
      <c r="Z416" s="1252"/>
      <c r="AA416" s="1252"/>
      <c r="AB416" s="1252"/>
      <c r="AC416" s="1252"/>
      <c r="AD416" s="1252"/>
      <c r="AE416" s="1252"/>
      <c r="AF416" s="1252"/>
      <c r="AG416" s="1252"/>
      <c r="AH416" s="1252"/>
      <c r="AI416" s="1252"/>
      <c r="AJ416" s="1252"/>
      <c r="AK416" s="1252"/>
      <c r="AL416" s="1252"/>
      <c r="AM416" s="1252"/>
      <c r="AN416" s="1252"/>
      <c r="AO416" s="1252"/>
      <c r="AP416" s="1252"/>
      <c r="AQ416" s="807"/>
      <c r="AR416" s="807"/>
      <c r="AS416" s="807"/>
      <c r="AT416" s="807"/>
      <c r="AU416" s="807"/>
      <c r="AV416" s="807"/>
      <c r="AW416" s="1304"/>
      <c r="AX416" s="112"/>
      <c r="AY416" s="112"/>
      <c r="AZ416" s="112"/>
      <c r="BA416" s="163"/>
      <c r="BB416" s="163"/>
      <c r="BC416" s="163"/>
      <c r="BE416" s="163"/>
      <c r="BG416" s="1329"/>
      <c r="BH416" s="112"/>
      <c r="BI416" s="1330"/>
      <c r="BJ416" s="1262"/>
      <c r="BK416" s="163"/>
      <c r="BL416" s="163"/>
      <c r="BM416" s="163"/>
      <c r="BN416" s="163"/>
    </row>
    <row r="417" customFormat="false" ht="12.75" hidden="false" customHeight="false" outlineLevel="0" collapsed="false">
      <c r="B417" s="1252"/>
      <c r="C417" s="1252"/>
      <c r="D417" s="1252"/>
      <c r="E417" s="1252"/>
      <c r="F417" s="1252"/>
      <c r="G417" s="1252"/>
      <c r="H417" s="1252"/>
      <c r="I417" s="1252"/>
      <c r="J417" s="1252"/>
      <c r="K417" s="1254"/>
      <c r="L417" s="1252"/>
      <c r="M417" s="1252"/>
      <c r="N417" s="1252"/>
      <c r="O417" s="1252"/>
      <c r="P417" s="1252"/>
      <c r="Q417" s="1252"/>
      <c r="R417" s="1252"/>
      <c r="S417" s="1252"/>
      <c r="T417" s="1252"/>
      <c r="U417" s="1252"/>
      <c r="V417" s="1252"/>
      <c r="W417" s="1252"/>
      <c r="X417" s="1252"/>
      <c r="Y417" s="1252"/>
      <c r="Z417" s="1252"/>
      <c r="AA417" s="1252"/>
      <c r="AB417" s="1252"/>
      <c r="AC417" s="1252"/>
      <c r="AD417" s="1252"/>
      <c r="AE417" s="1252"/>
      <c r="AF417" s="1252"/>
      <c r="AG417" s="1252"/>
      <c r="AH417" s="1252"/>
      <c r="AI417" s="1252"/>
      <c r="AJ417" s="1252"/>
      <c r="AK417" s="1252"/>
      <c r="AL417" s="1252"/>
      <c r="AM417" s="1252"/>
      <c r="AN417" s="1252"/>
      <c r="AO417" s="1252"/>
      <c r="AP417" s="1252"/>
      <c r="AQ417" s="807"/>
      <c r="AR417" s="807"/>
      <c r="AS417" s="807"/>
      <c r="AT417" s="807"/>
      <c r="AU417" s="807"/>
      <c r="AV417" s="807"/>
      <c r="AW417" s="1304"/>
      <c r="AX417" s="112"/>
      <c r="AY417" s="112"/>
      <c r="AZ417" s="112"/>
      <c r="BA417" s="163"/>
      <c r="BB417" s="163"/>
      <c r="BC417" s="163"/>
      <c r="BE417" s="163"/>
      <c r="BG417" s="1329"/>
      <c r="BH417" s="112"/>
      <c r="BI417" s="1330"/>
      <c r="BJ417" s="1262"/>
      <c r="BK417" s="163"/>
      <c r="BL417" s="163"/>
      <c r="BM417" s="163"/>
      <c r="BN417" s="163"/>
    </row>
    <row r="418" customFormat="false" ht="12.75" hidden="false" customHeight="false" outlineLevel="0" collapsed="false">
      <c r="B418" s="1252"/>
      <c r="C418" s="1252"/>
      <c r="D418" s="1252"/>
      <c r="E418" s="1252"/>
      <c r="F418" s="1252"/>
      <c r="G418" s="1252"/>
      <c r="H418" s="1252"/>
      <c r="I418" s="1252"/>
      <c r="J418" s="1252"/>
      <c r="K418" s="1254"/>
      <c r="L418" s="1252"/>
      <c r="M418" s="1252"/>
      <c r="N418" s="1252"/>
      <c r="O418" s="1252"/>
      <c r="P418" s="1252"/>
      <c r="Q418" s="1252"/>
      <c r="R418" s="1252"/>
      <c r="S418" s="1252"/>
      <c r="T418" s="1252"/>
      <c r="U418" s="1252"/>
      <c r="V418" s="1252"/>
      <c r="W418" s="1252"/>
      <c r="X418" s="1252"/>
      <c r="Y418" s="1252"/>
      <c r="Z418" s="1252"/>
      <c r="AA418" s="1252"/>
      <c r="AB418" s="1252"/>
      <c r="AC418" s="1252"/>
      <c r="AD418" s="1252"/>
      <c r="AE418" s="1252"/>
      <c r="AF418" s="1252"/>
      <c r="AG418" s="1252"/>
      <c r="AH418" s="1252"/>
      <c r="AI418" s="1252"/>
      <c r="AJ418" s="1252"/>
      <c r="AK418" s="1252"/>
      <c r="AL418" s="1252"/>
      <c r="AM418" s="1252"/>
      <c r="AN418" s="1252"/>
      <c r="AO418" s="1252"/>
      <c r="AP418" s="1252"/>
      <c r="AQ418" s="807"/>
      <c r="AR418" s="807"/>
      <c r="AS418" s="807"/>
      <c r="AT418" s="807"/>
      <c r="AU418" s="807"/>
      <c r="AV418" s="807"/>
      <c r="AW418" s="1304"/>
      <c r="AX418" s="112"/>
      <c r="AY418" s="112"/>
      <c r="AZ418" s="112"/>
      <c r="BA418" s="163"/>
      <c r="BB418" s="163"/>
      <c r="BC418" s="163"/>
      <c r="BE418" s="163"/>
      <c r="BG418" s="1329"/>
      <c r="BH418" s="112"/>
      <c r="BI418" s="1330"/>
      <c r="BJ418" s="1262"/>
      <c r="BK418" s="163"/>
      <c r="BL418" s="163"/>
      <c r="BM418" s="163"/>
      <c r="BN418" s="163"/>
    </row>
    <row r="419" customFormat="false" ht="12.75" hidden="false" customHeight="false" outlineLevel="0" collapsed="false">
      <c r="B419" s="1252"/>
      <c r="C419" s="1252"/>
      <c r="D419" s="1252"/>
      <c r="E419" s="1252"/>
      <c r="F419" s="1252"/>
      <c r="G419" s="1252"/>
      <c r="H419" s="1252"/>
      <c r="I419" s="1252"/>
      <c r="J419" s="1252"/>
      <c r="K419" s="1254"/>
      <c r="L419" s="1252"/>
      <c r="M419" s="1252"/>
      <c r="N419" s="1252"/>
      <c r="O419" s="1252"/>
      <c r="P419" s="1252"/>
      <c r="Q419" s="1252"/>
      <c r="R419" s="1252"/>
      <c r="S419" s="1252"/>
      <c r="T419" s="1252"/>
      <c r="U419" s="1252"/>
      <c r="V419" s="1252"/>
      <c r="W419" s="1252"/>
      <c r="X419" s="1252"/>
      <c r="Y419" s="1252"/>
      <c r="Z419" s="1252"/>
      <c r="AA419" s="1252"/>
      <c r="AB419" s="1252"/>
      <c r="AC419" s="1252"/>
      <c r="AD419" s="1252"/>
      <c r="AE419" s="1252"/>
      <c r="AF419" s="1252"/>
      <c r="AG419" s="1252"/>
      <c r="AH419" s="1252"/>
      <c r="AI419" s="1252"/>
      <c r="AJ419" s="1252"/>
      <c r="AK419" s="1252"/>
      <c r="AL419" s="1252"/>
      <c r="AM419" s="1252"/>
      <c r="AN419" s="1252"/>
      <c r="AO419" s="1252"/>
      <c r="AP419" s="1252"/>
      <c r="AQ419" s="807"/>
      <c r="AR419" s="807"/>
      <c r="AS419" s="807"/>
      <c r="AT419" s="807"/>
      <c r="AU419" s="807"/>
      <c r="AV419" s="807"/>
      <c r="AW419" s="1304"/>
      <c r="AX419" s="112"/>
      <c r="AY419" s="112"/>
      <c r="AZ419" s="112"/>
      <c r="BA419" s="163"/>
      <c r="BB419" s="163"/>
      <c r="BC419" s="163"/>
      <c r="BE419" s="163"/>
      <c r="BG419" s="1329"/>
      <c r="BH419" s="112"/>
      <c r="BI419" s="1330"/>
      <c r="BJ419" s="1262"/>
      <c r="BK419" s="163"/>
      <c r="BL419" s="163"/>
      <c r="BM419" s="163"/>
      <c r="BN419" s="163"/>
    </row>
    <row r="420" customFormat="false" ht="12.75" hidden="false" customHeight="false" outlineLevel="0" collapsed="false">
      <c r="B420" s="1252"/>
      <c r="C420" s="1252"/>
      <c r="D420" s="1252"/>
      <c r="E420" s="1252"/>
      <c r="F420" s="1252"/>
      <c r="G420" s="1252"/>
      <c r="H420" s="1252"/>
      <c r="I420" s="1252"/>
      <c r="J420" s="1252"/>
      <c r="K420" s="1254"/>
      <c r="L420" s="1252"/>
      <c r="M420" s="1252"/>
      <c r="N420" s="1252"/>
      <c r="O420" s="1252"/>
      <c r="P420" s="1252"/>
      <c r="Q420" s="1252"/>
      <c r="R420" s="1252"/>
      <c r="S420" s="1252"/>
      <c r="T420" s="1252"/>
      <c r="U420" s="1252"/>
      <c r="V420" s="1252"/>
      <c r="W420" s="1252"/>
      <c r="X420" s="1252"/>
      <c r="Y420" s="1252"/>
      <c r="Z420" s="1252"/>
      <c r="AA420" s="1252"/>
      <c r="AB420" s="1252"/>
      <c r="AC420" s="1252"/>
      <c r="AD420" s="1252"/>
      <c r="AE420" s="1252"/>
      <c r="AF420" s="1252"/>
      <c r="AG420" s="1252"/>
      <c r="AH420" s="1252"/>
      <c r="AI420" s="1252"/>
      <c r="AJ420" s="1252"/>
      <c r="AK420" s="1252"/>
      <c r="AL420" s="1252"/>
      <c r="AM420" s="1252"/>
      <c r="AN420" s="1252"/>
      <c r="AO420" s="1252"/>
      <c r="AP420" s="1252"/>
      <c r="AQ420" s="807"/>
      <c r="AR420" s="807"/>
      <c r="AS420" s="807"/>
      <c r="AT420" s="807"/>
      <c r="AU420" s="807"/>
      <c r="AV420" s="807"/>
      <c r="AW420" s="1304"/>
      <c r="AX420" s="112"/>
      <c r="AY420" s="112"/>
      <c r="AZ420" s="112"/>
      <c r="BA420" s="163"/>
      <c r="BB420" s="163"/>
      <c r="BC420" s="163"/>
      <c r="BE420" s="163"/>
      <c r="BG420" s="1329"/>
      <c r="BH420" s="112"/>
      <c r="BI420" s="1330"/>
      <c r="BJ420" s="1262"/>
      <c r="BK420" s="163"/>
      <c r="BL420" s="163"/>
      <c r="BM420" s="163"/>
      <c r="BN420" s="163"/>
    </row>
    <row r="421" customFormat="false" ht="12.75" hidden="false" customHeight="false" outlineLevel="0" collapsed="false">
      <c r="B421" s="1252"/>
      <c r="C421" s="1252"/>
      <c r="D421" s="1252"/>
      <c r="E421" s="1252"/>
      <c r="F421" s="1252"/>
      <c r="G421" s="1252"/>
      <c r="H421" s="1252"/>
      <c r="I421" s="1252"/>
      <c r="J421" s="1252"/>
      <c r="K421" s="1254"/>
      <c r="L421" s="1252"/>
      <c r="M421" s="1252"/>
      <c r="N421" s="1252"/>
      <c r="O421" s="1252"/>
      <c r="P421" s="1252"/>
      <c r="Q421" s="1252"/>
      <c r="R421" s="1252"/>
      <c r="S421" s="1252"/>
      <c r="T421" s="1252"/>
      <c r="U421" s="1252"/>
      <c r="V421" s="1252"/>
      <c r="W421" s="1252"/>
      <c r="X421" s="1252"/>
      <c r="Y421" s="1252"/>
      <c r="Z421" s="1252"/>
      <c r="AA421" s="1252"/>
      <c r="AB421" s="1252"/>
      <c r="AC421" s="1252"/>
      <c r="AD421" s="1252"/>
      <c r="AE421" s="1252"/>
      <c r="AF421" s="1252"/>
      <c r="AG421" s="1252"/>
      <c r="AH421" s="1252"/>
      <c r="AI421" s="1252"/>
      <c r="AJ421" s="1252"/>
      <c r="AK421" s="1252"/>
      <c r="AL421" s="1252"/>
      <c r="AM421" s="1252"/>
      <c r="AN421" s="1252"/>
      <c r="AO421" s="1252"/>
      <c r="AP421" s="1252"/>
      <c r="AQ421" s="807"/>
      <c r="AR421" s="807"/>
      <c r="AS421" s="807"/>
      <c r="AT421" s="807"/>
      <c r="AU421" s="807"/>
      <c r="AV421" s="807"/>
      <c r="AW421" s="1304"/>
      <c r="AX421" s="112"/>
      <c r="AY421" s="112"/>
      <c r="AZ421" s="112"/>
      <c r="BA421" s="163"/>
      <c r="BB421" s="163"/>
      <c r="BC421" s="163"/>
      <c r="BE421" s="163"/>
      <c r="BG421" s="1329"/>
      <c r="BH421" s="112"/>
      <c r="BI421" s="1330"/>
      <c r="BJ421" s="1262"/>
      <c r="BK421" s="163"/>
      <c r="BL421" s="163"/>
      <c r="BM421" s="163"/>
      <c r="BN421" s="163"/>
    </row>
    <row r="422" customFormat="false" ht="12.75" hidden="false" customHeight="false" outlineLevel="0" collapsed="false">
      <c r="B422" s="1252"/>
      <c r="C422" s="1252"/>
      <c r="D422" s="1252"/>
      <c r="E422" s="1252"/>
      <c r="F422" s="1252"/>
      <c r="G422" s="1252"/>
      <c r="H422" s="1252"/>
      <c r="I422" s="1252"/>
      <c r="J422" s="1252"/>
      <c r="K422" s="1254"/>
      <c r="L422" s="1252"/>
      <c r="M422" s="1252"/>
      <c r="N422" s="1252"/>
      <c r="O422" s="1252"/>
      <c r="P422" s="1252"/>
      <c r="Q422" s="1252"/>
      <c r="R422" s="1252"/>
      <c r="S422" s="1252"/>
      <c r="T422" s="1252"/>
      <c r="U422" s="1252"/>
      <c r="V422" s="1252"/>
      <c r="W422" s="1252"/>
      <c r="X422" s="1252"/>
      <c r="Y422" s="1252"/>
      <c r="Z422" s="1252"/>
      <c r="AA422" s="1252"/>
      <c r="AB422" s="1252"/>
      <c r="AC422" s="1252"/>
      <c r="AD422" s="1252"/>
      <c r="AE422" s="1252"/>
      <c r="AF422" s="1252"/>
      <c r="AG422" s="1252"/>
      <c r="AH422" s="1252"/>
      <c r="AI422" s="1252"/>
      <c r="AJ422" s="1252"/>
      <c r="AK422" s="1252"/>
      <c r="AL422" s="1252"/>
      <c r="AM422" s="1252"/>
      <c r="AN422" s="1252"/>
      <c r="AO422" s="1252"/>
      <c r="AP422" s="1252"/>
      <c r="AQ422" s="807"/>
      <c r="AR422" s="807"/>
      <c r="AS422" s="807"/>
      <c r="AT422" s="807"/>
      <c r="AU422" s="807"/>
      <c r="AV422" s="807"/>
      <c r="AW422" s="1304"/>
      <c r="AX422" s="112"/>
      <c r="AY422" s="112"/>
      <c r="AZ422" s="112"/>
      <c r="BA422" s="163"/>
      <c r="BB422" s="163"/>
      <c r="BC422" s="163"/>
      <c r="BE422" s="163"/>
      <c r="BG422" s="1329"/>
      <c r="BH422" s="112"/>
      <c r="BI422" s="1330"/>
      <c r="BJ422" s="1262"/>
      <c r="BK422" s="163"/>
      <c r="BL422" s="163"/>
      <c r="BM422" s="163"/>
      <c r="BN422" s="163"/>
    </row>
    <row r="423" customFormat="false" ht="12.75" hidden="false" customHeight="false" outlineLevel="0" collapsed="false">
      <c r="B423" s="1252"/>
      <c r="C423" s="1252"/>
      <c r="D423" s="1252"/>
      <c r="E423" s="1252"/>
      <c r="F423" s="1252"/>
      <c r="G423" s="1252"/>
      <c r="H423" s="1252"/>
      <c r="I423" s="1252"/>
      <c r="J423" s="1252"/>
      <c r="K423" s="1254"/>
      <c r="L423" s="1252"/>
      <c r="M423" s="1252"/>
      <c r="N423" s="1252"/>
      <c r="O423" s="1252"/>
      <c r="P423" s="1252"/>
      <c r="Q423" s="1252"/>
      <c r="R423" s="1252"/>
      <c r="S423" s="1252"/>
      <c r="T423" s="1252"/>
      <c r="U423" s="1252"/>
      <c r="V423" s="1252"/>
      <c r="W423" s="1252"/>
      <c r="X423" s="1252"/>
      <c r="Y423" s="1252"/>
      <c r="Z423" s="1252"/>
      <c r="AA423" s="1252"/>
      <c r="AB423" s="1252"/>
      <c r="AC423" s="1252"/>
      <c r="AD423" s="1252"/>
      <c r="AE423" s="1252"/>
      <c r="AF423" s="1252"/>
      <c r="AG423" s="1252"/>
      <c r="AH423" s="1252"/>
      <c r="AI423" s="1252"/>
      <c r="AJ423" s="1252"/>
      <c r="AK423" s="1252"/>
      <c r="AL423" s="1252"/>
      <c r="AM423" s="1252"/>
      <c r="AN423" s="1252"/>
      <c r="AO423" s="1252"/>
      <c r="AP423" s="1252"/>
      <c r="AQ423" s="807"/>
      <c r="AR423" s="807"/>
      <c r="AS423" s="807"/>
      <c r="AT423" s="807"/>
      <c r="AU423" s="807"/>
      <c r="AV423" s="807"/>
      <c r="AW423" s="1304"/>
      <c r="AX423" s="112"/>
      <c r="AY423" s="112"/>
      <c r="AZ423" s="112"/>
      <c r="BA423" s="163"/>
      <c r="BB423" s="163"/>
      <c r="BC423" s="163"/>
      <c r="BE423" s="163"/>
      <c r="BG423" s="1329"/>
      <c r="BH423" s="112"/>
      <c r="BI423" s="1330"/>
      <c r="BJ423" s="1262"/>
      <c r="BK423" s="163"/>
      <c r="BL423" s="163"/>
      <c r="BM423" s="163"/>
      <c r="BN423" s="163"/>
    </row>
    <row r="424" customFormat="false" ht="12.75" hidden="false" customHeight="false" outlineLevel="0" collapsed="false">
      <c r="B424" s="1252"/>
      <c r="C424" s="1252"/>
      <c r="D424" s="1252"/>
      <c r="E424" s="1252"/>
      <c r="F424" s="1252"/>
      <c r="G424" s="1252"/>
      <c r="H424" s="1252"/>
      <c r="I424" s="1252"/>
      <c r="J424" s="1252"/>
      <c r="K424" s="1254"/>
      <c r="L424" s="1252"/>
      <c r="M424" s="1252"/>
      <c r="N424" s="1252"/>
      <c r="O424" s="1252"/>
      <c r="P424" s="1252"/>
      <c r="Q424" s="1252"/>
      <c r="R424" s="1252"/>
      <c r="S424" s="1252"/>
      <c r="T424" s="1252"/>
      <c r="U424" s="1252"/>
      <c r="V424" s="1252"/>
      <c r="W424" s="1252"/>
      <c r="X424" s="1252"/>
      <c r="Y424" s="1252"/>
      <c r="Z424" s="1252"/>
      <c r="AA424" s="1252"/>
      <c r="AB424" s="1252"/>
      <c r="AC424" s="1252"/>
      <c r="AD424" s="1252"/>
      <c r="AE424" s="1252"/>
      <c r="AF424" s="1252"/>
      <c r="AG424" s="1252"/>
      <c r="AH424" s="1252"/>
      <c r="AI424" s="1252"/>
      <c r="AJ424" s="1252"/>
      <c r="AK424" s="1252"/>
      <c r="AL424" s="1252"/>
      <c r="AM424" s="1252"/>
      <c r="AN424" s="1252"/>
      <c r="AO424" s="1252"/>
      <c r="AP424" s="1252"/>
      <c r="AQ424" s="807"/>
      <c r="AR424" s="807"/>
      <c r="AS424" s="807"/>
      <c r="AT424" s="807"/>
      <c r="AU424" s="807"/>
      <c r="AV424" s="807"/>
      <c r="AW424" s="1304"/>
      <c r="AX424" s="112"/>
      <c r="AY424" s="112"/>
      <c r="AZ424" s="112"/>
      <c r="BA424" s="163"/>
      <c r="BB424" s="163"/>
      <c r="BC424" s="163"/>
      <c r="BE424" s="163"/>
      <c r="BG424" s="1329"/>
      <c r="BH424" s="112"/>
      <c r="BI424" s="1330"/>
      <c r="BJ424" s="1262"/>
      <c r="BK424" s="163"/>
      <c r="BL424" s="163"/>
      <c r="BM424" s="163"/>
      <c r="BN424" s="163"/>
    </row>
    <row r="425" customFormat="false" ht="12.75" hidden="false" customHeight="false" outlineLevel="0" collapsed="false">
      <c r="B425" s="1252"/>
      <c r="C425" s="1252"/>
      <c r="D425" s="1252"/>
      <c r="E425" s="1252"/>
      <c r="F425" s="1252"/>
      <c r="G425" s="1252"/>
      <c r="H425" s="1252"/>
      <c r="I425" s="1252"/>
      <c r="J425" s="1252"/>
      <c r="K425" s="1254"/>
      <c r="L425" s="1252"/>
      <c r="M425" s="1252"/>
      <c r="N425" s="1252"/>
      <c r="O425" s="1252"/>
      <c r="P425" s="1252"/>
      <c r="Q425" s="1252"/>
      <c r="R425" s="1252"/>
      <c r="S425" s="1252"/>
      <c r="T425" s="1252"/>
      <c r="U425" s="1252"/>
      <c r="V425" s="1252"/>
      <c r="W425" s="1252"/>
      <c r="X425" s="1252"/>
      <c r="Y425" s="1252"/>
      <c r="Z425" s="1252"/>
      <c r="AA425" s="1252"/>
      <c r="AB425" s="1252"/>
      <c r="AC425" s="1252"/>
      <c r="AD425" s="1252"/>
      <c r="AE425" s="1252"/>
      <c r="AF425" s="1252"/>
      <c r="AG425" s="1252"/>
      <c r="AH425" s="1252"/>
      <c r="AI425" s="1252"/>
      <c r="AJ425" s="1252"/>
      <c r="AK425" s="1252"/>
      <c r="AL425" s="1252"/>
      <c r="AM425" s="1252"/>
      <c r="AN425" s="1252"/>
      <c r="AO425" s="1252"/>
      <c r="AP425" s="1252"/>
      <c r="AQ425" s="807"/>
      <c r="AR425" s="807"/>
      <c r="AS425" s="807"/>
      <c r="AT425" s="807"/>
      <c r="AU425" s="807"/>
      <c r="AV425" s="807"/>
      <c r="AW425" s="1304"/>
      <c r="AX425" s="112"/>
      <c r="AY425" s="112"/>
      <c r="AZ425" s="112"/>
      <c r="BA425" s="163"/>
      <c r="BB425" s="163"/>
      <c r="BC425" s="163"/>
      <c r="BE425" s="163"/>
      <c r="BG425" s="1329"/>
      <c r="BH425" s="112"/>
      <c r="BI425" s="1330"/>
      <c r="BJ425" s="1262"/>
      <c r="BK425" s="163"/>
      <c r="BL425" s="163"/>
      <c r="BM425" s="163"/>
      <c r="BN425" s="163"/>
    </row>
    <row r="426" customFormat="false" ht="12.75" hidden="false" customHeight="false" outlineLevel="0" collapsed="false">
      <c r="B426" s="1252"/>
      <c r="C426" s="1252"/>
      <c r="D426" s="1252"/>
      <c r="E426" s="1252"/>
      <c r="F426" s="1252"/>
      <c r="G426" s="1252"/>
      <c r="H426" s="1252"/>
      <c r="I426" s="1252"/>
      <c r="J426" s="1252"/>
      <c r="K426" s="1254"/>
      <c r="L426" s="1252"/>
      <c r="M426" s="1252"/>
      <c r="N426" s="1252"/>
      <c r="O426" s="1252"/>
      <c r="P426" s="1252"/>
      <c r="Q426" s="1252"/>
      <c r="R426" s="1252"/>
      <c r="S426" s="1252"/>
      <c r="T426" s="1252"/>
      <c r="U426" s="1252"/>
      <c r="V426" s="1252"/>
      <c r="W426" s="1252"/>
      <c r="X426" s="1252"/>
      <c r="Y426" s="1252"/>
      <c r="Z426" s="1252"/>
      <c r="AA426" s="1252"/>
      <c r="AB426" s="1252"/>
      <c r="AC426" s="1252"/>
      <c r="AD426" s="1252"/>
      <c r="AE426" s="1252"/>
      <c r="AF426" s="1252"/>
      <c r="AG426" s="1252"/>
      <c r="AH426" s="1252"/>
      <c r="AI426" s="1252"/>
      <c r="AJ426" s="1252"/>
      <c r="AK426" s="1252"/>
      <c r="AL426" s="1252"/>
      <c r="AM426" s="1252"/>
      <c r="AN426" s="1252"/>
      <c r="AO426" s="1252"/>
      <c r="AP426" s="1252"/>
      <c r="AQ426" s="807"/>
      <c r="AR426" s="807"/>
      <c r="AS426" s="807"/>
      <c r="AT426" s="807"/>
      <c r="AU426" s="807"/>
      <c r="AV426" s="807"/>
      <c r="AW426" s="1304"/>
      <c r="AX426" s="112"/>
      <c r="AY426" s="112"/>
      <c r="AZ426" s="112"/>
      <c r="BA426" s="163"/>
      <c r="BB426" s="163"/>
      <c r="BC426" s="163"/>
      <c r="BE426" s="163"/>
      <c r="BG426" s="1329"/>
      <c r="BH426" s="112"/>
      <c r="BI426" s="1330"/>
      <c r="BJ426" s="1262"/>
      <c r="BK426" s="163"/>
      <c r="BL426" s="163"/>
      <c r="BM426" s="163"/>
      <c r="BN426" s="163"/>
    </row>
    <row r="427" customFormat="false" ht="12.75" hidden="false" customHeight="false" outlineLevel="0" collapsed="false">
      <c r="B427" s="1252"/>
      <c r="C427" s="1252"/>
      <c r="D427" s="1252"/>
      <c r="E427" s="1252"/>
      <c r="F427" s="1252"/>
      <c r="G427" s="1252"/>
      <c r="H427" s="1252"/>
      <c r="I427" s="1252"/>
      <c r="J427" s="1252"/>
      <c r="K427" s="1254"/>
      <c r="L427" s="1252"/>
      <c r="M427" s="1252"/>
      <c r="N427" s="1252"/>
      <c r="O427" s="1252"/>
      <c r="P427" s="1252"/>
      <c r="Q427" s="1252"/>
      <c r="R427" s="1252"/>
      <c r="S427" s="1252"/>
      <c r="T427" s="1252"/>
      <c r="U427" s="1252"/>
      <c r="V427" s="1252"/>
      <c r="W427" s="1252"/>
      <c r="X427" s="1252"/>
      <c r="Y427" s="1252"/>
      <c r="Z427" s="1252"/>
      <c r="AA427" s="1252"/>
      <c r="AB427" s="1252"/>
      <c r="AC427" s="1252"/>
      <c r="AD427" s="1252"/>
      <c r="AE427" s="1252"/>
      <c r="AF427" s="1252"/>
      <c r="AG427" s="1252"/>
      <c r="AH427" s="1252"/>
      <c r="AI427" s="1252"/>
      <c r="AJ427" s="1252"/>
      <c r="AK427" s="1252"/>
      <c r="AL427" s="1252"/>
      <c r="AM427" s="1252"/>
      <c r="AN427" s="1252"/>
      <c r="AO427" s="1252"/>
      <c r="AP427" s="1252"/>
      <c r="AQ427" s="807"/>
      <c r="AR427" s="807"/>
      <c r="AS427" s="807"/>
      <c r="AT427" s="807"/>
      <c r="AU427" s="807"/>
      <c r="AV427" s="807"/>
      <c r="AW427" s="1304"/>
      <c r="AX427" s="112"/>
      <c r="AY427" s="112"/>
      <c r="AZ427" s="112"/>
      <c r="BA427" s="163"/>
      <c r="BB427" s="163"/>
      <c r="BC427" s="163"/>
      <c r="BE427" s="163"/>
      <c r="BG427" s="1329"/>
      <c r="BH427" s="112"/>
      <c r="BI427" s="1330"/>
      <c r="BJ427" s="1262"/>
      <c r="BK427" s="163"/>
      <c r="BL427" s="163"/>
      <c r="BM427" s="163"/>
      <c r="BN427" s="163"/>
    </row>
    <row r="428" customFormat="false" ht="12.75" hidden="false" customHeight="false" outlineLevel="0" collapsed="false">
      <c r="B428" s="1252"/>
      <c r="C428" s="1252"/>
      <c r="D428" s="1252"/>
      <c r="E428" s="1252"/>
      <c r="F428" s="1252"/>
      <c r="G428" s="1252"/>
      <c r="H428" s="1252"/>
      <c r="I428" s="1252"/>
      <c r="J428" s="1252"/>
      <c r="K428" s="1254"/>
      <c r="L428" s="1252"/>
      <c r="M428" s="1252"/>
      <c r="N428" s="1252"/>
      <c r="O428" s="1252"/>
      <c r="P428" s="1252"/>
      <c r="Q428" s="1252"/>
      <c r="R428" s="1252"/>
      <c r="S428" s="1252"/>
      <c r="T428" s="1252"/>
      <c r="U428" s="1252"/>
      <c r="V428" s="1252"/>
      <c r="W428" s="1252"/>
      <c r="X428" s="1252"/>
      <c r="Y428" s="1252"/>
      <c r="Z428" s="1252"/>
      <c r="AA428" s="1252"/>
      <c r="AB428" s="1252"/>
      <c r="AC428" s="1252"/>
      <c r="AD428" s="1252"/>
      <c r="AE428" s="1252"/>
      <c r="AF428" s="1252"/>
      <c r="AG428" s="1252"/>
      <c r="AH428" s="1252"/>
      <c r="AI428" s="1252"/>
      <c r="AJ428" s="1252"/>
      <c r="AK428" s="1252"/>
      <c r="AL428" s="1252"/>
      <c r="AM428" s="1252"/>
      <c r="AN428" s="1252"/>
      <c r="AO428" s="1252"/>
      <c r="AP428" s="1252"/>
      <c r="AQ428" s="807"/>
      <c r="AR428" s="807"/>
      <c r="AS428" s="807"/>
      <c r="AT428" s="807"/>
      <c r="AU428" s="807"/>
      <c r="AV428" s="807"/>
      <c r="AW428" s="1304"/>
      <c r="AX428" s="112"/>
      <c r="AY428" s="112"/>
      <c r="AZ428" s="112"/>
      <c r="BA428" s="163"/>
      <c r="BB428" s="163"/>
      <c r="BC428" s="163"/>
      <c r="BE428" s="163"/>
      <c r="BG428" s="1329"/>
      <c r="BH428" s="112"/>
      <c r="BI428" s="1330"/>
      <c r="BJ428" s="1262"/>
      <c r="BK428" s="163"/>
      <c r="BL428" s="163"/>
      <c r="BM428" s="163"/>
      <c r="BN428" s="163"/>
    </row>
    <row r="429" customFormat="false" ht="12.75" hidden="false" customHeight="false" outlineLevel="0" collapsed="false">
      <c r="B429" s="1252"/>
      <c r="C429" s="1252"/>
      <c r="D429" s="1252"/>
      <c r="E429" s="1252"/>
      <c r="F429" s="1252"/>
      <c r="G429" s="1252"/>
      <c r="H429" s="1252"/>
      <c r="I429" s="1252"/>
      <c r="J429" s="1252"/>
      <c r="K429" s="1254"/>
      <c r="L429" s="1252"/>
      <c r="M429" s="1252"/>
      <c r="N429" s="1252"/>
      <c r="O429" s="1252"/>
      <c r="P429" s="1252"/>
      <c r="Q429" s="1252"/>
      <c r="R429" s="1252"/>
      <c r="S429" s="1252"/>
      <c r="T429" s="1252"/>
      <c r="U429" s="1252"/>
      <c r="V429" s="1252"/>
      <c r="W429" s="1252"/>
      <c r="X429" s="1252"/>
      <c r="Y429" s="1252"/>
      <c r="Z429" s="1252"/>
      <c r="AA429" s="1252"/>
      <c r="AB429" s="1252"/>
      <c r="AC429" s="1252"/>
      <c r="AD429" s="1252"/>
      <c r="AE429" s="1252"/>
      <c r="AF429" s="1252"/>
      <c r="AG429" s="1252"/>
      <c r="AH429" s="1252"/>
      <c r="AI429" s="1252"/>
      <c r="AJ429" s="1252"/>
      <c r="AK429" s="1252"/>
      <c r="AL429" s="1252"/>
      <c r="AM429" s="1252"/>
      <c r="AN429" s="1252"/>
      <c r="AO429" s="1252"/>
      <c r="AP429" s="1252"/>
      <c r="AQ429" s="807"/>
      <c r="AR429" s="807"/>
      <c r="AS429" s="807"/>
      <c r="AT429" s="807"/>
      <c r="AU429" s="807"/>
      <c r="AV429" s="807"/>
      <c r="AW429" s="1304"/>
      <c r="AX429" s="112"/>
      <c r="AY429" s="112"/>
      <c r="AZ429" s="112"/>
      <c r="BA429" s="163"/>
      <c r="BB429" s="163"/>
      <c r="BC429" s="163"/>
      <c r="BE429" s="163"/>
      <c r="BG429" s="1329"/>
      <c r="BH429" s="112"/>
      <c r="BI429" s="1330"/>
      <c r="BJ429" s="1262"/>
      <c r="BK429" s="163"/>
      <c r="BL429" s="163"/>
      <c r="BM429" s="163"/>
      <c r="BN429" s="163"/>
    </row>
    <row r="430" customFormat="false" ht="12.75" hidden="false" customHeight="false" outlineLevel="0" collapsed="false">
      <c r="B430" s="1252"/>
      <c r="C430" s="1252"/>
      <c r="D430" s="1252"/>
      <c r="E430" s="1252"/>
      <c r="F430" s="1252"/>
      <c r="G430" s="1252"/>
      <c r="H430" s="1252"/>
      <c r="I430" s="1252"/>
      <c r="J430" s="1252"/>
      <c r="K430" s="1254"/>
      <c r="L430" s="1252"/>
      <c r="M430" s="1252"/>
      <c r="N430" s="1252"/>
      <c r="O430" s="1252"/>
      <c r="P430" s="1252"/>
      <c r="Q430" s="1252"/>
      <c r="R430" s="1252"/>
      <c r="S430" s="1252"/>
      <c r="T430" s="1252"/>
      <c r="U430" s="1252"/>
      <c r="V430" s="1252"/>
      <c r="W430" s="1252"/>
      <c r="X430" s="1252"/>
      <c r="Y430" s="1252"/>
      <c r="Z430" s="1252"/>
      <c r="AA430" s="1252"/>
      <c r="AB430" s="1252"/>
      <c r="AC430" s="1252"/>
      <c r="AD430" s="1252"/>
      <c r="AE430" s="1252"/>
      <c r="AF430" s="1252"/>
      <c r="AG430" s="1252"/>
      <c r="AH430" s="1252"/>
      <c r="AI430" s="1252"/>
      <c r="AJ430" s="1252"/>
      <c r="AK430" s="1252"/>
      <c r="AL430" s="1252"/>
      <c r="AM430" s="1252"/>
      <c r="AN430" s="1252"/>
      <c r="AO430" s="1252"/>
      <c r="AP430" s="1252"/>
      <c r="AQ430" s="807"/>
      <c r="AR430" s="807"/>
      <c r="AS430" s="807"/>
      <c r="AT430" s="807"/>
      <c r="AU430" s="807"/>
      <c r="AV430" s="807"/>
      <c r="AW430" s="1304"/>
      <c r="AX430" s="112"/>
      <c r="AY430" s="112"/>
      <c r="AZ430" s="112"/>
      <c r="BA430" s="163"/>
      <c r="BB430" s="163"/>
      <c r="BC430" s="163"/>
      <c r="BE430" s="163"/>
      <c r="BG430" s="1329"/>
      <c r="BH430" s="112"/>
      <c r="BI430" s="1330"/>
      <c r="BJ430" s="1262"/>
      <c r="BK430" s="163"/>
      <c r="BL430" s="163"/>
      <c r="BM430" s="163"/>
      <c r="BN430" s="163"/>
    </row>
    <row r="431" customFormat="false" ht="12.75" hidden="false" customHeight="false" outlineLevel="0" collapsed="false">
      <c r="B431" s="1252"/>
      <c r="C431" s="1252"/>
      <c r="D431" s="1252"/>
      <c r="E431" s="1252"/>
      <c r="F431" s="1252"/>
      <c r="G431" s="1252"/>
      <c r="H431" s="1252"/>
      <c r="I431" s="1252"/>
      <c r="J431" s="1252"/>
      <c r="K431" s="1254"/>
      <c r="L431" s="1252"/>
      <c r="M431" s="1252"/>
      <c r="N431" s="1252"/>
      <c r="O431" s="1252"/>
      <c r="P431" s="1252"/>
      <c r="Q431" s="1252"/>
      <c r="R431" s="1252"/>
      <c r="S431" s="1252"/>
      <c r="T431" s="1252"/>
      <c r="U431" s="1252"/>
      <c r="V431" s="1252"/>
      <c r="W431" s="1252"/>
      <c r="X431" s="1252"/>
      <c r="Y431" s="1252"/>
      <c r="Z431" s="1252"/>
      <c r="AA431" s="1252"/>
      <c r="AB431" s="1252"/>
      <c r="AC431" s="1252"/>
      <c r="AD431" s="1252"/>
      <c r="AE431" s="1252"/>
      <c r="AF431" s="1252"/>
      <c r="AG431" s="1252"/>
      <c r="AH431" s="1252"/>
      <c r="AI431" s="1252"/>
      <c r="AJ431" s="1252"/>
      <c r="AK431" s="1252"/>
      <c r="AL431" s="1252"/>
      <c r="AM431" s="1252"/>
      <c r="AN431" s="1252"/>
      <c r="AO431" s="1252"/>
      <c r="AP431" s="1252"/>
      <c r="AQ431" s="807"/>
      <c r="AR431" s="807"/>
      <c r="AS431" s="807"/>
      <c r="AT431" s="807"/>
      <c r="AU431" s="807"/>
      <c r="AV431" s="807"/>
      <c r="AW431" s="1304"/>
      <c r="AX431" s="112"/>
      <c r="AY431" s="112"/>
      <c r="AZ431" s="112"/>
      <c r="BA431" s="163"/>
      <c r="BB431" s="163"/>
      <c r="BC431" s="163"/>
      <c r="BE431" s="163"/>
      <c r="BG431" s="1329"/>
      <c r="BH431" s="112"/>
      <c r="BI431" s="1330"/>
      <c r="BJ431" s="1262"/>
      <c r="BK431" s="163"/>
      <c r="BL431" s="163"/>
      <c r="BM431" s="163"/>
      <c r="BN431" s="163"/>
    </row>
    <row r="432" customFormat="false" ht="12.75" hidden="false" customHeight="false" outlineLevel="0" collapsed="false">
      <c r="B432" s="1252"/>
      <c r="C432" s="1252"/>
      <c r="D432" s="1252"/>
      <c r="E432" s="1252"/>
      <c r="F432" s="1252"/>
      <c r="G432" s="1252"/>
      <c r="H432" s="1252"/>
      <c r="I432" s="1252"/>
      <c r="J432" s="1252"/>
      <c r="K432" s="1254"/>
      <c r="L432" s="1252"/>
      <c r="M432" s="1252"/>
      <c r="N432" s="1252"/>
      <c r="O432" s="1252"/>
      <c r="P432" s="1252"/>
      <c r="Q432" s="1252"/>
      <c r="R432" s="1252"/>
      <c r="S432" s="1252"/>
      <c r="T432" s="1252"/>
      <c r="U432" s="1252"/>
      <c r="V432" s="1252"/>
      <c r="W432" s="1252"/>
      <c r="X432" s="1252"/>
      <c r="Y432" s="1252"/>
      <c r="Z432" s="1252"/>
      <c r="AA432" s="1252"/>
      <c r="AB432" s="1252"/>
      <c r="AC432" s="1252"/>
      <c r="AD432" s="1252"/>
      <c r="AE432" s="1252"/>
      <c r="AF432" s="1252"/>
      <c r="AG432" s="1252"/>
      <c r="AH432" s="1252"/>
      <c r="AI432" s="1252"/>
      <c r="AJ432" s="1252"/>
      <c r="AK432" s="1252"/>
      <c r="AL432" s="1252"/>
      <c r="AM432" s="1252"/>
      <c r="AN432" s="1252"/>
      <c r="AO432" s="1252"/>
      <c r="AP432" s="1252"/>
      <c r="AQ432" s="807"/>
      <c r="AR432" s="807"/>
      <c r="AS432" s="807"/>
      <c r="AT432" s="807"/>
      <c r="AU432" s="807"/>
      <c r="AV432" s="807"/>
      <c r="AW432" s="1304"/>
      <c r="AX432" s="112"/>
      <c r="AY432" s="112"/>
      <c r="AZ432" s="112"/>
      <c r="BA432" s="163"/>
      <c r="BB432" s="163"/>
      <c r="BC432" s="163"/>
      <c r="BE432" s="163"/>
      <c r="BG432" s="1329"/>
      <c r="BH432" s="112"/>
      <c r="BI432" s="1330"/>
      <c r="BJ432" s="1262"/>
      <c r="BK432" s="163"/>
      <c r="BL432" s="163"/>
      <c r="BM432" s="163"/>
      <c r="BN432" s="163"/>
    </row>
    <row r="433" customFormat="false" ht="12.75" hidden="false" customHeight="false" outlineLevel="0" collapsed="false">
      <c r="B433" s="1252"/>
      <c r="C433" s="1252"/>
      <c r="D433" s="1252"/>
      <c r="E433" s="1252"/>
      <c r="F433" s="1252"/>
      <c r="G433" s="1252"/>
      <c r="H433" s="1252"/>
      <c r="I433" s="1252"/>
      <c r="J433" s="1252"/>
      <c r="K433" s="1254"/>
      <c r="L433" s="1252"/>
      <c r="M433" s="1252"/>
      <c r="N433" s="1252"/>
      <c r="O433" s="1252"/>
      <c r="P433" s="1252"/>
      <c r="Q433" s="1252"/>
      <c r="R433" s="1252"/>
      <c r="S433" s="1252"/>
      <c r="T433" s="1252"/>
      <c r="U433" s="1252"/>
      <c r="V433" s="1252"/>
      <c r="W433" s="1252"/>
      <c r="X433" s="1252"/>
      <c r="Y433" s="1252"/>
      <c r="Z433" s="1252"/>
      <c r="AA433" s="1252"/>
      <c r="AB433" s="1252"/>
      <c r="AC433" s="1252"/>
      <c r="AD433" s="1252"/>
      <c r="AE433" s="1252"/>
      <c r="AF433" s="1252"/>
      <c r="AG433" s="1252"/>
      <c r="AH433" s="1252"/>
      <c r="AI433" s="1252"/>
      <c r="AJ433" s="1252"/>
      <c r="AK433" s="1252"/>
      <c r="AL433" s="1252"/>
      <c r="AM433" s="1252"/>
      <c r="AN433" s="1252"/>
      <c r="AO433" s="1252"/>
      <c r="AP433" s="1252"/>
      <c r="AQ433" s="807"/>
      <c r="AR433" s="807"/>
      <c r="AS433" s="807"/>
      <c r="AT433" s="807"/>
      <c r="AU433" s="807"/>
      <c r="AV433" s="807"/>
      <c r="AW433" s="1304"/>
      <c r="AX433" s="112"/>
      <c r="AY433" s="112"/>
      <c r="AZ433" s="112"/>
      <c r="BA433" s="163"/>
      <c r="BB433" s="163"/>
      <c r="BC433" s="163"/>
      <c r="BE433" s="163"/>
      <c r="BG433" s="1329"/>
      <c r="BH433" s="112"/>
      <c r="BI433" s="1330"/>
      <c r="BJ433" s="1262"/>
      <c r="BK433" s="163"/>
      <c r="BL433" s="163"/>
      <c r="BM433" s="163"/>
      <c r="BN433" s="163"/>
    </row>
    <row r="434" customFormat="false" ht="12.75" hidden="false" customHeight="false" outlineLevel="0" collapsed="false">
      <c r="B434" s="1252"/>
      <c r="C434" s="1252"/>
      <c r="D434" s="1252"/>
      <c r="E434" s="1252"/>
      <c r="F434" s="1252"/>
      <c r="G434" s="1252"/>
      <c r="H434" s="1252"/>
      <c r="I434" s="1252"/>
      <c r="J434" s="1252"/>
      <c r="K434" s="1254"/>
      <c r="L434" s="1252"/>
      <c r="M434" s="1252"/>
      <c r="N434" s="1252"/>
      <c r="O434" s="1252"/>
      <c r="P434" s="1252"/>
      <c r="Q434" s="1252"/>
      <c r="R434" s="1252"/>
      <c r="S434" s="1252"/>
      <c r="T434" s="1252"/>
      <c r="U434" s="1252"/>
      <c r="V434" s="1252"/>
      <c r="W434" s="1252"/>
      <c r="X434" s="1252"/>
      <c r="Y434" s="1252"/>
      <c r="Z434" s="1252"/>
      <c r="AA434" s="1252"/>
      <c r="AB434" s="1252"/>
      <c r="AC434" s="1252"/>
      <c r="AD434" s="1252"/>
      <c r="AE434" s="1252"/>
      <c r="AF434" s="1252"/>
      <c r="AG434" s="1252"/>
      <c r="AH434" s="1252"/>
      <c r="AI434" s="1252"/>
      <c r="AJ434" s="1252"/>
      <c r="AK434" s="1252"/>
      <c r="AL434" s="1252"/>
      <c r="AM434" s="1252"/>
      <c r="AN434" s="1252"/>
      <c r="AO434" s="1252"/>
      <c r="AP434" s="1252"/>
      <c r="AQ434" s="807"/>
      <c r="AR434" s="807"/>
      <c r="AS434" s="807"/>
      <c r="AT434" s="807"/>
      <c r="AU434" s="807"/>
      <c r="AV434" s="807"/>
      <c r="AW434" s="1304"/>
      <c r="AX434" s="112"/>
      <c r="AY434" s="112"/>
      <c r="AZ434" s="112"/>
      <c r="BA434" s="163"/>
      <c r="BB434" s="163"/>
      <c r="BC434" s="163"/>
      <c r="BE434" s="163"/>
      <c r="BG434" s="1329"/>
      <c r="BH434" s="112"/>
      <c r="BI434" s="1330"/>
      <c r="BJ434" s="1262"/>
      <c r="BK434" s="163"/>
      <c r="BL434" s="163"/>
      <c r="BM434" s="163"/>
      <c r="BN434" s="163"/>
    </row>
    <row r="435" customFormat="false" ht="12.75" hidden="false" customHeight="false" outlineLevel="0" collapsed="false">
      <c r="B435" s="1252"/>
      <c r="C435" s="1252"/>
      <c r="D435" s="1252"/>
      <c r="E435" s="1252"/>
      <c r="F435" s="1252"/>
      <c r="G435" s="1252"/>
      <c r="H435" s="1252"/>
      <c r="I435" s="1252"/>
      <c r="J435" s="1252"/>
      <c r="K435" s="1254"/>
      <c r="L435" s="1252"/>
      <c r="M435" s="1252"/>
      <c r="N435" s="1252"/>
      <c r="O435" s="1252"/>
      <c r="P435" s="1252"/>
      <c r="Q435" s="1252"/>
      <c r="R435" s="1252"/>
      <c r="S435" s="1252"/>
      <c r="T435" s="1252"/>
      <c r="U435" s="1252"/>
      <c r="V435" s="1252"/>
      <c r="W435" s="1252"/>
      <c r="X435" s="1252"/>
      <c r="Y435" s="1252"/>
      <c r="Z435" s="1252"/>
      <c r="AA435" s="1252"/>
      <c r="AB435" s="1252"/>
      <c r="AC435" s="1252"/>
      <c r="AD435" s="1252"/>
      <c r="AE435" s="1252"/>
      <c r="AF435" s="1252"/>
      <c r="AG435" s="1252"/>
      <c r="AH435" s="1252"/>
      <c r="AI435" s="1252"/>
      <c r="AJ435" s="1252"/>
      <c r="AK435" s="1252"/>
      <c r="AL435" s="1252"/>
      <c r="AM435" s="1252"/>
      <c r="AN435" s="1252"/>
      <c r="AO435" s="1252"/>
      <c r="AP435" s="1252"/>
      <c r="AQ435" s="807"/>
      <c r="AR435" s="807"/>
      <c r="AS435" s="807"/>
      <c r="AT435" s="807"/>
      <c r="AU435" s="807"/>
      <c r="AV435" s="807"/>
      <c r="AW435" s="1304"/>
      <c r="AX435" s="112"/>
      <c r="AY435" s="112"/>
      <c r="AZ435" s="112"/>
      <c r="BA435" s="163"/>
      <c r="BB435" s="163"/>
      <c r="BC435" s="163"/>
      <c r="BE435" s="163"/>
      <c r="BG435" s="1329"/>
      <c r="BH435" s="112"/>
      <c r="BI435" s="1330"/>
      <c r="BJ435" s="1262"/>
      <c r="BK435" s="163"/>
      <c r="BL435" s="163"/>
      <c r="BM435" s="163"/>
      <c r="BN435" s="163"/>
    </row>
    <row r="436" customFormat="false" ht="12.75" hidden="false" customHeight="false" outlineLevel="0" collapsed="false">
      <c r="B436" s="1252"/>
      <c r="C436" s="1252"/>
      <c r="D436" s="1252"/>
      <c r="E436" s="1252"/>
      <c r="F436" s="1252"/>
      <c r="G436" s="1252"/>
      <c r="H436" s="1252"/>
      <c r="I436" s="1252"/>
      <c r="J436" s="1252"/>
      <c r="K436" s="1254"/>
      <c r="L436" s="1252"/>
      <c r="M436" s="1252"/>
      <c r="N436" s="1252"/>
      <c r="O436" s="1252"/>
      <c r="P436" s="1252"/>
      <c r="Q436" s="1252"/>
      <c r="R436" s="1252"/>
      <c r="S436" s="1252"/>
      <c r="T436" s="1252"/>
      <c r="U436" s="1252"/>
      <c r="V436" s="1252"/>
      <c r="W436" s="1252"/>
      <c r="X436" s="1252"/>
      <c r="Y436" s="1252"/>
      <c r="Z436" s="1252"/>
      <c r="AA436" s="1252"/>
      <c r="AB436" s="1252"/>
      <c r="AC436" s="1252"/>
      <c r="AD436" s="1252"/>
      <c r="AE436" s="1252"/>
      <c r="AF436" s="1252"/>
      <c r="AG436" s="1252"/>
      <c r="AH436" s="1252"/>
      <c r="AI436" s="1252"/>
      <c r="AJ436" s="1252"/>
      <c r="AK436" s="1252"/>
      <c r="AL436" s="1252"/>
      <c r="AM436" s="1252"/>
      <c r="AN436" s="1252"/>
      <c r="AO436" s="1252"/>
      <c r="AP436" s="1252"/>
      <c r="AQ436" s="807"/>
      <c r="AR436" s="807"/>
      <c r="AS436" s="807"/>
      <c r="AT436" s="807"/>
      <c r="AU436" s="807"/>
      <c r="AV436" s="807"/>
      <c r="AW436" s="1304"/>
      <c r="AX436" s="112"/>
      <c r="AY436" s="112"/>
      <c r="AZ436" s="112"/>
      <c r="BA436" s="163"/>
      <c r="BB436" s="163"/>
      <c r="BC436" s="163"/>
      <c r="BE436" s="163"/>
      <c r="BG436" s="1329"/>
      <c r="BH436" s="112"/>
      <c r="BI436" s="1330"/>
      <c r="BJ436" s="1262"/>
      <c r="BK436" s="163"/>
      <c r="BL436" s="163"/>
      <c r="BM436" s="163"/>
      <c r="BN436" s="163"/>
    </row>
    <row r="437" customFormat="false" ht="12.75" hidden="false" customHeight="false" outlineLevel="0" collapsed="false">
      <c r="B437" s="1252"/>
      <c r="C437" s="1252"/>
      <c r="D437" s="1252"/>
      <c r="E437" s="1252"/>
      <c r="F437" s="1252"/>
      <c r="G437" s="1252"/>
      <c r="H437" s="1252"/>
      <c r="I437" s="1252"/>
      <c r="J437" s="1252"/>
      <c r="K437" s="1254"/>
      <c r="L437" s="1252"/>
      <c r="M437" s="1252"/>
      <c r="N437" s="1252"/>
      <c r="O437" s="1252"/>
      <c r="P437" s="1252"/>
      <c r="Q437" s="1252"/>
      <c r="R437" s="1252"/>
      <c r="S437" s="1252"/>
      <c r="T437" s="1252"/>
      <c r="U437" s="1252"/>
      <c r="V437" s="1252"/>
      <c r="W437" s="1252"/>
      <c r="X437" s="1252"/>
      <c r="Y437" s="1252"/>
      <c r="Z437" s="1252"/>
      <c r="AA437" s="1252"/>
      <c r="AB437" s="1252"/>
      <c r="AC437" s="1252"/>
      <c r="AD437" s="1252"/>
      <c r="AE437" s="1252"/>
      <c r="AF437" s="1252"/>
      <c r="AG437" s="1252"/>
      <c r="AH437" s="1252"/>
      <c r="AI437" s="1252"/>
      <c r="AJ437" s="1252"/>
      <c r="AK437" s="1252"/>
      <c r="AL437" s="1252"/>
      <c r="AM437" s="1252"/>
      <c r="AN437" s="1252"/>
      <c r="AO437" s="1252"/>
      <c r="AP437" s="1252"/>
      <c r="AQ437" s="807"/>
      <c r="AR437" s="807"/>
      <c r="AS437" s="807"/>
      <c r="AT437" s="807"/>
      <c r="AU437" s="807"/>
      <c r="AV437" s="807"/>
      <c r="AW437" s="1304"/>
      <c r="AX437" s="112"/>
      <c r="AY437" s="112"/>
      <c r="AZ437" s="112"/>
      <c r="BA437" s="163"/>
      <c r="BB437" s="163"/>
      <c r="BC437" s="163"/>
      <c r="BE437" s="163"/>
      <c r="BG437" s="1329"/>
      <c r="BH437" s="112"/>
      <c r="BI437" s="1330"/>
      <c r="BJ437" s="1262"/>
      <c r="BK437" s="163"/>
      <c r="BL437" s="163"/>
      <c r="BM437" s="163"/>
      <c r="BN437" s="163"/>
    </row>
    <row r="438" customFormat="false" ht="12.75" hidden="false" customHeight="false" outlineLevel="0" collapsed="false">
      <c r="B438" s="1252"/>
      <c r="C438" s="1252"/>
      <c r="D438" s="1252"/>
      <c r="E438" s="1252"/>
      <c r="F438" s="1252"/>
      <c r="G438" s="1252"/>
      <c r="H438" s="1252"/>
      <c r="I438" s="1252"/>
      <c r="J438" s="1252"/>
      <c r="K438" s="1254"/>
      <c r="L438" s="1252"/>
      <c r="M438" s="1252"/>
      <c r="N438" s="1252"/>
      <c r="O438" s="1252"/>
      <c r="P438" s="1252"/>
      <c r="Q438" s="1252"/>
      <c r="R438" s="1252"/>
      <c r="S438" s="1252"/>
      <c r="T438" s="1252"/>
      <c r="U438" s="1252"/>
      <c r="V438" s="1252"/>
      <c r="W438" s="1252"/>
      <c r="X438" s="1252"/>
      <c r="Y438" s="1252"/>
      <c r="Z438" s="1252"/>
      <c r="AA438" s="1252"/>
      <c r="AB438" s="1252"/>
      <c r="AC438" s="1252"/>
      <c r="AD438" s="1252"/>
      <c r="AE438" s="1252"/>
      <c r="AF438" s="1252"/>
      <c r="AG438" s="1252"/>
      <c r="AH438" s="1252"/>
      <c r="AI438" s="1252"/>
      <c r="AJ438" s="1252"/>
      <c r="AK438" s="1252"/>
      <c r="AL438" s="1252"/>
      <c r="AM438" s="1252"/>
      <c r="AN438" s="1252"/>
      <c r="AO438" s="1252"/>
      <c r="AP438" s="1252"/>
      <c r="AQ438" s="807"/>
      <c r="AR438" s="807"/>
      <c r="AS438" s="807"/>
      <c r="AT438" s="807"/>
      <c r="AU438" s="807"/>
      <c r="AV438" s="807"/>
      <c r="AW438" s="1304"/>
      <c r="AX438" s="112"/>
      <c r="AY438" s="112"/>
      <c r="AZ438" s="112"/>
      <c r="BA438" s="163"/>
      <c r="BB438" s="163"/>
      <c r="BC438" s="163"/>
      <c r="BE438" s="163"/>
      <c r="BG438" s="1329"/>
      <c r="BH438" s="112"/>
      <c r="BI438" s="1330"/>
      <c r="BJ438" s="1262"/>
      <c r="BK438" s="163"/>
      <c r="BL438" s="163"/>
      <c r="BM438" s="163"/>
      <c r="BN438" s="163"/>
    </row>
    <row r="439" customFormat="false" ht="12.75" hidden="false" customHeight="false" outlineLevel="0" collapsed="false">
      <c r="B439" s="1252"/>
      <c r="C439" s="1252"/>
      <c r="D439" s="1252"/>
      <c r="E439" s="1252"/>
      <c r="F439" s="1252"/>
      <c r="G439" s="1252"/>
      <c r="H439" s="1252"/>
      <c r="I439" s="1252"/>
      <c r="J439" s="1252"/>
      <c r="K439" s="1254"/>
      <c r="L439" s="1252"/>
      <c r="M439" s="1252"/>
      <c r="N439" s="1252"/>
      <c r="O439" s="1252"/>
      <c r="P439" s="1252"/>
      <c r="Q439" s="1252"/>
      <c r="R439" s="1252"/>
      <c r="S439" s="1252"/>
      <c r="T439" s="1252"/>
      <c r="U439" s="1252"/>
      <c r="V439" s="1252"/>
      <c r="W439" s="1252"/>
      <c r="X439" s="1252"/>
      <c r="Y439" s="1252"/>
      <c r="Z439" s="1252"/>
      <c r="AA439" s="1252"/>
      <c r="AB439" s="1252"/>
      <c r="AC439" s="1252"/>
      <c r="AD439" s="1252"/>
      <c r="AE439" s="1252"/>
      <c r="AF439" s="1252"/>
      <c r="AG439" s="1252"/>
      <c r="AH439" s="1252"/>
      <c r="AI439" s="1252"/>
      <c r="AJ439" s="1252"/>
      <c r="AK439" s="1252"/>
      <c r="AL439" s="1252"/>
      <c r="AM439" s="1252"/>
      <c r="AN439" s="1252"/>
      <c r="AO439" s="1252"/>
      <c r="AP439" s="1252"/>
      <c r="AQ439" s="807"/>
      <c r="AR439" s="807"/>
      <c r="AS439" s="807"/>
      <c r="AT439" s="807"/>
      <c r="AU439" s="807"/>
      <c r="AV439" s="807"/>
      <c r="AW439" s="1304"/>
      <c r="AX439" s="112"/>
      <c r="AY439" s="112"/>
      <c r="AZ439" s="112"/>
      <c r="BA439" s="163"/>
      <c r="BB439" s="163"/>
      <c r="BC439" s="163"/>
      <c r="BE439" s="163"/>
      <c r="BG439" s="1329"/>
      <c r="BH439" s="112"/>
      <c r="BI439" s="1330"/>
      <c r="BJ439" s="1262"/>
      <c r="BK439" s="163"/>
      <c r="BL439" s="163"/>
      <c r="BM439" s="163"/>
      <c r="BN439" s="163"/>
    </row>
    <row r="440" customFormat="false" ht="12.75" hidden="false" customHeight="false" outlineLevel="0" collapsed="false">
      <c r="B440" s="1252"/>
      <c r="C440" s="1252"/>
      <c r="D440" s="1252"/>
      <c r="E440" s="1252"/>
      <c r="F440" s="1252"/>
      <c r="G440" s="1252"/>
      <c r="H440" s="1252"/>
      <c r="I440" s="1252"/>
      <c r="J440" s="1252"/>
      <c r="K440" s="1254"/>
      <c r="L440" s="1252"/>
      <c r="M440" s="1252"/>
      <c r="N440" s="1252"/>
      <c r="O440" s="1252"/>
      <c r="P440" s="1252"/>
      <c r="Q440" s="1252"/>
      <c r="R440" s="1252"/>
      <c r="S440" s="1252"/>
      <c r="T440" s="1252"/>
      <c r="U440" s="1252"/>
      <c r="V440" s="1252"/>
      <c r="W440" s="1252"/>
      <c r="X440" s="1252"/>
      <c r="Y440" s="1252"/>
      <c r="Z440" s="1252"/>
      <c r="AA440" s="1252"/>
      <c r="AB440" s="1252"/>
      <c r="AC440" s="1252"/>
      <c r="AD440" s="1252"/>
      <c r="AE440" s="1252"/>
      <c r="AF440" s="1252"/>
      <c r="AG440" s="1252"/>
      <c r="AH440" s="1252"/>
      <c r="AI440" s="1252"/>
      <c r="AJ440" s="1252"/>
      <c r="AK440" s="1252"/>
      <c r="AL440" s="1252"/>
      <c r="AM440" s="1252"/>
      <c r="AN440" s="1252"/>
      <c r="AO440" s="1252"/>
      <c r="AP440" s="1252"/>
      <c r="AQ440" s="807"/>
      <c r="AR440" s="807"/>
      <c r="AS440" s="807"/>
      <c r="AT440" s="807"/>
      <c r="AU440" s="807"/>
      <c r="AV440" s="807"/>
      <c r="AW440" s="1304"/>
      <c r="AX440" s="112"/>
      <c r="AY440" s="112"/>
      <c r="AZ440" s="112"/>
      <c r="BA440" s="163"/>
      <c r="BB440" s="163"/>
      <c r="BC440" s="163"/>
      <c r="BE440" s="163"/>
      <c r="BG440" s="1329"/>
      <c r="BH440" s="112"/>
      <c r="BI440" s="1330"/>
      <c r="BJ440" s="1262"/>
      <c r="BK440" s="163"/>
      <c r="BL440" s="163"/>
      <c r="BM440" s="163"/>
      <c r="BN440" s="163"/>
    </row>
    <row r="441" customFormat="false" ht="12.75" hidden="false" customHeight="false" outlineLevel="0" collapsed="false">
      <c r="B441" s="1252"/>
      <c r="C441" s="1252"/>
      <c r="D441" s="1252"/>
      <c r="E441" s="1252"/>
      <c r="F441" s="1252"/>
      <c r="G441" s="1252"/>
      <c r="H441" s="1252"/>
      <c r="I441" s="1252"/>
      <c r="J441" s="1252"/>
      <c r="K441" s="1254"/>
      <c r="L441" s="1252"/>
      <c r="M441" s="1252"/>
      <c r="N441" s="1252"/>
      <c r="O441" s="1252"/>
      <c r="P441" s="1252"/>
      <c r="Q441" s="1252"/>
      <c r="R441" s="1252"/>
      <c r="S441" s="1252"/>
      <c r="T441" s="1252"/>
      <c r="U441" s="1252"/>
      <c r="V441" s="1252"/>
      <c r="W441" s="1252"/>
      <c r="X441" s="1252"/>
      <c r="Y441" s="1252"/>
      <c r="Z441" s="1252"/>
      <c r="AA441" s="1252"/>
      <c r="AB441" s="1252"/>
      <c r="AC441" s="1252"/>
      <c r="AD441" s="1252"/>
      <c r="AE441" s="1252"/>
      <c r="AF441" s="1252"/>
      <c r="AG441" s="1252"/>
      <c r="AH441" s="1252"/>
      <c r="AI441" s="1252"/>
      <c r="AJ441" s="1252"/>
      <c r="AK441" s="1252"/>
      <c r="AL441" s="1252"/>
      <c r="AM441" s="1252"/>
      <c r="AN441" s="1252"/>
      <c r="AO441" s="1252"/>
      <c r="AP441" s="1252"/>
      <c r="AQ441" s="807"/>
      <c r="AR441" s="807"/>
      <c r="AS441" s="807"/>
      <c r="AT441" s="807"/>
      <c r="AU441" s="807"/>
      <c r="AV441" s="807"/>
      <c r="AW441" s="1304"/>
      <c r="AX441" s="112"/>
      <c r="AY441" s="112"/>
      <c r="AZ441" s="112"/>
      <c r="BA441" s="163"/>
      <c r="BB441" s="163"/>
      <c r="BC441" s="163"/>
      <c r="BE441" s="163"/>
      <c r="BG441" s="1329"/>
      <c r="BH441" s="112"/>
      <c r="BI441" s="1330"/>
      <c r="BJ441" s="1262"/>
      <c r="BK441" s="163"/>
      <c r="BL441" s="163"/>
      <c r="BM441" s="163"/>
      <c r="BN441" s="163"/>
    </row>
    <row r="442" customFormat="false" ht="12.75" hidden="false" customHeight="false" outlineLevel="0" collapsed="false">
      <c r="B442" s="1252"/>
      <c r="C442" s="1252"/>
      <c r="D442" s="1252"/>
      <c r="E442" s="1252"/>
      <c r="F442" s="1252"/>
      <c r="G442" s="1252"/>
      <c r="H442" s="1252"/>
      <c r="I442" s="1252"/>
      <c r="J442" s="1252"/>
      <c r="K442" s="1254"/>
      <c r="L442" s="1252"/>
      <c r="M442" s="1252"/>
      <c r="N442" s="1252"/>
      <c r="O442" s="1252"/>
      <c r="P442" s="1252"/>
      <c r="Q442" s="1252"/>
      <c r="R442" s="1252"/>
      <c r="S442" s="1252"/>
      <c r="T442" s="1252"/>
      <c r="U442" s="1252"/>
      <c r="V442" s="1252"/>
      <c r="W442" s="1252"/>
      <c r="X442" s="1252"/>
      <c r="Y442" s="1252"/>
      <c r="Z442" s="1252"/>
      <c r="AA442" s="1252"/>
      <c r="AB442" s="1252"/>
      <c r="AC442" s="1252"/>
      <c r="AD442" s="1252"/>
      <c r="AE442" s="1252"/>
      <c r="AF442" s="1252"/>
      <c r="AG442" s="1252"/>
      <c r="AH442" s="1252"/>
      <c r="AI442" s="1252"/>
      <c r="AJ442" s="1252"/>
      <c r="AK442" s="1252"/>
      <c r="AL442" s="1252"/>
      <c r="AM442" s="1252"/>
      <c r="AN442" s="1252"/>
      <c r="AO442" s="1252"/>
      <c r="AP442" s="1252"/>
      <c r="AQ442" s="807"/>
      <c r="AR442" s="807"/>
      <c r="AS442" s="807"/>
      <c r="AT442" s="807"/>
      <c r="AU442" s="807"/>
      <c r="AV442" s="807"/>
      <c r="AW442" s="1304"/>
      <c r="AX442" s="112"/>
      <c r="AY442" s="112"/>
      <c r="AZ442" s="112"/>
      <c r="BA442" s="163"/>
      <c r="BB442" s="163"/>
      <c r="BC442" s="163"/>
      <c r="BE442" s="163"/>
      <c r="BG442" s="1329"/>
      <c r="BH442" s="112"/>
      <c r="BI442" s="1330"/>
      <c r="BJ442" s="1262"/>
      <c r="BK442" s="163"/>
      <c r="BL442" s="163"/>
      <c r="BM442" s="163"/>
      <c r="BN442" s="163"/>
    </row>
    <row r="443" customFormat="false" ht="12.75" hidden="false" customHeight="false" outlineLevel="0" collapsed="false">
      <c r="B443" s="1252"/>
      <c r="C443" s="1252"/>
      <c r="D443" s="1252"/>
      <c r="E443" s="1252"/>
      <c r="F443" s="1252"/>
      <c r="G443" s="1252"/>
      <c r="H443" s="1252"/>
      <c r="I443" s="1252"/>
      <c r="J443" s="1252"/>
      <c r="K443" s="1254"/>
      <c r="L443" s="1252"/>
      <c r="M443" s="1252"/>
      <c r="N443" s="1252"/>
      <c r="O443" s="1252"/>
      <c r="P443" s="1252"/>
      <c r="Q443" s="1252"/>
      <c r="R443" s="1252"/>
      <c r="S443" s="1252"/>
      <c r="T443" s="1252"/>
      <c r="U443" s="1252"/>
      <c r="V443" s="1252"/>
      <c r="W443" s="1252"/>
      <c r="X443" s="1252"/>
      <c r="Y443" s="1252"/>
      <c r="Z443" s="1252"/>
      <c r="AA443" s="1252"/>
      <c r="AB443" s="1252"/>
      <c r="AC443" s="1252"/>
      <c r="AD443" s="1252"/>
      <c r="AE443" s="1252"/>
      <c r="AF443" s="1252"/>
      <c r="AG443" s="1252"/>
      <c r="AH443" s="1252"/>
      <c r="AI443" s="1252"/>
      <c r="AJ443" s="1252"/>
      <c r="AK443" s="1252"/>
      <c r="AL443" s="1252"/>
      <c r="AM443" s="1252"/>
      <c r="AN443" s="1252"/>
      <c r="AO443" s="1252"/>
      <c r="AP443" s="1252"/>
      <c r="AQ443" s="807"/>
      <c r="AR443" s="807"/>
      <c r="AS443" s="807"/>
      <c r="AT443" s="807"/>
      <c r="AU443" s="807"/>
      <c r="AV443" s="807"/>
      <c r="AW443" s="1304"/>
      <c r="AX443" s="112"/>
      <c r="AY443" s="112"/>
      <c r="AZ443" s="112"/>
      <c r="BA443" s="163"/>
      <c r="BB443" s="163"/>
      <c r="BC443" s="163"/>
      <c r="BE443" s="163"/>
      <c r="BG443" s="1329"/>
      <c r="BH443" s="112"/>
      <c r="BI443" s="1330"/>
      <c r="BJ443" s="1262"/>
      <c r="BK443" s="163"/>
      <c r="BL443" s="163"/>
      <c r="BM443" s="163"/>
      <c r="BN443" s="163"/>
    </row>
    <row r="444" customFormat="false" ht="12.75" hidden="false" customHeight="false" outlineLevel="0" collapsed="false">
      <c r="B444" s="1252"/>
      <c r="C444" s="1252"/>
      <c r="D444" s="1252"/>
      <c r="E444" s="1252"/>
      <c r="F444" s="1252"/>
      <c r="G444" s="1252"/>
      <c r="H444" s="1252"/>
      <c r="I444" s="1252"/>
      <c r="J444" s="1252"/>
      <c r="K444" s="1254"/>
      <c r="L444" s="1252"/>
      <c r="M444" s="1252"/>
      <c r="N444" s="1252"/>
      <c r="O444" s="1252"/>
      <c r="P444" s="1252"/>
      <c r="Q444" s="1252"/>
      <c r="R444" s="1252"/>
      <c r="S444" s="1252"/>
      <c r="T444" s="1252"/>
      <c r="U444" s="1252"/>
      <c r="V444" s="1252"/>
      <c r="W444" s="1252"/>
      <c r="X444" s="1252"/>
      <c r="Y444" s="1252"/>
      <c r="Z444" s="1252"/>
      <c r="AA444" s="1252"/>
      <c r="AB444" s="1252"/>
      <c r="AC444" s="1252"/>
      <c r="AD444" s="1252"/>
      <c r="AE444" s="1252"/>
      <c r="AF444" s="1252"/>
      <c r="AG444" s="1252"/>
      <c r="AH444" s="1252"/>
      <c r="AI444" s="1252"/>
      <c r="AJ444" s="1252"/>
      <c r="AK444" s="1252"/>
      <c r="AL444" s="1252"/>
      <c r="AM444" s="1252"/>
      <c r="AN444" s="1252"/>
      <c r="AO444" s="1252"/>
      <c r="AP444" s="1252"/>
      <c r="AQ444" s="807"/>
      <c r="AR444" s="807"/>
      <c r="AS444" s="807"/>
      <c r="AT444" s="807"/>
      <c r="AU444" s="807"/>
      <c r="AV444" s="807"/>
      <c r="AW444" s="1304"/>
      <c r="AX444" s="112"/>
      <c r="AY444" s="112"/>
      <c r="AZ444" s="112"/>
      <c r="BA444" s="163"/>
      <c r="BB444" s="163"/>
      <c r="BC444" s="163"/>
      <c r="BE444" s="163"/>
      <c r="BG444" s="1329"/>
      <c r="BH444" s="112"/>
      <c r="BI444" s="1330"/>
      <c r="BJ444" s="1262"/>
      <c r="BK444" s="163"/>
      <c r="BL444" s="163"/>
      <c r="BM444" s="163"/>
      <c r="BN444" s="163"/>
    </row>
    <row r="445" customFormat="false" ht="12.75" hidden="false" customHeight="false" outlineLevel="0" collapsed="false">
      <c r="B445" s="1252"/>
      <c r="C445" s="1252"/>
      <c r="D445" s="1252"/>
      <c r="E445" s="1252"/>
      <c r="F445" s="1252"/>
      <c r="G445" s="1252"/>
      <c r="H445" s="1252"/>
      <c r="I445" s="1252"/>
      <c r="J445" s="1252"/>
      <c r="K445" s="1254"/>
      <c r="L445" s="1252"/>
      <c r="M445" s="1252"/>
      <c r="N445" s="1252"/>
      <c r="O445" s="1252"/>
      <c r="P445" s="1252"/>
      <c r="Q445" s="1252"/>
      <c r="R445" s="1252"/>
      <c r="S445" s="1252"/>
      <c r="T445" s="1252"/>
      <c r="U445" s="1252"/>
      <c r="V445" s="1252"/>
      <c r="W445" s="1252"/>
      <c r="X445" s="1252"/>
      <c r="Y445" s="1252"/>
      <c r="Z445" s="1252"/>
      <c r="AA445" s="1252"/>
      <c r="AB445" s="1252"/>
      <c r="AC445" s="1252"/>
      <c r="AD445" s="1252"/>
      <c r="AE445" s="1252"/>
      <c r="AF445" s="1252"/>
      <c r="AG445" s="1252"/>
      <c r="AH445" s="1252"/>
      <c r="AI445" s="1252"/>
      <c r="AJ445" s="1252"/>
      <c r="AK445" s="1252"/>
      <c r="AL445" s="1252"/>
      <c r="AM445" s="1252"/>
      <c r="AN445" s="1252"/>
      <c r="AO445" s="1252"/>
      <c r="AP445" s="1252"/>
      <c r="AQ445" s="807"/>
      <c r="AR445" s="807"/>
      <c r="AS445" s="807"/>
      <c r="AT445" s="807"/>
      <c r="AU445" s="807"/>
      <c r="AV445" s="807"/>
      <c r="AW445" s="1304"/>
      <c r="AX445" s="112"/>
      <c r="AY445" s="112"/>
      <c r="AZ445" s="112"/>
      <c r="BA445" s="163"/>
      <c r="BB445" s="163"/>
      <c r="BC445" s="163"/>
      <c r="BE445" s="163"/>
      <c r="BG445" s="1329"/>
      <c r="BH445" s="112"/>
      <c r="BI445" s="1330"/>
      <c r="BJ445" s="1262"/>
      <c r="BK445" s="163"/>
      <c r="BL445" s="163"/>
      <c r="BM445" s="163"/>
      <c r="BN445" s="163"/>
    </row>
    <row r="446" customFormat="false" ht="12.75" hidden="false" customHeight="false" outlineLevel="0" collapsed="false">
      <c r="B446" s="1252"/>
      <c r="C446" s="1252"/>
      <c r="D446" s="1252"/>
      <c r="E446" s="1252"/>
      <c r="F446" s="1252"/>
      <c r="G446" s="1252"/>
      <c r="H446" s="1252"/>
      <c r="I446" s="1252"/>
      <c r="J446" s="1252"/>
      <c r="K446" s="1254"/>
      <c r="L446" s="1252"/>
      <c r="M446" s="1252"/>
      <c r="N446" s="1252"/>
      <c r="O446" s="1252"/>
      <c r="P446" s="1252"/>
      <c r="Q446" s="1252"/>
      <c r="R446" s="1252"/>
      <c r="S446" s="1252"/>
      <c r="T446" s="1252"/>
      <c r="U446" s="1252"/>
      <c r="V446" s="1252"/>
      <c r="W446" s="1252"/>
      <c r="X446" s="1252"/>
      <c r="Y446" s="1252"/>
      <c r="Z446" s="1252"/>
      <c r="AA446" s="1252"/>
      <c r="AB446" s="1252"/>
      <c r="AC446" s="1252"/>
      <c r="AD446" s="1252"/>
      <c r="AE446" s="1252"/>
      <c r="AF446" s="1252"/>
      <c r="AG446" s="1252"/>
      <c r="AH446" s="1252"/>
      <c r="AI446" s="1252"/>
      <c r="AJ446" s="1252"/>
      <c r="AK446" s="1252"/>
      <c r="AL446" s="1252"/>
      <c r="AM446" s="1252"/>
      <c r="AN446" s="1252"/>
      <c r="AO446" s="1252"/>
      <c r="AP446" s="1252"/>
      <c r="AQ446" s="807"/>
      <c r="AR446" s="807"/>
      <c r="AS446" s="807"/>
      <c r="AT446" s="807"/>
      <c r="AU446" s="807"/>
      <c r="AV446" s="807"/>
      <c r="AW446" s="1304"/>
      <c r="AX446" s="112"/>
      <c r="AY446" s="112"/>
      <c r="AZ446" s="112"/>
      <c r="BA446" s="163"/>
      <c r="BB446" s="163"/>
      <c r="BC446" s="163"/>
      <c r="BE446" s="163"/>
      <c r="BG446" s="1329"/>
      <c r="BH446" s="112"/>
      <c r="BI446" s="1330"/>
      <c r="BJ446" s="1262"/>
      <c r="BK446" s="163"/>
      <c r="BL446" s="163"/>
      <c r="BM446" s="163"/>
      <c r="BN446" s="163"/>
    </row>
    <row r="447" customFormat="false" ht="12.75" hidden="false" customHeight="false" outlineLevel="0" collapsed="false">
      <c r="B447" s="1252"/>
      <c r="C447" s="1252"/>
      <c r="D447" s="1252"/>
      <c r="E447" s="1252"/>
      <c r="F447" s="1252"/>
      <c r="G447" s="1252"/>
      <c r="H447" s="1252"/>
      <c r="I447" s="1252"/>
      <c r="J447" s="1252"/>
      <c r="K447" s="1254"/>
      <c r="L447" s="1252"/>
      <c r="M447" s="1252"/>
      <c r="N447" s="1252"/>
      <c r="O447" s="1252"/>
      <c r="P447" s="1252"/>
      <c r="Q447" s="1252"/>
      <c r="R447" s="1252"/>
      <c r="S447" s="1252"/>
      <c r="T447" s="1252"/>
      <c r="U447" s="1252"/>
      <c r="V447" s="1252"/>
      <c r="W447" s="1252"/>
      <c r="X447" s="1252"/>
      <c r="Y447" s="1252"/>
      <c r="Z447" s="1252"/>
      <c r="AA447" s="1252"/>
      <c r="AB447" s="1252"/>
      <c r="AC447" s="1252"/>
      <c r="AD447" s="1252"/>
      <c r="AE447" s="1252"/>
      <c r="AF447" s="1252"/>
      <c r="AG447" s="1252"/>
      <c r="AH447" s="1252"/>
      <c r="AI447" s="1252"/>
      <c r="AJ447" s="1252"/>
      <c r="AK447" s="1252"/>
      <c r="AL447" s="1252"/>
      <c r="AM447" s="1252"/>
      <c r="AN447" s="1252"/>
      <c r="AO447" s="1252"/>
      <c r="AP447" s="1252"/>
      <c r="AQ447" s="807"/>
      <c r="AR447" s="807"/>
      <c r="AS447" s="807"/>
      <c r="AT447" s="807"/>
      <c r="AU447" s="807"/>
      <c r="AV447" s="807"/>
      <c r="AW447" s="1304"/>
      <c r="AX447" s="112"/>
      <c r="AY447" s="112"/>
      <c r="AZ447" s="112"/>
      <c r="BA447" s="163"/>
      <c r="BB447" s="163"/>
      <c r="BC447" s="163"/>
      <c r="BE447" s="163"/>
      <c r="BG447" s="1329"/>
      <c r="BH447" s="112"/>
      <c r="BI447" s="1330"/>
      <c r="BJ447" s="1262"/>
      <c r="BK447" s="163"/>
      <c r="BL447" s="163"/>
      <c r="BM447" s="163"/>
      <c r="BN447" s="163"/>
    </row>
    <row r="448" customFormat="false" ht="12.75" hidden="false" customHeight="false" outlineLevel="0" collapsed="false">
      <c r="B448" s="1252"/>
      <c r="C448" s="1252"/>
      <c r="D448" s="1252"/>
      <c r="E448" s="1252"/>
      <c r="F448" s="1252"/>
      <c r="G448" s="1252"/>
      <c r="H448" s="1252"/>
      <c r="I448" s="1252"/>
      <c r="J448" s="1252"/>
      <c r="K448" s="1254"/>
      <c r="L448" s="1252"/>
      <c r="M448" s="1252"/>
      <c r="N448" s="1252"/>
      <c r="O448" s="1252"/>
      <c r="P448" s="1252"/>
      <c r="Q448" s="1252"/>
      <c r="R448" s="1252"/>
      <c r="S448" s="1252"/>
      <c r="T448" s="1252"/>
      <c r="U448" s="1252"/>
      <c r="V448" s="1252"/>
      <c r="W448" s="1252"/>
      <c r="X448" s="1252"/>
      <c r="Y448" s="1252"/>
      <c r="Z448" s="1252"/>
      <c r="AA448" s="1252"/>
      <c r="AB448" s="1252"/>
      <c r="AC448" s="1252"/>
      <c r="AD448" s="1252"/>
      <c r="AE448" s="1252"/>
      <c r="AF448" s="1252"/>
      <c r="AG448" s="1252"/>
      <c r="AH448" s="1252"/>
      <c r="AI448" s="1252"/>
      <c r="AJ448" s="1252"/>
      <c r="AK448" s="1252"/>
      <c r="AL448" s="1252"/>
      <c r="AM448" s="1252"/>
      <c r="AN448" s="1252"/>
      <c r="AO448" s="1252"/>
      <c r="AP448" s="1252"/>
      <c r="AQ448" s="807"/>
      <c r="AR448" s="807"/>
      <c r="AS448" s="807"/>
      <c r="AT448" s="807"/>
      <c r="AU448" s="807"/>
      <c r="AV448" s="807"/>
      <c r="AW448" s="1304"/>
      <c r="AX448" s="112"/>
      <c r="AY448" s="112"/>
      <c r="AZ448" s="112"/>
      <c r="BA448" s="163"/>
      <c r="BB448" s="163"/>
      <c r="BC448" s="163"/>
      <c r="BE448" s="163"/>
      <c r="BG448" s="1329"/>
      <c r="BH448" s="112"/>
      <c r="BI448" s="1330"/>
      <c r="BJ448" s="1262"/>
      <c r="BK448" s="163"/>
      <c r="BL448" s="163"/>
      <c r="BM448" s="163"/>
      <c r="BN448" s="163"/>
    </row>
    <row r="449" customFormat="false" ht="12.75" hidden="false" customHeight="false" outlineLevel="0" collapsed="false">
      <c r="B449" s="1252"/>
      <c r="C449" s="1252"/>
      <c r="D449" s="1252"/>
      <c r="E449" s="1252"/>
      <c r="F449" s="1252"/>
      <c r="G449" s="1252"/>
      <c r="H449" s="1252"/>
      <c r="I449" s="1252"/>
      <c r="J449" s="1252"/>
      <c r="K449" s="1254"/>
      <c r="L449" s="1252"/>
      <c r="M449" s="1252"/>
      <c r="N449" s="1252"/>
      <c r="O449" s="1252"/>
      <c r="P449" s="1252"/>
      <c r="Q449" s="1252"/>
      <c r="R449" s="1252"/>
      <c r="S449" s="1252"/>
      <c r="T449" s="1252"/>
      <c r="U449" s="1252"/>
      <c r="V449" s="1252"/>
      <c r="W449" s="1252"/>
      <c r="X449" s="1252"/>
      <c r="Y449" s="1252"/>
      <c r="Z449" s="1252"/>
      <c r="AA449" s="1252"/>
      <c r="AB449" s="1252"/>
      <c r="AC449" s="1252"/>
      <c r="AD449" s="1252"/>
      <c r="AE449" s="1252"/>
      <c r="AF449" s="1252"/>
      <c r="AG449" s="1252"/>
      <c r="AH449" s="1252"/>
      <c r="AI449" s="1252"/>
      <c r="AJ449" s="1252"/>
      <c r="AK449" s="1252"/>
      <c r="AL449" s="1252"/>
      <c r="AM449" s="1252"/>
      <c r="AN449" s="1252"/>
      <c r="AO449" s="1252"/>
      <c r="AP449" s="1252"/>
      <c r="AQ449" s="807"/>
      <c r="AR449" s="807"/>
      <c r="AS449" s="807"/>
      <c r="AT449" s="807"/>
      <c r="AU449" s="807"/>
      <c r="AV449" s="807"/>
      <c r="AW449" s="1304"/>
      <c r="AX449" s="112"/>
      <c r="AY449" s="112"/>
      <c r="AZ449" s="112"/>
      <c r="BA449" s="163"/>
      <c r="BB449" s="163"/>
      <c r="BC449" s="163"/>
      <c r="BE449" s="163"/>
      <c r="BG449" s="1329"/>
      <c r="BH449" s="112"/>
      <c r="BI449" s="1330"/>
      <c r="BJ449" s="1262"/>
      <c r="BK449" s="163"/>
      <c r="BL449" s="163"/>
      <c r="BM449" s="163"/>
      <c r="BN449" s="163"/>
    </row>
    <row r="450" customFormat="false" ht="12.75" hidden="false" customHeight="false" outlineLevel="0" collapsed="false">
      <c r="B450" s="1252"/>
      <c r="C450" s="1252"/>
      <c r="D450" s="1252"/>
      <c r="E450" s="1252"/>
      <c r="F450" s="1252"/>
      <c r="G450" s="1252"/>
      <c r="H450" s="1252"/>
      <c r="I450" s="1252"/>
      <c r="J450" s="1252"/>
      <c r="K450" s="1254"/>
      <c r="L450" s="1252"/>
      <c r="M450" s="1252"/>
      <c r="N450" s="1252"/>
      <c r="O450" s="1252"/>
      <c r="P450" s="1252"/>
      <c r="Q450" s="1252"/>
      <c r="R450" s="1252"/>
      <c r="S450" s="1252"/>
      <c r="T450" s="1252"/>
      <c r="U450" s="1252"/>
      <c r="V450" s="1252"/>
      <c r="W450" s="1252"/>
      <c r="X450" s="1252"/>
      <c r="Y450" s="1252"/>
      <c r="Z450" s="1252"/>
      <c r="AA450" s="1252"/>
      <c r="AB450" s="1252"/>
      <c r="AC450" s="1252"/>
      <c r="AD450" s="1252"/>
      <c r="AE450" s="1252"/>
      <c r="AF450" s="1252"/>
      <c r="AG450" s="1252"/>
      <c r="AH450" s="1252"/>
      <c r="AI450" s="1252"/>
      <c r="AJ450" s="1252"/>
      <c r="AK450" s="1252"/>
      <c r="AL450" s="1252"/>
      <c r="AM450" s="1252"/>
      <c r="AN450" s="1252"/>
      <c r="AO450" s="1252"/>
      <c r="AP450" s="1252"/>
      <c r="AQ450" s="807"/>
      <c r="AR450" s="807"/>
      <c r="AS450" s="807"/>
      <c r="AT450" s="807"/>
      <c r="AU450" s="807"/>
      <c r="AV450" s="807"/>
      <c r="AW450" s="1304"/>
      <c r="AX450" s="112"/>
      <c r="AY450" s="112"/>
      <c r="AZ450" s="112"/>
      <c r="BA450" s="163"/>
      <c r="BB450" s="163"/>
      <c r="BC450" s="163"/>
      <c r="BE450" s="163"/>
      <c r="BG450" s="1329"/>
      <c r="BH450" s="112"/>
      <c r="BI450" s="1330"/>
      <c r="BJ450" s="1262"/>
      <c r="BK450" s="163"/>
      <c r="BL450" s="163"/>
      <c r="BM450" s="163"/>
      <c r="BN450" s="163"/>
    </row>
    <row r="451" customFormat="false" ht="12.75" hidden="false" customHeight="false" outlineLevel="0" collapsed="false">
      <c r="B451" s="1252"/>
      <c r="C451" s="1252"/>
      <c r="D451" s="1252"/>
      <c r="E451" s="1252"/>
      <c r="F451" s="1252"/>
      <c r="G451" s="1252"/>
      <c r="H451" s="1252"/>
      <c r="I451" s="1252"/>
      <c r="J451" s="1252"/>
      <c r="K451" s="1254"/>
      <c r="L451" s="1252"/>
      <c r="M451" s="1252"/>
      <c r="N451" s="1252"/>
      <c r="O451" s="1252"/>
      <c r="P451" s="1252"/>
      <c r="Q451" s="1252"/>
      <c r="R451" s="1252"/>
      <c r="S451" s="1252"/>
      <c r="T451" s="1252"/>
      <c r="U451" s="1252"/>
      <c r="V451" s="1252"/>
      <c r="W451" s="1252"/>
      <c r="X451" s="1252"/>
      <c r="Y451" s="1252"/>
      <c r="Z451" s="1252"/>
      <c r="AA451" s="1252"/>
      <c r="AB451" s="1252"/>
      <c r="AC451" s="1252"/>
      <c r="AD451" s="1252"/>
      <c r="AE451" s="1252"/>
      <c r="AF451" s="1252"/>
      <c r="AG451" s="1252"/>
      <c r="AH451" s="1252"/>
      <c r="AI451" s="1252"/>
      <c r="AJ451" s="1252"/>
      <c r="AK451" s="1252"/>
      <c r="AL451" s="1252"/>
      <c r="AM451" s="1252"/>
      <c r="AN451" s="1252"/>
      <c r="AO451" s="1252"/>
      <c r="AP451" s="1252"/>
      <c r="AQ451" s="807"/>
      <c r="AR451" s="807"/>
      <c r="AS451" s="807"/>
      <c r="AT451" s="807"/>
      <c r="AU451" s="807"/>
      <c r="AV451" s="807"/>
      <c r="AW451" s="1304"/>
      <c r="AX451" s="112"/>
      <c r="AY451" s="112"/>
      <c r="AZ451" s="112"/>
      <c r="BA451" s="163"/>
      <c r="BB451" s="163"/>
      <c r="BC451" s="163"/>
      <c r="BE451" s="163"/>
      <c r="BG451" s="1329"/>
      <c r="BH451" s="112"/>
      <c r="BI451" s="1330"/>
      <c r="BJ451" s="1262"/>
      <c r="BK451" s="163"/>
      <c r="BL451" s="163"/>
      <c r="BM451" s="163"/>
      <c r="BN451" s="163"/>
    </row>
    <row r="452" customFormat="false" ht="12.75" hidden="false" customHeight="false" outlineLevel="0" collapsed="false">
      <c r="B452" s="1252"/>
      <c r="C452" s="1252"/>
      <c r="D452" s="1252"/>
      <c r="E452" s="1252"/>
      <c r="F452" s="1252"/>
      <c r="G452" s="1252"/>
      <c r="H452" s="1252"/>
      <c r="I452" s="1252"/>
      <c r="J452" s="1252"/>
      <c r="K452" s="1254"/>
      <c r="L452" s="1252"/>
      <c r="M452" s="1252"/>
      <c r="N452" s="1252"/>
      <c r="O452" s="1252"/>
      <c r="P452" s="1252"/>
      <c r="Q452" s="1252"/>
      <c r="R452" s="1252"/>
      <c r="S452" s="1252"/>
      <c r="T452" s="1252"/>
      <c r="U452" s="1252"/>
      <c r="V452" s="1252"/>
      <c r="W452" s="1252"/>
      <c r="X452" s="1252"/>
      <c r="Y452" s="1252"/>
      <c r="Z452" s="1252"/>
      <c r="AA452" s="1252"/>
      <c r="AB452" s="1252"/>
      <c r="AC452" s="1252"/>
      <c r="AD452" s="1252"/>
      <c r="AE452" s="1252"/>
      <c r="AF452" s="1252"/>
      <c r="AG452" s="1252"/>
      <c r="AH452" s="1252"/>
      <c r="AI452" s="1252"/>
      <c r="AJ452" s="1252"/>
      <c r="AK452" s="1252"/>
      <c r="AL452" s="1252"/>
      <c r="AM452" s="1252"/>
      <c r="AN452" s="1252"/>
      <c r="AO452" s="1252"/>
      <c r="AP452" s="1252"/>
      <c r="AQ452" s="807"/>
      <c r="AR452" s="807"/>
      <c r="AS452" s="807"/>
      <c r="AT452" s="807"/>
      <c r="AU452" s="807"/>
      <c r="AV452" s="807"/>
      <c r="AW452" s="1304"/>
      <c r="AX452" s="112"/>
      <c r="AY452" s="112"/>
      <c r="AZ452" s="112"/>
      <c r="BA452" s="163"/>
      <c r="BB452" s="163"/>
      <c r="BC452" s="163"/>
      <c r="BE452" s="163"/>
      <c r="BG452" s="1329"/>
      <c r="BH452" s="112"/>
      <c r="BI452" s="1330"/>
      <c r="BJ452" s="1262"/>
      <c r="BK452" s="163"/>
      <c r="BL452" s="163"/>
      <c r="BM452" s="163"/>
      <c r="BN452" s="163"/>
    </row>
    <row r="453" customFormat="false" ht="12.75" hidden="false" customHeight="false" outlineLevel="0" collapsed="false">
      <c r="B453" s="1252"/>
      <c r="C453" s="1252"/>
      <c r="D453" s="1252"/>
      <c r="E453" s="1252"/>
      <c r="F453" s="1252"/>
      <c r="G453" s="1252"/>
      <c r="H453" s="1252"/>
      <c r="I453" s="1252"/>
      <c r="J453" s="1252"/>
      <c r="K453" s="1254"/>
      <c r="L453" s="1252"/>
      <c r="M453" s="1252"/>
      <c r="N453" s="1252"/>
      <c r="O453" s="1252"/>
      <c r="P453" s="1252"/>
      <c r="Q453" s="1252"/>
      <c r="R453" s="1252"/>
      <c r="S453" s="1252"/>
      <c r="T453" s="1252"/>
      <c r="U453" s="1252"/>
      <c r="V453" s="1252"/>
      <c r="W453" s="1252"/>
      <c r="X453" s="1252"/>
      <c r="Y453" s="1252"/>
      <c r="Z453" s="1252"/>
      <c r="AA453" s="1252"/>
      <c r="AB453" s="1252"/>
      <c r="AC453" s="1252"/>
      <c r="AD453" s="1252"/>
      <c r="AE453" s="1252"/>
      <c r="AF453" s="1252"/>
      <c r="AG453" s="1252"/>
      <c r="AH453" s="1252"/>
      <c r="AI453" s="1252"/>
      <c r="AJ453" s="1252"/>
      <c r="AK453" s="1252"/>
      <c r="AL453" s="1252"/>
      <c r="AM453" s="1252"/>
      <c r="AN453" s="1252"/>
      <c r="AO453" s="1252"/>
      <c r="AP453" s="1252"/>
      <c r="AQ453" s="807"/>
      <c r="AR453" s="807"/>
      <c r="AS453" s="807"/>
      <c r="AT453" s="807"/>
      <c r="AU453" s="807"/>
      <c r="AV453" s="807"/>
      <c r="AW453" s="1304"/>
      <c r="AX453" s="112"/>
      <c r="AY453" s="112"/>
      <c r="AZ453" s="112"/>
      <c r="BA453" s="163"/>
      <c r="BB453" s="163"/>
      <c r="BC453" s="163"/>
      <c r="BE453" s="163"/>
      <c r="BG453" s="1329"/>
      <c r="BH453" s="112"/>
      <c r="BI453" s="1330"/>
      <c r="BJ453" s="1262"/>
      <c r="BK453" s="163"/>
      <c r="BL453" s="163"/>
      <c r="BM453" s="163"/>
      <c r="BN453" s="163"/>
    </row>
    <row r="454" customFormat="false" ht="12.75" hidden="false" customHeight="false" outlineLevel="0" collapsed="false">
      <c r="B454" s="1252"/>
      <c r="C454" s="1252"/>
      <c r="D454" s="1252"/>
      <c r="E454" s="1252"/>
      <c r="F454" s="1252"/>
      <c r="G454" s="1252"/>
      <c r="H454" s="1252"/>
      <c r="I454" s="1252"/>
      <c r="J454" s="1252"/>
      <c r="K454" s="1254"/>
      <c r="L454" s="1252"/>
      <c r="M454" s="1252"/>
      <c r="N454" s="1252"/>
      <c r="O454" s="1252"/>
      <c r="P454" s="1252"/>
      <c r="Q454" s="1252"/>
      <c r="R454" s="1252"/>
      <c r="S454" s="1252"/>
      <c r="T454" s="1252"/>
      <c r="U454" s="1252"/>
      <c r="V454" s="1252"/>
      <c r="W454" s="1252"/>
      <c r="X454" s="1252"/>
      <c r="Y454" s="1252"/>
      <c r="Z454" s="1252"/>
      <c r="AA454" s="1252"/>
      <c r="AB454" s="1252"/>
      <c r="AC454" s="1252"/>
      <c r="AD454" s="1252"/>
      <c r="AE454" s="1252"/>
      <c r="AF454" s="1252"/>
      <c r="AG454" s="1252"/>
      <c r="AH454" s="1252"/>
      <c r="AI454" s="1252"/>
      <c r="AJ454" s="1252"/>
      <c r="AK454" s="1252"/>
      <c r="AL454" s="1252"/>
      <c r="AM454" s="1252"/>
      <c r="AN454" s="1252"/>
      <c r="AO454" s="1252"/>
      <c r="AP454" s="1252"/>
      <c r="AQ454" s="807"/>
      <c r="AR454" s="807"/>
      <c r="AS454" s="807"/>
      <c r="AT454" s="807"/>
      <c r="AU454" s="807"/>
      <c r="AV454" s="807"/>
      <c r="AW454" s="1304"/>
      <c r="AX454" s="112"/>
      <c r="AY454" s="112"/>
      <c r="AZ454" s="112"/>
      <c r="BA454" s="163"/>
      <c r="BB454" s="163"/>
      <c r="BC454" s="163"/>
      <c r="BE454" s="163"/>
      <c r="BG454" s="1329"/>
      <c r="BH454" s="112"/>
      <c r="BI454" s="1330"/>
      <c r="BJ454" s="1262"/>
      <c r="BK454" s="163"/>
      <c r="BL454" s="163"/>
      <c r="BM454" s="163"/>
      <c r="BN454" s="163"/>
    </row>
    <row r="455" customFormat="false" ht="12.75" hidden="false" customHeight="false" outlineLevel="0" collapsed="false">
      <c r="B455" s="1252"/>
      <c r="C455" s="1252"/>
      <c r="D455" s="1252"/>
      <c r="E455" s="1252"/>
      <c r="F455" s="1252"/>
      <c r="G455" s="1252"/>
      <c r="H455" s="1252"/>
      <c r="I455" s="1252"/>
      <c r="J455" s="1252"/>
      <c r="K455" s="1254"/>
      <c r="L455" s="1252"/>
      <c r="M455" s="1252"/>
      <c r="N455" s="1252"/>
      <c r="O455" s="1252"/>
      <c r="P455" s="1252"/>
      <c r="Q455" s="1252"/>
      <c r="R455" s="1252"/>
      <c r="S455" s="1252"/>
      <c r="T455" s="1252"/>
      <c r="U455" s="1252"/>
      <c r="V455" s="1252"/>
      <c r="W455" s="1252"/>
      <c r="X455" s="1252"/>
      <c r="Y455" s="1252"/>
      <c r="Z455" s="1252"/>
      <c r="AA455" s="1252"/>
      <c r="AB455" s="1252"/>
      <c r="AC455" s="1252"/>
      <c r="AD455" s="1252"/>
      <c r="AE455" s="1252"/>
      <c r="AF455" s="1252"/>
      <c r="AG455" s="1252"/>
      <c r="AH455" s="1252"/>
      <c r="AI455" s="1252"/>
      <c r="AJ455" s="1252"/>
      <c r="AK455" s="1252"/>
      <c r="AL455" s="1252"/>
      <c r="AM455" s="1252"/>
      <c r="AN455" s="1252"/>
      <c r="AO455" s="1252"/>
      <c r="AP455" s="1252"/>
      <c r="AQ455" s="807"/>
      <c r="AR455" s="807"/>
      <c r="AS455" s="807"/>
      <c r="AT455" s="807"/>
      <c r="AU455" s="807"/>
      <c r="AV455" s="807"/>
      <c r="AW455" s="1304"/>
      <c r="AX455" s="112"/>
      <c r="AY455" s="112"/>
      <c r="AZ455" s="112"/>
      <c r="BA455" s="163"/>
      <c r="BB455" s="163"/>
      <c r="BC455" s="163"/>
      <c r="BE455" s="163"/>
      <c r="BG455" s="1329"/>
      <c r="BH455" s="112"/>
      <c r="BI455" s="1330"/>
      <c r="BJ455" s="1262"/>
      <c r="BK455" s="163"/>
      <c r="BL455" s="163"/>
      <c r="BM455" s="163"/>
      <c r="BN455" s="163"/>
    </row>
    <row r="456" customFormat="false" ht="12.75" hidden="false" customHeight="false" outlineLevel="0" collapsed="false">
      <c r="B456" s="1252"/>
      <c r="C456" s="1252"/>
      <c r="D456" s="1252"/>
      <c r="E456" s="1252"/>
      <c r="F456" s="1252"/>
      <c r="G456" s="1252"/>
      <c r="H456" s="1252"/>
      <c r="I456" s="1252"/>
      <c r="J456" s="1252"/>
      <c r="K456" s="1254"/>
      <c r="L456" s="1252"/>
      <c r="M456" s="1252"/>
      <c r="N456" s="1252"/>
      <c r="O456" s="1252"/>
      <c r="P456" s="1252"/>
      <c r="Q456" s="1252"/>
      <c r="R456" s="1252"/>
      <c r="S456" s="1252"/>
      <c r="T456" s="1252"/>
      <c r="U456" s="1252"/>
      <c r="V456" s="1252"/>
      <c r="W456" s="1252"/>
      <c r="X456" s="1252"/>
      <c r="Y456" s="1252"/>
      <c r="Z456" s="1252"/>
      <c r="AA456" s="1252"/>
      <c r="AB456" s="1252"/>
      <c r="AC456" s="1252"/>
      <c r="AD456" s="1252"/>
      <c r="AE456" s="1252"/>
      <c r="AF456" s="1252"/>
      <c r="AG456" s="1252"/>
      <c r="AH456" s="1252"/>
      <c r="AI456" s="1252"/>
      <c r="AJ456" s="1252"/>
      <c r="AK456" s="1252"/>
      <c r="AL456" s="1252"/>
      <c r="AM456" s="1252"/>
      <c r="AN456" s="1252"/>
      <c r="AO456" s="1252"/>
      <c r="AP456" s="1252"/>
      <c r="AQ456" s="807"/>
      <c r="AR456" s="807"/>
      <c r="AS456" s="807"/>
      <c r="AT456" s="807"/>
      <c r="AU456" s="807"/>
      <c r="AV456" s="807"/>
      <c r="AW456" s="1304"/>
      <c r="AX456" s="112"/>
      <c r="AY456" s="112"/>
      <c r="AZ456" s="112"/>
      <c r="BA456" s="163"/>
      <c r="BB456" s="163"/>
      <c r="BC456" s="163"/>
      <c r="BE456" s="163"/>
      <c r="BG456" s="1329"/>
      <c r="BH456" s="112"/>
      <c r="BI456" s="1330"/>
      <c r="BJ456" s="1262"/>
      <c r="BK456" s="163"/>
      <c r="BL456" s="163"/>
      <c r="BM456" s="163"/>
      <c r="BN456" s="163"/>
    </row>
    <row r="457" customFormat="false" ht="12.75" hidden="false" customHeight="false" outlineLevel="0" collapsed="false">
      <c r="B457" s="1252"/>
      <c r="C457" s="1252"/>
      <c r="D457" s="1252"/>
      <c r="E457" s="1252"/>
      <c r="F457" s="1252"/>
      <c r="G457" s="1252"/>
      <c r="H457" s="1252"/>
      <c r="I457" s="1252"/>
      <c r="J457" s="1252"/>
      <c r="K457" s="1254"/>
      <c r="L457" s="1252"/>
      <c r="M457" s="1252"/>
      <c r="N457" s="1252"/>
      <c r="O457" s="1252"/>
      <c r="P457" s="1252"/>
      <c r="Q457" s="1252"/>
      <c r="R457" s="1252"/>
      <c r="S457" s="1252"/>
      <c r="T457" s="1252"/>
      <c r="U457" s="1252"/>
      <c r="V457" s="1252"/>
      <c r="W457" s="1252"/>
      <c r="X457" s="1252"/>
      <c r="Y457" s="1252"/>
      <c r="Z457" s="1252"/>
      <c r="AA457" s="1252"/>
      <c r="AB457" s="1252"/>
      <c r="AC457" s="1252"/>
      <c r="AD457" s="1252"/>
      <c r="AE457" s="1252"/>
      <c r="AF457" s="1252"/>
      <c r="AG457" s="1252"/>
      <c r="AH457" s="1252"/>
      <c r="AI457" s="1252"/>
      <c r="AJ457" s="1252"/>
      <c r="AK457" s="1252"/>
      <c r="AL457" s="1252"/>
      <c r="AM457" s="1252"/>
      <c r="AN457" s="1252"/>
      <c r="AO457" s="1252"/>
      <c r="AP457" s="1252"/>
      <c r="AQ457" s="807"/>
      <c r="AR457" s="807"/>
      <c r="AS457" s="807"/>
      <c r="AT457" s="807"/>
      <c r="AU457" s="807"/>
      <c r="AV457" s="807"/>
      <c r="AW457" s="1304"/>
      <c r="AX457" s="112"/>
      <c r="AY457" s="112"/>
      <c r="AZ457" s="112"/>
      <c r="BA457" s="163"/>
      <c r="BB457" s="163"/>
      <c r="BC457" s="163"/>
      <c r="BE457" s="163"/>
      <c r="BG457" s="1329"/>
      <c r="BH457" s="112"/>
      <c r="BI457" s="1330"/>
      <c r="BJ457" s="1262"/>
      <c r="BK457" s="163"/>
      <c r="BL457" s="163"/>
      <c r="BM457" s="163"/>
      <c r="BN457" s="163"/>
    </row>
    <row r="458" customFormat="false" ht="12.75" hidden="false" customHeight="false" outlineLevel="0" collapsed="false">
      <c r="B458" s="1252"/>
      <c r="C458" s="1252"/>
      <c r="D458" s="1252"/>
      <c r="E458" s="1252"/>
      <c r="F458" s="1252"/>
      <c r="G458" s="1252"/>
      <c r="H458" s="1252"/>
      <c r="I458" s="1252"/>
      <c r="J458" s="1252"/>
      <c r="K458" s="1254"/>
      <c r="L458" s="1252"/>
      <c r="M458" s="1252"/>
      <c r="N458" s="1252"/>
      <c r="O458" s="1252"/>
      <c r="P458" s="1252"/>
      <c r="Q458" s="1252"/>
      <c r="R458" s="1252"/>
      <c r="S458" s="1252"/>
      <c r="T458" s="1252"/>
      <c r="U458" s="1252"/>
      <c r="V458" s="1252"/>
      <c r="W458" s="1252"/>
      <c r="X458" s="1252"/>
      <c r="Y458" s="1252"/>
      <c r="Z458" s="1252"/>
      <c r="AA458" s="1252"/>
      <c r="AB458" s="1252"/>
      <c r="AC458" s="1252"/>
      <c r="AD458" s="1252"/>
      <c r="AE458" s="1252"/>
      <c r="AF458" s="1252"/>
      <c r="AG458" s="1252"/>
      <c r="AH458" s="1252"/>
      <c r="AI458" s="1252"/>
      <c r="AJ458" s="1252"/>
      <c r="AK458" s="1252"/>
      <c r="AL458" s="1252"/>
      <c r="AM458" s="1252"/>
      <c r="AN458" s="1252"/>
      <c r="AO458" s="1252"/>
      <c r="AP458" s="1252"/>
      <c r="AQ458" s="807"/>
      <c r="AR458" s="807"/>
      <c r="AS458" s="807"/>
      <c r="AT458" s="807"/>
      <c r="AU458" s="807"/>
      <c r="AV458" s="807"/>
      <c r="AW458" s="1304"/>
      <c r="AX458" s="112"/>
      <c r="AY458" s="112"/>
      <c r="AZ458" s="112"/>
      <c r="BA458" s="163"/>
      <c r="BB458" s="163"/>
      <c r="BC458" s="163"/>
      <c r="BE458" s="163"/>
      <c r="BG458" s="1329"/>
      <c r="BH458" s="112"/>
      <c r="BI458" s="1330"/>
      <c r="BJ458" s="1262"/>
      <c r="BK458" s="163"/>
      <c r="BL458" s="163"/>
      <c r="BM458" s="163"/>
      <c r="BN458" s="163"/>
    </row>
    <row r="459" customFormat="false" ht="12.75" hidden="false" customHeight="false" outlineLevel="0" collapsed="false">
      <c r="B459" s="1252"/>
      <c r="C459" s="1252"/>
      <c r="D459" s="1252"/>
      <c r="E459" s="1252"/>
      <c r="F459" s="1252"/>
      <c r="G459" s="1252"/>
      <c r="H459" s="1252"/>
      <c r="I459" s="1252"/>
      <c r="J459" s="1252"/>
      <c r="K459" s="1254"/>
      <c r="L459" s="1252"/>
      <c r="M459" s="1252"/>
      <c r="N459" s="1252"/>
      <c r="O459" s="1252"/>
      <c r="P459" s="1252"/>
      <c r="Q459" s="1252"/>
      <c r="R459" s="1252"/>
      <c r="S459" s="1252"/>
      <c r="T459" s="1252"/>
      <c r="U459" s="1252"/>
      <c r="V459" s="1252"/>
      <c r="W459" s="1252"/>
      <c r="X459" s="1252"/>
      <c r="Y459" s="1252"/>
      <c r="Z459" s="1252"/>
      <c r="AA459" s="1252"/>
      <c r="AB459" s="1252"/>
      <c r="AC459" s="1252"/>
      <c r="AD459" s="1252"/>
      <c r="AE459" s="1252"/>
      <c r="AF459" s="1252"/>
      <c r="AG459" s="1252"/>
      <c r="AH459" s="1252"/>
      <c r="AI459" s="1252"/>
      <c r="AJ459" s="1252"/>
      <c r="AK459" s="1252"/>
      <c r="AL459" s="1252"/>
      <c r="AM459" s="1252"/>
      <c r="AN459" s="1252"/>
      <c r="AO459" s="1252"/>
      <c r="AP459" s="1252"/>
      <c r="AQ459" s="807"/>
      <c r="AR459" s="807"/>
      <c r="AS459" s="807"/>
      <c r="AT459" s="807"/>
      <c r="AU459" s="807"/>
      <c r="AV459" s="807"/>
      <c r="AW459" s="1304"/>
      <c r="AX459" s="112"/>
      <c r="AY459" s="112"/>
      <c r="AZ459" s="112"/>
      <c r="BA459" s="163"/>
      <c r="BB459" s="163"/>
      <c r="BC459" s="163"/>
      <c r="BE459" s="163"/>
      <c r="BG459" s="1329"/>
      <c r="BH459" s="112"/>
      <c r="BI459" s="1330"/>
      <c r="BJ459" s="1262"/>
      <c r="BK459" s="163"/>
      <c r="BL459" s="163"/>
      <c r="BM459" s="163"/>
      <c r="BN459" s="163"/>
    </row>
    <row r="460" customFormat="false" ht="12.75" hidden="false" customHeight="false" outlineLevel="0" collapsed="false">
      <c r="B460" s="1252"/>
      <c r="C460" s="1252"/>
      <c r="D460" s="1252"/>
      <c r="E460" s="1252"/>
      <c r="F460" s="1252"/>
      <c r="G460" s="1252"/>
      <c r="H460" s="1252"/>
      <c r="I460" s="1252"/>
      <c r="J460" s="1252"/>
      <c r="K460" s="1254"/>
      <c r="L460" s="1252"/>
      <c r="M460" s="1252"/>
      <c r="N460" s="1252"/>
      <c r="O460" s="1252"/>
      <c r="P460" s="1252"/>
      <c r="Q460" s="1252"/>
      <c r="R460" s="1252"/>
      <c r="S460" s="1252"/>
      <c r="T460" s="1252"/>
      <c r="U460" s="1252"/>
      <c r="V460" s="1252"/>
      <c r="W460" s="1252"/>
      <c r="X460" s="1252"/>
      <c r="Y460" s="1252"/>
      <c r="Z460" s="1252"/>
      <c r="AA460" s="1252"/>
      <c r="AB460" s="1252"/>
      <c r="AC460" s="1252"/>
      <c r="AD460" s="1252"/>
      <c r="AE460" s="1252"/>
      <c r="AF460" s="1252"/>
      <c r="AG460" s="1252"/>
      <c r="AH460" s="1252"/>
      <c r="AI460" s="1252"/>
      <c r="AJ460" s="1252"/>
      <c r="AK460" s="1252"/>
      <c r="AL460" s="1252"/>
      <c r="AM460" s="1252"/>
      <c r="AN460" s="1252"/>
      <c r="AO460" s="1252"/>
      <c r="AP460" s="1252"/>
      <c r="AQ460" s="807"/>
      <c r="AR460" s="807"/>
      <c r="AS460" s="807"/>
      <c r="AT460" s="807"/>
      <c r="AU460" s="807"/>
      <c r="AV460" s="807"/>
      <c r="AW460" s="1304"/>
      <c r="AX460" s="112"/>
      <c r="AY460" s="112"/>
      <c r="AZ460" s="112"/>
      <c r="BA460" s="163"/>
      <c r="BB460" s="163"/>
      <c r="BC460" s="163"/>
      <c r="BE460" s="163"/>
      <c r="BG460" s="1329"/>
      <c r="BH460" s="112"/>
      <c r="BI460" s="1330"/>
      <c r="BJ460" s="1262"/>
      <c r="BK460" s="163"/>
      <c r="BL460" s="163"/>
      <c r="BM460" s="163"/>
      <c r="BN460" s="163"/>
    </row>
    <row r="461" customFormat="false" ht="12.75" hidden="false" customHeight="false" outlineLevel="0" collapsed="false">
      <c r="B461" s="1252"/>
      <c r="C461" s="1252"/>
      <c r="D461" s="1252"/>
      <c r="E461" s="1252"/>
      <c r="F461" s="1252"/>
      <c r="G461" s="1252"/>
      <c r="H461" s="1252"/>
      <c r="I461" s="1252"/>
      <c r="J461" s="1252"/>
      <c r="K461" s="1254"/>
      <c r="L461" s="1252"/>
      <c r="M461" s="1252"/>
      <c r="N461" s="1252"/>
      <c r="O461" s="1252"/>
      <c r="P461" s="1252"/>
      <c r="Q461" s="1252"/>
      <c r="R461" s="1252"/>
      <c r="S461" s="1252"/>
      <c r="T461" s="1252"/>
      <c r="U461" s="1252"/>
      <c r="V461" s="1252"/>
      <c r="W461" s="1252"/>
      <c r="X461" s="1252"/>
      <c r="Y461" s="1252"/>
      <c r="Z461" s="1252"/>
      <c r="AA461" s="1252"/>
      <c r="AB461" s="1252"/>
      <c r="AC461" s="1252"/>
      <c r="AD461" s="1252"/>
      <c r="AE461" s="1252"/>
      <c r="AF461" s="1252"/>
      <c r="AG461" s="1252"/>
      <c r="AH461" s="1252"/>
      <c r="AI461" s="1252"/>
      <c r="AJ461" s="1252"/>
      <c r="AK461" s="1252"/>
      <c r="AL461" s="1252"/>
      <c r="AM461" s="1252"/>
      <c r="AN461" s="1252"/>
      <c r="AO461" s="1252"/>
      <c r="AP461" s="1252"/>
      <c r="AQ461" s="807"/>
      <c r="AR461" s="807"/>
      <c r="AS461" s="807"/>
      <c r="AT461" s="807"/>
      <c r="AU461" s="807"/>
      <c r="AV461" s="807"/>
      <c r="AW461" s="1304"/>
      <c r="AX461" s="112"/>
      <c r="AY461" s="112"/>
      <c r="AZ461" s="112"/>
      <c r="BA461" s="163"/>
      <c r="BB461" s="163"/>
      <c r="BC461" s="163"/>
      <c r="BE461" s="163"/>
      <c r="BG461" s="1329"/>
      <c r="BH461" s="112"/>
      <c r="BI461" s="1330"/>
      <c r="BJ461" s="1262"/>
      <c r="BK461" s="163"/>
      <c r="BL461" s="163"/>
      <c r="BM461" s="163"/>
      <c r="BN461" s="163"/>
    </row>
    <row r="462" customFormat="false" ht="12.75" hidden="false" customHeight="false" outlineLevel="0" collapsed="false">
      <c r="B462" s="1252"/>
      <c r="C462" s="1252"/>
      <c r="D462" s="1252"/>
      <c r="E462" s="1252"/>
      <c r="F462" s="1252"/>
      <c r="G462" s="1252"/>
      <c r="H462" s="1252"/>
      <c r="I462" s="1252"/>
      <c r="J462" s="1252"/>
      <c r="K462" s="1254"/>
      <c r="L462" s="1252"/>
      <c r="M462" s="1252"/>
      <c r="N462" s="1252"/>
      <c r="O462" s="1252"/>
      <c r="P462" s="1252"/>
      <c r="Q462" s="1252"/>
      <c r="R462" s="1252"/>
      <c r="S462" s="1252"/>
      <c r="T462" s="1252"/>
      <c r="U462" s="1252"/>
      <c r="V462" s="1252"/>
      <c r="W462" s="1252"/>
      <c r="X462" s="1252"/>
      <c r="Y462" s="1252"/>
      <c r="Z462" s="1252"/>
      <c r="AA462" s="1252"/>
      <c r="AB462" s="1252"/>
      <c r="AC462" s="1252"/>
      <c r="AD462" s="1252"/>
      <c r="AE462" s="1252"/>
      <c r="AF462" s="1252"/>
      <c r="AG462" s="1252"/>
      <c r="AH462" s="1252"/>
      <c r="AI462" s="1252"/>
      <c r="AJ462" s="1252"/>
      <c r="AK462" s="1252"/>
      <c r="AL462" s="1252"/>
      <c r="AM462" s="1252"/>
      <c r="AN462" s="1252"/>
      <c r="AO462" s="1252"/>
      <c r="AP462" s="1252"/>
      <c r="AQ462" s="807"/>
      <c r="AR462" s="807"/>
      <c r="AS462" s="807"/>
      <c r="AT462" s="807"/>
      <c r="AU462" s="807"/>
      <c r="AV462" s="807"/>
      <c r="AW462" s="1304"/>
      <c r="AX462" s="112"/>
      <c r="AY462" s="112"/>
      <c r="AZ462" s="112"/>
      <c r="BA462" s="163"/>
      <c r="BB462" s="163"/>
      <c r="BC462" s="163"/>
      <c r="BE462" s="163"/>
      <c r="BG462" s="1329"/>
      <c r="BH462" s="112"/>
      <c r="BI462" s="1330"/>
      <c r="BJ462" s="1262"/>
      <c r="BK462" s="163"/>
      <c r="BL462" s="163"/>
      <c r="BM462" s="163"/>
      <c r="BN462" s="163"/>
    </row>
    <row r="463" customFormat="false" ht="12.75" hidden="false" customHeight="false" outlineLevel="0" collapsed="false">
      <c r="B463" s="1252"/>
      <c r="C463" s="1252"/>
      <c r="D463" s="1252"/>
      <c r="E463" s="1252"/>
      <c r="F463" s="1252"/>
      <c r="G463" s="1252"/>
      <c r="H463" s="1252"/>
      <c r="I463" s="1252"/>
      <c r="J463" s="1252"/>
      <c r="K463" s="1254"/>
      <c r="L463" s="1252"/>
      <c r="M463" s="1252"/>
      <c r="N463" s="1252"/>
      <c r="O463" s="1252"/>
      <c r="P463" s="1252"/>
      <c r="Q463" s="1252"/>
      <c r="R463" s="1252"/>
      <c r="S463" s="1252"/>
      <c r="T463" s="1252"/>
      <c r="U463" s="1252"/>
      <c r="V463" s="1252"/>
      <c r="W463" s="1252"/>
      <c r="X463" s="1252"/>
      <c r="Y463" s="1252"/>
      <c r="Z463" s="1252"/>
      <c r="AA463" s="1252"/>
      <c r="AB463" s="1252"/>
      <c r="AC463" s="1252"/>
      <c r="AD463" s="1252"/>
      <c r="AE463" s="1252"/>
      <c r="AF463" s="1252"/>
      <c r="AG463" s="1252"/>
      <c r="AH463" s="1252"/>
      <c r="AI463" s="1252"/>
      <c r="AJ463" s="1252"/>
      <c r="AK463" s="1252"/>
      <c r="AL463" s="1252"/>
      <c r="AM463" s="1252"/>
      <c r="AN463" s="1252"/>
      <c r="AO463" s="1252"/>
      <c r="AP463" s="1252"/>
      <c r="AQ463" s="807"/>
      <c r="AR463" s="807"/>
      <c r="AS463" s="807"/>
      <c r="AT463" s="807"/>
      <c r="AU463" s="807"/>
      <c r="AV463" s="807"/>
      <c r="AW463" s="1304"/>
      <c r="AX463" s="112"/>
      <c r="AY463" s="112"/>
      <c r="AZ463" s="112"/>
      <c r="BA463" s="163"/>
      <c r="BB463" s="163"/>
      <c r="BC463" s="163"/>
      <c r="BE463" s="163"/>
      <c r="BG463" s="1329"/>
      <c r="BH463" s="112"/>
      <c r="BI463" s="1330"/>
      <c r="BJ463" s="1262"/>
      <c r="BK463" s="163"/>
      <c r="BL463" s="163"/>
      <c r="BM463" s="163"/>
      <c r="BN463" s="163"/>
    </row>
    <row r="464" customFormat="false" ht="12.75" hidden="false" customHeight="false" outlineLevel="0" collapsed="false">
      <c r="B464" s="1252"/>
      <c r="C464" s="1252"/>
      <c r="D464" s="1252"/>
      <c r="E464" s="1252"/>
      <c r="F464" s="1252"/>
      <c r="G464" s="1252"/>
      <c r="H464" s="1252"/>
      <c r="I464" s="1252"/>
      <c r="J464" s="1252"/>
      <c r="K464" s="1254"/>
      <c r="L464" s="1252"/>
      <c r="M464" s="1252"/>
      <c r="N464" s="1252"/>
      <c r="O464" s="1252"/>
      <c r="P464" s="1252"/>
      <c r="Q464" s="1252"/>
      <c r="R464" s="1252"/>
      <c r="S464" s="1252"/>
      <c r="T464" s="1252"/>
      <c r="U464" s="1252"/>
      <c r="V464" s="1252"/>
      <c r="W464" s="1252"/>
      <c r="X464" s="1252"/>
      <c r="Y464" s="1252"/>
      <c r="Z464" s="1252"/>
      <c r="AA464" s="1252"/>
      <c r="AB464" s="1252"/>
      <c r="AC464" s="1252"/>
      <c r="AD464" s="1252"/>
      <c r="AE464" s="1252"/>
      <c r="AF464" s="1252"/>
      <c r="AG464" s="1252"/>
      <c r="AH464" s="1252"/>
      <c r="AI464" s="1252"/>
      <c r="AJ464" s="1252"/>
      <c r="AK464" s="1252"/>
      <c r="AL464" s="1252"/>
      <c r="AM464" s="1252"/>
      <c r="AN464" s="1252"/>
      <c r="AO464" s="1252"/>
      <c r="AP464" s="1252"/>
      <c r="AQ464" s="807"/>
      <c r="AR464" s="807"/>
      <c r="AS464" s="807"/>
      <c r="AT464" s="807"/>
      <c r="AU464" s="807"/>
      <c r="AV464" s="807"/>
      <c r="AW464" s="1304"/>
      <c r="AX464" s="112"/>
      <c r="AY464" s="112"/>
      <c r="AZ464" s="112"/>
      <c r="BA464" s="163"/>
      <c r="BB464" s="163"/>
      <c r="BC464" s="163"/>
      <c r="BE464" s="163"/>
      <c r="BG464" s="1329"/>
      <c r="BH464" s="112"/>
      <c r="BI464" s="1330"/>
      <c r="BJ464" s="1262"/>
      <c r="BK464" s="163"/>
      <c r="BL464" s="163"/>
      <c r="BM464" s="163"/>
      <c r="BN464" s="163"/>
    </row>
    <row r="465" customFormat="false" ht="12.75" hidden="false" customHeight="false" outlineLevel="0" collapsed="false">
      <c r="B465" s="1252"/>
      <c r="C465" s="1252"/>
      <c r="D465" s="1252"/>
      <c r="E465" s="1252"/>
      <c r="F465" s="1252"/>
      <c r="G465" s="1252"/>
      <c r="H465" s="1252"/>
      <c r="I465" s="1252"/>
      <c r="J465" s="1252"/>
      <c r="K465" s="1254"/>
      <c r="L465" s="1252"/>
      <c r="M465" s="1252"/>
      <c r="N465" s="1252"/>
      <c r="O465" s="1252"/>
      <c r="P465" s="1252"/>
      <c r="Q465" s="1252"/>
      <c r="R465" s="1252"/>
      <c r="S465" s="1252"/>
      <c r="T465" s="1252"/>
      <c r="U465" s="1252"/>
      <c r="V465" s="1252"/>
      <c r="W465" s="1252"/>
      <c r="X465" s="1252"/>
      <c r="Y465" s="1252"/>
      <c r="Z465" s="1252"/>
      <c r="AA465" s="1252"/>
      <c r="AB465" s="1252"/>
      <c r="AC465" s="1252"/>
      <c r="AD465" s="1252"/>
      <c r="AE465" s="1252"/>
      <c r="AF465" s="1252"/>
      <c r="AG465" s="1252"/>
      <c r="AH465" s="1252"/>
      <c r="AI465" s="1252"/>
      <c r="AJ465" s="1252"/>
      <c r="AK465" s="1252"/>
      <c r="AL465" s="1252"/>
      <c r="AM465" s="1252"/>
      <c r="AN465" s="1252"/>
      <c r="AO465" s="1252"/>
      <c r="AP465" s="1252"/>
      <c r="AQ465" s="807"/>
      <c r="AR465" s="807"/>
      <c r="AS465" s="807"/>
      <c r="AT465" s="807"/>
      <c r="AU465" s="807"/>
      <c r="AV465" s="807"/>
      <c r="AW465" s="1304"/>
      <c r="AX465" s="112"/>
      <c r="AY465" s="112"/>
      <c r="AZ465" s="112"/>
      <c r="BA465" s="163"/>
      <c r="BB465" s="163"/>
      <c r="BC465" s="163"/>
      <c r="BE465" s="163"/>
      <c r="BG465" s="1329"/>
      <c r="BH465" s="112"/>
      <c r="BI465" s="1330"/>
      <c r="BJ465" s="1262"/>
      <c r="BK465" s="163"/>
      <c r="BL465" s="163"/>
      <c r="BM465" s="163"/>
      <c r="BN465" s="163"/>
    </row>
    <row r="466" customFormat="false" ht="12.75" hidden="false" customHeight="false" outlineLevel="0" collapsed="false">
      <c r="B466" s="1252"/>
      <c r="C466" s="1252"/>
      <c r="D466" s="1252"/>
      <c r="E466" s="1252"/>
      <c r="F466" s="1252"/>
      <c r="G466" s="1252"/>
      <c r="H466" s="1252"/>
      <c r="I466" s="1252"/>
      <c r="J466" s="1252"/>
      <c r="K466" s="1254"/>
      <c r="L466" s="1252"/>
      <c r="M466" s="1252"/>
      <c r="N466" s="1252"/>
      <c r="O466" s="1252"/>
      <c r="P466" s="1252"/>
      <c r="Q466" s="1252"/>
      <c r="R466" s="1252"/>
      <c r="S466" s="1252"/>
      <c r="T466" s="1252"/>
      <c r="U466" s="1252"/>
      <c r="V466" s="1252"/>
      <c r="W466" s="1252"/>
      <c r="X466" s="1252"/>
      <c r="Y466" s="1252"/>
      <c r="Z466" s="1252"/>
      <c r="AA466" s="1252"/>
      <c r="AB466" s="1252"/>
      <c r="AC466" s="1252"/>
      <c r="AD466" s="1252"/>
      <c r="AE466" s="1252"/>
      <c r="AF466" s="1252"/>
      <c r="AG466" s="1252"/>
      <c r="AH466" s="1252"/>
      <c r="AI466" s="1252"/>
      <c r="AJ466" s="1252"/>
      <c r="AK466" s="1252"/>
      <c r="AL466" s="1252"/>
      <c r="AM466" s="1252"/>
      <c r="AN466" s="1252"/>
      <c r="AO466" s="1252"/>
      <c r="AP466" s="1252"/>
      <c r="AQ466" s="807"/>
      <c r="AR466" s="807"/>
      <c r="AS466" s="807"/>
      <c r="AT466" s="807"/>
      <c r="AU466" s="807"/>
      <c r="AV466" s="807"/>
      <c r="AW466" s="1304"/>
      <c r="AX466" s="112"/>
      <c r="AY466" s="112"/>
      <c r="AZ466" s="112"/>
      <c r="BA466" s="163"/>
      <c r="BB466" s="163"/>
      <c r="BC466" s="163"/>
      <c r="BE466" s="163"/>
      <c r="BG466" s="1329"/>
      <c r="BH466" s="112"/>
      <c r="BI466" s="1330"/>
      <c r="BJ466" s="1262"/>
      <c r="BK466" s="163"/>
      <c r="BL466" s="163"/>
      <c r="BM466" s="163"/>
      <c r="BN466" s="163"/>
    </row>
    <row r="467" customFormat="false" ht="12.75" hidden="false" customHeight="false" outlineLevel="0" collapsed="false">
      <c r="B467" s="1252"/>
      <c r="C467" s="1252"/>
      <c r="D467" s="1252"/>
      <c r="E467" s="1252"/>
      <c r="F467" s="1252"/>
      <c r="G467" s="1252"/>
      <c r="H467" s="1252"/>
      <c r="I467" s="1252"/>
      <c r="J467" s="1252"/>
      <c r="K467" s="1254"/>
      <c r="L467" s="1252"/>
      <c r="M467" s="1252"/>
      <c r="N467" s="1252"/>
      <c r="O467" s="1252"/>
      <c r="P467" s="1252"/>
      <c r="Q467" s="1252"/>
      <c r="R467" s="1252"/>
      <c r="S467" s="1252"/>
      <c r="T467" s="1252"/>
      <c r="U467" s="1252"/>
      <c r="V467" s="1252"/>
      <c r="W467" s="1252"/>
      <c r="X467" s="1252"/>
      <c r="Y467" s="1252"/>
      <c r="Z467" s="1252"/>
      <c r="AA467" s="1252"/>
      <c r="AB467" s="1252"/>
      <c r="AC467" s="1252"/>
      <c r="AD467" s="1252"/>
      <c r="AE467" s="1252"/>
      <c r="AF467" s="1252"/>
      <c r="AG467" s="1252"/>
      <c r="AH467" s="1252"/>
      <c r="AI467" s="1252"/>
      <c r="AJ467" s="1252"/>
      <c r="AK467" s="1252"/>
      <c r="AL467" s="1252"/>
      <c r="AM467" s="1252"/>
      <c r="AN467" s="1252"/>
      <c r="AO467" s="1252"/>
      <c r="AP467" s="1252"/>
      <c r="AQ467" s="807"/>
      <c r="AR467" s="807"/>
      <c r="AS467" s="807"/>
      <c r="AT467" s="807"/>
      <c r="AU467" s="807"/>
      <c r="AV467" s="807"/>
      <c r="AW467" s="1304"/>
      <c r="AX467" s="112"/>
      <c r="AY467" s="112"/>
      <c r="AZ467" s="112"/>
      <c r="BA467" s="163"/>
      <c r="BB467" s="163"/>
      <c r="BC467" s="163"/>
      <c r="BE467" s="163"/>
      <c r="BG467" s="1329"/>
      <c r="BH467" s="112"/>
      <c r="BI467" s="1330"/>
      <c r="BJ467" s="1262"/>
      <c r="BK467" s="163"/>
      <c r="BL467" s="163"/>
      <c r="BM467" s="163"/>
      <c r="BN467" s="163"/>
    </row>
    <row r="468" customFormat="false" ht="12.75" hidden="false" customHeight="false" outlineLevel="0" collapsed="false">
      <c r="B468" s="1252"/>
      <c r="C468" s="1252"/>
      <c r="D468" s="1252"/>
      <c r="E468" s="1252"/>
      <c r="F468" s="1252"/>
      <c r="G468" s="1252"/>
      <c r="H468" s="1252"/>
      <c r="I468" s="1252"/>
      <c r="J468" s="1252"/>
      <c r="K468" s="1254"/>
      <c r="L468" s="1252"/>
      <c r="M468" s="1252"/>
      <c r="N468" s="1252"/>
      <c r="O468" s="1252"/>
      <c r="P468" s="1252"/>
      <c r="Q468" s="1252"/>
      <c r="R468" s="1252"/>
      <c r="S468" s="1252"/>
      <c r="T468" s="1252"/>
      <c r="U468" s="1252"/>
      <c r="V468" s="1252"/>
      <c r="W468" s="1252"/>
      <c r="X468" s="1252"/>
      <c r="Y468" s="1252"/>
      <c r="Z468" s="1252"/>
      <c r="AA468" s="1252"/>
      <c r="AB468" s="1252"/>
      <c r="AC468" s="1252"/>
      <c r="AD468" s="1252"/>
      <c r="AE468" s="1252"/>
      <c r="AF468" s="1252"/>
      <c r="AG468" s="1252"/>
      <c r="AH468" s="1252"/>
      <c r="AI468" s="1252"/>
      <c r="AJ468" s="1252"/>
      <c r="AK468" s="1252"/>
      <c r="AL468" s="1252"/>
      <c r="AM468" s="1252"/>
      <c r="AN468" s="1252"/>
      <c r="AO468" s="1252"/>
      <c r="AP468" s="1252"/>
      <c r="AQ468" s="807"/>
      <c r="AR468" s="807"/>
      <c r="AS468" s="807"/>
      <c r="AT468" s="807"/>
      <c r="AU468" s="807"/>
      <c r="AV468" s="807"/>
      <c r="AW468" s="1304"/>
      <c r="AX468" s="112"/>
      <c r="AY468" s="112"/>
      <c r="AZ468" s="112"/>
      <c r="BA468" s="163"/>
      <c r="BB468" s="163"/>
      <c r="BC468" s="163"/>
      <c r="BE468" s="163"/>
      <c r="BG468" s="1329"/>
      <c r="BH468" s="112"/>
      <c r="BI468" s="1330"/>
      <c r="BJ468" s="1262"/>
      <c r="BK468" s="163"/>
      <c r="BL468" s="163"/>
      <c r="BM468" s="163"/>
      <c r="BN468" s="163"/>
    </row>
    <row r="469" customFormat="false" ht="12.75" hidden="false" customHeight="false" outlineLevel="0" collapsed="false">
      <c r="B469" s="1252"/>
      <c r="C469" s="1252"/>
      <c r="D469" s="1252"/>
      <c r="E469" s="1252"/>
      <c r="F469" s="1252"/>
      <c r="G469" s="1252"/>
      <c r="H469" s="1252"/>
      <c r="I469" s="1252"/>
      <c r="J469" s="1252"/>
      <c r="K469" s="1254"/>
      <c r="L469" s="1252"/>
      <c r="M469" s="1252"/>
      <c r="N469" s="1252"/>
      <c r="O469" s="1252"/>
      <c r="P469" s="1252"/>
      <c r="Q469" s="1252"/>
      <c r="R469" s="1252"/>
      <c r="S469" s="1252"/>
      <c r="T469" s="1252"/>
      <c r="U469" s="1252"/>
      <c r="V469" s="1252"/>
      <c r="W469" s="1252"/>
      <c r="X469" s="1252"/>
      <c r="Y469" s="1252"/>
      <c r="Z469" s="1252"/>
      <c r="AA469" s="1252"/>
      <c r="AB469" s="1252"/>
      <c r="AC469" s="1252"/>
      <c r="AD469" s="1252"/>
      <c r="AE469" s="1252"/>
      <c r="AF469" s="1252"/>
      <c r="AG469" s="1252"/>
      <c r="AH469" s="1252"/>
      <c r="AI469" s="1252"/>
      <c r="AJ469" s="1252"/>
      <c r="AK469" s="1252"/>
      <c r="AL469" s="1252"/>
      <c r="AM469" s="1252"/>
      <c r="AN469" s="1252"/>
      <c r="AO469" s="1252"/>
      <c r="AP469" s="1252"/>
      <c r="AQ469" s="807"/>
      <c r="AR469" s="807"/>
      <c r="AS469" s="807"/>
      <c r="AT469" s="807"/>
      <c r="AU469" s="807"/>
      <c r="AV469" s="807"/>
      <c r="AW469" s="1304"/>
      <c r="AX469" s="112"/>
      <c r="AY469" s="112"/>
      <c r="AZ469" s="112"/>
      <c r="BA469" s="163"/>
      <c r="BB469" s="163"/>
      <c r="BC469" s="163"/>
      <c r="BE469" s="163"/>
      <c r="BG469" s="1329"/>
      <c r="BH469" s="112"/>
      <c r="BI469" s="1330"/>
      <c r="BJ469" s="1262"/>
      <c r="BK469" s="163"/>
      <c r="BL469" s="163"/>
      <c r="BM469" s="163"/>
      <c r="BN469" s="163"/>
    </row>
    <row r="470" customFormat="false" ht="12.75" hidden="false" customHeight="false" outlineLevel="0" collapsed="false">
      <c r="B470" s="1252"/>
      <c r="C470" s="1252"/>
      <c r="D470" s="1252"/>
      <c r="E470" s="1252"/>
      <c r="F470" s="1252"/>
      <c r="G470" s="1252"/>
      <c r="H470" s="1252"/>
      <c r="I470" s="1252"/>
      <c r="J470" s="1252"/>
      <c r="K470" s="1254"/>
      <c r="L470" s="1252"/>
      <c r="M470" s="1252"/>
      <c r="N470" s="1252"/>
      <c r="O470" s="1252"/>
      <c r="P470" s="1252"/>
      <c r="Q470" s="1252"/>
      <c r="R470" s="1252"/>
      <c r="S470" s="1252"/>
      <c r="T470" s="1252"/>
      <c r="U470" s="1252"/>
      <c r="V470" s="1252"/>
      <c r="W470" s="1252"/>
      <c r="X470" s="1252"/>
      <c r="Y470" s="1252"/>
      <c r="Z470" s="1252"/>
      <c r="AA470" s="1252"/>
      <c r="AB470" s="1252"/>
      <c r="AC470" s="1252"/>
      <c r="AD470" s="1252"/>
      <c r="AE470" s="1252"/>
      <c r="AF470" s="1252"/>
      <c r="AG470" s="1252"/>
      <c r="AH470" s="1252"/>
      <c r="AI470" s="1252"/>
      <c r="AJ470" s="1252"/>
      <c r="AK470" s="1252"/>
      <c r="AL470" s="1252"/>
      <c r="AM470" s="1252"/>
      <c r="AN470" s="1252"/>
      <c r="AO470" s="1252"/>
      <c r="AP470" s="1252"/>
      <c r="AQ470" s="807"/>
      <c r="AR470" s="807"/>
      <c r="AS470" s="807"/>
      <c r="AT470" s="807"/>
      <c r="AU470" s="807"/>
      <c r="AV470" s="807"/>
      <c r="AW470" s="1304"/>
      <c r="AX470" s="112"/>
      <c r="AY470" s="112"/>
      <c r="AZ470" s="112"/>
      <c r="BA470" s="163"/>
      <c r="BB470" s="163"/>
      <c r="BC470" s="163"/>
      <c r="BE470" s="163"/>
      <c r="BG470" s="1329"/>
      <c r="BH470" s="112"/>
      <c r="BI470" s="1330"/>
      <c r="BJ470" s="1262"/>
      <c r="BK470" s="163"/>
      <c r="BL470" s="163"/>
      <c r="BM470" s="163"/>
      <c r="BN470" s="163"/>
    </row>
    <row r="471" customFormat="false" ht="12.75" hidden="false" customHeight="false" outlineLevel="0" collapsed="false">
      <c r="B471" s="1252"/>
      <c r="C471" s="1252"/>
      <c r="D471" s="1252"/>
      <c r="E471" s="1252"/>
      <c r="F471" s="1252"/>
      <c r="G471" s="1252"/>
      <c r="H471" s="1252"/>
      <c r="I471" s="1252"/>
      <c r="J471" s="1252"/>
      <c r="K471" s="1254"/>
      <c r="L471" s="1252"/>
      <c r="M471" s="1252"/>
      <c r="N471" s="1252"/>
      <c r="O471" s="1252"/>
      <c r="P471" s="1252"/>
      <c r="Q471" s="1252"/>
      <c r="R471" s="1252"/>
      <c r="S471" s="1252"/>
      <c r="T471" s="1252"/>
      <c r="U471" s="1252"/>
      <c r="V471" s="1252"/>
      <c r="W471" s="1252"/>
      <c r="X471" s="1252"/>
      <c r="Y471" s="1252"/>
      <c r="Z471" s="1252"/>
      <c r="AA471" s="1252"/>
      <c r="AB471" s="1252"/>
      <c r="AC471" s="1252"/>
      <c r="AD471" s="1252"/>
      <c r="AE471" s="1252"/>
      <c r="AF471" s="1252"/>
      <c r="AG471" s="1252"/>
      <c r="AH471" s="1252"/>
      <c r="AI471" s="1252"/>
      <c r="AJ471" s="1252"/>
      <c r="AK471" s="1252"/>
      <c r="AL471" s="1252"/>
      <c r="AM471" s="1252"/>
      <c r="AN471" s="1252"/>
      <c r="AO471" s="1252"/>
      <c r="AP471" s="1252"/>
      <c r="AQ471" s="807"/>
      <c r="AR471" s="807"/>
      <c r="AS471" s="807"/>
      <c r="AT471" s="807"/>
      <c r="AU471" s="807"/>
      <c r="AV471" s="807"/>
      <c r="AW471" s="1304"/>
      <c r="AX471" s="112"/>
      <c r="AY471" s="112"/>
      <c r="AZ471" s="112"/>
      <c r="BA471" s="163"/>
      <c r="BB471" s="163"/>
      <c r="BC471" s="163"/>
      <c r="BE471" s="163"/>
      <c r="BG471" s="1329"/>
      <c r="BH471" s="112"/>
      <c r="BI471" s="1330"/>
      <c r="BJ471" s="1262"/>
      <c r="BK471" s="163"/>
      <c r="BL471" s="163"/>
      <c r="BM471" s="163"/>
      <c r="BN471" s="163"/>
    </row>
    <row r="472" customFormat="false" ht="12.75" hidden="false" customHeight="false" outlineLevel="0" collapsed="false">
      <c r="B472" s="1252"/>
      <c r="C472" s="1252"/>
      <c r="D472" s="1252"/>
      <c r="E472" s="1252"/>
      <c r="F472" s="1252"/>
      <c r="G472" s="1252"/>
      <c r="H472" s="1252"/>
      <c r="I472" s="1252"/>
      <c r="J472" s="1252"/>
      <c r="K472" s="1254"/>
      <c r="L472" s="1252"/>
      <c r="M472" s="1252"/>
      <c r="N472" s="1252"/>
      <c r="O472" s="1252"/>
      <c r="P472" s="1252"/>
      <c r="Q472" s="1252"/>
      <c r="R472" s="1252"/>
      <c r="S472" s="1252"/>
      <c r="T472" s="1252"/>
      <c r="U472" s="1252"/>
      <c r="V472" s="1252"/>
      <c r="W472" s="1252"/>
      <c r="X472" s="1252"/>
      <c r="Y472" s="1252"/>
      <c r="Z472" s="1252"/>
      <c r="AA472" s="1252"/>
      <c r="AB472" s="1252"/>
      <c r="AC472" s="1252"/>
      <c r="AD472" s="1252"/>
      <c r="AE472" s="1252"/>
      <c r="AF472" s="1252"/>
      <c r="AG472" s="1252"/>
      <c r="AH472" s="1252"/>
      <c r="AI472" s="1252"/>
      <c r="AJ472" s="1252"/>
      <c r="AK472" s="1252"/>
      <c r="AL472" s="1252"/>
      <c r="AM472" s="1252"/>
      <c r="AN472" s="1252"/>
      <c r="AO472" s="1252"/>
      <c r="AP472" s="1252"/>
      <c r="AQ472" s="807"/>
      <c r="AR472" s="807"/>
      <c r="AS472" s="807"/>
      <c r="AT472" s="807"/>
      <c r="AU472" s="807"/>
      <c r="AV472" s="807"/>
      <c r="AW472" s="1304"/>
      <c r="AX472" s="112"/>
      <c r="AY472" s="112"/>
      <c r="AZ472" s="112"/>
      <c r="BA472" s="163"/>
      <c r="BB472" s="163"/>
      <c r="BC472" s="163"/>
      <c r="BE472" s="163"/>
      <c r="BG472" s="1329"/>
      <c r="BH472" s="112"/>
      <c r="BI472" s="1330"/>
      <c r="BJ472" s="1262"/>
      <c r="BK472" s="163"/>
      <c r="BL472" s="163"/>
      <c r="BM472" s="163"/>
      <c r="BN472" s="163"/>
    </row>
    <row r="473" customFormat="false" ht="12.75" hidden="false" customHeight="false" outlineLevel="0" collapsed="false">
      <c r="B473" s="1252"/>
      <c r="C473" s="1252"/>
      <c r="D473" s="1252"/>
      <c r="E473" s="1252"/>
      <c r="F473" s="1252"/>
      <c r="G473" s="1252"/>
      <c r="H473" s="1252"/>
      <c r="I473" s="1252"/>
      <c r="J473" s="1252"/>
      <c r="K473" s="1254"/>
      <c r="L473" s="1252"/>
      <c r="M473" s="1252"/>
      <c r="N473" s="1252"/>
      <c r="O473" s="1252"/>
      <c r="P473" s="1252"/>
      <c r="Q473" s="1252"/>
      <c r="R473" s="1252"/>
      <c r="S473" s="1252"/>
      <c r="T473" s="1252"/>
      <c r="U473" s="1252"/>
      <c r="V473" s="1252"/>
      <c r="W473" s="1252"/>
      <c r="X473" s="1252"/>
      <c r="Y473" s="1252"/>
      <c r="Z473" s="1252"/>
      <c r="AA473" s="1252"/>
      <c r="AB473" s="1252"/>
      <c r="AC473" s="1252"/>
      <c r="AD473" s="1252"/>
      <c r="AE473" s="1252"/>
      <c r="AF473" s="1252"/>
      <c r="AG473" s="1252"/>
      <c r="AH473" s="1252"/>
      <c r="AI473" s="1252"/>
      <c r="AJ473" s="1252"/>
      <c r="AK473" s="1252"/>
      <c r="AL473" s="1252"/>
      <c r="AM473" s="1252"/>
      <c r="AN473" s="1252"/>
      <c r="AO473" s="1252"/>
      <c r="AP473" s="1252"/>
      <c r="AQ473" s="807"/>
      <c r="AR473" s="807"/>
      <c r="AS473" s="807"/>
      <c r="AT473" s="807"/>
      <c r="AU473" s="807"/>
      <c r="AV473" s="807"/>
      <c r="AW473" s="1304"/>
      <c r="AX473" s="112"/>
      <c r="AY473" s="112"/>
      <c r="AZ473" s="112"/>
      <c r="BA473" s="163"/>
      <c r="BB473" s="163"/>
      <c r="BC473" s="163"/>
      <c r="BE473" s="163"/>
      <c r="BG473" s="1329"/>
      <c r="BH473" s="112"/>
      <c r="BI473" s="1330"/>
      <c r="BJ473" s="1262"/>
      <c r="BK473" s="163"/>
      <c r="BL473" s="163"/>
      <c r="BM473" s="163"/>
      <c r="BN473" s="163"/>
    </row>
    <row r="474" customFormat="false" ht="12.75" hidden="false" customHeight="false" outlineLevel="0" collapsed="false">
      <c r="B474" s="1252"/>
      <c r="C474" s="1252"/>
      <c r="D474" s="1252"/>
      <c r="E474" s="1252"/>
      <c r="F474" s="1252"/>
      <c r="G474" s="1252"/>
      <c r="H474" s="1252"/>
      <c r="I474" s="1252"/>
      <c r="J474" s="1252"/>
      <c r="K474" s="1254"/>
      <c r="L474" s="1252"/>
      <c r="M474" s="1252"/>
      <c r="N474" s="1252"/>
      <c r="O474" s="1252"/>
      <c r="P474" s="1252"/>
      <c r="Q474" s="1252"/>
      <c r="R474" s="1252"/>
      <c r="S474" s="1252"/>
      <c r="T474" s="1252"/>
      <c r="U474" s="1252"/>
      <c r="V474" s="1252"/>
      <c r="W474" s="1252"/>
      <c r="X474" s="1252"/>
      <c r="Y474" s="1252"/>
      <c r="Z474" s="1252"/>
      <c r="AA474" s="1252"/>
      <c r="AB474" s="1252"/>
      <c r="AC474" s="1252"/>
      <c r="AD474" s="1252"/>
      <c r="AE474" s="1252"/>
      <c r="AF474" s="1252"/>
      <c r="AG474" s="1252"/>
      <c r="AH474" s="1252"/>
      <c r="AI474" s="1252"/>
      <c r="AJ474" s="1252"/>
      <c r="AK474" s="1252"/>
      <c r="AL474" s="1252"/>
      <c r="AM474" s="1252"/>
      <c r="AN474" s="1252"/>
      <c r="AO474" s="1252"/>
      <c r="AP474" s="1252"/>
      <c r="AQ474" s="807"/>
      <c r="AR474" s="807"/>
      <c r="AS474" s="807"/>
      <c r="AT474" s="807"/>
      <c r="AU474" s="807"/>
      <c r="AV474" s="807"/>
      <c r="AW474" s="1304"/>
      <c r="AX474" s="112"/>
      <c r="AY474" s="112"/>
      <c r="AZ474" s="112"/>
      <c r="BA474" s="163"/>
      <c r="BB474" s="163"/>
      <c r="BC474" s="163"/>
      <c r="BE474" s="163"/>
      <c r="BG474" s="1329"/>
      <c r="BH474" s="112"/>
      <c r="BI474" s="1330"/>
      <c r="BJ474" s="1262"/>
      <c r="BK474" s="163"/>
      <c r="BL474" s="163"/>
      <c r="BM474" s="163"/>
      <c r="BN474" s="163"/>
    </row>
    <row r="475" customFormat="false" ht="12.75" hidden="false" customHeight="false" outlineLevel="0" collapsed="false">
      <c r="B475" s="1252"/>
      <c r="C475" s="1252"/>
      <c r="D475" s="1252"/>
      <c r="E475" s="1252"/>
      <c r="F475" s="1252"/>
      <c r="G475" s="1252"/>
      <c r="H475" s="1252"/>
      <c r="I475" s="1252"/>
      <c r="J475" s="1252"/>
      <c r="K475" s="1254"/>
      <c r="L475" s="1252"/>
      <c r="M475" s="1252"/>
      <c r="N475" s="1252"/>
      <c r="O475" s="1252"/>
      <c r="P475" s="1252"/>
      <c r="Q475" s="1252"/>
      <c r="R475" s="1252"/>
      <c r="S475" s="1252"/>
      <c r="T475" s="1252"/>
      <c r="U475" s="1252"/>
      <c r="V475" s="1252"/>
      <c r="W475" s="1252"/>
      <c r="X475" s="1252"/>
      <c r="Y475" s="1252"/>
      <c r="Z475" s="1252"/>
      <c r="AA475" s="1252"/>
      <c r="AB475" s="1252"/>
      <c r="AC475" s="1252"/>
      <c r="AD475" s="1252"/>
      <c r="AE475" s="1252"/>
      <c r="AF475" s="1252"/>
      <c r="AG475" s="1252"/>
      <c r="AH475" s="1252"/>
      <c r="AI475" s="1252"/>
      <c r="AJ475" s="1252"/>
      <c r="AK475" s="1252"/>
      <c r="AL475" s="1252"/>
      <c r="AM475" s="1252"/>
      <c r="AN475" s="1252"/>
      <c r="AO475" s="1252"/>
      <c r="AP475" s="1252"/>
      <c r="AQ475" s="807"/>
      <c r="AR475" s="807"/>
      <c r="AS475" s="807"/>
      <c r="AT475" s="807"/>
      <c r="AU475" s="807"/>
      <c r="AV475" s="807"/>
      <c r="AW475" s="1304"/>
      <c r="AX475" s="112"/>
      <c r="AY475" s="112"/>
      <c r="AZ475" s="112"/>
      <c r="BA475" s="163"/>
      <c r="BB475" s="163"/>
      <c r="BC475" s="163"/>
      <c r="BE475" s="163"/>
      <c r="BG475" s="1329"/>
      <c r="BH475" s="112"/>
      <c r="BI475" s="1330"/>
      <c r="BJ475" s="1262"/>
      <c r="BK475" s="163"/>
      <c r="BL475" s="163"/>
      <c r="BM475" s="163"/>
      <c r="BN475" s="163"/>
    </row>
    <row r="476" customFormat="false" ht="12.75" hidden="false" customHeight="false" outlineLevel="0" collapsed="false">
      <c r="B476" s="1252"/>
      <c r="C476" s="1252"/>
      <c r="D476" s="1252"/>
      <c r="E476" s="1252"/>
      <c r="F476" s="1252"/>
      <c r="G476" s="1252"/>
      <c r="H476" s="1252"/>
      <c r="I476" s="1252"/>
      <c r="J476" s="1252"/>
      <c r="K476" s="1254"/>
      <c r="L476" s="1252"/>
      <c r="M476" s="1252"/>
      <c r="N476" s="1252"/>
      <c r="O476" s="1252"/>
      <c r="P476" s="1252"/>
      <c r="Q476" s="1252"/>
      <c r="R476" s="1252"/>
      <c r="S476" s="1252"/>
      <c r="T476" s="1252"/>
      <c r="U476" s="1252"/>
      <c r="V476" s="1252"/>
      <c r="W476" s="1252"/>
      <c r="X476" s="1252"/>
      <c r="Y476" s="1252"/>
      <c r="Z476" s="1252"/>
      <c r="AA476" s="1252"/>
      <c r="AB476" s="1252"/>
      <c r="AC476" s="1252"/>
      <c r="AD476" s="1252"/>
      <c r="AE476" s="1252"/>
      <c r="AF476" s="1252"/>
      <c r="AG476" s="1252"/>
      <c r="AH476" s="1252"/>
      <c r="AI476" s="1252"/>
      <c r="AJ476" s="1252"/>
      <c r="AK476" s="1252"/>
      <c r="AL476" s="1252"/>
      <c r="AM476" s="1252"/>
      <c r="AN476" s="1252"/>
      <c r="AO476" s="1252"/>
      <c r="AP476" s="1252"/>
      <c r="AQ476" s="807"/>
      <c r="AR476" s="807"/>
      <c r="AS476" s="807"/>
      <c r="AT476" s="807"/>
      <c r="AU476" s="807"/>
      <c r="AV476" s="807"/>
      <c r="AW476" s="1304"/>
      <c r="AX476" s="112"/>
      <c r="AY476" s="112"/>
      <c r="AZ476" s="112"/>
      <c r="BA476" s="163"/>
      <c r="BB476" s="163"/>
      <c r="BC476" s="163"/>
      <c r="BE476" s="163"/>
      <c r="BG476" s="1329"/>
      <c r="BH476" s="112"/>
      <c r="BI476" s="1330"/>
      <c r="BJ476" s="1262"/>
      <c r="BK476" s="163"/>
      <c r="BL476" s="163"/>
      <c r="BM476" s="163"/>
      <c r="BN476" s="163"/>
    </row>
    <row r="477" customFormat="false" ht="12.75" hidden="false" customHeight="false" outlineLevel="0" collapsed="false">
      <c r="B477" s="1252"/>
      <c r="C477" s="1252"/>
      <c r="D477" s="1252"/>
      <c r="E477" s="1252"/>
      <c r="F477" s="1252"/>
      <c r="G477" s="1252"/>
      <c r="H477" s="1252"/>
      <c r="I477" s="1252"/>
      <c r="J477" s="1252"/>
      <c r="K477" s="1254"/>
      <c r="L477" s="1252"/>
      <c r="M477" s="1252"/>
      <c r="N477" s="1252"/>
      <c r="O477" s="1252"/>
      <c r="P477" s="1252"/>
      <c r="Q477" s="1252"/>
      <c r="R477" s="1252"/>
      <c r="S477" s="1252"/>
      <c r="T477" s="1252"/>
      <c r="U477" s="1252"/>
      <c r="V477" s="1252"/>
      <c r="W477" s="1252"/>
      <c r="X477" s="1252"/>
      <c r="Y477" s="1252"/>
      <c r="Z477" s="1252"/>
      <c r="AA477" s="1252"/>
      <c r="AB477" s="1252"/>
      <c r="AC477" s="1252"/>
      <c r="AD477" s="1252"/>
      <c r="AE477" s="1252"/>
      <c r="AF477" s="1252"/>
      <c r="AG477" s="1252"/>
      <c r="AH477" s="1252"/>
      <c r="AI477" s="1252"/>
      <c r="AJ477" s="1252"/>
      <c r="AK477" s="1252"/>
      <c r="AL477" s="1252"/>
      <c r="AM477" s="1252"/>
      <c r="AN477" s="1252"/>
      <c r="AO477" s="1252"/>
      <c r="AP477" s="1252"/>
      <c r="AQ477" s="807"/>
      <c r="AR477" s="807"/>
      <c r="AS477" s="807"/>
      <c r="AT477" s="807"/>
      <c r="AU477" s="807"/>
      <c r="AV477" s="807"/>
      <c r="AW477" s="1304"/>
      <c r="AX477" s="112"/>
      <c r="AY477" s="112"/>
      <c r="AZ477" s="112"/>
      <c r="BA477" s="163"/>
      <c r="BB477" s="163"/>
      <c r="BC477" s="163"/>
      <c r="BE477" s="163"/>
      <c r="BG477" s="1329"/>
      <c r="BH477" s="112"/>
      <c r="BI477" s="1330"/>
      <c r="BJ477" s="1262"/>
      <c r="BK477" s="163"/>
      <c r="BL477" s="163"/>
      <c r="BM477" s="163"/>
      <c r="BN477" s="163"/>
    </row>
    <row r="478" customFormat="false" ht="12.75" hidden="false" customHeight="false" outlineLevel="0" collapsed="false">
      <c r="B478" s="1252"/>
      <c r="C478" s="1252"/>
      <c r="D478" s="1252"/>
      <c r="E478" s="1252"/>
      <c r="F478" s="1252"/>
      <c r="G478" s="1252"/>
      <c r="H478" s="1252"/>
      <c r="I478" s="1252"/>
      <c r="J478" s="1252"/>
      <c r="K478" s="1254"/>
      <c r="L478" s="1252"/>
      <c r="M478" s="1252"/>
      <c r="N478" s="1252"/>
      <c r="O478" s="1252"/>
      <c r="P478" s="1252"/>
      <c r="Q478" s="1252"/>
      <c r="R478" s="1252"/>
      <c r="S478" s="1252"/>
      <c r="T478" s="1252"/>
      <c r="U478" s="1252"/>
      <c r="V478" s="1252"/>
      <c r="W478" s="1252"/>
      <c r="X478" s="1252"/>
      <c r="Y478" s="1252"/>
      <c r="Z478" s="1252"/>
      <c r="AA478" s="1252"/>
      <c r="AB478" s="1252"/>
      <c r="AC478" s="1252"/>
      <c r="AD478" s="1252"/>
      <c r="AE478" s="1252"/>
      <c r="AF478" s="1252"/>
      <c r="AG478" s="1252"/>
      <c r="AH478" s="1252"/>
      <c r="AI478" s="1252"/>
      <c r="AJ478" s="1252"/>
      <c r="AK478" s="1252"/>
      <c r="AL478" s="1252"/>
      <c r="AM478" s="1252"/>
      <c r="AN478" s="1252"/>
      <c r="AO478" s="1252"/>
      <c r="AP478" s="1252"/>
      <c r="AQ478" s="807"/>
      <c r="AR478" s="807"/>
      <c r="AS478" s="807"/>
      <c r="AT478" s="807"/>
      <c r="AU478" s="807"/>
      <c r="AV478" s="807"/>
      <c r="AW478" s="1304"/>
      <c r="AX478" s="112"/>
      <c r="AY478" s="112"/>
      <c r="AZ478" s="112"/>
      <c r="BA478" s="163"/>
      <c r="BB478" s="163"/>
      <c r="BC478" s="163"/>
      <c r="BE478" s="163"/>
      <c r="BG478" s="1329"/>
      <c r="BH478" s="112"/>
      <c r="BI478" s="1330"/>
      <c r="BJ478" s="1262"/>
      <c r="BK478" s="163"/>
      <c r="BL478" s="163"/>
      <c r="BM478" s="163"/>
      <c r="BN478" s="163"/>
    </row>
    <row r="479" customFormat="false" ht="12.75" hidden="false" customHeight="false" outlineLevel="0" collapsed="false">
      <c r="B479" s="1252"/>
      <c r="C479" s="1252"/>
      <c r="D479" s="1252"/>
      <c r="E479" s="1252"/>
      <c r="F479" s="1252"/>
      <c r="G479" s="1252"/>
      <c r="H479" s="1252"/>
      <c r="I479" s="1252"/>
      <c r="J479" s="1252"/>
      <c r="K479" s="1254"/>
      <c r="L479" s="1252"/>
      <c r="M479" s="1252"/>
      <c r="N479" s="1252"/>
      <c r="O479" s="1252"/>
      <c r="P479" s="1252"/>
      <c r="Q479" s="1252"/>
      <c r="R479" s="1252"/>
      <c r="S479" s="1252"/>
      <c r="T479" s="1252"/>
      <c r="U479" s="1252"/>
      <c r="V479" s="1252"/>
      <c r="W479" s="1252"/>
      <c r="X479" s="1252"/>
      <c r="Y479" s="1252"/>
      <c r="Z479" s="1252"/>
      <c r="AA479" s="1252"/>
      <c r="AB479" s="1252"/>
      <c r="AC479" s="1252"/>
      <c r="AD479" s="1252"/>
      <c r="AE479" s="1252"/>
      <c r="AF479" s="1252"/>
      <c r="AG479" s="1252"/>
      <c r="AH479" s="1252"/>
      <c r="AI479" s="1252"/>
      <c r="AJ479" s="1252"/>
      <c r="AK479" s="1252"/>
      <c r="AL479" s="1252"/>
      <c r="AM479" s="1252"/>
      <c r="AN479" s="1252"/>
      <c r="AO479" s="1252"/>
      <c r="AP479" s="1252"/>
      <c r="AQ479" s="807"/>
      <c r="AR479" s="807"/>
      <c r="AS479" s="807"/>
      <c r="AT479" s="807"/>
      <c r="AU479" s="807"/>
      <c r="AV479" s="807"/>
      <c r="AW479" s="1304"/>
      <c r="AX479" s="112"/>
      <c r="AY479" s="112"/>
      <c r="AZ479" s="112"/>
      <c r="BA479" s="163"/>
      <c r="BB479" s="163"/>
      <c r="BC479" s="163"/>
      <c r="BE479" s="163"/>
      <c r="BG479" s="1329"/>
      <c r="BH479" s="112"/>
      <c r="BI479" s="1330"/>
      <c r="BJ479" s="1262"/>
      <c r="BK479" s="163"/>
      <c r="BL479" s="163"/>
      <c r="BM479" s="163"/>
      <c r="BN479" s="163"/>
    </row>
    <row r="480" customFormat="false" ht="12.75" hidden="false" customHeight="false" outlineLevel="0" collapsed="false">
      <c r="B480" s="1252"/>
      <c r="C480" s="1252"/>
      <c r="D480" s="1252"/>
      <c r="E480" s="1252"/>
      <c r="F480" s="1252"/>
      <c r="G480" s="1252"/>
      <c r="H480" s="1252"/>
      <c r="I480" s="1252"/>
      <c r="J480" s="1252"/>
      <c r="K480" s="1254"/>
      <c r="L480" s="1252"/>
      <c r="M480" s="1252"/>
      <c r="N480" s="1252"/>
      <c r="O480" s="1252"/>
      <c r="P480" s="1252"/>
      <c r="Q480" s="1252"/>
      <c r="R480" s="1252"/>
      <c r="S480" s="1252"/>
      <c r="T480" s="1252"/>
      <c r="U480" s="1252"/>
      <c r="V480" s="1252"/>
      <c r="W480" s="1252"/>
      <c r="X480" s="1252"/>
      <c r="Y480" s="1252"/>
      <c r="Z480" s="1252"/>
      <c r="AA480" s="1252"/>
      <c r="AB480" s="1252"/>
      <c r="AC480" s="1252"/>
      <c r="AD480" s="1252"/>
      <c r="AE480" s="1252"/>
      <c r="AF480" s="1252"/>
      <c r="AG480" s="1252"/>
      <c r="AH480" s="1252"/>
      <c r="AI480" s="1252"/>
      <c r="AJ480" s="1252"/>
      <c r="AK480" s="1252"/>
      <c r="AL480" s="1252"/>
      <c r="AM480" s="1252"/>
      <c r="AN480" s="1252"/>
      <c r="AO480" s="1252"/>
      <c r="AP480" s="1252"/>
      <c r="AQ480" s="807"/>
      <c r="AR480" s="807"/>
      <c r="AS480" s="807"/>
      <c r="AT480" s="807"/>
      <c r="AU480" s="807"/>
      <c r="AV480" s="807"/>
      <c r="AW480" s="1304"/>
      <c r="AX480" s="112"/>
      <c r="AY480" s="112"/>
      <c r="AZ480" s="112"/>
      <c r="BA480" s="163"/>
      <c r="BB480" s="163"/>
      <c r="BC480" s="163"/>
      <c r="BE480" s="163"/>
      <c r="BG480" s="1329"/>
      <c r="BH480" s="112"/>
      <c r="BI480" s="1330"/>
      <c r="BJ480" s="1262"/>
      <c r="BK480" s="163"/>
      <c r="BL480" s="163"/>
      <c r="BM480" s="163"/>
      <c r="BN480" s="163"/>
    </row>
    <row r="481" customFormat="false" ht="12.75" hidden="false" customHeight="false" outlineLevel="0" collapsed="false">
      <c r="B481" s="1252"/>
      <c r="C481" s="1252"/>
      <c r="D481" s="1252"/>
      <c r="E481" s="1252"/>
      <c r="F481" s="1252"/>
      <c r="G481" s="1252"/>
      <c r="H481" s="1252"/>
      <c r="I481" s="1252"/>
      <c r="J481" s="1252"/>
      <c r="K481" s="1254"/>
      <c r="L481" s="1252"/>
      <c r="M481" s="1252"/>
      <c r="N481" s="1252"/>
      <c r="O481" s="1252"/>
      <c r="P481" s="1252"/>
      <c r="Q481" s="1252"/>
      <c r="R481" s="1252"/>
      <c r="S481" s="1252"/>
      <c r="T481" s="1252"/>
      <c r="U481" s="1252"/>
      <c r="V481" s="1252"/>
      <c r="W481" s="1252"/>
      <c r="X481" s="1252"/>
      <c r="Y481" s="1252"/>
      <c r="Z481" s="1252"/>
      <c r="AA481" s="1252"/>
      <c r="AB481" s="1252"/>
      <c r="AC481" s="1252"/>
      <c r="AD481" s="1252"/>
      <c r="AE481" s="1252"/>
      <c r="AF481" s="1252"/>
      <c r="AG481" s="1252"/>
      <c r="AH481" s="1252"/>
      <c r="AI481" s="1252"/>
      <c r="AJ481" s="1252"/>
      <c r="AK481" s="1252"/>
      <c r="AL481" s="1252"/>
      <c r="AM481" s="1252"/>
      <c r="AN481" s="1252"/>
      <c r="AO481" s="1252"/>
      <c r="AP481" s="1252"/>
      <c r="AQ481" s="807"/>
      <c r="AR481" s="807"/>
      <c r="AS481" s="807"/>
      <c r="AT481" s="807"/>
      <c r="AU481" s="807"/>
      <c r="AV481" s="807"/>
      <c r="AW481" s="1304"/>
      <c r="AX481" s="112"/>
      <c r="AY481" s="112"/>
      <c r="AZ481" s="112"/>
      <c r="BA481" s="163"/>
      <c r="BB481" s="163"/>
      <c r="BC481" s="163"/>
      <c r="BE481" s="163"/>
      <c r="BG481" s="1329"/>
      <c r="BH481" s="112"/>
      <c r="BI481" s="1330"/>
      <c r="BJ481" s="1262"/>
      <c r="BK481" s="163"/>
      <c r="BL481" s="163"/>
      <c r="BM481" s="163"/>
      <c r="BN481" s="163"/>
    </row>
    <row r="482" customFormat="false" ht="12.75" hidden="false" customHeight="false" outlineLevel="0" collapsed="false">
      <c r="B482" s="1252"/>
      <c r="C482" s="1252"/>
      <c r="D482" s="1252"/>
      <c r="E482" s="1252"/>
      <c r="F482" s="1252"/>
      <c r="G482" s="1252"/>
      <c r="H482" s="1252"/>
      <c r="I482" s="1252"/>
      <c r="J482" s="1252"/>
      <c r="K482" s="1254"/>
      <c r="L482" s="1252"/>
      <c r="M482" s="1252"/>
      <c r="N482" s="1252"/>
      <c r="O482" s="1252"/>
      <c r="P482" s="1252"/>
      <c r="Q482" s="1252"/>
      <c r="R482" s="1252"/>
      <c r="S482" s="1252"/>
      <c r="T482" s="1252"/>
      <c r="U482" s="1252"/>
      <c r="V482" s="1252"/>
      <c r="W482" s="1252"/>
      <c r="X482" s="1252"/>
      <c r="Y482" s="1252"/>
      <c r="Z482" s="1252"/>
      <c r="AA482" s="1252"/>
      <c r="AB482" s="1252"/>
      <c r="AC482" s="1252"/>
      <c r="AD482" s="1252"/>
      <c r="AE482" s="1252"/>
      <c r="AF482" s="1252"/>
      <c r="AG482" s="1252"/>
      <c r="AH482" s="1252"/>
      <c r="AI482" s="1252"/>
      <c r="AJ482" s="1252"/>
      <c r="AK482" s="1252"/>
      <c r="AL482" s="1252"/>
      <c r="AM482" s="1252"/>
      <c r="AN482" s="1252"/>
      <c r="AO482" s="1252"/>
      <c r="AP482" s="1252"/>
      <c r="AQ482" s="807"/>
      <c r="AR482" s="807"/>
      <c r="AS482" s="807"/>
      <c r="AT482" s="807"/>
      <c r="AU482" s="807"/>
      <c r="AV482" s="807"/>
      <c r="AW482" s="1304"/>
      <c r="AX482" s="112"/>
      <c r="AY482" s="112"/>
      <c r="AZ482" s="112"/>
      <c r="BA482" s="163"/>
      <c r="BB482" s="163"/>
      <c r="BC482" s="163"/>
      <c r="BE482" s="163"/>
      <c r="BG482" s="1329"/>
      <c r="BH482" s="112"/>
      <c r="BI482" s="1330"/>
      <c r="BJ482" s="1262"/>
      <c r="BK482" s="163"/>
      <c r="BL482" s="163"/>
      <c r="BM482" s="163"/>
      <c r="BN482" s="163"/>
    </row>
    <row r="483" customFormat="false" ht="12.75" hidden="false" customHeight="false" outlineLevel="0" collapsed="false">
      <c r="B483" s="1252"/>
      <c r="C483" s="1252"/>
      <c r="D483" s="1252"/>
      <c r="E483" s="1252"/>
      <c r="F483" s="1252"/>
      <c r="G483" s="1252"/>
      <c r="H483" s="1252"/>
      <c r="I483" s="1252"/>
      <c r="J483" s="1252"/>
      <c r="K483" s="1254"/>
      <c r="L483" s="1252"/>
      <c r="M483" s="1252"/>
      <c r="N483" s="1252"/>
      <c r="O483" s="1252"/>
      <c r="P483" s="1252"/>
      <c r="Q483" s="1252"/>
      <c r="R483" s="1252"/>
      <c r="S483" s="1252"/>
      <c r="T483" s="1252"/>
      <c r="U483" s="1252"/>
      <c r="V483" s="1252"/>
      <c r="W483" s="1252"/>
      <c r="X483" s="1252"/>
      <c r="Y483" s="1252"/>
      <c r="Z483" s="1252"/>
      <c r="AA483" s="1252"/>
      <c r="AB483" s="1252"/>
      <c r="AC483" s="1252"/>
      <c r="AD483" s="1252"/>
      <c r="AE483" s="1252"/>
      <c r="AF483" s="1252"/>
      <c r="AG483" s="1252"/>
      <c r="AH483" s="1252"/>
      <c r="AI483" s="1252"/>
      <c r="AJ483" s="1252"/>
      <c r="AK483" s="1252"/>
      <c r="AL483" s="1252"/>
      <c r="AM483" s="1252"/>
      <c r="AN483" s="1252"/>
      <c r="AO483" s="1252"/>
      <c r="AP483" s="1252"/>
      <c r="AQ483" s="807"/>
      <c r="AR483" s="807"/>
      <c r="AS483" s="807"/>
      <c r="AT483" s="807"/>
      <c r="AU483" s="807"/>
      <c r="AV483" s="807"/>
      <c r="AW483" s="1304"/>
      <c r="AX483" s="112"/>
      <c r="AY483" s="112"/>
      <c r="AZ483" s="112"/>
      <c r="BA483" s="163"/>
      <c r="BB483" s="163"/>
      <c r="BC483" s="163"/>
      <c r="BE483" s="163"/>
      <c r="BG483" s="1329"/>
      <c r="BH483" s="112"/>
      <c r="BI483" s="1330"/>
      <c r="BJ483" s="1262"/>
      <c r="BK483" s="163"/>
      <c r="BL483" s="163"/>
      <c r="BM483" s="163"/>
      <c r="BN483" s="163"/>
    </row>
    <row r="484" customFormat="false" ht="12.75" hidden="false" customHeight="false" outlineLevel="0" collapsed="false">
      <c r="B484" s="1252"/>
      <c r="C484" s="1252"/>
      <c r="D484" s="1252"/>
      <c r="E484" s="1252"/>
      <c r="F484" s="1252"/>
      <c r="G484" s="1252"/>
      <c r="H484" s="1252"/>
      <c r="I484" s="1252"/>
      <c r="J484" s="1252"/>
      <c r="K484" s="1254"/>
      <c r="L484" s="1252"/>
      <c r="M484" s="1252"/>
      <c r="N484" s="1252"/>
      <c r="O484" s="1252"/>
      <c r="P484" s="1252"/>
      <c r="Q484" s="1252"/>
      <c r="R484" s="1252"/>
      <c r="S484" s="1252"/>
      <c r="T484" s="1252"/>
      <c r="U484" s="1252"/>
      <c r="V484" s="1252"/>
      <c r="W484" s="1252"/>
      <c r="X484" s="1252"/>
      <c r="Y484" s="1252"/>
      <c r="Z484" s="1252"/>
      <c r="AA484" s="1252"/>
      <c r="AB484" s="1252"/>
      <c r="AC484" s="1252"/>
      <c r="AD484" s="1252"/>
      <c r="AE484" s="1252"/>
      <c r="AF484" s="1252"/>
      <c r="AG484" s="1252"/>
      <c r="AH484" s="1252"/>
      <c r="AI484" s="1252"/>
      <c r="AJ484" s="1252"/>
      <c r="AK484" s="1252"/>
      <c r="AL484" s="1252"/>
      <c r="AM484" s="1252"/>
      <c r="AN484" s="1252"/>
      <c r="AO484" s="1252"/>
      <c r="AP484" s="1252"/>
      <c r="AQ484" s="807"/>
      <c r="AR484" s="807"/>
      <c r="AS484" s="807"/>
      <c r="AT484" s="807"/>
      <c r="AU484" s="807"/>
      <c r="AV484" s="807"/>
      <c r="AW484" s="1304"/>
      <c r="AX484" s="112"/>
      <c r="AY484" s="112"/>
      <c r="AZ484" s="112"/>
      <c r="BA484" s="163"/>
      <c r="BB484" s="163"/>
      <c r="BC484" s="163"/>
      <c r="BE484" s="163"/>
      <c r="BG484" s="1329"/>
      <c r="BH484" s="112"/>
      <c r="BI484" s="1330"/>
      <c r="BJ484" s="1262"/>
      <c r="BK484" s="163"/>
      <c r="BL484" s="163"/>
      <c r="BM484" s="163"/>
      <c r="BN484" s="163"/>
    </row>
    <row r="485" customFormat="false" ht="12.75" hidden="false" customHeight="false" outlineLevel="0" collapsed="false">
      <c r="B485" s="1252"/>
      <c r="C485" s="1252"/>
      <c r="D485" s="1252"/>
      <c r="E485" s="1252"/>
      <c r="F485" s="1252"/>
      <c r="G485" s="1252"/>
      <c r="H485" s="1252"/>
      <c r="I485" s="1252"/>
      <c r="J485" s="1252"/>
      <c r="K485" s="1254"/>
      <c r="L485" s="1252"/>
      <c r="M485" s="1252"/>
      <c r="N485" s="1252"/>
      <c r="O485" s="1252"/>
      <c r="P485" s="1252"/>
      <c r="Q485" s="1252"/>
      <c r="R485" s="1252"/>
      <c r="S485" s="1252"/>
      <c r="T485" s="1252"/>
      <c r="U485" s="1252"/>
      <c r="V485" s="1252"/>
      <c r="W485" s="1252"/>
      <c r="X485" s="1252"/>
      <c r="Y485" s="1252"/>
      <c r="Z485" s="1252"/>
      <c r="AA485" s="1252"/>
      <c r="AB485" s="1252"/>
      <c r="AC485" s="1252"/>
      <c r="AD485" s="1252"/>
      <c r="AE485" s="1252"/>
      <c r="AF485" s="1252"/>
      <c r="AG485" s="1252"/>
      <c r="AH485" s="1252"/>
      <c r="AI485" s="1252"/>
      <c r="AJ485" s="1252"/>
      <c r="AK485" s="1252"/>
      <c r="AL485" s="1252"/>
      <c r="AM485" s="1252"/>
      <c r="AN485" s="1252"/>
      <c r="AO485" s="1252"/>
      <c r="AP485" s="1252"/>
      <c r="AQ485" s="807"/>
      <c r="AR485" s="807"/>
      <c r="AS485" s="807"/>
      <c r="AT485" s="807"/>
      <c r="AU485" s="807"/>
      <c r="AV485" s="807"/>
      <c r="AW485" s="1304"/>
      <c r="AX485" s="112"/>
      <c r="AY485" s="112"/>
      <c r="AZ485" s="112"/>
      <c r="BA485" s="163"/>
      <c r="BB485" s="163"/>
      <c r="BC485" s="163"/>
      <c r="BE485" s="163"/>
      <c r="BG485" s="1329"/>
      <c r="BH485" s="112"/>
      <c r="BI485" s="1330"/>
      <c r="BJ485" s="1262"/>
      <c r="BK485" s="163"/>
      <c r="BL485" s="163"/>
      <c r="BM485" s="163"/>
      <c r="BN485" s="163"/>
    </row>
    <row r="486" customFormat="false" ht="12.75" hidden="false" customHeight="false" outlineLevel="0" collapsed="false">
      <c r="B486" s="1252"/>
      <c r="C486" s="1252"/>
      <c r="D486" s="1252"/>
      <c r="E486" s="1252"/>
      <c r="F486" s="1252"/>
      <c r="G486" s="1252"/>
      <c r="H486" s="1252"/>
      <c r="I486" s="1252"/>
      <c r="J486" s="1252"/>
      <c r="K486" s="1254"/>
      <c r="L486" s="1252"/>
      <c r="M486" s="1252"/>
      <c r="N486" s="1252"/>
      <c r="O486" s="1252"/>
      <c r="P486" s="1252"/>
      <c r="Q486" s="1252"/>
      <c r="R486" s="1252"/>
      <c r="S486" s="1252"/>
      <c r="T486" s="1252"/>
      <c r="U486" s="1252"/>
      <c r="V486" s="1252"/>
      <c r="W486" s="1252"/>
      <c r="X486" s="1252"/>
      <c r="Y486" s="1252"/>
      <c r="Z486" s="1252"/>
      <c r="AA486" s="1252"/>
      <c r="AB486" s="1252"/>
      <c r="AC486" s="1252"/>
      <c r="AD486" s="1252"/>
      <c r="AE486" s="1252"/>
      <c r="AF486" s="1252"/>
      <c r="AG486" s="1252"/>
      <c r="AH486" s="1252"/>
      <c r="AI486" s="1252"/>
      <c r="AJ486" s="1252"/>
      <c r="AK486" s="1252"/>
      <c r="AL486" s="1252"/>
      <c r="AM486" s="1252"/>
      <c r="AN486" s="1252"/>
      <c r="AO486" s="1252"/>
      <c r="AP486" s="1252"/>
      <c r="AQ486" s="807"/>
      <c r="AR486" s="807"/>
      <c r="AS486" s="807"/>
      <c r="AT486" s="807"/>
      <c r="AU486" s="807"/>
      <c r="AV486" s="807"/>
      <c r="AW486" s="1304"/>
      <c r="AX486" s="112"/>
      <c r="AY486" s="112"/>
      <c r="AZ486" s="112"/>
      <c r="BA486" s="163"/>
      <c r="BB486" s="163"/>
      <c r="BC486" s="163"/>
      <c r="BE486" s="163"/>
      <c r="BG486" s="1329"/>
      <c r="BH486" s="112"/>
      <c r="BI486" s="1330"/>
      <c r="BJ486" s="1262"/>
      <c r="BK486" s="163"/>
      <c r="BL486" s="163"/>
      <c r="BM486" s="163"/>
      <c r="BN486" s="163"/>
    </row>
    <row r="487" customFormat="false" ht="12.75" hidden="false" customHeight="false" outlineLevel="0" collapsed="false">
      <c r="B487" s="1252"/>
      <c r="C487" s="1252"/>
      <c r="D487" s="1252"/>
      <c r="E487" s="1252"/>
      <c r="F487" s="1252"/>
      <c r="G487" s="1252"/>
      <c r="H487" s="1252"/>
      <c r="I487" s="1252"/>
      <c r="J487" s="1252"/>
      <c r="K487" s="1254"/>
      <c r="L487" s="1252"/>
      <c r="M487" s="1252"/>
      <c r="N487" s="1252"/>
      <c r="O487" s="1252"/>
      <c r="P487" s="1252"/>
      <c r="Q487" s="1252"/>
      <c r="R487" s="1252"/>
      <c r="S487" s="1252"/>
      <c r="T487" s="1252"/>
      <c r="U487" s="1252"/>
      <c r="V487" s="1252"/>
      <c r="W487" s="1252"/>
      <c r="X487" s="1252"/>
      <c r="Y487" s="1252"/>
      <c r="Z487" s="1252"/>
      <c r="AA487" s="1252"/>
      <c r="AB487" s="1252"/>
      <c r="AC487" s="1252"/>
      <c r="AD487" s="1252"/>
      <c r="AE487" s="1252"/>
      <c r="AF487" s="1252"/>
      <c r="AG487" s="1252"/>
      <c r="AH487" s="1252"/>
      <c r="AI487" s="1252"/>
      <c r="AJ487" s="1252"/>
      <c r="AK487" s="1252"/>
      <c r="AL487" s="1252"/>
      <c r="AM487" s="1252"/>
      <c r="AN487" s="1252"/>
      <c r="AO487" s="1252"/>
      <c r="AP487" s="1252"/>
      <c r="AQ487" s="807"/>
      <c r="AR487" s="807"/>
      <c r="AS487" s="807"/>
      <c r="AT487" s="807"/>
      <c r="AU487" s="807"/>
      <c r="AV487" s="807"/>
      <c r="AW487" s="1304"/>
      <c r="AX487" s="112"/>
      <c r="AY487" s="112"/>
      <c r="AZ487" s="112"/>
      <c r="BA487" s="163"/>
      <c r="BB487" s="163"/>
      <c r="BC487" s="163"/>
      <c r="BE487" s="163"/>
      <c r="BG487" s="1329"/>
      <c r="BH487" s="112"/>
      <c r="BI487" s="1330"/>
      <c r="BJ487" s="1262"/>
      <c r="BK487" s="163"/>
      <c r="BL487" s="163"/>
      <c r="BM487" s="163"/>
      <c r="BN487" s="163"/>
    </row>
    <row r="488" customFormat="false" ht="12.75" hidden="false" customHeight="false" outlineLevel="0" collapsed="false">
      <c r="B488" s="1252"/>
      <c r="C488" s="1252"/>
      <c r="D488" s="1252"/>
      <c r="E488" s="1252"/>
      <c r="F488" s="1252"/>
      <c r="G488" s="1252"/>
      <c r="H488" s="1252"/>
      <c r="I488" s="1252"/>
      <c r="J488" s="1252"/>
      <c r="K488" s="1254"/>
      <c r="L488" s="1252"/>
      <c r="M488" s="1252"/>
      <c r="N488" s="1252"/>
      <c r="O488" s="1252"/>
      <c r="P488" s="1252"/>
      <c r="Q488" s="1252"/>
      <c r="R488" s="1252"/>
      <c r="S488" s="1252"/>
      <c r="T488" s="1252"/>
      <c r="U488" s="1252"/>
      <c r="V488" s="1252"/>
      <c r="W488" s="1252"/>
      <c r="X488" s="1252"/>
      <c r="Y488" s="1252"/>
      <c r="Z488" s="1252"/>
      <c r="AA488" s="1252"/>
      <c r="AB488" s="1252"/>
      <c r="AC488" s="1252"/>
      <c r="AD488" s="1252"/>
      <c r="AE488" s="1252"/>
      <c r="AF488" s="1252"/>
      <c r="AG488" s="1252"/>
      <c r="AH488" s="1252"/>
      <c r="AI488" s="1252"/>
      <c r="AJ488" s="1252"/>
      <c r="AK488" s="1252"/>
      <c r="AL488" s="1252"/>
      <c r="AM488" s="1252"/>
      <c r="AN488" s="1252"/>
      <c r="AO488" s="1252"/>
      <c r="AP488" s="1252"/>
      <c r="AQ488" s="807"/>
      <c r="AR488" s="807"/>
      <c r="AS488" s="807"/>
      <c r="AT488" s="807"/>
      <c r="AU488" s="807"/>
      <c r="AV488" s="807"/>
      <c r="AW488" s="1304"/>
      <c r="AX488" s="112"/>
      <c r="AY488" s="112"/>
      <c r="AZ488" s="112"/>
      <c r="BA488" s="163"/>
      <c r="BB488" s="163"/>
      <c r="BC488" s="163"/>
      <c r="BE488" s="163"/>
      <c r="BG488" s="1329"/>
      <c r="BH488" s="112"/>
      <c r="BI488" s="1330"/>
      <c r="BJ488" s="1262"/>
      <c r="BK488" s="163"/>
      <c r="BL488" s="163"/>
      <c r="BM488" s="163"/>
      <c r="BN488" s="163"/>
    </row>
    <row r="489" customFormat="false" ht="12.75" hidden="false" customHeight="false" outlineLevel="0" collapsed="false">
      <c r="B489" s="1252"/>
      <c r="C489" s="1252"/>
      <c r="D489" s="1252"/>
      <c r="E489" s="1252"/>
      <c r="F489" s="1252"/>
      <c r="G489" s="1252"/>
      <c r="H489" s="1252"/>
      <c r="I489" s="1252"/>
      <c r="J489" s="1252"/>
      <c r="K489" s="1254"/>
      <c r="L489" s="1252"/>
      <c r="M489" s="1252"/>
      <c r="N489" s="1252"/>
      <c r="O489" s="1252"/>
      <c r="P489" s="1252"/>
      <c r="Q489" s="1252"/>
      <c r="R489" s="1252"/>
      <c r="S489" s="1252"/>
      <c r="T489" s="1252"/>
      <c r="U489" s="1252"/>
      <c r="V489" s="1252"/>
      <c r="W489" s="1252"/>
      <c r="X489" s="1252"/>
      <c r="Y489" s="1252"/>
      <c r="Z489" s="1252"/>
      <c r="AA489" s="1252"/>
      <c r="AB489" s="1252"/>
      <c r="AC489" s="1252"/>
      <c r="AD489" s="1252"/>
      <c r="AE489" s="1252"/>
      <c r="AF489" s="1252"/>
      <c r="AG489" s="1252"/>
      <c r="AH489" s="1252"/>
      <c r="AI489" s="1252"/>
      <c r="AJ489" s="1252"/>
      <c r="AK489" s="1252"/>
      <c r="AL489" s="1252"/>
      <c r="AM489" s="1252"/>
      <c r="AN489" s="1252"/>
      <c r="AO489" s="1252"/>
      <c r="AP489" s="1252"/>
      <c r="AQ489" s="807"/>
      <c r="AR489" s="807"/>
      <c r="AS489" s="807"/>
      <c r="AT489" s="807"/>
      <c r="AU489" s="807"/>
      <c r="AV489" s="807"/>
      <c r="AW489" s="1304"/>
      <c r="AX489" s="112"/>
      <c r="AY489" s="112"/>
      <c r="AZ489" s="112"/>
      <c r="BA489" s="163"/>
      <c r="BB489" s="163"/>
      <c r="BC489" s="163"/>
      <c r="BE489" s="163"/>
      <c r="BG489" s="1329"/>
      <c r="BH489" s="112"/>
      <c r="BI489" s="1330"/>
      <c r="BJ489" s="1262"/>
      <c r="BK489" s="163"/>
      <c r="BL489" s="163"/>
      <c r="BM489" s="163"/>
      <c r="BN489" s="163"/>
    </row>
    <row r="490" customFormat="false" ht="12.75" hidden="false" customHeight="false" outlineLevel="0" collapsed="false">
      <c r="B490" s="1252"/>
      <c r="C490" s="1252"/>
      <c r="D490" s="1252"/>
      <c r="E490" s="1252"/>
      <c r="F490" s="1252"/>
      <c r="G490" s="1252"/>
      <c r="H490" s="1252"/>
      <c r="I490" s="1252"/>
      <c r="J490" s="1252"/>
      <c r="K490" s="1254"/>
      <c r="L490" s="1252"/>
      <c r="M490" s="1252"/>
      <c r="N490" s="1252"/>
      <c r="O490" s="1252"/>
      <c r="P490" s="1252"/>
      <c r="Q490" s="1252"/>
      <c r="R490" s="1252"/>
      <c r="S490" s="1252"/>
      <c r="T490" s="1252"/>
      <c r="U490" s="1252"/>
      <c r="V490" s="1252"/>
      <c r="W490" s="1252"/>
      <c r="X490" s="1252"/>
      <c r="Y490" s="1252"/>
      <c r="Z490" s="1252"/>
      <c r="AA490" s="1252"/>
      <c r="AB490" s="1252"/>
      <c r="AC490" s="1252"/>
      <c r="AD490" s="1252"/>
      <c r="AE490" s="1252"/>
      <c r="AF490" s="1252"/>
      <c r="AG490" s="1252"/>
      <c r="AH490" s="1252"/>
      <c r="AI490" s="1252"/>
      <c r="AJ490" s="1252"/>
      <c r="AK490" s="1252"/>
      <c r="AL490" s="1252"/>
      <c r="AM490" s="1252"/>
      <c r="AN490" s="1252"/>
      <c r="AO490" s="1252"/>
      <c r="AP490" s="1252"/>
      <c r="AQ490" s="807"/>
      <c r="AR490" s="807"/>
      <c r="AS490" s="807"/>
      <c r="AT490" s="807"/>
      <c r="AU490" s="807"/>
      <c r="AV490" s="807"/>
      <c r="AW490" s="1304"/>
      <c r="AX490" s="112"/>
      <c r="AY490" s="112"/>
      <c r="AZ490" s="112"/>
      <c r="BA490" s="163"/>
      <c r="BB490" s="163"/>
      <c r="BC490" s="163"/>
      <c r="BE490" s="163"/>
      <c r="BG490" s="1329"/>
      <c r="BH490" s="112"/>
      <c r="BI490" s="1330"/>
      <c r="BJ490" s="1262"/>
      <c r="BK490" s="163"/>
      <c r="BL490" s="163"/>
      <c r="BM490" s="163"/>
      <c r="BN490" s="163"/>
    </row>
    <row r="491" customFormat="false" ht="12.75" hidden="false" customHeight="false" outlineLevel="0" collapsed="false">
      <c r="B491" s="1252"/>
      <c r="C491" s="1252"/>
      <c r="D491" s="1252"/>
      <c r="E491" s="1252"/>
      <c r="F491" s="1252"/>
      <c r="G491" s="1252"/>
      <c r="H491" s="1252"/>
      <c r="I491" s="1252"/>
      <c r="J491" s="1252"/>
      <c r="K491" s="1254"/>
      <c r="L491" s="1252"/>
      <c r="M491" s="1252"/>
      <c r="N491" s="1252"/>
      <c r="O491" s="1252"/>
      <c r="P491" s="1252"/>
      <c r="Q491" s="1252"/>
      <c r="R491" s="1252"/>
      <c r="S491" s="1252"/>
      <c r="T491" s="1252"/>
      <c r="U491" s="1252"/>
      <c r="V491" s="1252"/>
      <c r="W491" s="1252"/>
      <c r="X491" s="1252"/>
      <c r="Y491" s="1252"/>
      <c r="Z491" s="1252"/>
      <c r="AA491" s="1252"/>
      <c r="AB491" s="1252"/>
      <c r="AC491" s="1252"/>
      <c r="AD491" s="1252"/>
      <c r="AE491" s="1252"/>
      <c r="AF491" s="1252"/>
      <c r="AG491" s="1252"/>
      <c r="AH491" s="1252"/>
      <c r="AI491" s="1252"/>
      <c r="AJ491" s="1252"/>
      <c r="AK491" s="1252"/>
      <c r="AL491" s="1252"/>
      <c r="AM491" s="1252"/>
      <c r="AN491" s="1252"/>
      <c r="AO491" s="1252"/>
      <c r="AP491" s="1252"/>
      <c r="AQ491" s="807"/>
      <c r="AR491" s="807"/>
      <c r="AS491" s="807"/>
      <c r="AT491" s="807"/>
      <c r="AU491" s="807"/>
      <c r="AV491" s="807"/>
      <c r="AW491" s="1304"/>
      <c r="AX491" s="112"/>
      <c r="AY491" s="112"/>
      <c r="AZ491" s="112"/>
      <c r="BA491" s="163"/>
      <c r="BB491" s="163"/>
      <c r="BC491" s="163"/>
      <c r="BE491" s="163"/>
      <c r="BG491" s="1329"/>
      <c r="BH491" s="112"/>
      <c r="BI491" s="1330"/>
      <c r="BJ491" s="1262"/>
      <c r="BK491" s="163"/>
      <c r="BL491" s="163"/>
      <c r="BM491" s="163"/>
      <c r="BN491" s="163"/>
    </row>
    <row r="492" customFormat="false" ht="12.75" hidden="false" customHeight="false" outlineLevel="0" collapsed="false">
      <c r="B492" s="1252"/>
      <c r="C492" s="1252"/>
      <c r="D492" s="1252"/>
      <c r="E492" s="1252"/>
      <c r="F492" s="1252"/>
      <c r="G492" s="1252"/>
      <c r="H492" s="1252"/>
      <c r="I492" s="1252"/>
      <c r="J492" s="1252"/>
      <c r="K492" s="1254"/>
      <c r="L492" s="1252"/>
      <c r="M492" s="1252"/>
      <c r="N492" s="1252"/>
      <c r="O492" s="1252"/>
      <c r="P492" s="1252"/>
      <c r="Q492" s="1252"/>
      <c r="R492" s="1252"/>
      <c r="S492" s="1252"/>
      <c r="T492" s="1252"/>
      <c r="U492" s="1252"/>
      <c r="V492" s="1252"/>
      <c r="W492" s="1252"/>
      <c r="X492" s="1252"/>
      <c r="Y492" s="1252"/>
      <c r="Z492" s="1252"/>
      <c r="AA492" s="1252"/>
      <c r="AB492" s="1252"/>
      <c r="AC492" s="1252"/>
      <c r="AD492" s="1252"/>
      <c r="AE492" s="1252"/>
      <c r="AF492" s="1252"/>
      <c r="AG492" s="1252"/>
      <c r="AH492" s="1252"/>
      <c r="AI492" s="1252"/>
      <c r="AJ492" s="1252"/>
      <c r="AK492" s="1252"/>
      <c r="AL492" s="1252"/>
      <c r="AM492" s="1252"/>
      <c r="AN492" s="1252"/>
      <c r="AO492" s="1252"/>
      <c r="AP492" s="1252"/>
      <c r="AQ492" s="807"/>
      <c r="AR492" s="807"/>
      <c r="AS492" s="807"/>
      <c r="AT492" s="807"/>
      <c r="AU492" s="807"/>
      <c r="AV492" s="807"/>
      <c r="AW492" s="1304"/>
      <c r="AX492" s="112"/>
      <c r="AY492" s="112"/>
      <c r="AZ492" s="112"/>
      <c r="BA492" s="163"/>
      <c r="BB492" s="163"/>
      <c r="BC492" s="163"/>
      <c r="BE492" s="163"/>
      <c r="BG492" s="1329"/>
      <c r="BH492" s="112"/>
      <c r="BI492" s="1330"/>
      <c r="BJ492" s="1262"/>
      <c r="BK492" s="163"/>
      <c r="BL492" s="163"/>
      <c r="BM492" s="163"/>
      <c r="BN492" s="163"/>
    </row>
    <row r="493" customFormat="false" ht="12.75" hidden="false" customHeight="false" outlineLevel="0" collapsed="false">
      <c r="B493" s="1252"/>
      <c r="C493" s="1252"/>
      <c r="D493" s="1252"/>
      <c r="E493" s="1252"/>
      <c r="F493" s="1252"/>
      <c r="G493" s="1252"/>
      <c r="H493" s="1252"/>
      <c r="I493" s="1252"/>
      <c r="J493" s="1252"/>
      <c r="K493" s="1254"/>
      <c r="L493" s="1252"/>
      <c r="M493" s="1252"/>
      <c r="N493" s="1252"/>
      <c r="O493" s="1252"/>
      <c r="P493" s="1252"/>
      <c r="Q493" s="1252"/>
      <c r="R493" s="1252"/>
      <c r="S493" s="1252"/>
      <c r="T493" s="1252"/>
      <c r="U493" s="1252"/>
      <c r="V493" s="1252"/>
      <c r="W493" s="1252"/>
      <c r="X493" s="1252"/>
      <c r="Y493" s="1252"/>
      <c r="Z493" s="1252"/>
      <c r="AA493" s="1252"/>
      <c r="AB493" s="1252"/>
      <c r="AC493" s="1252"/>
      <c r="AD493" s="1252"/>
      <c r="AE493" s="1252"/>
      <c r="AF493" s="1252"/>
      <c r="AG493" s="1252"/>
      <c r="AH493" s="1252"/>
      <c r="AI493" s="1252"/>
      <c r="AJ493" s="1252"/>
      <c r="AK493" s="1252"/>
      <c r="AL493" s="1252"/>
      <c r="AM493" s="1252"/>
      <c r="AN493" s="1252"/>
      <c r="AO493" s="1252"/>
      <c r="AP493" s="1252"/>
      <c r="AQ493" s="807"/>
      <c r="AR493" s="807"/>
      <c r="AS493" s="807"/>
      <c r="AT493" s="807"/>
      <c r="AU493" s="807"/>
      <c r="AV493" s="807"/>
      <c r="AW493" s="1304"/>
      <c r="AX493" s="112"/>
      <c r="AY493" s="112"/>
      <c r="AZ493" s="112"/>
      <c r="BA493" s="163"/>
      <c r="BB493" s="163"/>
      <c r="BC493" s="163"/>
      <c r="BE493" s="163"/>
      <c r="BG493" s="1329"/>
      <c r="BH493" s="112"/>
      <c r="BI493" s="1330"/>
      <c r="BJ493" s="1262"/>
      <c r="BK493" s="163"/>
      <c r="BL493" s="163"/>
      <c r="BM493" s="163"/>
      <c r="BN493" s="163"/>
    </row>
    <row r="494" customFormat="false" ht="12.75" hidden="false" customHeight="false" outlineLevel="0" collapsed="false">
      <c r="B494" s="1252"/>
      <c r="C494" s="1252"/>
      <c r="D494" s="1252"/>
      <c r="E494" s="1252"/>
      <c r="F494" s="1252"/>
      <c r="G494" s="1252"/>
      <c r="H494" s="1252"/>
      <c r="I494" s="1252"/>
      <c r="J494" s="1252"/>
      <c r="K494" s="1254"/>
      <c r="L494" s="1252"/>
      <c r="M494" s="1252"/>
      <c r="N494" s="1252"/>
      <c r="O494" s="1252"/>
      <c r="P494" s="1252"/>
      <c r="Q494" s="1252"/>
      <c r="R494" s="1252"/>
      <c r="S494" s="1252"/>
      <c r="T494" s="1252"/>
      <c r="U494" s="1252"/>
      <c r="V494" s="1252"/>
      <c r="W494" s="1252"/>
      <c r="X494" s="1252"/>
      <c r="Y494" s="1252"/>
      <c r="Z494" s="1252"/>
      <c r="AA494" s="1252"/>
      <c r="AB494" s="1252"/>
      <c r="AC494" s="1252"/>
      <c r="AD494" s="1252"/>
      <c r="AE494" s="1252"/>
      <c r="AF494" s="1252"/>
      <c r="AG494" s="1252"/>
      <c r="AH494" s="1252"/>
      <c r="AI494" s="1252"/>
      <c r="AJ494" s="1252"/>
      <c r="AK494" s="1252"/>
      <c r="AL494" s="1252"/>
      <c r="AM494" s="1252"/>
      <c r="AN494" s="1252"/>
      <c r="AO494" s="1252"/>
      <c r="AP494" s="1252"/>
      <c r="AQ494" s="807"/>
      <c r="AR494" s="807"/>
      <c r="AS494" s="807"/>
      <c r="AT494" s="807"/>
      <c r="AU494" s="807"/>
      <c r="AV494" s="807"/>
      <c r="AW494" s="1304"/>
      <c r="AX494" s="112"/>
      <c r="AY494" s="112"/>
      <c r="AZ494" s="112"/>
      <c r="BA494" s="163"/>
      <c r="BB494" s="163"/>
      <c r="BC494" s="163"/>
      <c r="BE494" s="163"/>
      <c r="BG494" s="1329"/>
      <c r="BH494" s="112"/>
      <c r="BI494" s="1330"/>
      <c r="BJ494" s="1262"/>
      <c r="BK494" s="163"/>
      <c r="BL494" s="163"/>
      <c r="BM494" s="163"/>
      <c r="BN494" s="163"/>
    </row>
    <row r="495" customFormat="false" ht="12.75" hidden="false" customHeight="false" outlineLevel="0" collapsed="false">
      <c r="B495" s="1252"/>
      <c r="C495" s="1252"/>
      <c r="D495" s="1252"/>
      <c r="E495" s="1252"/>
      <c r="F495" s="1252"/>
      <c r="G495" s="1252"/>
      <c r="H495" s="1252"/>
      <c r="I495" s="1252"/>
      <c r="J495" s="1252"/>
      <c r="K495" s="1254"/>
      <c r="L495" s="1252"/>
      <c r="M495" s="1252"/>
      <c r="N495" s="1252"/>
      <c r="O495" s="1252"/>
      <c r="P495" s="1252"/>
      <c r="Q495" s="1252"/>
      <c r="R495" s="1252"/>
      <c r="S495" s="1252"/>
      <c r="T495" s="1252"/>
      <c r="U495" s="1252"/>
      <c r="V495" s="1252"/>
      <c r="W495" s="1252"/>
      <c r="X495" s="1252"/>
      <c r="Y495" s="1252"/>
      <c r="Z495" s="1252"/>
      <c r="AA495" s="1252"/>
      <c r="AB495" s="1252"/>
      <c r="AC495" s="1252"/>
      <c r="AD495" s="1252"/>
      <c r="AE495" s="1252"/>
      <c r="AF495" s="1252"/>
      <c r="AG495" s="1252"/>
      <c r="AH495" s="1252"/>
      <c r="AI495" s="1252"/>
      <c r="AJ495" s="1252"/>
      <c r="AK495" s="1252"/>
      <c r="AL495" s="1252"/>
      <c r="AM495" s="1252"/>
      <c r="AN495" s="1252"/>
      <c r="AO495" s="1252"/>
      <c r="AP495" s="1252"/>
      <c r="AQ495" s="807"/>
      <c r="AR495" s="807"/>
      <c r="AS495" s="807"/>
      <c r="AT495" s="807"/>
      <c r="AU495" s="807"/>
      <c r="AV495" s="807"/>
      <c r="AW495" s="1304"/>
      <c r="AX495" s="112"/>
      <c r="AY495" s="112"/>
      <c r="AZ495" s="112"/>
      <c r="BA495" s="163"/>
      <c r="BB495" s="163"/>
      <c r="BC495" s="163"/>
      <c r="BE495" s="163"/>
      <c r="BG495" s="1329"/>
      <c r="BH495" s="112"/>
      <c r="BI495" s="1330"/>
      <c r="BJ495" s="1262"/>
      <c r="BK495" s="163"/>
      <c r="BL495" s="163"/>
      <c r="BM495" s="163"/>
      <c r="BN495" s="163"/>
    </row>
    <row r="496" customFormat="false" ht="12.75" hidden="false" customHeight="false" outlineLevel="0" collapsed="false">
      <c r="B496" s="1252"/>
      <c r="C496" s="1252"/>
      <c r="D496" s="1252"/>
      <c r="E496" s="1252"/>
      <c r="F496" s="1252"/>
      <c r="G496" s="1252"/>
      <c r="H496" s="1252"/>
      <c r="I496" s="1252"/>
      <c r="J496" s="1252"/>
      <c r="K496" s="1254"/>
      <c r="L496" s="1252"/>
      <c r="M496" s="1252"/>
      <c r="N496" s="1252"/>
      <c r="O496" s="1252"/>
      <c r="P496" s="1252"/>
      <c r="Q496" s="1252"/>
      <c r="R496" s="1252"/>
      <c r="S496" s="1252"/>
      <c r="T496" s="1252"/>
      <c r="U496" s="1252"/>
      <c r="V496" s="1252"/>
      <c r="W496" s="1252"/>
      <c r="X496" s="1252"/>
      <c r="Y496" s="1252"/>
      <c r="Z496" s="1252"/>
      <c r="AA496" s="1252"/>
      <c r="AB496" s="1252"/>
      <c r="AC496" s="1252"/>
      <c r="AD496" s="1252"/>
      <c r="AE496" s="1252"/>
      <c r="AF496" s="1252"/>
      <c r="AG496" s="1252"/>
      <c r="AH496" s="1252"/>
      <c r="AI496" s="1252"/>
      <c r="AJ496" s="1252"/>
      <c r="AK496" s="1252"/>
      <c r="AL496" s="1252"/>
      <c r="AM496" s="1252"/>
      <c r="AN496" s="1252"/>
      <c r="AO496" s="1252"/>
      <c r="AP496" s="1252"/>
      <c r="AQ496" s="807"/>
      <c r="AR496" s="807"/>
      <c r="AS496" s="807"/>
      <c r="AT496" s="807"/>
      <c r="AU496" s="807"/>
      <c r="AV496" s="807"/>
      <c r="AW496" s="1304"/>
      <c r="AX496" s="112"/>
      <c r="AY496" s="112"/>
      <c r="AZ496" s="112"/>
      <c r="BA496" s="163"/>
      <c r="BB496" s="163"/>
      <c r="BC496" s="163"/>
      <c r="BE496" s="163"/>
      <c r="BG496" s="1329"/>
      <c r="BH496" s="112"/>
      <c r="BI496" s="1330"/>
      <c r="BJ496" s="1262"/>
      <c r="BK496" s="163"/>
      <c r="BL496" s="163"/>
      <c r="BM496" s="163"/>
      <c r="BN496" s="163"/>
    </row>
    <row r="497" customFormat="false" ht="12.75" hidden="false" customHeight="false" outlineLevel="0" collapsed="false">
      <c r="B497" s="1252"/>
      <c r="C497" s="1252"/>
      <c r="D497" s="1252"/>
      <c r="E497" s="1252"/>
      <c r="F497" s="1252"/>
      <c r="G497" s="1252"/>
      <c r="H497" s="1252"/>
      <c r="I497" s="1252"/>
      <c r="J497" s="1252"/>
      <c r="K497" s="1254"/>
      <c r="L497" s="1252"/>
      <c r="M497" s="1252"/>
      <c r="N497" s="1252"/>
      <c r="O497" s="1252"/>
      <c r="P497" s="1252"/>
      <c r="Q497" s="1252"/>
      <c r="R497" s="1252"/>
      <c r="S497" s="1252"/>
      <c r="T497" s="1252"/>
      <c r="U497" s="1252"/>
      <c r="V497" s="1252"/>
      <c r="W497" s="1252"/>
      <c r="X497" s="1252"/>
      <c r="Y497" s="1252"/>
      <c r="Z497" s="1252"/>
      <c r="AA497" s="1252"/>
      <c r="AB497" s="1252"/>
      <c r="AC497" s="1252"/>
      <c r="AD497" s="1252"/>
      <c r="AE497" s="1252"/>
      <c r="AF497" s="1252"/>
      <c r="AG497" s="1252"/>
      <c r="AH497" s="1252"/>
      <c r="AI497" s="1252"/>
      <c r="AJ497" s="1252"/>
      <c r="AK497" s="1252"/>
      <c r="AL497" s="1252"/>
      <c r="AM497" s="1252"/>
      <c r="AN497" s="1252"/>
      <c r="AO497" s="1252"/>
      <c r="AP497" s="1252"/>
      <c r="AQ497" s="807"/>
      <c r="AR497" s="807"/>
      <c r="AS497" s="807"/>
      <c r="AT497" s="807"/>
      <c r="AU497" s="807"/>
      <c r="AV497" s="807"/>
      <c r="AW497" s="1304"/>
      <c r="AX497" s="112"/>
      <c r="AY497" s="112"/>
      <c r="AZ497" s="112"/>
      <c r="BA497" s="163"/>
      <c r="BB497" s="163"/>
      <c r="BC497" s="163"/>
      <c r="BE497" s="163"/>
      <c r="BG497" s="1329"/>
      <c r="BH497" s="112"/>
      <c r="BI497" s="1330"/>
      <c r="BJ497" s="1262"/>
      <c r="BK497" s="163"/>
      <c r="BL497" s="163"/>
      <c r="BM497" s="163"/>
      <c r="BN497" s="163"/>
    </row>
    <row r="498" customFormat="false" ht="12.75" hidden="false" customHeight="false" outlineLevel="0" collapsed="false">
      <c r="B498" s="1252"/>
      <c r="C498" s="1252"/>
      <c r="D498" s="1252"/>
      <c r="E498" s="1252"/>
      <c r="F498" s="1252"/>
      <c r="G498" s="1252"/>
      <c r="H498" s="1252"/>
      <c r="I498" s="1252"/>
      <c r="J498" s="1252"/>
      <c r="K498" s="1254"/>
      <c r="L498" s="1252"/>
      <c r="M498" s="1252"/>
      <c r="N498" s="1252"/>
      <c r="O498" s="1252"/>
      <c r="P498" s="1252"/>
      <c r="Q498" s="1252"/>
      <c r="R498" s="1252"/>
      <c r="S498" s="1252"/>
      <c r="T498" s="1252"/>
      <c r="U498" s="1252"/>
      <c r="V498" s="1252"/>
      <c r="W498" s="1252"/>
      <c r="X498" s="1252"/>
      <c r="Y498" s="1252"/>
      <c r="Z498" s="1252"/>
      <c r="AA498" s="1252"/>
      <c r="AB498" s="1252"/>
      <c r="AC498" s="1252"/>
      <c r="AD498" s="1252"/>
      <c r="AE498" s="1252"/>
      <c r="AF498" s="1252"/>
      <c r="AG498" s="1252"/>
      <c r="AH498" s="1252"/>
      <c r="AI498" s="1252"/>
      <c r="AJ498" s="1252"/>
      <c r="AK498" s="1252"/>
      <c r="AL498" s="1252"/>
      <c r="AM498" s="1252"/>
      <c r="AN498" s="1252"/>
      <c r="AO498" s="1252"/>
      <c r="AP498" s="1252"/>
      <c r="AQ498" s="807"/>
      <c r="AR498" s="807"/>
      <c r="AS498" s="807"/>
      <c r="AT498" s="807"/>
      <c r="AU498" s="807"/>
      <c r="AV498" s="807"/>
      <c r="AW498" s="1304"/>
      <c r="AX498" s="112"/>
      <c r="AY498" s="112"/>
      <c r="AZ498" s="112"/>
      <c r="BA498" s="163"/>
      <c r="BB498" s="163"/>
      <c r="BC498" s="163"/>
      <c r="BE498" s="163"/>
      <c r="BG498" s="1329"/>
      <c r="BH498" s="112"/>
      <c r="BI498" s="1330"/>
      <c r="BJ498" s="1262"/>
      <c r="BK498" s="163"/>
      <c r="BL498" s="163"/>
      <c r="BM498" s="163"/>
      <c r="BN498" s="163"/>
    </row>
    <row r="499" customFormat="false" ht="12.75" hidden="false" customHeight="false" outlineLevel="0" collapsed="false">
      <c r="B499" s="1252"/>
      <c r="C499" s="1252"/>
      <c r="D499" s="1252"/>
      <c r="E499" s="1252"/>
      <c r="F499" s="1252"/>
      <c r="G499" s="1252"/>
      <c r="H499" s="1252"/>
      <c r="I499" s="1252"/>
      <c r="J499" s="1252"/>
      <c r="K499" s="1254"/>
      <c r="L499" s="1252"/>
      <c r="M499" s="1252"/>
      <c r="N499" s="1252"/>
      <c r="O499" s="1252"/>
      <c r="P499" s="1252"/>
      <c r="Q499" s="1252"/>
      <c r="R499" s="1252"/>
      <c r="S499" s="1252"/>
      <c r="T499" s="1252"/>
      <c r="U499" s="1252"/>
      <c r="V499" s="1252"/>
      <c r="W499" s="1252"/>
      <c r="X499" s="1252"/>
      <c r="Y499" s="1252"/>
      <c r="Z499" s="1252"/>
      <c r="AA499" s="1252"/>
      <c r="AB499" s="1252"/>
      <c r="AC499" s="1252"/>
      <c r="AD499" s="1252"/>
      <c r="AE499" s="1252"/>
      <c r="AF499" s="1252"/>
      <c r="AG499" s="1252"/>
      <c r="AH499" s="1252"/>
      <c r="AI499" s="1252"/>
      <c r="AJ499" s="1252"/>
      <c r="AK499" s="1252"/>
      <c r="AL499" s="1252"/>
      <c r="AM499" s="1252"/>
      <c r="AN499" s="1252"/>
      <c r="AO499" s="1252"/>
      <c r="AP499" s="1252"/>
      <c r="AQ499" s="807"/>
      <c r="AR499" s="807"/>
      <c r="AS499" s="807"/>
      <c r="AT499" s="807"/>
      <c r="AU499" s="807"/>
      <c r="AV499" s="807"/>
      <c r="AW499" s="1304"/>
      <c r="AX499" s="112"/>
      <c r="AY499" s="112"/>
      <c r="AZ499" s="112"/>
      <c r="BA499" s="163"/>
      <c r="BB499" s="163"/>
      <c r="BC499" s="163"/>
      <c r="BE499" s="163"/>
      <c r="BG499" s="1329"/>
      <c r="BH499" s="112"/>
      <c r="BI499" s="1330"/>
      <c r="BJ499" s="1262"/>
      <c r="BK499" s="163"/>
      <c r="BL499" s="163"/>
      <c r="BM499" s="163"/>
      <c r="BN499" s="163"/>
    </row>
    <row r="500" customFormat="false" ht="12.75" hidden="false" customHeight="false" outlineLevel="0" collapsed="false">
      <c r="B500" s="1252"/>
      <c r="C500" s="1252"/>
      <c r="D500" s="1252"/>
      <c r="E500" s="1252"/>
      <c r="F500" s="1252"/>
      <c r="G500" s="1252"/>
      <c r="H500" s="1252"/>
      <c r="I500" s="1252"/>
      <c r="J500" s="1252"/>
      <c r="K500" s="1254"/>
      <c r="L500" s="1252"/>
      <c r="M500" s="1252"/>
      <c r="N500" s="1252"/>
      <c r="O500" s="1252"/>
      <c r="P500" s="1252"/>
      <c r="Q500" s="1252"/>
      <c r="R500" s="1252"/>
      <c r="S500" s="1252"/>
      <c r="T500" s="1252"/>
      <c r="U500" s="1252"/>
      <c r="V500" s="1252"/>
      <c r="W500" s="1252"/>
      <c r="X500" s="1252"/>
      <c r="Y500" s="1252"/>
      <c r="Z500" s="1252"/>
      <c r="AA500" s="1252"/>
      <c r="AB500" s="1252"/>
      <c r="AC500" s="1252"/>
      <c r="AD500" s="1252"/>
      <c r="AE500" s="1252"/>
      <c r="AF500" s="1252"/>
      <c r="AG500" s="1252"/>
      <c r="AH500" s="1252"/>
      <c r="AI500" s="1252"/>
      <c r="AJ500" s="1252"/>
      <c r="AK500" s="1252"/>
      <c r="AL500" s="1252"/>
      <c r="AM500" s="1252"/>
      <c r="AN500" s="1252"/>
      <c r="AO500" s="1252"/>
      <c r="AP500" s="1252"/>
      <c r="AQ500" s="807"/>
      <c r="AR500" s="807"/>
      <c r="AS500" s="807"/>
      <c r="AT500" s="807"/>
      <c r="AU500" s="807"/>
      <c r="AV500" s="807"/>
      <c r="AW500" s="1304"/>
      <c r="AX500" s="112"/>
      <c r="AY500" s="112"/>
      <c r="AZ500" s="112"/>
      <c r="BA500" s="163"/>
      <c r="BB500" s="163"/>
      <c r="BC500" s="163"/>
      <c r="BE500" s="163"/>
      <c r="BG500" s="1329"/>
      <c r="BH500" s="112"/>
      <c r="BI500" s="1330"/>
      <c r="BJ500" s="1262"/>
      <c r="BK500" s="163"/>
      <c r="BL500" s="163"/>
      <c r="BM500" s="163"/>
      <c r="BN500" s="163"/>
    </row>
    <row r="501" customFormat="false" ht="12.75" hidden="false" customHeight="false" outlineLevel="0" collapsed="false">
      <c r="B501" s="1252"/>
      <c r="C501" s="1252"/>
      <c r="D501" s="1252"/>
      <c r="E501" s="1252"/>
      <c r="F501" s="1252"/>
      <c r="G501" s="1252"/>
      <c r="H501" s="1252"/>
      <c r="I501" s="1252"/>
      <c r="J501" s="1252"/>
      <c r="K501" s="1254"/>
      <c r="L501" s="1252"/>
      <c r="M501" s="1252"/>
      <c r="N501" s="1252"/>
      <c r="O501" s="1252"/>
      <c r="P501" s="1252"/>
      <c r="Q501" s="1252"/>
      <c r="R501" s="1252"/>
      <c r="S501" s="1252"/>
      <c r="T501" s="1252"/>
      <c r="U501" s="1252"/>
      <c r="V501" s="1252"/>
      <c r="W501" s="1252"/>
      <c r="X501" s="1252"/>
      <c r="Y501" s="1252"/>
      <c r="Z501" s="1252"/>
      <c r="AA501" s="1252"/>
      <c r="AB501" s="1252"/>
      <c r="AC501" s="1252"/>
      <c r="AD501" s="1252"/>
      <c r="AE501" s="1252"/>
      <c r="AF501" s="1252"/>
      <c r="AG501" s="1252"/>
      <c r="AH501" s="1252"/>
      <c r="AI501" s="1252"/>
      <c r="AJ501" s="1252"/>
      <c r="AK501" s="1252"/>
      <c r="AL501" s="1252"/>
      <c r="AM501" s="1252"/>
      <c r="AN501" s="1252"/>
      <c r="AO501" s="1252"/>
      <c r="AP501" s="1252"/>
      <c r="AQ501" s="807"/>
      <c r="AR501" s="807"/>
      <c r="AS501" s="807"/>
      <c r="AT501" s="807"/>
      <c r="AU501" s="807"/>
      <c r="AV501" s="807"/>
      <c r="AW501" s="1304"/>
      <c r="AX501" s="112"/>
      <c r="AY501" s="112"/>
      <c r="AZ501" s="112"/>
      <c r="BA501" s="163"/>
      <c r="BB501" s="163"/>
      <c r="BC501" s="163"/>
      <c r="BE501" s="163"/>
      <c r="BG501" s="1329"/>
      <c r="BH501" s="112"/>
      <c r="BI501" s="1330"/>
      <c r="BJ501" s="1262"/>
      <c r="BK501" s="163"/>
      <c r="BL501" s="163"/>
      <c r="BM501" s="163"/>
      <c r="BN501" s="163"/>
    </row>
    <row r="502" customFormat="false" ht="12.75" hidden="false" customHeight="false" outlineLevel="0" collapsed="false">
      <c r="B502" s="1252"/>
      <c r="C502" s="1252"/>
      <c r="D502" s="1252"/>
      <c r="E502" s="1252"/>
      <c r="F502" s="1252"/>
      <c r="G502" s="1252"/>
      <c r="H502" s="1252"/>
      <c r="I502" s="1252"/>
      <c r="J502" s="1252"/>
      <c r="K502" s="1254"/>
      <c r="L502" s="1252"/>
      <c r="M502" s="1252"/>
      <c r="N502" s="1252"/>
      <c r="O502" s="1252"/>
      <c r="P502" s="1252"/>
      <c r="Q502" s="1252"/>
      <c r="R502" s="1252"/>
      <c r="S502" s="1252"/>
      <c r="T502" s="1252"/>
      <c r="U502" s="1252"/>
      <c r="V502" s="1252"/>
      <c r="W502" s="1252"/>
      <c r="X502" s="1252"/>
      <c r="Y502" s="1252"/>
      <c r="Z502" s="1252"/>
      <c r="AA502" s="1252"/>
      <c r="AB502" s="1252"/>
      <c r="AC502" s="1252"/>
      <c r="AD502" s="1252"/>
      <c r="AE502" s="1252"/>
      <c r="AF502" s="1252"/>
      <c r="AG502" s="1252"/>
      <c r="AH502" s="1252"/>
      <c r="AI502" s="1252"/>
      <c r="AJ502" s="1252"/>
      <c r="AK502" s="1252"/>
      <c r="AL502" s="1252"/>
      <c r="AM502" s="1252"/>
      <c r="AN502" s="1252"/>
      <c r="AO502" s="1252"/>
      <c r="AP502" s="1252"/>
      <c r="AQ502" s="807"/>
      <c r="AR502" s="807"/>
      <c r="AS502" s="807"/>
      <c r="AT502" s="807"/>
      <c r="AU502" s="807"/>
      <c r="AV502" s="807"/>
      <c r="AW502" s="1304"/>
      <c r="AX502" s="112"/>
      <c r="AY502" s="112"/>
      <c r="AZ502" s="112"/>
      <c r="BA502" s="163"/>
      <c r="BB502" s="163"/>
      <c r="BC502" s="163"/>
      <c r="BE502" s="163"/>
      <c r="BG502" s="1329"/>
      <c r="BH502" s="112"/>
      <c r="BI502" s="1330"/>
      <c r="BJ502" s="1262"/>
      <c r="BK502" s="163"/>
      <c r="BL502" s="163"/>
      <c r="BM502" s="163"/>
      <c r="BN502" s="163"/>
    </row>
    <row r="503" customFormat="false" ht="12.75" hidden="false" customHeight="false" outlineLevel="0" collapsed="false">
      <c r="AQ503" s="807"/>
      <c r="AR503" s="807"/>
      <c r="AS503" s="807"/>
      <c r="AT503" s="807"/>
      <c r="AU503" s="807"/>
      <c r="AV503" s="807"/>
      <c r="AW503" s="1304"/>
      <c r="AX503" s="112"/>
      <c r="AY503" s="112"/>
      <c r="AZ503" s="112"/>
      <c r="BA503" s="163"/>
      <c r="BB503" s="163"/>
      <c r="BC503" s="163"/>
      <c r="BE503" s="163"/>
      <c r="BG503" s="1329"/>
      <c r="BH503" s="112"/>
      <c r="BI503" s="1330"/>
      <c r="BJ503" s="1262"/>
      <c r="BK503" s="163"/>
      <c r="BL503" s="163"/>
      <c r="BM503" s="163"/>
      <c r="BN503" s="163"/>
    </row>
    <row r="504" customFormat="false" ht="12.75" hidden="false" customHeight="false" outlineLevel="0" collapsed="false">
      <c r="AQ504" s="807"/>
      <c r="AR504" s="807"/>
      <c r="AS504" s="807"/>
      <c r="AT504" s="807"/>
      <c r="AU504" s="807"/>
      <c r="AV504" s="807"/>
      <c r="AW504" s="1304"/>
      <c r="AX504" s="112"/>
      <c r="AY504" s="112"/>
      <c r="AZ504" s="112"/>
      <c r="BA504" s="163"/>
      <c r="BB504" s="163"/>
      <c r="BC504" s="163"/>
      <c r="BE504" s="163"/>
      <c r="BG504" s="1329"/>
      <c r="BH504" s="112"/>
      <c r="BI504" s="1330"/>
      <c r="BJ504" s="1262"/>
      <c r="BK504" s="163"/>
      <c r="BL504" s="163"/>
      <c r="BM504" s="163"/>
      <c r="BN504" s="163"/>
    </row>
    <row r="505" customFormat="false" ht="12.75" hidden="false" customHeight="false" outlineLevel="0" collapsed="false">
      <c r="AQ505" s="807"/>
      <c r="AR505" s="807"/>
      <c r="AS505" s="807"/>
      <c r="AT505" s="807"/>
      <c r="AU505" s="807"/>
      <c r="AV505" s="807"/>
      <c r="AW505" s="1304"/>
      <c r="AX505" s="112"/>
      <c r="AY505" s="112"/>
      <c r="AZ505" s="112"/>
      <c r="BA505" s="163"/>
      <c r="BB505" s="163"/>
      <c r="BC505" s="163"/>
      <c r="BE505" s="163"/>
      <c r="BG505" s="1329"/>
      <c r="BH505" s="112"/>
      <c r="BI505" s="1330"/>
      <c r="BJ505" s="1262"/>
      <c r="BK505" s="163"/>
      <c r="BL505" s="163"/>
      <c r="BM505" s="163"/>
      <c r="BN505" s="163"/>
    </row>
    <row r="506" customFormat="false" ht="12.75" hidden="false" customHeight="false" outlineLevel="0" collapsed="false">
      <c r="AQ506" s="807"/>
      <c r="AR506" s="807"/>
      <c r="AS506" s="807"/>
      <c r="AT506" s="807"/>
      <c r="AU506" s="807"/>
      <c r="AV506" s="807"/>
    </row>
  </sheetData>
  <mergeCells count="4">
    <mergeCell ref="AX3:BC3"/>
    <mergeCell ref="BD3:BF3"/>
    <mergeCell ref="BA4:BC4"/>
    <mergeCell ref="BY6:BZ6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7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Fetching Macros.SortHourlyScalars">
                <anchor moveWithCells="true" sizeWithCells="false">
                  <from>
                    <xdr:col>0</xdr:col>
                    <xdr:colOff>291600</xdr:colOff>
                    <xdr:row>0</xdr:row>
                    <xdr:rowOff>276120</xdr:rowOff>
                  </from>
                  <to>
                    <xdr:col>15</xdr:col>
                    <xdr:colOff>231840</xdr:colOff>
                    <xdr:row>1</xdr:row>
                    <xdr:rowOff>266400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1" topLeftCell="D67" activePane="bottomRight" state="frozen"/>
      <selection pane="topLeft" activeCell="A1" activeCellId="0" sqref="A1"/>
      <selection pane="topRight" activeCell="D1" activeCellId="0" sqref="D1"/>
      <selection pane="bottomLeft" activeCell="A67" activeCellId="0" sqref="A67"/>
      <selection pane="bottomRight" activeCell="E95" activeCellId="0" sqref="E95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3" min="1" style="5" width="9.14"/>
    <col collapsed="false" customWidth="true" hidden="false" outlineLevel="0" max="4" min="4" style="5" width="9.41"/>
    <col collapsed="false" customWidth="true" hidden="false" outlineLevel="0" max="5" min="5" style="5" width="9.28"/>
    <col collapsed="false" customWidth="false" hidden="false" outlineLevel="0" max="257" min="6" style="5" width="9.14"/>
  </cols>
  <sheetData>
    <row r="1" customFormat="false" ht="14.25" hidden="false" customHeight="false" outlineLevel="0" collapsed="false">
      <c r="A1" s="1334" t="s">
        <v>986</v>
      </c>
      <c r="B1" s="1252"/>
      <c r="C1" s="1252"/>
      <c r="D1" s="1335" t="n">
        <v>1999</v>
      </c>
      <c r="E1" s="264" t="n">
        <v>2000</v>
      </c>
      <c r="F1" s="264" t="n">
        <v>2001</v>
      </c>
      <c r="G1" s="264" t="n">
        <v>2002</v>
      </c>
      <c r="H1" s="264" t="n">
        <v>2003</v>
      </c>
      <c r="I1" s="264" t="n">
        <v>2004</v>
      </c>
      <c r="J1" s="264" t="n">
        <v>2005</v>
      </c>
      <c r="K1" s="264" t="n">
        <v>2006</v>
      </c>
      <c r="L1" s="264" t="n">
        <v>2007</v>
      </c>
      <c r="M1" s="264" t="n">
        <v>2008</v>
      </c>
      <c r="N1" s="264" t="n">
        <v>2009</v>
      </c>
      <c r="O1" s="264" t="n">
        <v>2010</v>
      </c>
      <c r="P1" s="264" t="n">
        <v>2011</v>
      </c>
      <c r="Q1" s="264" t="n">
        <v>2012</v>
      </c>
      <c r="R1" s="264" t="n">
        <v>2013</v>
      </c>
      <c r="S1" s="264" t="n">
        <v>2014</v>
      </c>
      <c r="T1" s="264" t="n">
        <v>2015</v>
      </c>
      <c r="U1" s="264" t="n">
        <v>2016</v>
      </c>
      <c r="V1" s="264" t="n">
        <v>2017</v>
      </c>
      <c r="W1" s="264" t="n">
        <v>2018</v>
      </c>
      <c r="X1" s="264" t="n">
        <v>2019</v>
      </c>
      <c r="Y1" s="264" t="n">
        <v>2020</v>
      </c>
      <c r="Z1" s="264" t="n">
        <v>2021</v>
      </c>
      <c r="AA1" s="264" t="n">
        <v>2022</v>
      </c>
    </row>
    <row r="2" customFormat="false" ht="13.5" hidden="false" customHeight="false" outlineLevel="0" collapsed="false">
      <c r="A2" s="1252"/>
      <c r="B2" s="1252"/>
      <c r="C2" s="1252"/>
      <c r="D2" s="0"/>
      <c r="E2" s="5" t="s">
        <v>0</v>
      </c>
    </row>
    <row r="3" customFormat="false" ht="12.75" hidden="false" customHeight="false" outlineLevel="0" collapsed="false">
      <c r="A3" s="1336" t="s">
        <v>987</v>
      </c>
      <c r="B3" s="1252"/>
      <c r="C3" s="1252"/>
      <c r="D3" s="0"/>
    </row>
    <row r="4" customFormat="false" ht="12.75" hidden="false" customHeight="false" outlineLevel="0" collapsed="false">
      <c r="A4" s="110" t="s">
        <v>988</v>
      </c>
      <c r="B4" s="85"/>
      <c r="C4" s="85"/>
      <c r="D4" s="0"/>
    </row>
    <row r="5" customFormat="false" ht="12.75" hidden="false" customHeight="false" outlineLevel="0" collapsed="false">
      <c r="A5" s="1337" t="s">
        <v>989</v>
      </c>
      <c r="B5" s="85"/>
      <c r="C5" s="85"/>
      <c r="D5" s="0"/>
      <c r="E5" s="404" t="n">
        <v>880.00209042957</v>
      </c>
      <c r="F5" s="404" t="n">
        <f aca="false">E5*IF(Summary!$E$70="no",(1+Summary!$E$71),1+HLOOKUP('O&amp;M'!F$1,CCFMODEL!$I$127:$AF$128,2))</f>
        <v>906.402153142457</v>
      </c>
      <c r="G5" s="404" t="n">
        <f aca="false">F5*IF(Summary!$E$70="no",(1+Summary!$E$71),1+HLOOKUP('O&amp;M'!G$1,CCFMODEL!$I$127:$AF$128,2))</f>
        <v>933.59421773673</v>
      </c>
      <c r="H5" s="404" t="n">
        <f aca="false">G5*IF(Summary!$E$70="no",(1+Summary!$E$71),1+HLOOKUP('O&amp;M'!H$1,CCFMODEL!$I$127:$AF$128,2))</f>
        <v>961.602044268832</v>
      </c>
      <c r="I5" s="404" t="n">
        <f aca="false">H5*IF(Summary!$E$70="no",(1+Summary!$E$71),1+HLOOKUP('O&amp;M'!I$1,CCFMODEL!$I$127:$AF$128,2))</f>
        <v>990.450105596897</v>
      </c>
      <c r="J5" s="404" t="n">
        <f aca="false">I5*IF(Summary!$E$70="no",(1+Summary!$E$71),1+HLOOKUP('O&amp;M'!J$1,CCFMODEL!$I$127:$AF$128,2))</f>
        <v>1020.1636087648</v>
      </c>
      <c r="K5" s="404" t="n">
        <f aca="false">J5*IF(Summary!$E$70="no",(1+Summary!$E$71),1+HLOOKUP('O&amp;M'!K$1,CCFMODEL!$I$127:$AF$128,2))</f>
        <v>1050.76851702775</v>
      </c>
      <c r="L5" s="404" t="n">
        <f aca="false">K5*IF(Summary!$E$70="no",(1+Summary!$E$71),1+HLOOKUP('O&amp;M'!L$1,CCFMODEL!$I$127:$AF$128,2))</f>
        <v>1082.29157253858</v>
      </c>
      <c r="M5" s="404" t="n">
        <f aca="false">L5*IF(Summary!$E$70="no",(1+Summary!$E$71),1+HLOOKUP('O&amp;M'!M$1,CCFMODEL!$I$127:$AF$128,2))</f>
        <v>1114.76031971474</v>
      </c>
      <c r="N5" s="404" t="n">
        <f aca="false">M5*IF(Summary!$E$70="no",(1+Summary!$E$71),1+HLOOKUP('O&amp;M'!N$1,CCFMODEL!$I$127:$AF$128,2))</f>
        <v>1148.20312930618</v>
      </c>
      <c r="O5" s="404" t="n">
        <f aca="false">N5*IF(Summary!$E$70="no",(1+Summary!$E$71),1+HLOOKUP('O&amp;M'!O$1,CCFMODEL!$I$127:$AF$128,2))</f>
        <v>1182.64922318537</v>
      </c>
      <c r="P5" s="404" t="n">
        <f aca="false">O5*IF(Summary!$E$70="no",(1+Summary!$E$71),1+HLOOKUP('O&amp;M'!P$1,CCFMODEL!$I$127:$AF$128,2))</f>
        <v>1218.12869988093</v>
      </c>
      <c r="Q5" s="404" t="n">
        <f aca="false">P5*IF(Summary!$E$70="no",(1+Summary!$E$71),1+HLOOKUP('O&amp;M'!Q$1,CCFMODEL!$I$127:$AF$128,2))</f>
        <v>1254.67256087736</v>
      </c>
      <c r="R5" s="404" t="n">
        <f aca="false">Q5*IF(Summary!$E$70="no",(1+Summary!$E$71),1+HLOOKUP('O&amp;M'!R$1,CCFMODEL!$I$127:$AF$128,2))</f>
        <v>1292.31273770368</v>
      </c>
      <c r="S5" s="404" t="n">
        <f aca="false">R5*IF(Summary!$E$70="no",(1+Summary!$E$71),1+HLOOKUP('O&amp;M'!S$1,CCFMODEL!$I$127:$AF$128,2))</f>
        <v>1331.08211983479</v>
      </c>
      <c r="T5" s="404" t="n">
        <f aca="false">S5*IF(Summary!$E$70="no",(1+Summary!$E$71),1+HLOOKUP('O&amp;M'!T$1,CCFMODEL!$I$127:$AF$128,2))</f>
        <v>1371.01458342983</v>
      </c>
      <c r="U5" s="404" t="n">
        <f aca="false">T5*IF(Summary!$E$70="no",(1+Summary!$E$71),1+HLOOKUP('O&amp;M'!U$1,CCFMODEL!$I$127:$AF$128,2))</f>
        <v>1412.14502093272</v>
      </c>
      <c r="V5" s="404" t="n">
        <f aca="false">U5*IF(Summary!$E$70="no",(1+Summary!$E$71),1+HLOOKUP('O&amp;M'!V$1,CCFMODEL!$I$127:$AF$128,2))</f>
        <v>1454.50937156071</v>
      </c>
      <c r="W5" s="404" t="n">
        <f aca="false">V5*IF(Summary!$E$70="no",(1+Summary!$E$71),1+HLOOKUP('O&amp;M'!W$1,CCFMODEL!$I$127:$AF$128,2))</f>
        <v>1498.14465270753</v>
      </c>
      <c r="X5" s="404" t="n">
        <f aca="false">W5*IF(Summary!$E$70="no",(1+Summary!$E$71),1+HLOOKUP('O&amp;M'!X$1,CCFMODEL!$I$127:$AF$128,2))</f>
        <v>1543.08899228875</v>
      </c>
      <c r="Y5" s="404" t="n">
        <f aca="false">X5*IF(Summary!$E$70="no",(1+Summary!$E$71),1+HLOOKUP('O&amp;M'!Y$1,CCFMODEL!$I$127:$AF$128,2))</f>
        <v>1589.38166205742</v>
      </c>
      <c r="Z5" s="404" t="n">
        <f aca="false">Y5*IF(Summary!$E$70="no",(1+Summary!$E$71),1+HLOOKUP('O&amp;M'!Z$1,CCFMODEL!$I$127:$AF$128,2))</f>
        <v>1637.06311191914</v>
      </c>
      <c r="AA5" s="404" t="n">
        <f aca="false">Z5*IF(Summary!$E$70="no",(1+Summary!$E$71),1+HLOOKUP('O&amp;M'!AA$1,CCFMODEL!$I$127:$AF$128,2))</f>
        <v>1686.17500527671</v>
      </c>
    </row>
    <row r="6" customFormat="false" ht="12.75" hidden="false" customHeight="false" outlineLevel="0" collapsed="false">
      <c r="A6" s="1337" t="s">
        <v>990</v>
      </c>
      <c r="B6" s="85"/>
      <c r="C6" s="85"/>
      <c r="D6" s="0"/>
      <c r="E6" s="404" t="n">
        <v>23.28</v>
      </c>
      <c r="F6" s="404" t="n">
        <f aca="false">E6*IF(Summary!$E$70="no",(1+Summary!$E$71),1+HLOOKUP('O&amp;M'!F$1,CCFMODEL!$I$127:$AF$128,2))</f>
        <v>23.9784</v>
      </c>
      <c r="G6" s="404" t="n">
        <f aca="false">F6*IF(Summary!$E$70="no",(1+Summary!$E$71),1+HLOOKUP('O&amp;M'!G$1,CCFMODEL!$I$127:$AF$128,2))</f>
        <v>24.697752</v>
      </c>
      <c r="H6" s="404" t="n">
        <f aca="false">G6*IF(Summary!$E$70="no",(1+Summary!$E$71),1+HLOOKUP('O&amp;M'!H$1,CCFMODEL!$I$127:$AF$128,2))</f>
        <v>25.43868456</v>
      </c>
      <c r="I6" s="404" t="n">
        <f aca="false">H6*IF(Summary!$E$70="no",(1+Summary!$E$71),1+HLOOKUP('O&amp;M'!I$1,CCFMODEL!$I$127:$AF$128,2))</f>
        <v>26.2018450968</v>
      </c>
      <c r="J6" s="404" t="n">
        <f aca="false">I6*IF(Summary!$E$70="no",(1+Summary!$E$71),1+HLOOKUP('O&amp;M'!J$1,CCFMODEL!$I$127:$AF$128,2))</f>
        <v>26.987900449704</v>
      </c>
      <c r="K6" s="404" t="n">
        <f aca="false">J6*IF(Summary!$E$70="no",(1+Summary!$E$71),1+HLOOKUP('O&amp;M'!K$1,CCFMODEL!$I$127:$AF$128,2))</f>
        <v>27.7975374631951</v>
      </c>
      <c r="L6" s="404" t="n">
        <f aca="false">K6*IF(Summary!$E$70="no",(1+Summary!$E$71),1+HLOOKUP('O&amp;M'!L$1,CCFMODEL!$I$127:$AF$128,2))</f>
        <v>28.631463587091</v>
      </c>
      <c r="M6" s="404" t="n">
        <f aca="false">L6*IF(Summary!$E$70="no",(1+Summary!$E$71),1+HLOOKUP('O&amp;M'!M$1,CCFMODEL!$I$127:$AF$128,2))</f>
        <v>29.4904074947037</v>
      </c>
      <c r="N6" s="404" t="n">
        <f aca="false">M6*IF(Summary!$E$70="no",(1+Summary!$E$71),1+HLOOKUP('O&amp;M'!N$1,CCFMODEL!$I$127:$AF$128,2))</f>
        <v>30.3751197195448</v>
      </c>
      <c r="O6" s="404" t="n">
        <f aca="false">N6*IF(Summary!$E$70="no",(1+Summary!$E$71),1+HLOOKUP('O&amp;M'!O$1,CCFMODEL!$I$127:$AF$128,2))</f>
        <v>31.2863733111312</v>
      </c>
      <c r="P6" s="404" t="n">
        <f aca="false">O6*IF(Summary!$E$70="no",(1+Summary!$E$71),1+HLOOKUP('O&amp;M'!P$1,CCFMODEL!$I$127:$AF$128,2))</f>
        <v>32.2249645104651</v>
      </c>
      <c r="Q6" s="404" t="n">
        <f aca="false">P6*IF(Summary!$E$70="no",(1+Summary!$E$71),1+HLOOKUP('O&amp;M'!Q$1,CCFMODEL!$I$127:$AF$128,2))</f>
        <v>33.1917134457791</v>
      </c>
      <c r="R6" s="404" t="n">
        <f aca="false">Q6*IF(Summary!$E$70="no",(1+Summary!$E$71),1+HLOOKUP('O&amp;M'!R$1,CCFMODEL!$I$127:$AF$128,2))</f>
        <v>34.1874648491524</v>
      </c>
      <c r="S6" s="404" t="n">
        <f aca="false">R6*IF(Summary!$E$70="no",(1+Summary!$E$71),1+HLOOKUP('O&amp;M'!S$1,CCFMODEL!$I$127:$AF$128,2))</f>
        <v>35.213088794627</v>
      </c>
      <c r="T6" s="404" t="n">
        <f aca="false">S6*IF(Summary!$E$70="no",(1+Summary!$E$71),1+HLOOKUP('O&amp;M'!T$1,CCFMODEL!$I$127:$AF$128,2))</f>
        <v>36.2694814584658</v>
      </c>
      <c r="U6" s="404" t="n">
        <f aca="false">T6*IF(Summary!$E$70="no",(1+Summary!$E$71),1+HLOOKUP('O&amp;M'!U$1,CCFMODEL!$I$127:$AF$128,2))</f>
        <v>37.3575659022198</v>
      </c>
      <c r="V6" s="404" t="n">
        <f aca="false">U6*IF(Summary!$E$70="no",(1+Summary!$E$71),1+HLOOKUP('O&amp;M'!V$1,CCFMODEL!$I$127:$AF$128,2))</f>
        <v>38.4782928792864</v>
      </c>
      <c r="W6" s="404" t="n">
        <f aca="false">V6*IF(Summary!$E$70="no",(1+Summary!$E$71),1+HLOOKUP('O&amp;M'!W$1,CCFMODEL!$I$127:$AF$128,2))</f>
        <v>39.632641665665</v>
      </c>
      <c r="X6" s="404" t="n">
        <f aca="false">W6*IF(Summary!$E$70="no",(1+Summary!$E$71),1+HLOOKUP('O&amp;M'!X$1,CCFMODEL!$I$127:$AF$128,2))</f>
        <v>40.8216209156349</v>
      </c>
      <c r="Y6" s="404" t="n">
        <f aca="false">X6*IF(Summary!$E$70="no",(1+Summary!$E$71),1+HLOOKUP('O&amp;M'!Y$1,CCFMODEL!$I$127:$AF$128,2))</f>
        <v>42.046269543104</v>
      </c>
      <c r="Z6" s="404" t="n">
        <f aca="false">Y6*IF(Summary!$E$70="no",(1+Summary!$E$71),1+HLOOKUP('O&amp;M'!Z$1,CCFMODEL!$I$127:$AF$128,2))</f>
        <v>43.3076576293971</v>
      </c>
      <c r="AA6" s="404" t="n">
        <f aca="false">Z6*IF(Summary!$E$70="no",(1+Summary!$E$71),1+HLOOKUP('O&amp;M'!AA$1,CCFMODEL!$I$127:$AF$128,2))</f>
        <v>44.606887358279</v>
      </c>
    </row>
    <row r="7" customFormat="false" ht="12.75" hidden="false" customHeight="false" outlineLevel="0" collapsed="false">
      <c r="A7" s="1337" t="s">
        <v>991</v>
      </c>
      <c r="B7" s="85"/>
      <c r="C7" s="85"/>
      <c r="D7" s="0"/>
      <c r="E7" s="404" t="n">
        <v>19.7</v>
      </c>
      <c r="F7" s="404" t="n">
        <f aca="false">E7*IF(Summary!$E$70="no",(1+Summary!$E$71),1+HLOOKUP('O&amp;M'!F$1,CCFMODEL!$I$127:$AF$128,2))</f>
        <v>20.291</v>
      </c>
      <c r="G7" s="404" t="n">
        <f aca="false">F7*IF(Summary!$E$70="no",(1+Summary!$E$71),1+HLOOKUP('O&amp;M'!G$1,CCFMODEL!$I$127:$AF$128,2))</f>
        <v>20.89973</v>
      </c>
      <c r="H7" s="404" t="n">
        <f aca="false">G7*IF(Summary!$E$70="no",(1+Summary!$E$71),1+HLOOKUP('O&amp;M'!H$1,CCFMODEL!$I$127:$AF$128,2))</f>
        <v>21.5267219</v>
      </c>
      <c r="I7" s="404" t="n">
        <f aca="false">H7*IF(Summary!$E$70="no",(1+Summary!$E$71),1+HLOOKUP('O&amp;M'!I$1,CCFMODEL!$I$127:$AF$128,2))</f>
        <v>22.172523557</v>
      </c>
      <c r="J7" s="404" t="n">
        <f aca="false">I7*IF(Summary!$E$70="no",(1+Summary!$E$71),1+HLOOKUP('O&amp;M'!J$1,CCFMODEL!$I$127:$AF$128,2))</f>
        <v>22.83769926371</v>
      </c>
      <c r="K7" s="404" t="n">
        <f aca="false">J7*IF(Summary!$E$70="no",(1+Summary!$E$71),1+HLOOKUP('O&amp;M'!K$1,CCFMODEL!$I$127:$AF$128,2))</f>
        <v>23.5228302416213</v>
      </c>
      <c r="L7" s="404" t="n">
        <f aca="false">K7*IF(Summary!$E$70="no",(1+Summary!$E$71),1+HLOOKUP('O&amp;M'!L$1,CCFMODEL!$I$127:$AF$128,2))</f>
        <v>24.2285151488699</v>
      </c>
      <c r="M7" s="404" t="n">
        <f aca="false">L7*IF(Summary!$E$70="no",(1+Summary!$E$71),1+HLOOKUP('O&amp;M'!M$1,CCFMODEL!$I$127:$AF$128,2))</f>
        <v>24.955370603336</v>
      </c>
      <c r="N7" s="404" t="n">
        <f aca="false">M7*IF(Summary!$E$70="no",(1+Summary!$E$71),1+HLOOKUP('O&amp;M'!N$1,CCFMODEL!$I$127:$AF$128,2))</f>
        <v>25.7040317214361</v>
      </c>
      <c r="O7" s="404" t="n">
        <f aca="false">N7*IF(Summary!$E$70="no",(1+Summary!$E$71),1+HLOOKUP('O&amp;M'!O$1,CCFMODEL!$I$127:$AF$128,2))</f>
        <v>26.4751526730792</v>
      </c>
      <c r="P7" s="404" t="n">
        <f aca="false">O7*IF(Summary!$E$70="no",(1+Summary!$E$71),1+HLOOKUP('O&amp;M'!P$1,CCFMODEL!$I$127:$AF$128,2))</f>
        <v>27.2694072532716</v>
      </c>
      <c r="Q7" s="404" t="n">
        <f aca="false">P7*IF(Summary!$E$70="no",(1+Summary!$E$71),1+HLOOKUP('O&amp;M'!Q$1,CCFMODEL!$I$127:$AF$128,2))</f>
        <v>28.0874894708697</v>
      </c>
      <c r="R7" s="404" t="n">
        <f aca="false">Q7*IF(Summary!$E$70="no",(1+Summary!$E$71),1+HLOOKUP('O&amp;M'!R$1,CCFMODEL!$I$127:$AF$128,2))</f>
        <v>28.9301141549958</v>
      </c>
      <c r="S7" s="404" t="n">
        <f aca="false">R7*IF(Summary!$E$70="no",(1+Summary!$E$71),1+HLOOKUP('O&amp;M'!S$1,CCFMODEL!$I$127:$AF$128,2))</f>
        <v>29.7980175796457</v>
      </c>
      <c r="T7" s="404" t="n">
        <f aca="false">S7*IF(Summary!$E$70="no",(1+Summary!$E$71),1+HLOOKUP('O&amp;M'!T$1,CCFMODEL!$I$127:$AF$128,2))</f>
        <v>30.6919581070351</v>
      </c>
      <c r="U7" s="404" t="n">
        <f aca="false">T7*IF(Summary!$E$70="no",(1+Summary!$E$71),1+HLOOKUP('O&amp;M'!U$1,CCFMODEL!$I$127:$AF$128,2))</f>
        <v>31.6127168502461</v>
      </c>
      <c r="V7" s="404" t="n">
        <f aca="false">U7*IF(Summary!$E$70="no",(1+Summary!$E$71),1+HLOOKUP('O&amp;M'!V$1,CCFMODEL!$I$127:$AF$128,2))</f>
        <v>32.5610983557535</v>
      </c>
      <c r="W7" s="404" t="n">
        <f aca="false">V7*IF(Summary!$E$70="no",(1+Summary!$E$71),1+HLOOKUP('O&amp;M'!W$1,CCFMODEL!$I$127:$AF$128,2))</f>
        <v>33.5379313064261</v>
      </c>
      <c r="X7" s="404" t="n">
        <f aca="false">W7*IF(Summary!$E$70="no",(1+Summary!$E$71),1+HLOOKUP('O&amp;M'!X$1,CCFMODEL!$I$127:$AF$128,2))</f>
        <v>34.5440692456189</v>
      </c>
      <c r="Y7" s="404" t="n">
        <f aca="false">X7*IF(Summary!$E$70="no",(1+Summary!$E$71),1+HLOOKUP('O&amp;M'!Y$1,CCFMODEL!$I$127:$AF$128,2))</f>
        <v>35.5803913229875</v>
      </c>
      <c r="Z7" s="404" t="n">
        <f aca="false">Y7*IF(Summary!$E$70="no",(1+Summary!$E$71),1+HLOOKUP('O&amp;M'!Z$1,CCFMODEL!$I$127:$AF$128,2))</f>
        <v>36.6478030626771</v>
      </c>
      <c r="AA7" s="404" t="n">
        <f aca="false">Z7*IF(Summary!$E$70="no",(1+Summary!$E$71),1+HLOOKUP('O&amp;M'!AA$1,CCFMODEL!$I$127:$AF$128,2))</f>
        <v>37.7472371545574</v>
      </c>
    </row>
    <row r="8" customFormat="false" ht="15" hidden="false" customHeight="false" outlineLevel="0" collapsed="false">
      <c r="A8" s="1337" t="s">
        <v>992</v>
      </c>
      <c r="B8" s="85"/>
      <c r="C8" s="85"/>
      <c r="D8" s="0"/>
      <c r="E8" s="1338" t="n">
        <v>25.5084233911508</v>
      </c>
      <c r="F8" s="1338" t="n">
        <f aca="false">E8*IF(Summary!$E$70="no",(1+Summary!$E$71),1+HLOOKUP('O&amp;M'!F$1,CCFMODEL!$I$127:$AF$128,2))</f>
        <v>26.2736760928853</v>
      </c>
      <c r="G8" s="1338" t="n">
        <f aca="false">F8*IF(Summary!$E$70="no",(1+Summary!$E$71),1+HLOOKUP('O&amp;M'!G$1,CCFMODEL!$I$127:$AF$128,2))</f>
        <v>27.0618863756718</v>
      </c>
      <c r="H8" s="1338" t="n">
        <f aca="false">G8*IF(Summary!$E$70="no",(1+Summary!$E$71),1+HLOOKUP('O&amp;M'!H$1,CCFMODEL!$I$127:$AF$128,2))</f>
        <v>27.873742966942</v>
      </c>
      <c r="I8" s="1338" t="n">
        <f aca="false">H8*IF(Summary!$E$70="no",(1+Summary!$E$71),1+HLOOKUP('O&amp;M'!I$1,CCFMODEL!$I$127:$AF$128,2))</f>
        <v>28.7099552559503</v>
      </c>
      <c r="J8" s="1338" t="n">
        <f aca="false">I8*IF(Summary!$E$70="no",(1+Summary!$E$71),1+HLOOKUP('O&amp;M'!J$1,CCFMODEL!$I$127:$AF$128,2))</f>
        <v>29.5712539136288</v>
      </c>
      <c r="K8" s="1338" t="n">
        <f aca="false">J8*IF(Summary!$E$70="no",(1+Summary!$E$71),1+HLOOKUP('O&amp;M'!K$1,CCFMODEL!$I$127:$AF$128,2))</f>
        <v>30.4583915310376</v>
      </c>
      <c r="L8" s="1338" t="n">
        <f aca="false">K8*IF(Summary!$E$70="no",(1+Summary!$E$71),1+HLOOKUP('O&amp;M'!L$1,CCFMODEL!$I$127:$AF$128,2))</f>
        <v>31.3721432769688</v>
      </c>
      <c r="M8" s="1338" t="n">
        <f aca="false">L8*IF(Summary!$E$70="no",(1+Summary!$E$71),1+HLOOKUP('O&amp;M'!M$1,CCFMODEL!$I$127:$AF$128,2))</f>
        <v>32.3133075752778</v>
      </c>
      <c r="N8" s="1338" t="n">
        <f aca="false">M8*IF(Summary!$E$70="no",(1+Summary!$E$71),1+HLOOKUP('O&amp;M'!N$1,CCFMODEL!$I$127:$AF$128,2))</f>
        <v>33.2827068025362</v>
      </c>
      <c r="O8" s="1338" t="n">
        <f aca="false">N8*IF(Summary!$E$70="no",(1+Summary!$E$71),1+HLOOKUP('O&amp;M'!O$1,CCFMODEL!$I$127:$AF$128,2))</f>
        <v>34.2811880066123</v>
      </c>
      <c r="P8" s="1338" t="n">
        <f aca="false">O8*IF(Summary!$E$70="no",(1+Summary!$E$71),1+HLOOKUP('O&amp;M'!P$1,CCFMODEL!$I$127:$AF$128,2))</f>
        <v>35.3096236468106</v>
      </c>
      <c r="Q8" s="1338" t="n">
        <f aca="false">P8*IF(Summary!$E$70="no",(1+Summary!$E$71),1+HLOOKUP('O&amp;M'!Q$1,CCFMODEL!$I$127:$AF$128,2))</f>
        <v>36.3689123562149</v>
      </c>
      <c r="R8" s="1338" t="n">
        <f aca="false">Q8*IF(Summary!$E$70="no",(1+Summary!$E$71),1+HLOOKUP('O&amp;M'!R$1,CCFMODEL!$I$127:$AF$128,2))</f>
        <v>37.4599797269014</v>
      </c>
      <c r="S8" s="1338" t="n">
        <f aca="false">R8*IF(Summary!$E$70="no",(1+Summary!$E$71),1+HLOOKUP('O&amp;M'!S$1,CCFMODEL!$I$127:$AF$128,2))</f>
        <v>38.5837791187084</v>
      </c>
      <c r="T8" s="1338" t="n">
        <f aca="false">S8*IF(Summary!$E$70="no",(1+Summary!$E$71),1+HLOOKUP('O&amp;M'!T$1,CCFMODEL!$I$127:$AF$128,2))</f>
        <v>39.7412924922697</v>
      </c>
      <c r="U8" s="1338" t="n">
        <f aca="false">T8*IF(Summary!$E$70="no",(1+Summary!$E$71),1+HLOOKUP('O&amp;M'!U$1,CCFMODEL!$I$127:$AF$128,2))</f>
        <v>40.9335312670378</v>
      </c>
      <c r="V8" s="1338" t="n">
        <f aca="false">U8*IF(Summary!$E$70="no",(1+Summary!$E$71),1+HLOOKUP('O&amp;M'!V$1,CCFMODEL!$I$127:$AF$128,2))</f>
        <v>42.1615372050489</v>
      </c>
      <c r="W8" s="1338" t="n">
        <f aca="false">V8*IF(Summary!$E$70="no",(1+Summary!$E$71),1+HLOOKUP('O&amp;M'!W$1,CCFMODEL!$I$127:$AF$128,2))</f>
        <v>43.4263833212004</v>
      </c>
      <c r="X8" s="1338" t="n">
        <f aca="false">W8*IF(Summary!$E$70="no",(1+Summary!$E$71),1+HLOOKUP('O&amp;M'!X$1,CCFMODEL!$I$127:$AF$128,2))</f>
        <v>44.7291748208364</v>
      </c>
      <c r="Y8" s="1338" t="n">
        <f aca="false">X8*IF(Summary!$E$70="no",(1+Summary!$E$71),1+HLOOKUP('O&amp;M'!Y$1,CCFMODEL!$I$127:$AF$128,2))</f>
        <v>46.0710500654615</v>
      </c>
      <c r="Z8" s="1338" t="n">
        <f aca="false">Y8*IF(Summary!$E$70="no",(1+Summary!$E$71),1+HLOOKUP('O&amp;M'!Z$1,CCFMODEL!$I$127:$AF$128,2))</f>
        <v>47.4531815674253</v>
      </c>
      <c r="AA8" s="1338" t="n">
        <f aca="false">Z8*IF(Summary!$E$70="no",(1+Summary!$E$71),1+HLOOKUP('O&amp;M'!AA$1,CCFMODEL!$I$127:$AF$128,2))</f>
        <v>48.8767770144481</v>
      </c>
    </row>
    <row r="9" customFormat="false" ht="12.75" hidden="false" customHeight="false" outlineLevel="0" collapsed="false">
      <c r="A9" s="85" t="s">
        <v>993</v>
      </c>
      <c r="B9" s="85"/>
      <c r="C9" s="85"/>
      <c r="D9" s="0"/>
      <c r="E9" s="404" t="n">
        <f aca="false">SUM(E5:E8)</f>
        <v>948.49051382072</v>
      </c>
      <c r="F9" s="404" t="n">
        <f aca="false">SUM(F5:F8)</f>
        <v>976.945229235342</v>
      </c>
      <c r="G9" s="404" t="n">
        <f aca="false">SUM(G5:G8)</f>
        <v>1006.2535861124</v>
      </c>
      <c r="H9" s="404" t="n">
        <f aca="false">SUM(H5:H8)</f>
        <v>1036.44119369577</v>
      </c>
      <c r="I9" s="404" t="n">
        <f aca="false">SUM(I5:I8)</f>
        <v>1067.53442950665</v>
      </c>
      <c r="J9" s="404" t="n">
        <f aca="false">SUM(J5:J8)</f>
        <v>1099.56046239185</v>
      </c>
      <c r="K9" s="404" t="n">
        <f aca="false">SUM(K5:K8)</f>
        <v>1132.5472762636</v>
      </c>
      <c r="L9" s="404" t="n">
        <f aca="false">SUM(L5:L8)</f>
        <v>1166.52369455151</v>
      </c>
      <c r="M9" s="404" t="n">
        <f aca="false">SUM(M5:M8)</f>
        <v>1201.51940538806</v>
      </c>
      <c r="N9" s="404" t="n">
        <f aca="false">SUM(N5:N8)</f>
        <v>1237.5649875497</v>
      </c>
      <c r="O9" s="404" t="n">
        <f aca="false">SUM(O5:O8)</f>
        <v>1274.69193717619</v>
      </c>
      <c r="P9" s="404" t="n">
        <f aca="false">SUM(P5:P8)</f>
        <v>1312.93269529147</v>
      </c>
      <c r="Q9" s="404" t="n">
        <f aca="false">SUM(Q5:Q8)</f>
        <v>1352.32067615022</v>
      </c>
      <c r="R9" s="404" t="n">
        <f aca="false">SUM(R5:R8)</f>
        <v>1392.89029643473</v>
      </c>
      <c r="S9" s="404" t="n">
        <f aca="false">SUM(S5:S8)</f>
        <v>1434.67700532777</v>
      </c>
      <c r="T9" s="404" t="n">
        <f aca="false">SUM(T5:T8)</f>
        <v>1477.7173154876</v>
      </c>
      <c r="U9" s="404" t="n">
        <f aca="false">SUM(U5:U8)</f>
        <v>1522.04883495223</v>
      </c>
      <c r="V9" s="404" t="n">
        <f aca="false">SUM(V5:V8)</f>
        <v>1567.71030000079</v>
      </c>
      <c r="W9" s="404" t="n">
        <f aca="false">SUM(W5:W8)</f>
        <v>1614.74160900082</v>
      </c>
      <c r="X9" s="404" t="n">
        <f aca="false">SUM(X5:X8)</f>
        <v>1663.18385727084</v>
      </c>
      <c r="Y9" s="404" t="n">
        <f aca="false">SUM(Y5:Y8)</f>
        <v>1713.07937298897</v>
      </c>
      <c r="Z9" s="404" t="n">
        <f aca="false">SUM(Z5:Z8)</f>
        <v>1764.47175417864</v>
      </c>
      <c r="AA9" s="404" t="n">
        <f aca="false">SUM(AA5:AA8)</f>
        <v>1817.405906804</v>
      </c>
    </row>
    <row r="10" customFormat="false" ht="12.75" hidden="false" customHeight="false" outlineLevel="0" collapsed="false">
      <c r="A10" s="85"/>
      <c r="B10" s="85"/>
      <c r="C10" s="85"/>
      <c r="D10" s="0"/>
    </row>
    <row r="11" customFormat="false" ht="12.75" hidden="false" customHeight="false" outlineLevel="0" collapsed="false">
      <c r="A11" s="110" t="s">
        <v>994</v>
      </c>
      <c r="B11" s="85"/>
      <c r="C11" s="85"/>
      <c r="D11" s="0"/>
    </row>
    <row r="12" customFormat="false" ht="12.75" hidden="false" customHeight="false" outlineLevel="0" collapsed="false">
      <c r="A12" s="1337" t="s">
        <v>995</v>
      </c>
      <c r="B12" s="85"/>
      <c r="C12" s="85"/>
      <c r="D12" s="404" t="n">
        <v>0</v>
      </c>
      <c r="E12" s="404" t="n">
        <v>142</v>
      </c>
      <c r="F12" s="404" t="n">
        <f aca="false">E12*IF(Summary!$E$70="no",(1+Summary!$E$71),1+HLOOKUP('O&amp;M'!F$1,CCFMODEL!$I$127:$AF$128,2))</f>
        <v>146.26</v>
      </c>
      <c r="G12" s="404" t="n">
        <f aca="false">F12*IF(Summary!$E$70="no",(1+Summary!$E$71),1+HLOOKUP('O&amp;M'!G$1,CCFMODEL!$I$127:$AF$128,2))</f>
        <v>150.6478</v>
      </c>
      <c r="H12" s="404" t="n">
        <f aca="false">G12*IF(Summary!$E$70="no",(1+Summary!$E$71),1+HLOOKUP('O&amp;M'!H$1,CCFMODEL!$I$127:$AF$128,2))</f>
        <v>155.167234</v>
      </c>
      <c r="I12" s="404" t="n">
        <f aca="false">H12*IF(Summary!$E$70="no",(1+Summary!$E$71),1+HLOOKUP('O&amp;M'!I$1,CCFMODEL!$I$127:$AF$128,2))</f>
        <v>159.82225102</v>
      </c>
      <c r="J12" s="404" t="n">
        <f aca="false">I12*IF(Summary!$E$70="no",(1+Summary!$E$71),1+HLOOKUP('O&amp;M'!J$1,CCFMODEL!$I$127:$AF$128,2))</f>
        <v>164.6169185506</v>
      </c>
      <c r="K12" s="404" t="n">
        <f aca="false">J12*IF(Summary!$E$70="no",(1+Summary!$E$71),1+HLOOKUP('O&amp;M'!K$1,CCFMODEL!$I$127:$AF$128,2))</f>
        <v>169.555426107118</v>
      </c>
      <c r="L12" s="404" t="n">
        <f aca="false">K12*IF(Summary!$E$70="no",(1+Summary!$E$71),1+HLOOKUP('O&amp;M'!L$1,CCFMODEL!$I$127:$AF$128,2))</f>
        <v>174.642088890332</v>
      </c>
      <c r="M12" s="404" t="n">
        <f aca="false">L12*IF(Summary!$E$70="no",(1+Summary!$E$71),1+HLOOKUP('O&amp;M'!M$1,CCFMODEL!$I$127:$AF$128,2))</f>
        <v>179.881351557041</v>
      </c>
      <c r="N12" s="404" t="n">
        <f aca="false">M12*IF(Summary!$E$70="no",(1+Summary!$E$71),1+HLOOKUP('O&amp;M'!N$1,CCFMODEL!$I$127:$AF$128,2))</f>
        <v>185.277792103753</v>
      </c>
      <c r="O12" s="404" t="n">
        <f aca="false">N12*IF(Summary!$E$70="no",(1+Summary!$E$71),1+HLOOKUP('O&amp;M'!O$1,CCFMODEL!$I$127:$AF$128,2))</f>
        <v>190.836125866865</v>
      </c>
      <c r="P12" s="404" t="n">
        <f aca="false">O12*IF(Summary!$E$70="no",(1+Summary!$E$71),1+HLOOKUP('O&amp;M'!P$1,CCFMODEL!$I$127:$AF$128,2))</f>
        <v>196.561209642871</v>
      </c>
      <c r="Q12" s="404" t="n">
        <f aca="false">P12*IF(Summary!$E$70="no",(1+Summary!$E$71),1+HLOOKUP('O&amp;M'!Q$1,CCFMODEL!$I$127:$AF$128,2))</f>
        <v>202.458045932157</v>
      </c>
      <c r="R12" s="404" t="n">
        <f aca="false">Q12*IF(Summary!$E$70="no",(1+Summary!$E$71),1+HLOOKUP('O&amp;M'!R$1,CCFMODEL!$I$127:$AF$128,2))</f>
        <v>208.531787310122</v>
      </c>
      <c r="S12" s="404" t="n">
        <f aca="false">R12*IF(Summary!$E$70="no",(1+Summary!$E$71),1+HLOOKUP('O&amp;M'!S$1,CCFMODEL!$I$127:$AF$128,2))</f>
        <v>214.787740929426</v>
      </c>
      <c r="T12" s="404" t="n">
        <f aca="false">S12*IF(Summary!$E$70="no",(1+Summary!$E$71),1+HLOOKUP('O&amp;M'!T$1,CCFMODEL!$I$127:$AF$128,2))</f>
        <v>221.231373157309</v>
      </c>
      <c r="U12" s="404" t="n">
        <f aca="false">T12*IF(Summary!$E$70="no",(1+Summary!$E$71),1+HLOOKUP('O&amp;M'!U$1,CCFMODEL!$I$127:$AF$128,2))</f>
        <v>227.868314352028</v>
      </c>
      <c r="V12" s="404" t="n">
        <f aca="false">U12*IF(Summary!$E$70="no",(1+Summary!$E$71),1+HLOOKUP('O&amp;M'!V$1,CCFMODEL!$I$127:$AF$128,2))</f>
        <v>234.704363782589</v>
      </c>
      <c r="W12" s="404" t="n">
        <f aca="false">V12*IF(Summary!$E$70="no",(1+Summary!$E$71),1+HLOOKUP('O&amp;M'!W$1,CCFMODEL!$I$127:$AF$128,2))</f>
        <v>241.745494696066</v>
      </c>
      <c r="X12" s="404" t="n">
        <f aca="false">W12*IF(Summary!$E$70="no",(1+Summary!$E$71),1+HLOOKUP('O&amp;M'!X$1,CCFMODEL!$I$127:$AF$128,2))</f>
        <v>248.997859536948</v>
      </c>
      <c r="Y12" s="404" t="n">
        <f aca="false">X12*IF(Summary!$E$70="no",(1+Summary!$E$71),1+HLOOKUP('O&amp;M'!Y$1,CCFMODEL!$I$127:$AF$128,2))</f>
        <v>256.467795323057</v>
      </c>
      <c r="Z12" s="404" t="n">
        <f aca="false">Y12*IF(Summary!$E$70="no",(1+Summary!$E$71),1+HLOOKUP('O&amp;M'!Z$1,CCFMODEL!$I$127:$AF$128,2))</f>
        <v>264.161829182749</v>
      </c>
      <c r="AA12" s="404" t="n">
        <f aca="false">Z12*IF(Summary!$E$70="no",(1+Summary!$E$71),1+HLOOKUP('O&amp;M'!AA$1,CCFMODEL!$I$127:$AF$128,2))</f>
        <v>272.086684058231</v>
      </c>
      <c r="AC12" s="404" t="n">
        <v>142</v>
      </c>
    </row>
    <row r="13" customFormat="false" ht="12.75" hidden="false" customHeight="false" outlineLevel="0" collapsed="false">
      <c r="A13" s="1337" t="s">
        <v>996</v>
      </c>
      <c r="B13" s="85"/>
      <c r="C13" s="85"/>
      <c r="D13" s="404" t="n">
        <v>0</v>
      </c>
      <c r="E13" s="404" t="n">
        <v>3.060996</v>
      </c>
      <c r="F13" s="404" t="n">
        <f aca="false">E13*IF(Summary!$E$70="no",(1+Summary!$E$71),1+HLOOKUP('O&amp;M'!F$1,CCFMODEL!$I$127:$AF$128,2))</f>
        <v>3.15282588</v>
      </c>
      <c r="G13" s="404" t="n">
        <f aca="false">F13*IF(Summary!$E$70="no",(1+Summary!$E$71),1+HLOOKUP('O&amp;M'!G$1,CCFMODEL!$I$127:$AF$128,2))</f>
        <v>3.2474106564</v>
      </c>
      <c r="H13" s="404" t="n">
        <f aca="false">G13*IF(Summary!$E$70="no",(1+Summary!$E$71),1+HLOOKUP('O&amp;M'!H$1,CCFMODEL!$I$127:$AF$128,2))</f>
        <v>3.344832976092</v>
      </c>
      <c r="I13" s="404" t="n">
        <f aca="false">H13*IF(Summary!$E$70="no",(1+Summary!$E$71),1+HLOOKUP('O&amp;M'!I$1,CCFMODEL!$I$127:$AF$128,2))</f>
        <v>3.44517796537476</v>
      </c>
      <c r="J13" s="404" t="n">
        <f aca="false">I13*IF(Summary!$E$70="no",(1+Summary!$E$71),1+HLOOKUP('O&amp;M'!J$1,CCFMODEL!$I$127:$AF$128,2))</f>
        <v>3.548533304336</v>
      </c>
      <c r="K13" s="404" t="n">
        <f aca="false">J13*IF(Summary!$E$70="no",(1+Summary!$E$71),1+HLOOKUP('O&amp;M'!K$1,CCFMODEL!$I$127:$AF$128,2))</f>
        <v>3.65498930346608</v>
      </c>
      <c r="L13" s="404" t="n">
        <f aca="false">K13*IF(Summary!$E$70="no",(1+Summary!$E$71),1+HLOOKUP('O&amp;M'!L$1,CCFMODEL!$I$127:$AF$128,2))</f>
        <v>3.76463898257007</v>
      </c>
      <c r="M13" s="404" t="n">
        <f aca="false">L13*IF(Summary!$E$70="no",(1+Summary!$E$71),1+HLOOKUP('O&amp;M'!M$1,CCFMODEL!$I$127:$AF$128,2))</f>
        <v>3.87757815204717</v>
      </c>
      <c r="N13" s="404" t="n">
        <f aca="false">M13*IF(Summary!$E$70="no",(1+Summary!$E$71),1+HLOOKUP('O&amp;M'!N$1,CCFMODEL!$I$127:$AF$128,2))</f>
        <v>3.99390549660858</v>
      </c>
      <c r="O13" s="404" t="n">
        <f aca="false">N13*IF(Summary!$E$70="no",(1+Summary!$E$71),1+HLOOKUP('O&amp;M'!O$1,CCFMODEL!$I$127:$AF$128,2))</f>
        <v>4.11372266150684</v>
      </c>
      <c r="P13" s="404" t="n">
        <f aca="false">O13*IF(Summary!$E$70="no",(1+Summary!$E$71),1+HLOOKUP('O&amp;M'!P$1,CCFMODEL!$I$127:$AF$128,2))</f>
        <v>4.23713434135205</v>
      </c>
      <c r="Q13" s="404" t="n">
        <f aca="false">P13*IF(Summary!$E$70="no",(1+Summary!$E$71),1+HLOOKUP('O&amp;M'!Q$1,CCFMODEL!$I$127:$AF$128,2))</f>
        <v>4.36424837159261</v>
      </c>
      <c r="R13" s="404" t="n">
        <f aca="false">Q13*IF(Summary!$E$70="no",(1+Summary!$E$71),1+HLOOKUP('O&amp;M'!R$1,CCFMODEL!$I$127:$AF$128,2))</f>
        <v>4.49517582274039</v>
      </c>
      <c r="S13" s="404" t="n">
        <f aca="false">R13*IF(Summary!$E$70="no",(1+Summary!$E$71),1+HLOOKUP('O&amp;M'!S$1,CCFMODEL!$I$127:$AF$128,2))</f>
        <v>4.6300310974226</v>
      </c>
      <c r="T13" s="404" t="n">
        <f aca="false">S13*IF(Summary!$E$70="no",(1+Summary!$E$71),1+HLOOKUP('O&amp;M'!T$1,CCFMODEL!$I$127:$AF$128,2))</f>
        <v>4.76893203034528</v>
      </c>
      <c r="U13" s="404" t="n">
        <f aca="false">T13*IF(Summary!$E$70="no",(1+Summary!$E$71),1+HLOOKUP('O&amp;M'!U$1,CCFMODEL!$I$127:$AF$128,2))</f>
        <v>4.91199999125563</v>
      </c>
      <c r="V13" s="404" t="n">
        <f aca="false">U13*IF(Summary!$E$70="no",(1+Summary!$E$71),1+HLOOKUP('O&amp;M'!V$1,CCFMODEL!$I$127:$AF$128,2))</f>
        <v>5.0593599909933</v>
      </c>
      <c r="W13" s="404" t="n">
        <f aca="false">V13*IF(Summary!$E$70="no",(1+Summary!$E$71),1+HLOOKUP('O&amp;M'!W$1,CCFMODEL!$I$127:$AF$128,2))</f>
        <v>5.2111407907231</v>
      </c>
      <c r="X13" s="404" t="n">
        <f aca="false">W13*IF(Summary!$E$70="no",(1+Summary!$E$71),1+HLOOKUP('O&amp;M'!X$1,CCFMODEL!$I$127:$AF$128,2))</f>
        <v>5.3674750144448</v>
      </c>
      <c r="Y13" s="404" t="n">
        <f aca="false">X13*IF(Summary!$E$70="no",(1+Summary!$E$71),1+HLOOKUP('O&amp;M'!Y$1,CCFMODEL!$I$127:$AF$128,2))</f>
        <v>5.52849926487814</v>
      </c>
      <c r="Z13" s="404" t="n">
        <f aca="false">Y13*IF(Summary!$E$70="no",(1+Summary!$E$71),1+HLOOKUP('O&amp;M'!Z$1,CCFMODEL!$I$127:$AF$128,2))</f>
        <v>5.69435424282448</v>
      </c>
      <c r="AA13" s="404" t="n">
        <f aca="false">Z13*IF(Summary!$E$70="no",(1+Summary!$E$71),1+HLOOKUP('O&amp;M'!AA$1,CCFMODEL!$I$127:$AF$128,2))</f>
        <v>5.86518487010922</v>
      </c>
      <c r="AC13" s="404" t="n">
        <v>3.060996</v>
      </c>
    </row>
    <row r="14" customFormat="false" ht="12.75" hidden="false" customHeight="false" outlineLevel="0" collapsed="false">
      <c r="A14" s="1337" t="s">
        <v>997</v>
      </c>
      <c r="B14" s="85"/>
      <c r="C14" s="85"/>
      <c r="D14" s="404" t="n">
        <v>0</v>
      </c>
      <c r="E14" s="404" t="n">
        <v>12.2440432277524</v>
      </c>
      <c r="F14" s="404" t="n">
        <f aca="false">E14*IF(Summary!$E$70="no",(1+Summary!$E$71),1+HLOOKUP('O&amp;M'!F$1,CCFMODEL!$I$127:$AF$128,2))</f>
        <v>12.6113645245849</v>
      </c>
      <c r="G14" s="404" t="n">
        <f aca="false">F14*IF(Summary!$E$70="no",(1+Summary!$E$71),1+HLOOKUP('O&amp;M'!G$1,CCFMODEL!$I$127:$AF$128,2))</f>
        <v>12.9897054603225</v>
      </c>
      <c r="H14" s="404" t="n">
        <f aca="false">G14*IF(Summary!$E$70="no",(1+Summary!$E$71),1+HLOOKUP('O&amp;M'!H$1,CCFMODEL!$I$127:$AF$128,2))</f>
        <v>13.3793966241322</v>
      </c>
      <c r="I14" s="404" t="n">
        <f aca="false">H14*IF(Summary!$E$70="no",(1+Summary!$E$71),1+HLOOKUP('O&amp;M'!I$1,CCFMODEL!$I$127:$AF$128,2))</f>
        <v>13.7807785228561</v>
      </c>
      <c r="J14" s="404" t="n">
        <f aca="false">I14*IF(Summary!$E$70="no",(1+Summary!$E$71),1+HLOOKUP('O&amp;M'!J$1,CCFMODEL!$I$127:$AF$128,2))</f>
        <v>14.1942018785418</v>
      </c>
      <c r="K14" s="404" t="n">
        <f aca="false">J14*IF(Summary!$E$70="no",(1+Summary!$E$71),1+HLOOKUP('O&amp;M'!K$1,CCFMODEL!$I$127:$AF$128,2))</f>
        <v>14.6200279348981</v>
      </c>
      <c r="L14" s="404" t="n">
        <f aca="false">K14*IF(Summary!$E$70="no",(1+Summary!$E$71),1+HLOOKUP('O&amp;M'!L$1,CCFMODEL!$I$127:$AF$128,2))</f>
        <v>15.058628772945</v>
      </c>
      <c r="M14" s="404" t="n">
        <f aca="false">L14*IF(Summary!$E$70="no",(1+Summary!$E$71),1+HLOOKUP('O&amp;M'!M$1,CCFMODEL!$I$127:$AF$128,2))</f>
        <v>15.5103876361334</v>
      </c>
      <c r="N14" s="404" t="n">
        <f aca="false">M14*IF(Summary!$E$70="no",(1+Summary!$E$71),1+HLOOKUP('O&amp;M'!N$1,CCFMODEL!$I$127:$AF$128,2))</f>
        <v>15.9756992652174</v>
      </c>
      <c r="O14" s="404" t="n">
        <f aca="false">N14*IF(Summary!$E$70="no",(1+Summary!$E$71),1+HLOOKUP('O&amp;M'!O$1,CCFMODEL!$I$127:$AF$128,2))</f>
        <v>16.4549702431739</v>
      </c>
      <c r="P14" s="404" t="n">
        <f aca="false">O14*IF(Summary!$E$70="no",(1+Summary!$E$71),1+HLOOKUP('O&amp;M'!P$1,CCFMODEL!$I$127:$AF$128,2))</f>
        <v>16.9486193504691</v>
      </c>
      <c r="Q14" s="404" t="n">
        <f aca="false">P14*IF(Summary!$E$70="no",(1+Summary!$E$71),1+HLOOKUP('O&amp;M'!Q$1,CCFMODEL!$I$127:$AF$128,2))</f>
        <v>17.4570779309832</v>
      </c>
      <c r="R14" s="404" t="n">
        <f aca="false">Q14*IF(Summary!$E$70="no",(1+Summary!$E$71),1+HLOOKUP('O&amp;M'!R$1,CCFMODEL!$I$127:$AF$128,2))</f>
        <v>17.9807902689127</v>
      </c>
      <c r="S14" s="404" t="n">
        <f aca="false">R14*IF(Summary!$E$70="no",(1+Summary!$E$71),1+HLOOKUP('O&amp;M'!S$1,CCFMODEL!$I$127:$AF$128,2))</f>
        <v>18.52021397698</v>
      </c>
      <c r="T14" s="404" t="n">
        <f aca="false">S14*IF(Summary!$E$70="no",(1+Summary!$E$71),1+HLOOKUP('O&amp;M'!T$1,CCFMODEL!$I$127:$AF$128,2))</f>
        <v>19.0758203962894</v>
      </c>
      <c r="U14" s="404" t="n">
        <f aca="false">T14*IF(Summary!$E$70="no",(1+Summary!$E$71),1+HLOOKUP('O&amp;M'!U$1,CCFMODEL!$I$127:$AF$128,2))</f>
        <v>19.6480950081781</v>
      </c>
      <c r="V14" s="404" t="n">
        <f aca="false">U14*IF(Summary!$E$70="no",(1+Summary!$E$71),1+HLOOKUP('O&amp;M'!V$1,CCFMODEL!$I$127:$AF$128,2))</f>
        <v>20.2375378584235</v>
      </c>
      <c r="W14" s="404" t="n">
        <f aca="false">V14*IF(Summary!$E$70="no",(1+Summary!$E$71),1+HLOOKUP('O&amp;M'!W$1,CCFMODEL!$I$127:$AF$128,2))</f>
        <v>20.8446639941762</v>
      </c>
      <c r="X14" s="404" t="n">
        <f aca="false">W14*IF(Summary!$E$70="no",(1+Summary!$E$71),1+HLOOKUP('O&amp;M'!X$1,CCFMODEL!$I$127:$AF$128,2))</f>
        <v>21.4700039140015</v>
      </c>
      <c r="Y14" s="404" t="n">
        <f aca="false">X14*IF(Summary!$E$70="no",(1+Summary!$E$71),1+HLOOKUP('O&amp;M'!Y$1,CCFMODEL!$I$127:$AF$128,2))</f>
        <v>22.1141040314215</v>
      </c>
      <c r="Z14" s="404" t="n">
        <f aca="false">Y14*IF(Summary!$E$70="no",(1+Summary!$E$71),1+HLOOKUP('O&amp;M'!Z$1,CCFMODEL!$I$127:$AF$128,2))</f>
        <v>22.7775271523642</v>
      </c>
      <c r="AA14" s="404" t="n">
        <f aca="false">Z14*IF(Summary!$E$70="no",(1+Summary!$E$71),1+HLOOKUP('O&amp;M'!AA$1,CCFMODEL!$I$127:$AF$128,2))</f>
        <v>23.4608529669351</v>
      </c>
      <c r="AC14" s="404" t="n">
        <v>12.2440432277524</v>
      </c>
    </row>
    <row r="15" customFormat="false" ht="12.75" hidden="false" customHeight="false" outlineLevel="0" collapsed="false">
      <c r="A15" s="1337" t="s">
        <v>998</v>
      </c>
      <c r="B15" s="85"/>
      <c r="C15" s="85"/>
      <c r="D15" s="404" t="n">
        <v>0</v>
      </c>
      <c r="E15" s="404" t="n">
        <v>1.53050540346905</v>
      </c>
      <c r="F15" s="404" t="n">
        <f aca="false">E15*IF(Summary!$E$70="no",(1+Summary!$E$71),1+HLOOKUP('O&amp;M'!F$1,CCFMODEL!$I$127:$AF$128,2))</f>
        <v>1.57642056557312</v>
      </c>
      <c r="G15" s="404" t="n">
        <f aca="false">F15*IF(Summary!$E$70="no",(1+Summary!$E$71),1+HLOOKUP('O&amp;M'!G$1,CCFMODEL!$I$127:$AF$128,2))</f>
        <v>1.62371318254032</v>
      </c>
      <c r="H15" s="404" t="n">
        <f aca="false">G15*IF(Summary!$E$70="no",(1+Summary!$E$71),1+HLOOKUP('O&amp;M'!H$1,CCFMODEL!$I$127:$AF$128,2))</f>
        <v>1.67242457801652</v>
      </c>
      <c r="I15" s="404" t="n">
        <f aca="false">H15*IF(Summary!$E$70="no",(1+Summary!$E$71),1+HLOOKUP('O&amp;M'!I$1,CCFMODEL!$I$127:$AF$128,2))</f>
        <v>1.72259731535702</v>
      </c>
      <c r="J15" s="404" t="n">
        <f aca="false">I15*IF(Summary!$E$70="no",(1+Summary!$E$71),1+HLOOKUP('O&amp;M'!J$1,CCFMODEL!$I$127:$AF$128,2))</f>
        <v>1.77427523481773</v>
      </c>
      <c r="K15" s="404" t="n">
        <f aca="false">J15*IF(Summary!$E$70="no",(1+Summary!$E$71),1+HLOOKUP('O&amp;M'!K$1,CCFMODEL!$I$127:$AF$128,2))</f>
        <v>1.82750349186226</v>
      </c>
      <c r="L15" s="404" t="n">
        <f aca="false">K15*IF(Summary!$E$70="no",(1+Summary!$E$71),1+HLOOKUP('O&amp;M'!L$1,CCFMODEL!$I$127:$AF$128,2))</f>
        <v>1.88232859661813</v>
      </c>
      <c r="M15" s="404" t="n">
        <f aca="false">L15*IF(Summary!$E$70="no",(1+Summary!$E$71),1+HLOOKUP('O&amp;M'!M$1,CCFMODEL!$I$127:$AF$128,2))</f>
        <v>1.93879845451668</v>
      </c>
      <c r="N15" s="404" t="n">
        <f aca="false">M15*IF(Summary!$E$70="no",(1+Summary!$E$71),1+HLOOKUP('O&amp;M'!N$1,CCFMODEL!$I$127:$AF$128,2))</f>
        <v>1.99696240815218</v>
      </c>
      <c r="O15" s="404" t="n">
        <f aca="false">N15*IF(Summary!$E$70="no",(1+Summary!$E$71),1+HLOOKUP('O&amp;M'!O$1,CCFMODEL!$I$127:$AF$128,2))</f>
        <v>2.05687128039674</v>
      </c>
      <c r="P15" s="404" t="n">
        <f aca="false">O15*IF(Summary!$E$70="no",(1+Summary!$E$71),1+HLOOKUP('O&amp;M'!P$1,CCFMODEL!$I$127:$AF$128,2))</f>
        <v>2.11857741880864</v>
      </c>
      <c r="Q15" s="404" t="n">
        <f aca="false">P15*IF(Summary!$E$70="no",(1+Summary!$E$71),1+HLOOKUP('O&amp;M'!Q$1,CCFMODEL!$I$127:$AF$128,2))</f>
        <v>2.1821347413729</v>
      </c>
      <c r="R15" s="404" t="n">
        <f aca="false">Q15*IF(Summary!$E$70="no",(1+Summary!$E$71),1+HLOOKUP('O&amp;M'!R$1,CCFMODEL!$I$127:$AF$128,2))</f>
        <v>2.24759878361409</v>
      </c>
      <c r="S15" s="404" t="n">
        <f aca="false">R15*IF(Summary!$E$70="no",(1+Summary!$E$71),1+HLOOKUP('O&amp;M'!S$1,CCFMODEL!$I$127:$AF$128,2))</f>
        <v>2.31502674712251</v>
      </c>
      <c r="T15" s="404" t="n">
        <f aca="false">S15*IF(Summary!$E$70="no",(1+Summary!$E$71),1+HLOOKUP('O&amp;M'!T$1,CCFMODEL!$I$127:$AF$128,2))</f>
        <v>2.38447754953619</v>
      </c>
      <c r="U15" s="404" t="n">
        <f aca="false">T15*IF(Summary!$E$70="no",(1+Summary!$E$71),1+HLOOKUP('O&amp;M'!U$1,CCFMODEL!$I$127:$AF$128,2))</f>
        <v>2.45601187602227</v>
      </c>
      <c r="V15" s="404" t="n">
        <f aca="false">U15*IF(Summary!$E$70="no",(1+Summary!$E$71),1+HLOOKUP('O&amp;M'!V$1,CCFMODEL!$I$127:$AF$128,2))</f>
        <v>2.52969223230294</v>
      </c>
      <c r="W15" s="404" t="n">
        <f aca="false">V15*IF(Summary!$E$70="no",(1+Summary!$E$71),1+HLOOKUP('O&amp;M'!W$1,CCFMODEL!$I$127:$AF$128,2))</f>
        <v>2.60558299927203</v>
      </c>
      <c r="X15" s="404" t="n">
        <f aca="false">W15*IF(Summary!$E$70="no",(1+Summary!$E$71),1+HLOOKUP('O&amp;M'!X$1,CCFMODEL!$I$127:$AF$128,2))</f>
        <v>2.68375048925019</v>
      </c>
      <c r="Y15" s="404" t="n">
        <f aca="false">X15*IF(Summary!$E$70="no",(1+Summary!$E$71),1+HLOOKUP('O&amp;M'!Y$1,CCFMODEL!$I$127:$AF$128,2))</f>
        <v>2.7642630039277</v>
      </c>
      <c r="Z15" s="404" t="n">
        <f aca="false">Y15*IF(Summary!$E$70="no",(1+Summary!$E$71),1+HLOOKUP('O&amp;M'!Z$1,CCFMODEL!$I$127:$AF$128,2))</f>
        <v>2.84719089404553</v>
      </c>
      <c r="AA15" s="404" t="n">
        <f aca="false">Z15*IF(Summary!$E$70="no",(1+Summary!$E$71),1+HLOOKUP('O&amp;M'!AA$1,CCFMODEL!$I$127:$AF$128,2))</f>
        <v>2.93260662086689</v>
      </c>
      <c r="AC15" s="404" t="n">
        <v>1.53050540346905</v>
      </c>
    </row>
    <row r="16" customFormat="false" ht="12.75" hidden="false" customHeight="false" outlineLevel="0" collapsed="false">
      <c r="A16" s="1337" t="s">
        <v>999</v>
      </c>
      <c r="B16" s="85"/>
      <c r="C16" s="85"/>
      <c r="D16" s="404" t="n">
        <v>0</v>
      </c>
      <c r="E16" s="404" t="n">
        <v>61.2202161387618</v>
      </c>
      <c r="F16" s="404" t="n">
        <f aca="false">E16*IF(Summary!$E$70="no",(1+Summary!$E$71),1+HLOOKUP('O&amp;M'!F$1,CCFMODEL!$I$127:$AF$128,2))</f>
        <v>63.0568226229247</v>
      </c>
      <c r="G16" s="404" t="n">
        <f aca="false">F16*IF(Summary!$E$70="no",(1+Summary!$E$71),1+HLOOKUP('O&amp;M'!G$1,CCFMODEL!$I$127:$AF$128,2))</f>
        <v>64.9485273016124</v>
      </c>
      <c r="H16" s="404" t="n">
        <f aca="false">G16*IF(Summary!$E$70="no",(1+Summary!$E$71),1+HLOOKUP('O&amp;M'!H$1,CCFMODEL!$I$127:$AF$128,2))</f>
        <v>66.8969831206608</v>
      </c>
      <c r="I16" s="404" t="n">
        <f aca="false">H16*IF(Summary!$E$70="no",(1+Summary!$E$71),1+HLOOKUP('O&amp;M'!I$1,CCFMODEL!$I$127:$AF$128,2))</f>
        <v>68.9038926142806</v>
      </c>
      <c r="J16" s="404" t="n">
        <f aca="false">I16*IF(Summary!$E$70="no",(1+Summary!$E$71),1+HLOOKUP('O&amp;M'!J$1,CCFMODEL!$I$127:$AF$128,2))</f>
        <v>70.971009392709</v>
      </c>
      <c r="K16" s="404" t="n">
        <f aca="false">J16*IF(Summary!$E$70="no",(1+Summary!$E$71),1+HLOOKUP('O&amp;M'!K$1,CCFMODEL!$I$127:$AF$128,2))</f>
        <v>73.1001396744903</v>
      </c>
      <c r="L16" s="404" t="n">
        <f aca="false">K16*IF(Summary!$E$70="no",(1+Summary!$E$71),1+HLOOKUP('O&amp;M'!L$1,CCFMODEL!$I$127:$AF$128,2))</f>
        <v>75.293143864725</v>
      </c>
      <c r="M16" s="404" t="n">
        <f aca="false">L16*IF(Summary!$E$70="no",(1+Summary!$E$71),1+HLOOKUP('O&amp;M'!M$1,CCFMODEL!$I$127:$AF$128,2))</f>
        <v>77.5519381806668</v>
      </c>
      <c r="N16" s="404" t="n">
        <f aca="false">M16*IF(Summary!$E$70="no",(1+Summary!$E$71),1+HLOOKUP('O&amp;M'!N$1,CCFMODEL!$I$127:$AF$128,2))</f>
        <v>79.8784963260868</v>
      </c>
      <c r="O16" s="404" t="n">
        <f aca="false">N16*IF(Summary!$E$70="no",(1+Summary!$E$71),1+HLOOKUP('O&amp;M'!O$1,CCFMODEL!$I$127:$AF$128,2))</f>
        <v>82.2748512158694</v>
      </c>
      <c r="P16" s="404" t="n">
        <f aca="false">O16*IF(Summary!$E$70="no",(1+Summary!$E$71),1+HLOOKUP('O&amp;M'!P$1,CCFMODEL!$I$127:$AF$128,2))</f>
        <v>84.7430967523455</v>
      </c>
      <c r="Q16" s="404" t="n">
        <f aca="false">P16*IF(Summary!$E$70="no",(1+Summary!$E$71),1+HLOOKUP('O&amp;M'!Q$1,CCFMODEL!$I$127:$AF$128,2))</f>
        <v>87.2853896549159</v>
      </c>
      <c r="R16" s="404" t="n">
        <f aca="false">Q16*IF(Summary!$E$70="no",(1+Summary!$E$71),1+HLOOKUP('O&amp;M'!R$1,CCFMODEL!$I$127:$AF$128,2))</f>
        <v>89.9039513445633</v>
      </c>
      <c r="S16" s="404" t="n">
        <f aca="false">R16*IF(Summary!$E$70="no",(1+Summary!$E$71),1+HLOOKUP('O&amp;M'!S$1,CCFMODEL!$I$127:$AF$128,2))</f>
        <v>92.6010698849002</v>
      </c>
      <c r="T16" s="404" t="n">
        <f aca="false">S16*IF(Summary!$E$70="no",(1+Summary!$E$71),1+HLOOKUP('O&amp;M'!T$1,CCFMODEL!$I$127:$AF$128,2))</f>
        <v>95.3791019814472</v>
      </c>
      <c r="U16" s="404" t="n">
        <f aca="false">T16*IF(Summary!$E$70="no",(1+Summary!$E$71),1+HLOOKUP('O&amp;M'!U$1,CCFMODEL!$I$127:$AF$128,2))</f>
        <v>98.2404750408907</v>
      </c>
      <c r="V16" s="404" t="n">
        <f aca="false">U16*IF(Summary!$E$70="no",(1+Summary!$E$71),1+HLOOKUP('O&amp;M'!V$1,CCFMODEL!$I$127:$AF$128,2))</f>
        <v>101.187689292117</v>
      </c>
      <c r="W16" s="404" t="n">
        <f aca="false">V16*IF(Summary!$E$70="no",(1+Summary!$E$71),1+HLOOKUP('O&amp;M'!W$1,CCFMODEL!$I$127:$AF$128,2))</f>
        <v>104.223319970881</v>
      </c>
      <c r="X16" s="404" t="n">
        <f aca="false">W16*IF(Summary!$E$70="no",(1+Summary!$E$71),1+HLOOKUP('O&amp;M'!X$1,CCFMODEL!$I$127:$AF$128,2))</f>
        <v>107.350019570007</v>
      </c>
      <c r="Y16" s="404" t="n">
        <f aca="false">X16*IF(Summary!$E$70="no",(1+Summary!$E$71),1+HLOOKUP('O&amp;M'!Y$1,CCFMODEL!$I$127:$AF$128,2))</f>
        <v>110.570520157108</v>
      </c>
      <c r="Z16" s="404" t="n">
        <f aca="false">Y16*IF(Summary!$E$70="no",(1+Summary!$E$71),1+HLOOKUP('O&amp;M'!Z$1,CCFMODEL!$I$127:$AF$128,2))</f>
        <v>113.887635761821</v>
      </c>
      <c r="AA16" s="404" t="n">
        <f aca="false">Z16*IF(Summary!$E$70="no",(1+Summary!$E$71),1+HLOOKUP('O&amp;M'!AA$1,CCFMODEL!$I$127:$AF$128,2))</f>
        <v>117.304264834675</v>
      </c>
      <c r="AC16" s="404" t="n">
        <v>61.2202161387618</v>
      </c>
    </row>
    <row r="17" customFormat="false" ht="12.75" hidden="false" customHeight="false" outlineLevel="0" collapsed="false">
      <c r="A17" s="1337" t="s">
        <v>1000</v>
      </c>
      <c r="B17" s="85"/>
      <c r="C17" s="85"/>
      <c r="D17" s="404" t="n">
        <v>0</v>
      </c>
      <c r="E17" s="404" t="n">
        <v>21</v>
      </c>
      <c r="F17" s="404" t="n">
        <f aca="false">E17*IF(Summary!$E$70="no",(1+Summary!$E$71),1+HLOOKUP('O&amp;M'!F$1,CCFMODEL!$I$127:$AF$128,2))</f>
        <v>21.63</v>
      </c>
      <c r="G17" s="404" t="n">
        <f aca="false">F17*IF(Summary!$E$70="no",(1+Summary!$E$71),1+HLOOKUP('O&amp;M'!G$1,CCFMODEL!$I$127:$AF$128,2))</f>
        <v>22.2789</v>
      </c>
      <c r="H17" s="404" t="n">
        <f aca="false">G17*IF(Summary!$E$70="no",(1+Summary!$E$71),1+HLOOKUP('O&amp;M'!H$1,CCFMODEL!$I$127:$AF$128,2))</f>
        <v>22.947267</v>
      </c>
      <c r="I17" s="404" t="n">
        <f aca="false">H17*IF(Summary!$E$70="no",(1+Summary!$E$71),1+HLOOKUP('O&amp;M'!I$1,CCFMODEL!$I$127:$AF$128,2))</f>
        <v>23.63568501</v>
      </c>
      <c r="J17" s="404" t="n">
        <f aca="false">I17*IF(Summary!$E$70="no",(1+Summary!$E$71),1+HLOOKUP('O&amp;M'!J$1,CCFMODEL!$I$127:$AF$128,2))</f>
        <v>24.3447555603</v>
      </c>
      <c r="K17" s="404" t="n">
        <f aca="false">J17*IF(Summary!$E$70="no",(1+Summary!$E$71),1+HLOOKUP('O&amp;M'!K$1,CCFMODEL!$I$127:$AF$128,2))</f>
        <v>25.075098227109</v>
      </c>
      <c r="L17" s="404" t="n">
        <f aca="false">K17*IF(Summary!$E$70="no",(1+Summary!$E$71),1+HLOOKUP('O&amp;M'!L$1,CCFMODEL!$I$127:$AF$128,2))</f>
        <v>25.8273511739223</v>
      </c>
      <c r="M17" s="404" t="n">
        <f aca="false">L17*IF(Summary!$E$70="no",(1+Summary!$E$71),1+HLOOKUP('O&amp;M'!M$1,CCFMODEL!$I$127:$AF$128,2))</f>
        <v>26.6021717091399</v>
      </c>
      <c r="N17" s="404" t="n">
        <f aca="false">M17*IF(Summary!$E$70="no",(1+Summary!$E$71),1+HLOOKUP('O&amp;M'!N$1,CCFMODEL!$I$127:$AF$128,2))</f>
        <v>27.4002368604141</v>
      </c>
      <c r="O17" s="404" t="n">
        <f aca="false">N17*IF(Summary!$E$70="no",(1+Summary!$E$71),1+HLOOKUP('O&amp;M'!O$1,CCFMODEL!$I$127:$AF$128,2))</f>
        <v>28.2222439662266</v>
      </c>
      <c r="P17" s="404" t="n">
        <f aca="false">O17*IF(Summary!$E$70="no",(1+Summary!$E$71),1+HLOOKUP('O&amp;M'!P$1,CCFMODEL!$I$127:$AF$128,2))</f>
        <v>29.0689112852134</v>
      </c>
      <c r="Q17" s="404" t="n">
        <f aca="false">P17*IF(Summary!$E$70="no",(1+Summary!$E$71),1+HLOOKUP('O&amp;M'!Q$1,CCFMODEL!$I$127:$AF$128,2))</f>
        <v>29.9409786237698</v>
      </c>
      <c r="R17" s="404" t="n">
        <f aca="false">Q17*IF(Summary!$E$70="no",(1+Summary!$E$71),1+HLOOKUP('O&amp;M'!R$1,CCFMODEL!$I$127:$AF$128,2))</f>
        <v>30.8392079824829</v>
      </c>
      <c r="S17" s="404" t="n">
        <f aca="false">R17*IF(Summary!$E$70="no",(1+Summary!$E$71),1+HLOOKUP('O&amp;M'!S$1,CCFMODEL!$I$127:$AF$128,2))</f>
        <v>31.7643842219573</v>
      </c>
      <c r="T17" s="404" t="n">
        <f aca="false">S17*IF(Summary!$E$70="no",(1+Summary!$E$71),1+HLOOKUP('O&amp;M'!T$1,CCFMODEL!$I$127:$AF$128,2))</f>
        <v>32.7173157486161</v>
      </c>
      <c r="U17" s="404" t="n">
        <f aca="false">T17*IF(Summary!$E$70="no",(1+Summary!$E$71),1+HLOOKUP('O&amp;M'!U$1,CCFMODEL!$I$127:$AF$128,2))</f>
        <v>33.6988352210745</v>
      </c>
      <c r="V17" s="404" t="n">
        <f aca="false">U17*IF(Summary!$E$70="no",(1+Summary!$E$71),1+HLOOKUP('O&amp;M'!V$1,CCFMODEL!$I$127:$AF$128,2))</f>
        <v>34.7098002777068</v>
      </c>
      <c r="W17" s="404" t="n">
        <f aca="false">V17*IF(Summary!$E$70="no",(1+Summary!$E$71),1+HLOOKUP('O&amp;M'!W$1,CCFMODEL!$I$127:$AF$128,2))</f>
        <v>35.751094286038</v>
      </c>
      <c r="X17" s="404" t="n">
        <f aca="false">W17*IF(Summary!$E$70="no",(1+Summary!$E$71),1+HLOOKUP('O&amp;M'!X$1,CCFMODEL!$I$127:$AF$128,2))</f>
        <v>36.8236271146191</v>
      </c>
      <c r="Y17" s="404" t="n">
        <f aca="false">X17*IF(Summary!$E$70="no",(1+Summary!$E$71),1+HLOOKUP('O&amp;M'!Y$1,CCFMODEL!$I$127:$AF$128,2))</f>
        <v>37.9283359280577</v>
      </c>
      <c r="Z17" s="404" t="n">
        <f aca="false">Y17*IF(Summary!$E$70="no",(1+Summary!$E$71),1+HLOOKUP('O&amp;M'!Z$1,CCFMODEL!$I$127:$AF$128,2))</f>
        <v>39.0661860058994</v>
      </c>
      <c r="AA17" s="404" t="n">
        <f aca="false">Z17*IF(Summary!$E$70="no",(1+Summary!$E$71),1+HLOOKUP('O&amp;M'!AA$1,CCFMODEL!$I$127:$AF$128,2))</f>
        <v>40.2381715860764</v>
      </c>
      <c r="AC17" s="404" t="n">
        <v>21</v>
      </c>
    </row>
    <row r="18" customFormat="false" ht="12.75" hidden="false" customHeight="false" outlineLevel="0" collapsed="false">
      <c r="A18" s="1337" t="s">
        <v>1001</v>
      </c>
      <c r="B18" s="85"/>
      <c r="C18" s="85"/>
      <c r="D18" s="404" t="n">
        <v>0</v>
      </c>
      <c r="E18" s="404" t="n">
        <v>24</v>
      </c>
      <c r="F18" s="404" t="n">
        <f aca="false">E18*IF(Summary!$E$70="no",(1+Summary!$E$71),1+HLOOKUP('O&amp;M'!F$1,CCFMODEL!$I$127:$AF$128,2))</f>
        <v>24.72</v>
      </c>
      <c r="G18" s="404" t="n">
        <f aca="false">F18*IF(Summary!$E$70="no",(1+Summary!$E$71),1+HLOOKUP('O&amp;M'!G$1,CCFMODEL!$I$127:$AF$128,2))</f>
        <v>25.4616</v>
      </c>
      <c r="H18" s="404" t="n">
        <f aca="false">G18*IF(Summary!$E$70="no",(1+Summary!$E$71),1+HLOOKUP('O&amp;M'!H$1,CCFMODEL!$I$127:$AF$128,2))</f>
        <v>26.225448</v>
      </c>
      <c r="I18" s="404" t="n">
        <f aca="false">H18*IF(Summary!$E$70="no",(1+Summary!$E$71),1+HLOOKUP('O&amp;M'!I$1,CCFMODEL!$I$127:$AF$128,2))</f>
        <v>27.01221144</v>
      </c>
      <c r="J18" s="404" t="n">
        <f aca="false">I18*IF(Summary!$E$70="no",(1+Summary!$E$71),1+HLOOKUP('O&amp;M'!J$1,CCFMODEL!$I$127:$AF$128,2))</f>
        <v>27.8225777832</v>
      </c>
      <c r="K18" s="404" t="n">
        <f aca="false">J18*IF(Summary!$E$70="no",(1+Summary!$E$71),1+HLOOKUP('O&amp;M'!K$1,CCFMODEL!$I$127:$AF$128,2))</f>
        <v>28.657255116696</v>
      </c>
      <c r="L18" s="404" t="n">
        <f aca="false">K18*IF(Summary!$E$70="no",(1+Summary!$E$71),1+HLOOKUP('O&amp;M'!L$1,CCFMODEL!$I$127:$AF$128,2))</f>
        <v>29.5169727701969</v>
      </c>
      <c r="M18" s="404" t="n">
        <f aca="false">L18*IF(Summary!$E$70="no",(1+Summary!$E$71),1+HLOOKUP('O&amp;M'!M$1,CCFMODEL!$I$127:$AF$128,2))</f>
        <v>30.4024819533028</v>
      </c>
      <c r="N18" s="404" t="n">
        <f aca="false">M18*IF(Summary!$E$70="no",(1+Summary!$E$71),1+HLOOKUP('O&amp;M'!N$1,CCFMODEL!$I$127:$AF$128,2))</f>
        <v>31.3145564119019</v>
      </c>
      <c r="O18" s="404" t="n">
        <f aca="false">N18*IF(Summary!$E$70="no",(1+Summary!$E$71),1+HLOOKUP('O&amp;M'!O$1,CCFMODEL!$I$127:$AF$128,2))</f>
        <v>32.2539931042589</v>
      </c>
      <c r="P18" s="404" t="n">
        <f aca="false">O18*IF(Summary!$E$70="no",(1+Summary!$E$71),1+HLOOKUP('O&amp;M'!P$1,CCFMODEL!$I$127:$AF$128,2))</f>
        <v>33.2216128973867</v>
      </c>
      <c r="Q18" s="404" t="n">
        <f aca="false">P18*IF(Summary!$E$70="no",(1+Summary!$E$71),1+HLOOKUP('O&amp;M'!Q$1,CCFMODEL!$I$127:$AF$128,2))</f>
        <v>34.2182612843083</v>
      </c>
      <c r="R18" s="404" t="n">
        <f aca="false">Q18*IF(Summary!$E$70="no",(1+Summary!$E$71),1+HLOOKUP('O&amp;M'!R$1,CCFMODEL!$I$127:$AF$128,2))</f>
        <v>35.2448091228375</v>
      </c>
      <c r="S18" s="404" t="n">
        <f aca="false">R18*IF(Summary!$E$70="no",(1+Summary!$E$71),1+HLOOKUP('O&amp;M'!S$1,CCFMODEL!$I$127:$AF$128,2))</f>
        <v>36.3021533965227</v>
      </c>
      <c r="T18" s="404" t="n">
        <f aca="false">S18*IF(Summary!$E$70="no",(1+Summary!$E$71),1+HLOOKUP('O&amp;M'!T$1,CCFMODEL!$I$127:$AF$128,2))</f>
        <v>37.3912179984184</v>
      </c>
      <c r="U18" s="404" t="n">
        <f aca="false">T18*IF(Summary!$E$70="no",(1+Summary!$E$71),1+HLOOKUP('O&amp;M'!U$1,CCFMODEL!$I$127:$AF$128,2))</f>
        <v>38.5129545383709</v>
      </c>
      <c r="V18" s="404" t="n">
        <f aca="false">U18*IF(Summary!$E$70="no",(1+Summary!$E$71),1+HLOOKUP('O&amp;M'!V$1,CCFMODEL!$I$127:$AF$128,2))</f>
        <v>39.668343174522</v>
      </c>
      <c r="W18" s="404" t="n">
        <f aca="false">V18*IF(Summary!$E$70="no",(1+Summary!$E$71),1+HLOOKUP('O&amp;M'!W$1,CCFMODEL!$I$127:$AF$128,2))</f>
        <v>40.8583934697577</v>
      </c>
      <c r="X18" s="404" t="n">
        <f aca="false">W18*IF(Summary!$E$70="no",(1+Summary!$E$71),1+HLOOKUP('O&amp;M'!X$1,CCFMODEL!$I$127:$AF$128,2))</f>
        <v>42.0841452738504</v>
      </c>
      <c r="Y18" s="404" t="n">
        <f aca="false">X18*IF(Summary!$E$70="no",(1+Summary!$E$71),1+HLOOKUP('O&amp;M'!Y$1,CCFMODEL!$I$127:$AF$128,2))</f>
        <v>43.3466696320659</v>
      </c>
      <c r="Z18" s="404" t="n">
        <f aca="false">Y18*IF(Summary!$E$70="no",(1+Summary!$E$71),1+HLOOKUP('O&amp;M'!Z$1,CCFMODEL!$I$127:$AF$128,2))</f>
        <v>44.6470697210279</v>
      </c>
      <c r="AA18" s="404" t="n">
        <f aca="false">Z18*IF(Summary!$E$70="no",(1+Summary!$E$71),1+HLOOKUP('O&amp;M'!AA$1,CCFMODEL!$I$127:$AF$128,2))</f>
        <v>45.9864818126588</v>
      </c>
      <c r="AC18" s="404" t="n">
        <v>24</v>
      </c>
    </row>
    <row r="19" customFormat="false" ht="12.75" hidden="false" customHeight="false" outlineLevel="0" collapsed="false">
      <c r="A19" s="1337" t="s">
        <v>1002</v>
      </c>
      <c r="B19" s="85"/>
      <c r="C19" s="85"/>
      <c r="D19" s="404" t="n">
        <v>0</v>
      </c>
      <c r="E19" s="404" t="n">
        <v>24</v>
      </c>
      <c r="F19" s="404" t="n">
        <f aca="false">E19*IF(Summary!$E$70="no",(1+Summary!$E$71),1+HLOOKUP('O&amp;M'!F$1,CCFMODEL!$I$127:$AF$128,2))</f>
        <v>24.72</v>
      </c>
      <c r="G19" s="404" t="n">
        <f aca="false">F19*IF(Summary!$E$70="no",(1+Summary!$E$71),1+HLOOKUP('O&amp;M'!G$1,CCFMODEL!$I$127:$AF$128,2))</f>
        <v>25.4616</v>
      </c>
      <c r="H19" s="404" t="n">
        <f aca="false">G19*IF(Summary!$E$70="no",(1+Summary!$E$71),1+HLOOKUP('O&amp;M'!H$1,CCFMODEL!$I$127:$AF$128,2))</f>
        <v>26.225448</v>
      </c>
      <c r="I19" s="404" t="n">
        <f aca="false">H19*IF(Summary!$E$70="no",(1+Summary!$E$71),1+HLOOKUP('O&amp;M'!I$1,CCFMODEL!$I$127:$AF$128,2))</f>
        <v>27.01221144</v>
      </c>
      <c r="J19" s="404" t="n">
        <f aca="false">I19*IF(Summary!$E$70="no",(1+Summary!$E$71),1+HLOOKUP('O&amp;M'!J$1,CCFMODEL!$I$127:$AF$128,2))</f>
        <v>27.8225777832</v>
      </c>
      <c r="K19" s="404" t="n">
        <f aca="false">J19*IF(Summary!$E$70="no",(1+Summary!$E$71),1+HLOOKUP('O&amp;M'!K$1,CCFMODEL!$I$127:$AF$128,2))</f>
        <v>28.657255116696</v>
      </c>
      <c r="L19" s="404" t="n">
        <f aca="false">K19*IF(Summary!$E$70="no",(1+Summary!$E$71),1+HLOOKUP('O&amp;M'!L$1,CCFMODEL!$I$127:$AF$128,2))</f>
        <v>29.5169727701969</v>
      </c>
      <c r="M19" s="404" t="n">
        <f aca="false">L19*IF(Summary!$E$70="no",(1+Summary!$E$71),1+HLOOKUP('O&amp;M'!M$1,CCFMODEL!$I$127:$AF$128,2))</f>
        <v>30.4024819533028</v>
      </c>
      <c r="N19" s="404" t="n">
        <f aca="false">M19*IF(Summary!$E$70="no",(1+Summary!$E$71),1+HLOOKUP('O&amp;M'!N$1,CCFMODEL!$I$127:$AF$128,2))</f>
        <v>31.3145564119019</v>
      </c>
      <c r="O19" s="404" t="n">
        <f aca="false">N19*IF(Summary!$E$70="no",(1+Summary!$E$71),1+HLOOKUP('O&amp;M'!O$1,CCFMODEL!$I$127:$AF$128,2))</f>
        <v>32.2539931042589</v>
      </c>
      <c r="P19" s="404" t="n">
        <f aca="false">O19*IF(Summary!$E$70="no",(1+Summary!$E$71),1+HLOOKUP('O&amp;M'!P$1,CCFMODEL!$I$127:$AF$128,2))</f>
        <v>33.2216128973867</v>
      </c>
      <c r="Q19" s="404" t="n">
        <f aca="false">P19*IF(Summary!$E$70="no",(1+Summary!$E$71),1+HLOOKUP('O&amp;M'!Q$1,CCFMODEL!$I$127:$AF$128,2))</f>
        <v>34.2182612843083</v>
      </c>
      <c r="R19" s="404" t="n">
        <f aca="false">Q19*IF(Summary!$E$70="no",(1+Summary!$E$71),1+HLOOKUP('O&amp;M'!R$1,CCFMODEL!$I$127:$AF$128,2))</f>
        <v>35.2448091228375</v>
      </c>
      <c r="S19" s="404" t="n">
        <f aca="false">R19*IF(Summary!$E$70="no",(1+Summary!$E$71),1+HLOOKUP('O&amp;M'!S$1,CCFMODEL!$I$127:$AF$128,2))</f>
        <v>36.3021533965227</v>
      </c>
      <c r="T19" s="404" t="n">
        <f aca="false">S19*IF(Summary!$E$70="no",(1+Summary!$E$71),1+HLOOKUP('O&amp;M'!T$1,CCFMODEL!$I$127:$AF$128,2))</f>
        <v>37.3912179984184</v>
      </c>
      <c r="U19" s="404" t="n">
        <f aca="false">T19*IF(Summary!$E$70="no",(1+Summary!$E$71),1+HLOOKUP('O&amp;M'!U$1,CCFMODEL!$I$127:$AF$128,2))</f>
        <v>38.5129545383709</v>
      </c>
      <c r="V19" s="404" t="n">
        <f aca="false">U19*IF(Summary!$E$70="no",(1+Summary!$E$71),1+HLOOKUP('O&amp;M'!V$1,CCFMODEL!$I$127:$AF$128,2))</f>
        <v>39.668343174522</v>
      </c>
      <c r="W19" s="404" t="n">
        <f aca="false">V19*IF(Summary!$E$70="no",(1+Summary!$E$71),1+HLOOKUP('O&amp;M'!W$1,CCFMODEL!$I$127:$AF$128,2))</f>
        <v>40.8583934697577</v>
      </c>
      <c r="X19" s="404" t="n">
        <f aca="false">W19*IF(Summary!$E$70="no",(1+Summary!$E$71),1+HLOOKUP('O&amp;M'!X$1,CCFMODEL!$I$127:$AF$128,2))</f>
        <v>42.0841452738504</v>
      </c>
      <c r="Y19" s="404" t="n">
        <f aca="false">X19*IF(Summary!$E$70="no",(1+Summary!$E$71),1+HLOOKUP('O&amp;M'!Y$1,CCFMODEL!$I$127:$AF$128,2))</f>
        <v>43.3466696320659</v>
      </c>
      <c r="Z19" s="404" t="n">
        <f aca="false">Y19*IF(Summary!$E$70="no",(1+Summary!$E$71),1+HLOOKUP('O&amp;M'!Z$1,CCFMODEL!$I$127:$AF$128,2))</f>
        <v>44.6470697210279</v>
      </c>
      <c r="AA19" s="404" t="n">
        <f aca="false">Z19*IF(Summary!$E$70="no",(1+Summary!$E$71),1+HLOOKUP('O&amp;M'!AA$1,CCFMODEL!$I$127:$AF$128,2))</f>
        <v>45.9864818126588</v>
      </c>
      <c r="AC19" s="404" t="n">
        <v>24</v>
      </c>
    </row>
    <row r="20" customFormat="false" ht="12.75" hidden="false" customHeight="false" outlineLevel="0" collapsed="false">
      <c r="A20" s="1337" t="s">
        <v>1003</v>
      </c>
      <c r="B20" s="85"/>
      <c r="C20" s="85"/>
      <c r="D20" s="404" t="n">
        <v>0</v>
      </c>
      <c r="E20" s="404" t="n">
        <v>12</v>
      </c>
      <c r="F20" s="404" t="n">
        <f aca="false">E20*IF(Summary!$E$70="no",(1+Summary!$E$71),1+HLOOKUP('O&amp;M'!F$1,CCFMODEL!$I$127:$AF$128,2))</f>
        <v>12.36</v>
      </c>
      <c r="G20" s="404" t="n">
        <f aca="false">F20*IF(Summary!$E$70="no",(1+Summary!$E$71),1+HLOOKUP('O&amp;M'!G$1,CCFMODEL!$I$127:$AF$128,2))</f>
        <v>12.7308</v>
      </c>
      <c r="H20" s="404" t="n">
        <f aca="false">G20*IF(Summary!$E$70="no",(1+Summary!$E$71),1+HLOOKUP('O&amp;M'!H$1,CCFMODEL!$I$127:$AF$128,2))</f>
        <v>13.112724</v>
      </c>
      <c r="I20" s="404" t="n">
        <f aca="false">H20*IF(Summary!$E$70="no",(1+Summary!$E$71),1+HLOOKUP('O&amp;M'!I$1,CCFMODEL!$I$127:$AF$128,2))</f>
        <v>13.50610572</v>
      </c>
      <c r="J20" s="404" t="n">
        <f aca="false">I20*IF(Summary!$E$70="no",(1+Summary!$E$71),1+HLOOKUP('O&amp;M'!J$1,CCFMODEL!$I$127:$AF$128,2))</f>
        <v>13.9112888916</v>
      </c>
      <c r="K20" s="404" t="n">
        <f aca="false">J20*IF(Summary!$E$70="no",(1+Summary!$E$71),1+HLOOKUP('O&amp;M'!K$1,CCFMODEL!$I$127:$AF$128,2))</f>
        <v>14.328627558348</v>
      </c>
      <c r="L20" s="404" t="n">
        <f aca="false">K20*IF(Summary!$E$70="no",(1+Summary!$E$71),1+HLOOKUP('O&amp;M'!L$1,CCFMODEL!$I$127:$AF$128,2))</f>
        <v>14.7584863850984</v>
      </c>
      <c r="M20" s="404" t="n">
        <f aca="false">L20*IF(Summary!$E$70="no",(1+Summary!$E$71),1+HLOOKUP('O&amp;M'!M$1,CCFMODEL!$I$127:$AF$128,2))</f>
        <v>15.2012409766514</v>
      </c>
      <c r="N20" s="404" t="n">
        <f aca="false">M20*IF(Summary!$E$70="no",(1+Summary!$E$71),1+HLOOKUP('O&amp;M'!N$1,CCFMODEL!$I$127:$AF$128,2))</f>
        <v>15.6572782059509</v>
      </c>
      <c r="O20" s="404" t="n">
        <f aca="false">N20*IF(Summary!$E$70="no",(1+Summary!$E$71),1+HLOOKUP('O&amp;M'!O$1,CCFMODEL!$I$127:$AF$128,2))</f>
        <v>16.1269965521295</v>
      </c>
      <c r="P20" s="404" t="n">
        <f aca="false">O20*IF(Summary!$E$70="no",(1+Summary!$E$71),1+HLOOKUP('O&amp;M'!P$1,CCFMODEL!$I$127:$AF$128,2))</f>
        <v>16.6108064486934</v>
      </c>
      <c r="Q20" s="404" t="n">
        <f aca="false">P20*IF(Summary!$E$70="no",(1+Summary!$E$71),1+HLOOKUP('O&amp;M'!Q$1,CCFMODEL!$I$127:$AF$128,2))</f>
        <v>17.1091306421542</v>
      </c>
      <c r="R20" s="404" t="n">
        <f aca="false">Q20*IF(Summary!$E$70="no",(1+Summary!$E$71),1+HLOOKUP('O&amp;M'!R$1,CCFMODEL!$I$127:$AF$128,2))</f>
        <v>17.6224045614188</v>
      </c>
      <c r="S20" s="404" t="n">
        <f aca="false">R20*IF(Summary!$E$70="no",(1+Summary!$E$71),1+HLOOKUP('O&amp;M'!S$1,CCFMODEL!$I$127:$AF$128,2))</f>
        <v>18.1510766982613</v>
      </c>
      <c r="T20" s="404" t="n">
        <f aca="false">S20*IF(Summary!$E$70="no",(1+Summary!$E$71),1+HLOOKUP('O&amp;M'!T$1,CCFMODEL!$I$127:$AF$128,2))</f>
        <v>18.6956089992092</v>
      </c>
      <c r="U20" s="404" t="n">
        <f aca="false">T20*IF(Summary!$E$70="no",(1+Summary!$E$71),1+HLOOKUP('O&amp;M'!U$1,CCFMODEL!$I$127:$AF$128,2))</f>
        <v>19.2564772691855</v>
      </c>
      <c r="V20" s="404" t="n">
        <f aca="false">U20*IF(Summary!$E$70="no",(1+Summary!$E$71),1+HLOOKUP('O&amp;M'!V$1,CCFMODEL!$I$127:$AF$128,2))</f>
        <v>19.834171587261</v>
      </c>
      <c r="W20" s="404" t="n">
        <f aca="false">V20*IF(Summary!$E$70="no",(1+Summary!$E$71),1+HLOOKUP('O&amp;M'!W$1,CCFMODEL!$I$127:$AF$128,2))</f>
        <v>20.4291967348788</v>
      </c>
      <c r="X20" s="404" t="n">
        <f aca="false">W20*IF(Summary!$E$70="no",(1+Summary!$E$71),1+HLOOKUP('O&amp;M'!X$1,CCFMODEL!$I$127:$AF$128,2))</f>
        <v>21.0420726369252</v>
      </c>
      <c r="Y20" s="404" t="n">
        <f aca="false">X20*IF(Summary!$E$70="no",(1+Summary!$E$71),1+HLOOKUP('O&amp;M'!Y$1,CCFMODEL!$I$127:$AF$128,2))</f>
        <v>21.673334816033</v>
      </c>
      <c r="Z20" s="404" t="n">
        <f aca="false">Y20*IF(Summary!$E$70="no",(1+Summary!$E$71),1+HLOOKUP('O&amp;M'!Z$1,CCFMODEL!$I$127:$AF$128,2))</f>
        <v>22.323534860514</v>
      </c>
      <c r="AA20" s="404" t="n">
        <f aca="false">Z20*IF(Summary!$E$70="no",(1+Summary!$E$71),1+HLOOKUP('O&amp;M'!AA$1,CCFMODEL!$I$127:$AF$128,2))</f>
        <v>22.9932409063294</v>
      </c>
      <c r="AC20" s="404" t="n">
        <v>12</v>
      </c>
    </row>
    <row r="21" customFormat="false" ht="12.75" hidden="false" customHeight="false" outlineLevel="0" collapsed="false">
      <c r="A21" s="1337" t="s">
        <v>1004</v>
      </c>
      <c r="B21" s="85"/>
      <c r="C21" s="85"/>
      <c r="D21" s="404" t="n">
        <v>0</v>
      </c>
      <c r="E21" s="404" t="n">
        <v>12</v>
      </c>
      <c r="F21" s="404" t="n">
        <f aca="false">E21*IF(Summary!$E$70="no",(1+Summary!$E$71),1+HLOOKUP('O&amp;M'!F$1,CCFMODEL!$I$127:$AF$128,2))</f>
        <v>12.36</v>
      </c>
      <c r="G21" s="404" t="n">
        <f aca="false">F21*IF(Summary!$E$70="no",(1+Summary!$E$71),1+HLOOKUP('O&amp;M'!G$1,CCFMODEL!$I$127:$AF$128,2))</f>
        <v>12.7308</v>
      </c>
      <c r="H21" s="404" t="n">
        <f aca="false">G21*IF(Summary!$E$70="no",(1+Summary!$E$71),1+HLOOKUP('O&amp;M'!H$1,CCFMODEL!$I$127:$AF$128,2))</f>
        <v>13.112724</v>
      </c>
      <c r="I21" s="404" t="n">
        <f aca="false">H21*IF(Summary!$E$70="no",(1+Summary!$E$71),1+HLOOKUP('O&amp;M'!I$1,CCFMODEL!$I$127:$AF$128,2))</f>
        <v>13.50610572</v>
      </c>
      <c r="J21" s="404" t="n">
        <f aca="false">I21*IF(Summary!$E$70="no",(1+Summary!$E$71),1+HLOOKUP('O&amp;M'!J$1,CCFMODEL!$I$127:$AF$128,2))</f>
        <v>13.9112888916</v>
      </c>
      <c r="K21" s="404" t="n">
        <f aca="false">J21*IF(Summary!$E$70="no",(1+Summary!$E$71),1+HLOOKUP('O&amp;M'!K$1,CCFMODEL!$I$127:$AF$128,2))</f>
        <v>14.328627558348</v>
      </c>
      <c r="L21" s="404" t="n">
        <f aca="false">K21*IF(Summary!$E$70="no",(1+Summary!$E$71),1+HLOOKUP('O&amp;M'!L$1,CCFMODEL!$I$127:$AF$128,2))</f>
        <v>14.7584863850984</v>
      </c>
      <c r="M21" s="404" t="n">
        <f aca="false">L21*IF(Summary!$E$70="no",(1+Summary!$E$71),1+HLOOKUP('O&amp;M'!M$1,CCFMODEL!$I$127:$AF$128,2))</f>
        <v>15.2012409766514</v>
      </c>
      <c r="N21" s="404" t="n">
        <f aca="false">M21*IF(Summary!$E$70="no",(1+Summary!$E$71),1+HLOOKUP('O&amp;M'!N$1,CCFMODEL!$I$127:$AF$128,2))</f>
        <v>15.6572782059509</v>
      </c>
      <c r="O21" s="404" t="n">
        <f aca="false">N21*IF(Summary!$E$70="no",(1+Summary!$E$71),1+HLOOKUP('O&amp;M'!O$1,CCFMODEL!$I$127:$AF$128,2))</f>
        <v>16.1269965521295</v>
      </c>
      <c r="P21" s="404" t="n">
        <f aca="false">O21*IF(Summary!$E$70="no",(1+Summary!$E$71),1+HLOOKUP('O&amp;M'!P$1,CCFMODEL!$I$127:$AF$128,2))</f>
        <v>16.6108064486934</v>
      </c>
      <c r="Q21" s="404" t="n">
        <f aca="false">P21*IF(Summary!$E$70="no",(1+Summary!$E$71),1+HLOOKUP('O&amp;M'!Q$1,CCFMODEL!$I$127:$AF$128,2))</f>
        <v>17.1091306421542</v>
      </c>
      <c r="R21" s="404" t="n">
        <f aca="false">Q21*IF(Summary!$E$70="no",(1+Summary!$E$71),1+HLOOKUP('O&amp;M'!R$1,CCFMODEL!$I$127:$AF$128,2))</f>
        <v>17.6224045614188</v>
      </c>
      <c r="S21" s="404" t="n">
        <f aca="false">R21*IF(Summary!$E$70="no",(1+Summary!$E$71),1+HLOOKUP('O&amp;M'!S$1,CCFMODEL!$I$127:$AF$128,2))</f>
        <v>18.1510766982613</v>
      </c>
      <c r="T21" s="404" t="n">
        <f aca="false">S21*IF(Summary!$E$70="no",(1+Summary!$E$71),1+HLOOKUP('O&amp;M'!T$1,CCFMODEL!$I$127:$AF$128,2))</f>
        <v>18.6956089992092</v>
      </c>
      <c r="U21" s="404" t="n">
        <f aca="false">T21*IF(Summary!$E$70="no",(1+Summary!$E$71),1+HLOOKUP('O&amp;M'!U$1,CCFMODEL!$I$127:$AF$128,2))</f>
        <v>19.2564772691855</v>
      </c>
      <c r="V21" s="404" t="n">
        <f aca="false">U21*IF(Summary!$E$70="no",(1+Summary!$E$71),1+HLOOKUP('O&amp;M'!V$1,CCFMODEL!$I$127:$AF$128,2))</f>
        <v>19.834171587261</v>
      </c>
      <c r="W21" s="404" t="n">
        <f aca="false">V21*IF(Summary!$E$70="no",(1+Summary!$E$71),1+HLOOKUP('O&amp;M'!W$1,CCFMODEL!$I$127:$AF$128,2))</f>
        <v>20.4291967348788</v>
      </c>
      <c r="X21" s="404" t="n">
        <f aca="false">W21*IF(Summary!$E$70="no",(1+Summary!$E$71),1+HLOOKUP('O&amp;M'!X$1,CCFMODEL!$I$127:$AF$128,2))</f>
        <v>21.0420726369252</v>
      </c>
      <c r="Y21" s="404" t="n">
        <f aca="false">X21*IF(Summary!$E$70="no",(1+Summary!$E$71),1+HLOOKUP('O&amp;M'!Y$1,CCFMODEL!$I$127:$AF$128,2))</f>
        <v>21.673334816033</v>
      </c>
      <c r="Z21" s="404" t="n">
        <f aca="false">Y21*IF(Summary!$E$70="no",(1+Summary!$E$71),1+HLOOKUP('O&amp;M'!Z$1,CCFMODEL!$I$127:$AF$128,2))</f>
        <v>22.323534860514</v>
      </c>
      <c r="AA21" s="404" t="n">
        <f aca="false">Z21*IF(Summary!$E$70="no",(1+Summary!$E$71),1+HLOOKUP('O&amp;M'!AA$1,CCFMODEL!$I$127:$AF$128,2))</f>
        <v>22.9932409063294</v>
      </c>
      <c r="AC21" s="404" t="n">
        <v>12</v>
      </c>
    </row>
    <row r="22" customFormat="false" ht="12.75" hidden="false" customHeight="false" outlineLevel="0" collapsed="false">
      <c r="A22" s="1337" t="s">
        <v>1005</v>
      </c>
      <c r="B22" s="85"/>
      <c r="C22" s="85"/>
      <c r="D22" s="404" t="n">
        <v>0</v>
      </c>
      <c r="E22" s="404" t="n">
        <v>1.02033693564603</v>
      </c>
      <c r="F22" s="404" t="n">
        <v>1.05094704371541</v>
      </c>
      <c r="G22" s="404" t="n">
        <v>1.08247545502687</v>
      </c>
      <c r="H22" s="404" t="n">
        <v>1.11494971867768</v>
      </c>
      <c r="I22" s="404" t="n">
        <v>1.14839821023801</v>
      </c>
      <c r="J22" s="404" t="n">
        <v>1.18285015654515</v>
      </c>
      <c r="K22" s="404" t="n">
        <v>1.21833566124151</v>
      </c>
      <c r="L22" s="404" t="n">
        <v>1.25488573107875</v>
      </c>
      <c r="M22" s="404" t="n">
        <v>1.29253230301111</v>
      </c>
      <c r="N22" s="404" t="n">
        <v>1.33130827210145</v>
      </c>
      <c r="O22" s="404" t="n">
        <v>1.37124752026449</v>
      </c>
      <c r="P22" s="404" t="n">
        <v>1.41238494587243</v>
      </c>
      <c r="Q22" s="404" t="n">
        <v>1.4547564942486</v>
      </c>
      <c r="R22" s="404" t="n">
        <v>1.49839918907606</v>
      </c>
      <c r="S22" s="404" t="n">
        <v>1.54335116474834</v>
      </c>
      <c r="T22" s="404" t="n">
        <v>1.58965169969079</v>
      </c>
      <c r="U22" s="404" t="n">
        <v>1.63734125068151</v>
      </c>
      <c r="V22" s="404" t="n">
        <v>1.68646148820196</v>
      </c>
      <c r="W22" s="404" t="n">
        <v>1.73705533284802</v>
      </c>
      <c r="X22" s="404" t="n">
        <v>1.78916699283346</v>
      </c>
      <c r="Y22" s="404" t="n">
        <v>1.84284200261846</v>
      </c>
      <c r="Z22" s="404" t="n">
        <v>1.89812726269701</v>
      </c>
      <c r="AA22" s="404" t="n">
        <v>1.95507108057792</v>
      </c>
      <c r="AC22" s="404" t="n">
        <v>1.02033693564603</v>
      </c>
    </row>
    <row r="23" customFormat="false" ht="12.75" hidden="false" customHeight="false" outlineLevel="0" collapsed="false">
      <c r="A23" s="1337" t="s">
        <v>1006</v>
      </c>
      <c r="B23" s="85"/>
      <c r="C23" s="85"/>
      <c r="D23" s="404" t="n">
        <v>0</v>
      </c>
      <c r="E23" s="404" t="n">
        <v>5.10168467823015</v>
      </c>
      <c r="F23" s="404" t="n">
        <f aca="false">E23*(1+Summary!$E$71)</f>
        <v>5.25473521857706</v>
      </c>
      <c r="G23" s="404" t="n">
        <f aca="false">F23*(1+Summary!$E$71)</f>
        <v>5.41237727513437</v>
      </c>
      <c r="H23" s="404" t="n">
        <f aca="false">G23*(1+Summary!$E$71)</f>
        <v>5.5747485933884</v>
      </c>
      <c r="I23" s="404" t="n">
        <f aca="false">H23*(1+Summary!$E$71)</f>
        <v>5.74199105119005</v>
      </c>
      <c r="J23" s="404" t="n">
        <f aca="false">I23*(1+Summary!$E$71)</f>
        <v>5.91425078272575</v>
      </c>
      <c r="K23" s="404" t="n">
        <f aca="false">J23*(1+Summary!$E$71)</f>
        <v>6.09167830620753</v>
      </c>
      <c r="L23" s="404" t="n">
        <f aca="false">K23*(1+Summary!$E$71)</f>
        <v>6.27442865539375</v>
      </c>
      <c r="M23" s="404" t="n">
        <f aca="false">L23*(1+Summary!$E$71)</f>
        <v>6.46266151505557</v>
      </c>
      <c r="N23" s="404" t="n">
        <f aca="false">M23*(1+Summary!$E$71)</f>
        <v>6.65654136050723</v>
      </c>
      <c r="O23" s="404" t="n">
        <f aca="false">N23*(1+Summary!$E$71)</f>
        <v>6.85623760132245</v>
      </c>
      <c r="P23" s="404" t="n">
        <f aca="false">O23*(1+Summary!$E$71)</f>
        <v>7.06192472936212</v>
      </c>
      <c r="Q23" s="404" t="n">
        <f aca="false">P23*(1+Summary!$E$71)</f>
        <v>7.27378247124299</v>
      </c>
      <c r="R23" s="404" t="n">
        <f aca="false">Q23*(1+Summary!$E$71)</f>
        <v>7.49199594538028</v>
      </c>
      <c r="S23" s="404" t="n">
        <f aca="false">R23*(1+Summary!$E$71)</f>
        <v>7.71675582374169</v>
      </c>
      <c r="T23" s="404" t="n">
        <f aca="false">S23*(1+Summary!$E$71)</f>
        <v>7.94825849845394</v>
      </c>
      <c r="U23" s="404" t="n">
        <f aca="false">T23*(1+Summary!$E$71)</f>
        <v>8.18670625340755</v>
      </c>
      <c r="V23" s="404" t="n">
        <f aca="false">U23*(1+Summary!$E$71)</f>
        <v>8.43230744100978</v>
      </c>
      <c r="W23" s="404" t="n">
        <f aca="false">V23*(1+Summary!$E$71)</f>
        <v>8.68527666424007</v>
      </c>
      <c r="X23" s="404" t="n">
        <f aca="false">W23*(1+Summary!$E$71)</f>
        <v>8.94583496416728</v>
      </c>
      <c r="Y23" s="404" t="n">
        <f aca="false">X23*(1+Summary!$E$71)</f>
        <v>9.2142100130923</v>
      </c>
      <c r="Z23" s="404" t="n">
        <f aca="false">Y23*(1+Summary!$E$71)</f>
        <v>9.49063631348507</v>
      </c>
      <c r="AA23" s="404" t="n">
        <f aca="false">Z23*(1+Summary!$E$71)</f>
        <v>9.77535540288962</v>
      </c>
      <c r="AC23" s="404" t="n">
        <v>5.10168467823015</v>
      </c>
    </row>
    <row r="24" customFormat="false" ht="15" hidden="false" customHeight="false" outlineLevel="0" collapsed="false">
      <c r="A24" s="1337" t="s">
        <v>1007</v>
      </c>
      <c r="B24" s="85"/>
      <c r="C24" s="85"/>
      <c r="D24" s="1338" t="n">
        <v>0</v>
      </c>
      <c r="E24" s="1338" t="n">
        <v>0</v>
      </c>
      <c r="F24" s="1338" t="n">
        <f aca="false">E24*(1+Summary!$E$71)</f>
        <v>0</v>
      </c>
      <c r="G24" s="1338" t="n">
        <f aca="false">F24*(1+Summary!$E$71)</f>
        <v>0</v>
      </c>
      <c r="H24" s="1338" t="n">
        <f aca="false">G24*(1+Summary!$E$71)</f>
        <v>0</v>
      </c>
      <c r="I24" s="1338" t="n">
        <f aca="false">H24*(1+Summary!$E$71)</f>
        <v>0</v>
      </c>
      <c r="J24" s="1338" t="n">
        <f aca="false">I24*(1+Summary!$E$71)</f>
        <v>0</v>
      </c>
      <c r="K24" s="1338" t="n">
        <f aca="false">J24*(1+Summary!$E$71)</f>
        <v>0</v>
      </c>
      <c r="L24" s="1338" t="n">
        <f aca="false">K24*(1+Summary!$E$71)</f>
        <v>0</v>
      </c>
      <c r="M24" s="1338" t="n">
        <f aca="false">L24*(1+Summary!$E$71)</f>
        <v>0</v>
      </c>
      <c r="N24" s="1338" t="n">
        <f aca="false">M24*(1+Summary!$E$71)</f>
        <v>0</v>
      </c>
      <c r="O24" s="1338" t="n">
        <f aca="false">N24*(1+Summary!$E$71)</f>
        <v>0</v>
      </c>
      <c r="P24" s="1338" t="n">
        <f aca="false">O24*(1+Summary!$E$71)</f>
        <v>0</v>
      </c>
      <c r="Q24" s="1338" t="n">
        <f aca="false">P24*(1+Summary!$E$71)</f>
        <v>0</v>
      </c>
      <c r="R24" s="1338" t="n">
        <f aca="false">Q24*(1+Summary!$E$71)</f>
        <v>0</v>
      </c>
      <c r="S24" s="1338" t="n">
        <f aca="false">R24*(1+Summary!$E$71)</f>
        <v>0</v>
      </c>
      <c r="T24" s="1338" t="n">
        <f aca="false">S24*(1+Summary!$E$71)</f>
        <v>0</v>
      </c>
      <c r="U24" s="1338" t="n">
        <f aca="false">T24*(1+Summary!$E$71)</f>
        <v>0</v>
      </c>
      <c r="V24" s="1338" t="n">
        <f aca="false">U24*(1+Summary!$E$71)</f>
        <v>0</v>
      </c>
      <c r="W24" s="1338" t="n">
        <f aca="false">V24*(1+Summary!$E$71)</f>
        <v>0</v>
      </c>
      <c r="X24" s="1338" t="n">
        <f aca="false">W24*(1+Summary!$E$71)</f>
        <v>0</v>
      </c>
      <c r="Y24" s="1338" t="n">
        <f aca="false">X24*(1+Summary!$E$71)</f>
        <v>0</v>
      </c>
      <c r="Z24" s="1338" t="n">
        <f aca="false">Y24*(1+Summary!$E$71)</f>
        <v>0</v>
      </c>
      <c r="AA24" s="1338" t="n">
        <f aca="false">Z24*(1+Summary!$E$71)</f>
        <v>0</v>
      </c>
    </row>
    <row r="25" customFormat="false" ht="12.75" hidden="false" customHeight="false" outlineLevel="0" collapsed="false">
      <c r="A25" s="85" t="s">
        <v>993</v>
      </c>
      <c r="B25" s="85"/>
      <c r="C25" s="85"/>
      <c r="D25" s="0"/>
      <c r="E25" s="404" t="n">
        <f aca="false">SUM(E12:E24)</f>
        <v>319.177782383859</v>
      </c>
      <c r="F25" s="404" t="n">
        <f aca="false">SUM(F12:F24)</f>
        <v>328.753115855375</v>
      </c>
      <c r="G25" s="404" t="n">
        <f aca="false">SUM(G12:G24)</f>
        <v>338.615709331036</v>
      </c>
      <c r="H25" s="404" t="n">
        <f aca="false">SUM(H12:H24)</f>
        <v>348.774180610968</v>
      </c>
      <c r="I25" s="404" t="n">
        <f aca="false">SUM(I12:I24)</f>
        <v>359.237406029297</v>
      </c>
      <c r="J25" s="404" t="n">
        <f aca="false">SUM(J12:J24)</f>
        <v>370.014528210175</v>
      </c>
      <c r="K25" s="404" t="n">
        <f aca="false">SUM(K12:K24)</f>
        <v>381.114964056481</v>
      </c>
      <c r="L25" s="404" t="n">
        <f aca="false">SUM(L12:L24)</f>
        <v>392.548412978175</v>
      </c>
      <c r="M25" s="404" t="n">
        <f aca="false">SUM(M12:M24)</f>
        <v>404.324865367521</v>
      </c>
      <c r="N25" s="404" t="n">
        <f aca="false">SUM(N12:N24)</f>
        <v>416.454611328546</v>
      </c>
      <c r="O25" s="404" t="n">
        <f aca="false">SUM(O12:O24)</f>
        <v>428.948249668402</v>
      </c>
      <c r="P25" s="404" t="n">
        <f aca="false">SUM(P12:P24)</f>
        <v>441.816697158455</v>
      </c>
      <c r="Q25" s="404" t="n">
        <f aca="false">SUM(Q12:Q24)</f>
        <v>455.071198073208</v>
      </c>
      <c r="R25" s="404" t="n">
        <f aca="false">SUM(R12:R24)</f>
        <v>468.723334015404</v>
      </c>
      <c r="S25" s="404" t="n">
        <f aca="false">SUM(S12:S24)</f>
        <v>482.785034035867</v>
      </c>
      <c r="T25" s="404" t="n">
        <f aca="false">SUM(T12:T24)</f>
        <v>497.268585056943</v>
      </c>
      <c r="U25" s="404" t="n">
        <f aca="false">SUM(U12:U24)</f>
        <v>512.186642608651</v>
      </c>
      <c r="V25" s="404" t="n">
        <f aca="false">SUM(V12:V24)</f>
        <v>527.552241886911</v>
      </c>
      <c r="W25" s="404" t="n">
        <f aca="false">SUM(W12:W24)</f>
        <v>543.378809143518</v>
      </c>
      <c r="X25" s="404" t="n">
        <f aca="false">SUM(X12:X24)</f>
        <v>559.680173417823</v>
      </c>
      <c r="Y25" s="404" t="n">
        <f aca="false">SUM(Y12:Y24)</f>
        <v>576.470578620358</v>
      </c>
      <c r="Z25" s="404" t="n">
        <f aca="false">SUM(Z12:Z24)</f>
        <v>593.764695978969</v>
      </c>
      <c r="AA25" s="404" t="n">
        <f aca="false">SUM(AA12:AA24)</f>
        <v>611.577636858338</v>
      </c>
    </row>
    <row r="26" customFormat="false" ht="12.75" hidden="false" customHeight="false" outlineLevel="0" collapsed="false">
      <c r="A26" s="85"/>
      <c r="B26" s="85"/>
      <c r="C26" s="85"/>
      <c r="D26" s="0"/>
    </row>
    <row r="27" customFormat="false" ht="12.75" hidden="false" customHeight="false" outlineLevel="0" collapsed="false">
      <c r="A27" s="110" t="s">
        <v>1008</v>
      </c>
      <c r="B27" s="85"/>
      <c r="C27" s="85"/>
      <c r="D27" s="0"/>
    </row>
    <row r="28" customFormat="false" ht="12.75" hidden="false" customHeight="false" outlineLevel="0" collapsed="false">
      <c r="A28" s="1337" t="s">
        <v>1009</v>
      </c>
      <c r="B28" s="85"/>
      <c r="C28" s="85"/>
      <c r="D28" s="0"/>
      <c r="E28" s="404" t="n">
        <v>48</v>
      </c>
      <c r="F28" s="404" t="n">
        <f aca="false">E28*(1+Summary!$E$71)</f>
        <v>49.44</v>
      </c>
      <c r="G28" s="404" t="n">
        <f aca="false">F28*(1+Summary!$E$71)</f>
        <v>50.9232</v>
      </c>
      <c r="H28" s="404" t="n">
        <f aca="false">G28*(1+Summary!$E$71)</f>
        <v>52.450896</v>
      </c>
      <c r="I28" s="404" t="n">
        <f aca="false">H28*(1+Summary!$E$71)</f>
        <v>54.02442288</v>
      </c>
      <c r="J28" s="404" t="n">
        <f aca="false">I28*(1+Summary!$E$71)</f>
        <v>55.6451555664</v>
      </c>
      <c r="K28" s="404" t="n">
        <f aca="false">J28*(1+Summary!$E$71)</f>
        <v>57.314510233392</v>
      </c>
      <c r="L28" s="404" t="n">
        <f aca="false">K28*(1+Summary!$E$71)</f>
        <v>59.0339455403938</v>
      </c>
      <c r="M28" s="404" t="n">
        <f aca="false">L28*(1+Summary!$E$71)</f>
        <v>60.8049639066056</v>
      </c>
      <c r="N28" s="404" t="n">
        <f aca="false">M28*(1+Summary!$E$71)</f>
        <v>62.6291128238037</v>
      </c>
      <c r="O28" s="404" t="n">
        <f aca="false">N28*(1+Summary!$E$71)</f>
        <v>64.5079862085179</v>
      </c>
      <c r="P28" s="404" t="n">
        <f aca="false">O28*(1+Summary!$E$71)</f>
        <v>66.4432257947734</v>
      </c>
      <c r="Q28" s="404" t="n">
        <f aca="false">P28*(1+Summary!$E$71)</f>
        <v>68.4365225686166</v>
      </c>
      <c r="R28" s="404" t="n">
        <f aca="false">Q28*(1+Summary!$E$71)</f>
        <v>70.4896182456751</v>
      </c>
      <c r="S28" s="404" t="n">
        <f aca="false">R28*(1+Summary!$E$71)</f>
        <v>72.6043067930453</v>
      </c>
      <c r="T28" s="404" t="n">
        <f aca="false">S28*(1+Summary!$E$71)</f>
        <v>74.7824359968367</v>
      </c>
      <c r="U28" s="404" t="n">
        <f aca="false">T28*(1+Summary!$E$71)</f>
        <v>77.0259090767418</v>
      </c>
      <c r="V28" s="404" t="n">
        <f aca="false">U28*(1+Summary!$E$71)</f>
        <v>79.3366863490441</v>
      </c>
      <c r="W28" s="404" t="n">
        <f aca="false">V28*(1+Summary!$E$71)</f>
        <v>81.7167869395154</v>
      </c>
      <c r="X28" s="404" t="n">
        <f aca="false">W28*(1+Summary!$E$71)</f>
        <v>84.1682905477009</v>
      </c>
      <c r="Y28" s="404" t="n">
        <f aca="false">X28*(1+Summary!$E$71)</f>
        <v>86.6933392641319</v>
      </c>
      <c r="Z28" s="404" t="n">
        <f aca="false">Y28*(1+Summary!$E$71)</f>
        <v>89.2941394420558</v>
      </c>
      <c r="AA28" s="404" t="n">
        <f aca="false">Z28*(1+Summary!$E$71)</f>
        <v>91.9729636253175</v>
      </c>
    </row>
    <row r="29" customFormat="false" ht="12.75" hidden="false" customHeight="false" outlineLevel="0" collapsed="false">
      <c r="A29" s="1337" t="s">
        <v>1010</v>
      </c>
      <c r="B29" s="85"/>
      <c r="C29" s="85"/>
      <c r="D29" s="0"/>
      <c r="E29" s="404" t="n">
        <v>5.10168467823015</v>
      </c>
      <c r="F29" s="404" t="n">
        <f aca="false">E29*(1+Summary!$E$71)</f>
        <v>5.25473521857706</v>
      </c>
      <c r="G29" s="404" t="n">
        <f aca="false">F29*(1+Summary!$E$71)</f>
        <v>5.41237727513437</v>
      </c>
      <c r="H29" s="404" t="n">
        <f aca="false">G29*(1+Summary!$E$71)</f>
        <v>5.5747485933884</v>
      </c>
      <c r="I29" s="404" t="n">
        <f aca="false">H29*(1+Summary!$E$71)</f>
        <v>5.74199105119005</v>
      </c>
      <c r="J29" s="404" t="n">
        <f aca="false">I29*(1+Summary!$E$71)</f>
        <v>5.91425078272575</v>
      </c>
      <c r="K29" s="404" t="n">
        <f aca="false">J29*(1+Summary!$E$71)</f>
        <v>6.09167830620753</v>
      </c>
      <c r="L29" s="404" t="n">
        <f aca="false">K29*(1+Summary!$E$71)</f>
        <v>6.27442865539375</v>
      </c>
      <c r="M29" s="404" t="n">
        <f aca="false">L29*(1+Summary!$E$71)</f>
        <v>6.46266151505557</v>
      </c>
      <c r="N29" s="404" t="n">
        <f aca="false">M29*(1+Summary!$E$71)</f>
        <v>6.65654136050723</v>
      </c>
      <c r="O29" s="404" t="n">
        <f aca="false">N29*(1+Summary!$E$71)</f>
        <v>6.85623760132245</v>
      </c>
      <c r="P29" s="404" t="n">
        <f aca="false">O29*(1+Summary!$E$71)</f>
        <v>7.06192472936212</v>
      </c>
      <c r="Q29" s="404" t="n">
        <f aca="false">P29*(1+Summary!$E$71)</f>
        <v>7.27378247124299</v>
      </c>
      <c r="R29" s="404" t="n">
        <f aca="false">Q29*(1+Summary!$E$71)</f>
        <v>7.49199594538028</v>
      </c>
      <c r="S29" s="404" t="n">
        <f aca="false">R29*(1+Summary!$E$71)</f>
        <v>7.71675582374169</v>
      </c>
      <c r="T29" s="404" t="n">
        <f aca="false">S29*(1+Summary!$E$71)</f>
        <v>7.94825849845394</v>
      </c>
      <c r="U29" s="404" t="n">
        <f aca="false">T29*(1+Summary!$E$71)</f>
        <v>8.18670625340755</v>
      </c>
      <c r="V29" s="404" t="n">
        <f aca="false">U29*(1+Summary!$E$71)</f>
        <v>8.43230744100978</v>
      </c>
      <c r="W29" s="404" t="n">
        <f aca="false">V29*(1+Summary!$E$71)</f>
        <v>8.68527666424007</v>
      </c>
      <c r="X29" s="404" t="n">
        <f aca="false">W29*(1+Summary!$E$71)</f>
        <v>8.94583496416728</v>
      </c>
      <c r="Y29" s="404" t="n">
        <f aca="false">X29*(1+Summary!$E$71)</f>
        <v>9.2142100130923</v>
      </c>
      <c r="Z29" s="404" t="n">
        <f aca="false">Y29*(1+Summary!$E$71)</f>
        <v>9.49063631348507</v>
      </c>
      <c r="AA29" s="404" t="n">
        <f aca="false">Z29*(1+Summary!$E$71)</f>
        <v>9.77535540288962</v>
      </c>
    </row>
    <row r="30" customFormat="false" ht="12.75" hidden="false" customHeight="false" outlineLevel="0" collapsed="false">
      <c r="A30" s="1337" t="s">
        <v>1011</v>
      </c>
      <c r="B30" s="85"/>
      <c r="C30" s="85"/>
      <c r="D30" s="0"/>
      <c r="E30" s="404" t="n">
        <v>81.9999996</v>
      </c>
      <c r="F30" s="404" t="n">
        <f aca="false">E30*(1+Summary!$E$71)</f>
        <v>84.459999588</v>
      </c>
      <c r="G30" s="404" t="n">
        <f aca="false">F30*(1+Summary!$E$71)</f>
        <v>86.99379957564</v>
      </c>
      <c r="H30" s="404" t="n">
        <f aca="false">G30*(1+Summary!$E$71)</f>
        <v>89.6036135629092</v>
      </c>
      <c r="I30" s="404" t="n">
        <f aca="false">H30*(1+Summary!$E$71)</f>
        <v>92.2917219697965</v>
      </c>
      <c r="J30" s="404" t="n">
        <f aca="false">I30*(1+Summary!$E$71)</f>
        <v>95.0604736288904</v>
      </c>
      <c r="K30" s="404" t="n">
        <f aca="false">J30*(1+Summary!$E$71)</f>
        <v>97.9122878377571</v>
      </c>
      <c r="L30" s="404" t="n">
        <f aca="false">K30*(1+Summary!$E$71)</f>
        <v>100.84965647289</v>
      </c>
      <c r="M30" s="404" t="n">
        <f aca="false">L30*(1+Summary!$E$71)</f>
        <v>103.875146167077</v>
      </c>
      <c r="N30" s="404" t="n">
        <f aca="false">M30*(1+Summary!$E$71)</f>
        <v>106.991400552089</v>
      </c>
      <c r="O30" s="404" t="n">
        <f aca="false">N30*(1+Summary!$E$71)</f>
        <v>110.201142568651</v>
      </c>
      <c r="P30" s="404" t="n">
        <f aca="false">O30*(1+Summary!$E$71)</f>
        <v>113.507176845711</v>
      </c>
      <c r="Q30" s="404" t="n">
        <f aca="false">P30*(1+Summary!$E$71)</f>
        <v>116.912392151082</v>
      </c>
      <c r="R30" s="404" t="n">
        <f aca="false">Q30*(1+Summary!$E$71)</f>
        <v>120.419763915615</v>
      </c>
      <c r="S30" s="404" t="n">
        <f aca="false">R30*(1+Summary!$E$71)</f>
        <v>124.032356833083</v>
      </c>
      <c r="T30" s="404" t="n">
        <f aca="false">S30*(1+Summary!$E$71)</f>
        <v>127.753327538076</v>
      </c>
      <c r="U30" s="404" t="n">
        <f aca="false">T30*(1+Summary!$E$71)</f>
        <v>131.585927364218</v>
      </c>
      <c r="V30" s="404" t="n">
        <f aca="false">U30*(1+Summary!$E$71)</f>
        <v>135.533505185145</v>
      </c>
      <c r="W30" s="404" t="n">
        <f aca="false">V30*(1+Summary!$E$71)</f>
        <v>139.599510340699</v>
      </c>
      <c r="X30" s="404" t="n">
        <f aca="false">W30*(1+Summary!$E$71)</f>
        <v>143.78749565092</v>
      </c>
      <c r="Y30" s="404" t="n">
        <f aca="false">X30*(1+Summary!$E$71)</f>
        <v>148.101120520448</v>
      </c>
      <c r="Z30" s="404" t="n">
        <f aca="false">Y30*(1+Summary!$E$71)</f>
        <v>152.544154136061</v>
      </c>
      <c r="AA30" s="404" t="n">
        <f aca="false">Z30*(1+Summary!$E$71)</f>
        <v>157.120478760143</v>
      </c>
    </row>
    <row r="31" customFormat="false" ht="12.75" hidden="false" customHeight="false" outlineLevel="0" collapsed="false">
      <c r="A31" s="1337" t="s">
        <v>1012</v>
      </c>
      <c r="B31" s="85"/>
      <c r="C31" s="85"/>
      <c r="D31" s="0"/>
      <c r="E31" s="404" t="n">
        <v>25.9999992</v>
      </c>
      <c r="F31" s="404" t="n">
        <f aca="false">E31*(1+Summary!$E$71)</f>
        <v>26.779999176</v>
      </c>
      <c r="G31" s="404" t="n">
        <f aca="false">F31*(1+Summary!$E$71)</f>
        <v>27.58339915128</v>
      </c>
      <c r="H31" s="404" t="n">
        <f aca="false">G31*(1+Summary!$E$71)</f>
        <v>28.4109011258184</v>
      </c>
      <c r="I31" s="404" t="n">
        <f aca="false">H31*(1+Summary!$E$71)</f>
        <v>29.263228159593</v>
      </c>
      <c r="J31" s="404" t="n">
        <f aca="false">I31*(1+Summary!$E$71)</f>
        <v>30.1411250043807</v>
      </c>
      <c r="K31" s="404" t="n">
        <f aca="false">J31*(1+Summary!$E$71)</f>
        <v>31.0453587545122</v>
      </c>
      <c r="L31" s="404" t="n">
        <f aca="false">K31*(1+Summary!$E$71)</f>
        <v>31.9767195171475</v>
      </c>
      <c r="M31" s="404" t="n">
        <f aca="false">L31*(1+Summary!$E$71)</f>
        <v>32.936021102662</v>
      </c>
      <c r="N31" s="404" t="n">
        <f aca="false">M31*(1+Summary!$E$71)</f>
        <v>33.9241017357418</v>
      </c>
      <c r="O31" s="404" t="n">
        <f aca="false">N31*(1+Summary!$E$71)</f>
        <v>34.9418247878141</v>
      </c>
      <c r="P31" s="404" t="n">
        <f aca="false">O31*(1+Summary!$E$71)</f>
        <v>35.9900795314485</v>
      </c>
      <c r="Q31" s="404" t="n">
        <f aca="false">P31*(1+Summary!$E$71)</f>
        <v>37.0697819173919</v>
      </c>
      <c r="R31" s="404" t="n">
        <f aca="false">Q31*(1+Summary!$E$71)</f>
        <v>38.1818753749137</v>
      </c>
      <c r="S31" s="404" t="n">
        <f aca="false">R31*(1+Summary!$E$71)</f>
        <v>39.3273316361611</v>
      </c>
      <c r="T31" s="404" t="n">
        <f aca="false">S31*(1+Summary!$E$71)</f>
        <v>40.507151585246</v>
      </c>
      <c r="U31" s="404" t="n">
        <f aca="false">T31*(1+Summary!$E$71)</f>
        <v>41.7223661328033</v>
      </c>
      <c r="V31" s="404" t="n">
        <f aca="false">U31*(1+Summary!$E$71)</f>
        <v>42.9740371167874</v>
      </c>
      <c r="W31" s="404" t="n">
        <f aca="false">V31*(1+Summary!$E$71)</f>
        <v>44.2632582302911</v>
      </c>
      <c r="X31" s="404" t="n">
        <f aca="false">W31*(1+Summary!$E$71)</f>
        <v>45.5911559771998</v>
      </c>
      <c r="Y31" s="404" t="n">
        <f aca="false">X31*(1+Summary!$E$71)</f>
        <v>46.9588906565158</v>
      </c>
      <c r="Z31" s="404" t="n">
        <f aca="false">Y31*(1+Summary!$E$71)</f>
        <v>48.3676573762113</v>
      </c>
      <c r="AA31" s="404" t="n">
        <f aca="false">Z31*(1+Summary!$E$71)</f>
        <v>49.8186870974976</v>
      </c>
    </row>
    <row r="32" customFormat="false" ht="12.75" hidden="false" customHeight="false" outlineLevel="0" collapsed="false">
      <c r="A32" s="1337" t="s">
        <v>1013</v>
      </c>
      <c r="B32" s="85"/>
      <c r="C32" s="85"/>
      <c r="D32" s="0"/>
      <c r="E32" s="404" t="n">
        <v>18</v>
      </c>
      <c r="F32" s="404" t="n">
        <f aca="false">E32*(1+Summary!$E$71)</f>
        <v>18.54</v>
      </c>
      <c r="G32" s="404" t="n">
        <f aca="false">F32*(1+Summary!$E$71)</f>
        <v>19.0962</v>
      </c>
      <c r="H32" s="404" t="n">
        <f aca="false">G32*(1+Summary!$E$71)</f>
        <v>19.669086</v>
      </c>
      <c r="I32" s="404" t="n">
        <f aca="false">H32*(1+Summary!$E$71)</f>
        <v>20.25915858</v>
      </c>
      <c r="J32" s="404" t="n">
        <f aca="false">I32*(1+Summary!$E$71)</f>
        <v>20.8669333374</v>
      </c>
      <c r="K32" s="404" t="n">
        <f aca="false">J32*(1+Summary!$E$71)</f>
        <v>21.492941337522</v>
      </c>
      <c r="L32" s="404" t="n">
        <f aca="false">K32*(1+Summary!$E$71)</f>
        <v>22.1377295776477</v>
      </c>
      <c r="M32" s="404" t="n">
        <f aca="false">L32*(1+Summary!$E$71)</f>
        <v>22.8018614649771</v>
      </c>
      <c r="N32" s="404" t="n">
        <f aca="false">M32*(1+Summary!$E$71)</f>
        <v>23.4859173089264</v>
      </c>
      <c r="O32" s="404" t="n">
        <f aca="false">N32*(1+Summary!$E$71)</f>
        <v>24.1904948281942</v>
      </c>
      <c r="P32" s="404" t="n">
        <f aca="false">O32*(1+Summary!$E$71)</f>
        <v>24.91620967304</v>
      </c>
      <c r="Q32" s="404" t="n">
        <f aca="false">P32*(1+Summary!$E$71)</f>
        <v>25.6636959632312</v>
      </c>
      <c r="R32" s="404" t="n">
        <f aca="false">Q32*(1+Summary!$E$71)</f>
        <v>26.4336068421282</v>
      </c>
      <c r="S32" s="404" t="n">
        <f aca="false">R32*(1+Summary!$E$71)</f>
        <v>27.226615047392</v>
      </c>
      <c r="T32" s="404" t="n">
        <f aca="false">S32*(1+Summary!$E$71)</f>
        <v>28.0434134988138</v>
      </c>
      <c r="U32" s="404" t="n">
        <f aca="false">T32*(1+Summary!$E$71)</f>
        <v>28.8847159037782</v>
      </c>
      <c r="V32" s="404" t="n">
        <f aca="false">U32*(1+Summary!$E$71)</f>
        <v>29.7512573808915</v>
      </c>
      <c r="W32" s="404" t="n">
        <f aca="false">V32*(1+Summary!$E$71)</f>
        <v>30.6437951023183</v>
      </c>
      <c r="X32" s="404" t="n">
        <f aca="false">W32*(1+Summary!$E$71)</f>
        <v>31.5631089553878</v>
      </c>
      <c r="Y32" s="404" t="n">
        <f aca="false">X32*(1+Summary!$E$71)</f>
        <v>32.5100022240495</v>
      </c>
      <c r="Z32" s="404" t="n">
        <f aca="false">Y32*(1+Summary!$E$71)</f>
        <v>33.4853022907709</v>
      </c>
      <c r="AA32" s="404" t="n">
        <f aca="false">Z32*(1+Summary!$E$71)</f>
        <v>34.4898613594941</v>
      </c>
    </row>
    <row r="33" customFormat="false" ht="15" hidden="false" customHeight="false" outlineLevel="0" collapsed="false">
      <c r="A33" s="1337" t="s">
        <v>1014</v>
      </c>
      <c r="B33" s="85"/>
      <c r="C33" s="85"/>
      <c r="D33" s="0"/>
      <c r="E33" s="1338" t="n">
        <v>18</v>
      </c>
      <c r="F33" s="1338" t="n">
        <f aca="false">E33*(1+Summary!$E$71)</f>
        <v>18.54</v>
      </c>
      <c r="G33" s="1338" t="n">
        <f aca="false">F33*(1+Summary!$E$71)</f>
        <v>19.0962</v>
      </c>
      <c r="H33" s="1338" t="n">
        <f aca="false">G33*(1+Summary!$E$71)</f>
        <v>19.669086</v>
      </c>
      <c r="I33" s="1338" t="n">
        <f aca="false">H33*(1+Summary!$E$71)</f>
        <v>20.25915858</v>
      </c>
      <c r="J33" s="1338" t="n">
        <f aca="false">I33*(1+Summary!$E$71)</f>
        <v>20.8669333374</v>
      </c>
      <c r="K33" s="1338" t="n">
        <f aca="false">J33*(1+Summary!$E$71)</f>
        <v>21.492941337522</v>
      </c>
      <c r="L33" s="1338" t="n">
        <f aca="false">K33*(1+Summary!$E$71)</f>
        <v>22.1377295776477</v>
      </c>
      <c r="M33" s="1338" t="n">
        <f aca="false">L33*(1+Summary!$E$71)</f>
        <v>22.8018614649771</v>
      </c>
      <c r="N33" s="1338" t="n">
        <f aca="false">M33*(1+Summary!$E$71)</f>
        <v>23.4859173089264</v>
      </c>
      <c r="O33" s="1338" t="n">
        <f aca="false">N33*(1+Summary!$E$71)</f>
        <v>24.1904948281942</v>
      </c>
      <c r="P33" s="1338" t="n">
        <f aca="false">O33*(1+Summary!$E$71)</f>
        <v>24.91620967304</v>
      </c>
      <c r="Q33" s="1338" t="n">
        <f aca="false">P33*(1+Summary!$E$71)</f>
        <v>25.6636959632312</v>
      </c>
      <c r="R33" s="1338" t="n">
        <f aca="false">Q33*(1+Summary!$E$71)</f>
        <v>26.4336068421282</v>
      </c>
      <c r="S33" s="1338" t="n">
        <f aca="false">R33*(1+Summary!$E$71)</f>
        <v>27.226615047392</v>
      </c>
      <c r="T33" s="1338" t="n">
        <f aca="false">S33*(1+Summary!$E$71)</f>
        <v>28.0434134988138</v>
      </c>
      <c r="U33" s="1338" t="n">
        <f aca="false">T33*(1+Summary!$E$71)</f>
        <v>28.8847159037782</v>
      </c>
      <c r="V33" s="1338" t="n">
        <f aca="false">U33*(1+Summary!$E$71)</f>
        <v>29.7512573808915</v>
      </c>
      <c r="W33" s="1338" t="n">
        <f aca="false">V33*(1+Summary!$E$71)</f>
        <v>30.6437951023183</v>
      </c>
      <c r="X33" s="1338" t="n">
        <f aca="false">W33*(1+Summary!$E$71)</f>
        <v>31.5631089553878</v>
      </c>
      <c r="Y33" s="1338" t="n">
        <f aca="false">X33*(1+Summary!$E$71)</f>
        <v>32.5100022240495</v>
      </c>
      <c r="Z33" s="1338" t="n">
        <f aca="false">Y33*(1+Summary!$E$71)</f>
        <v>33.4853022907709</v>
      </c>
      <c r="AA33" s="1338" t="n">
        <f aca="false">Z33*(1+Summary!$E$71)</f>
        <v>34.4898613594941</v>
      </c>
    </row>
    <row r="34" customFormat="false" ht="12.75" hidden="false" customHeight="false" outlineLevel="0" collapsed="false">
      <c r="A34" s="85" t="s">
        <v>993</v>
      </c>
      <c r="B34" s="85"/>
      <c r="C34" s="85"/>
      <c r="D34" s="0"/>
      <c r="E34" s="404" t="n">
        <f aca="false">SUM(E28:E33)</f>
        <v>197.10168347823</v>
      </c>
      <c r="F34" s="404" t="n">
        <f aca="false">SUM(F28:F33)</f>
        <v>203.014733982577</v>
      </c>
      <c r="G34" s="404" t="n">
        <f aca="false">SUM(G28:G33)</f>
        <v>209.105176002054</v>
      </c>
      <c r="H34" s="404" t="n">
        <f aca="false">SUM(H28:H33)</f>
        <v>215.378331282116</v>
      </c>
      <c r="I34" s="404" t="n">
        <f aca="false">SUM(I28:I33)</f>
        <v>221.83968122058</v>
      </c>
      <c r="J34" s="404" t="n">
        <f aca="false">SUM(J28:J33)</f>
        <v>228.494871657197</v>
      </c>
      <c r="K34" s="404" t="n">
        <f aca="false">SUM(K28:K33)</f>
        <v>235.349717806913</v>
      </c>
      <c r="L34" s="404" t="n">
        <f aca="false">SUM(L28:L33)</f>
        <v>242.41020934112</v>
      </c>
      <c r="M34" s="404" t="n">
        <f aca="false">SUM(M28:M33)</f>
        <v>249.682515621354</v>
      </c>
      <c r="N34" s="404" t="n">
        <f aca="false">SUM(N28:N33)</f>
        <v>257.172991089994</v>
      </c>
      <c r="O34" s="404" t="n">
        <f aca="false">SUM(O28:O33)</f>
        <v>264.888180822694</v>
      </c>
      <c r="P34" s="404" t="n">
        <f aca="false">SUM(P28:P33)</f>
        <v>272.834826247375</v>
      </c>
      <c r="Q34" s="404" t="n">
        <f aca="false">SUM(Q28:Q33)</f>
        <v>281.019871034796</v>
      </c>
      <c r="R34" s="404" t="n">
        <f aca="false">SUM(R28:R33)</f>
        <v>289.45046716584</v>
      </c>
      <c r="S34" s="404" t="n">
        <f aca="false">SUM(S28:S33)</f>
        <v>298.133981180815</v>
      </c>
      <c r="T34" s="404" t="n">
        <f aca="false">SUM(T28:T33)</f>
        <v>307.07800061624</v>
      </c>
      <c r="U34" s="404" t="n">
        <f aca="false">SUM(U28:U33)</f>
        <v>316.290340634727</v>
      </c>
      <c r="V34" s="404" t="n">
        <f aca="false">SUM(V28:V33)</f>
        <v>325.779050853769</v>
      </c>
      <c r="W34" s="404" t="n">
        <f aca="false">SUM(W28:W33)</f>
        <v>335.552422379382</v>
      </c>
      <c r="X34" s="404" t="n">
        <f aca="false">SUM(X28:X33)</f>
        <v>345.618995050763</v>
      </c>
      <c r="Y34" s="404" t="n">
        <f aca="false">SUM(Y28:Y33)</f>
        <v>355.987564902286</v>
      </c>
      <c r="Z34" s="404" t="n">
        <f aca="false">SUM(Z28:Z33)</f>
        <v>366.667191849355</v>
      </c>
      <c r="AA34" s="404" t="n">
        <f aca="false">SUM(AA28:AA33)</f>
        <v>377.667207604836</v>
      </c>
    </row>
    <row r="35" customFormat="false" ht="12.75" hidden="false" customHeight="false" outlineLevel="0" collapsed="false">
      <c r="A35" s="85"/>
      <c r="B35" s="85"/>
      <c r="C35" s="85"/>
      <c r="D35" s="0"/>
    </row>
    <row r="36" customFormat="false" ht="12.75" hidden="false" customHeight="false" outlineLevel="0" collapsed="false">
      <c r="A36" s="110" t="s">
        <v>1015</v>
      </c>
      <c r="B36" s="85"/>
      <c r="C36" s="1339"/>
      <c r="D36" s="0"/>
    </row>
    <row r="37" customFormat="false" ht="12.75" hidden="false" customHeight="false" outlineLevel="0" collapsed="false">
      <c r="A37" s="1337" t="s">
        <v>1016</v>
      </c>
      <c r="B37" s="85"/>
      <c r="C37" s="404"/>
      <c r="D37" s="0"/>
      <c r="E37" s="1340" t="n">
        <f aca="false">IF(E1&gt;2011,+Summary!$O$92+Summary!$O$93,Summary!$O$92)*Summary!$O$75*(DATE(E$1,12,31)-DATE(E$1,1,1)+1)/1000*HLOOKUP('O&amp;M'!E$1,CCFMODEL!$I$127:$AF$131,5)</f>
        <v>277.727619176642</v>
      </c>
      <c r="F37" s="1340" t="n">
        <f aca="false">IF(F1&gt;2011,+Summary!$O$92+Summary!$O$93,Summary!$O$92)*Summary!$O$75*(DATE(F$1,12,31)-DATE(F$1,1,1)+1)/1000*HLOOKUP('O&amp;M'!F$1,CCFMODEL!$I$127:$AF$131,5)</f>
        <v>283.616051758092</v>
      </c>
      <c r="G37" s="1340" t="n">
        <f aca="false">IF(G1&gt;2011,+Summary!$O$92+Summary!$O$93,Summary!$O$92)*Summary!$O$75*(DATE(G$1,12,31)-DATE(G$1,1,1)+1)/1000*HLOOKUP('O&amp;M'!G$1,CCFMODEL!$I$127:$AF$131,5)</f>
        <v>290.422837000287</v>
      </c>
      <c r="H37" s="1340" t="n">
        <f aca="false">IF(H1&gt;2011,+Summary!$O$92+Summary!$O$93,Summary!$O$92)*Summary!$O$75*(DATE(H$1,12,31)-DATE(H$1,1,1)+1)/1000*HLOOKUP('O&amp;M'!H$1,CCFMODEL!$I$127:$AF$131,5)</f>
        <v>297.392985088294</v>
      </c>
      <c r="I37" s="1340" t="n">
        <f aca="false">IF(I1&gt;2011,+Summary!$O$92+Summary!$O$93,Summary!$O$92)*Summary!$O$75*(DATE(I$1,12,31)-DATE(I$1,1,1)+1)/1000*HLOOKUP('O&amp;M'!I$1,CCFMODEL!$I$127:$AF$131,5)</f>
        <v>305.364746639263</v>
      </c>
      <c r="J37" s="1340" t="n">
        <f aca="false">IF(J1&gt;2011,+Summary!$O$92+Summary!$O$93,Summary!$O$92)*Summary!$O$75*(DATE(J$1,12,31)-DATE(J$1,1,1)+1)/1000*HLOOKUP('O&amp;M'!J$1,CCFMODEL!$I$127:$AF$131,5)</f>
        <v>311.839146731943</v>
      </c>
      <c r="K37" s="1340" t="n">
        <f aca="false">IF(K1&gt;2011,+Summary!$O$92+Summary!$O$93,Summary!$O$92)*Summary!$O$75*(DATE(K$1,12,31)-DATE(K$1,1,1)+1)/1000*HLOOKUP('O&amp;M'!K$1,CCFMODEL!$I$127:$AF$131,5)</f>
        <v>319.323286253509</v>
      </c>
      <c r="L37" s="1340" t="n">
        <f aca="false">IF(L1&gt;2011,+Summary!$O$92+Summary!$O$93,Summary!$O$92)*Summary!$O$75*(DATE(L$1,12,31)-DATE(L$1,1,1)+1)/1000*HLOOKUP('O&amp;M'!L$1,CCFMODEL!$I$127:$AF$131,5)</f>
        <v>326.987045123593</v>
      </c>
      <c r="M37" s="1340" t="n">
        <f aca="false">IF(M1&gt;2011,+Summary!$O$92+Summary!$O$93,Summary!$O$92)*Summary!$O$75*(DATE(M$1,12,31)-DATE(M$1,1,1)+1)/1000*HLOOKUP('O&amp;M'!M$1,CCFMODEL!$I$127:$AF$131,5)</f>
        <v>335.752089642742</v>
      </c>
      <c r="N37" s="1340" t="n">
        <f aca="false">IF(N1&gt;2011,+Summary!$O$92+Summary!$O$93,Summary!$O$92)*Summary!$O$75*(DATE(N$1,12,31)-DATE(N$1,1,1)+1)/1000*HLOOKUP('O&amp;M'!N$1,CCFMODEL!$I$127:$AF$131,5)</f>
        <v>342.870767827517</v>
      </c>
      <c r="O37" s="1340" t="n">
        <f aca="false">IF(O1&gt;2011,+Summary!$O$92+Summary!$O$93,Summary!$O$92)*Summary!$O$75*(DATE(O$1,12,31)-DATE(O$1,1,1)+1)/1000*HLOOKUP('O&amp;M'!O$1,CCFMODEL!$I$127:$AF$131,5)</f>
        <v>351.099666255377</v>
      </c>
      <c r="P37" s="1340" t="n">
        <f aca="false">IF(P1&gt;2011,+Summary!$O$92+Summary!$O$93,Summary!$O$92)*Summary!$O$75*(DATE(P$1,12,31)-DATE(P$1,1,1)+1)/1000*HLOOKUP('O&amp;M'!P$1,CCFMODEL!$I$127:$AF$131,5)</f>
        <v>359.526058245507</v>
      </c>
      <c r="Q37" s="1340" t="n">
        <f aca="false">IF(Q1&gt;2011,+Summary!$O$92+Summary!$O$93,Summary!$O$92)*Summary!$O$75*(DATE(Q$1,12,31)-DATE(Q$1,1,1)+1)/1000*HLOOKUP('O&amp;M'!Q$1,CCFMODEL!$I$127:$AF$131,5)</f>
        <v>132.552786467953</v>
      </c>
      <c r="R37" s="1340" t="n">
        <f aca="false">IF(R1&gt;2011,+Summary!$O$92+Summary!$O$93,Summary!$O$92)*Summary!$O$75*(DATE(R$1,12,31)-DATE(R$1,1,1)+1)/1000*HLOOKUP('O&amp;M'!R$1,CCFMODEL!$I$127:$AF$131,5)</f>
        <v>135.363195273941</v>
      </c>
      <c r="S37" s="1340" t="n">
        <f aca="false">IF(S1&gt;2011,+Summary!$O$92+Summary!$O$93,Summary!$O$92)*Summary!$O$75*(DATE(S$1,12,31)-DATE(S$1,1,1)+1)/1000*HLOOKUP('O&amp;M'!S$1,CCFMODEL!$I$127:$AF$131,5)</f>
        <v>138.611911960515</v>
      </c>
      <c r="T37" s="1340" t="n">
        <f aca="false">IF(T1&gt;2011,+Summary!$O$92+Summary!$O$93,Summary!$O$92)*Summary!$O$75*(DATE(T$1,12,31)-DATE(T$1,1,1)+1)/1000*HLOOKUP('O&amp;M'!T$1,CCFMODEL!$I$127:$AF$131,5)</f>
        <v>141.938597847568</v>
      </c>
      <c r="U37" s="1340" t="n">
        <f aca="false">IF(U1&gt;2011,+Summary!$O$92+Summary!$O$93,Summary!$O$92)*Summary!$O$75*(DATE(U$1,12,31)-DATE(U$1,1,1)+1)/1000*HLOOKUP('O&amp;M'!U$1,CCFMODEL!$I$127:$AF$131,5)</f>
        <v>145.743330015624</v>
      </c>
      <c r="V37" s="1340" t="n">
        <f aca="false">IF(V1&gt;2011,+Summary!$O$92+Summary!$O$93,Summary!$O$92)*Summary!$O$75*(DATE(V$1,12,31)-DATE(V$1,1,1)+1)/1000*HLOOKUP('O&amp;M'!V$1,CCFMODEL!$I$127:$AF$131,5)</f>
        <v>148.833407176611</v>
      </c>
      <c r="W37" s="1340" t="n">
        <f aca="false">IF(W1&gt;2011,+Summary!$O$92+Summary!$O$93,Summary!$O$92)*Summary!$O$75*(DATE(W$1,12,31)-DATE(W$1,1,1)+1)/1000*HLOOKUP('O&amp;M'!W$1,CCFMODEL!$I$127:$AF$131,5)</f>
        <v>152.40540894885</v>
      </c>
      <c r="X37" s="1340" t="n">
        <f aca="false">IF(X1&gt;2011,+Summary!$O$92+Summary!$O$93,Summary!$O$92)*Summary!$O$75*(DATE(X$1,12,31)-DATE(X$1,1,1)+1)/1000*HLOOKUP('O&amp;M'!X$1,CCFMODEL!$I$127:$AF$131,5)</f>
        <v>156.063138763622</v>
      </c>
      <c r="Y37" s="1340" t="n">
        <f aca="false">IF(Y1&gt;2011,+Summary!$O$92+Summary!$O$93,Summary!$O$92)*Summary!$O$75*(DATE(Y$1,12,31)-DATE(Y$1,1,1)+1)/1000*HLOOKUP('O&amp;M'!Y$1,CCFMODEL!$I$127:$AF$131,5)</f>
        <v>160.246486022973</v>
      </c>
      <c r="Z37" s="1340" t="n">
        <f aca="false">IF(Z1&gt;2011,+Summary!$O$92+Summary!$O$93,Summary!$O$92)*Summary!$O$75*(DATE(Z$1,12,31)-DATE(Z$1,1,1)+1)/1000*HLOOKUP('O&amp;M'!Z$1,CCFMODEL!$I$127:$AF$131,5)</f>
        <v>163.644061792204</v>
      </c>
      <c r="AA37" s="1340" t="n">
        <f aca="false">IF(AA1&gt;2011,+Summary!$O$92+Summary!$O$93,Summary!$O$92)*Summary!$O$75*(DATE(AA$1,12,31)-DATE(AA$1,1,1)+1)/1000*HLOOKUP('O&amp;M'!AA$1,CCFMODEL!$I$127:$AF$131,5)</f>
        <v>167.571519275217</v>
      </c>
    </row>
    <row r="38" customFormat="false" ht="12.75" hidden="false" customHeight="false" outlineLevel="0" collapsed="false">
      <c r="A38" s="1337" t="s">
        <v>1017</v>
      </c>
      <c r="B38" s="85"/>
      <c r="C38" s="402"/>
      <c r="D38" s="0"/>
      <c r="E38" s="1341" t="n">
        <f aca="false">+Summary!$O$88*Summary!$O$75*(DATE(E$1,12,31)-DATE(E$1,1,1)+1)/1000</f>
        <v>1080.066</v>
      </c>
      <c r="F38" s="1341" t="n">
        <f aca="false">(Summary!$O$88*0.75+Summary!$O$89*0.25)*Summary!$O$75*(DATE(F$1,12,31)-DATE(F$1,1,1)+1)/1000</f>
        <v>999.46125</v>
      </c>
      <c r="G38" s="1340" t="n">
        <f aca="false">IF(G1=2011,252,IF(Summary!$N$84&gt;DATE(G$1,1,1),+Summary!$O$89*Summary!$O$75*(DATE(G$1,12,31)-DATE(G$1,1,1)+1)/1000,0))</f>
        <v>766.5</v>
      </c>
      <c r="H38" s="1340" t="n">
        <f aca="false">IF(H1=2011,252,IF(Summary!$N$84&gt;DATE(H$1,1,1),+Summary!$O$89*Summary!$O$75*(DATE(H$1,12,31)-DATE(H$1,1,1)+1)/1000,0))</f>
        <v>766.5</v>
      </c>
      <c r="I38" s="1340" t="n">
        <f aca="false">IF(I1=2011,252,IF(Summary!$N$84&gt;DATE(I$1,1,1),+Summary!$O$89*Summary!$O$75*(DATE(I$1,12,31)-DATE(I$1,1,1)+1)/1000,0))</f>
        <v>768.6</v>
      </c>
      <c r="J38" s="1340" t="n">
        <f aca="false">IF(J1=2011,252,IF(Summary!$N$84&gt;DATE(J$1,1,1),+Summary!$O$89*Summary!$O$75*(DATE(J$1,12,31)-DATE(J$1,1,1)+1)/1000,0))</f>
        <v>766.5</v>
      </c>
      <c r="K38" s="1340" t="n">
        <f aca="false">IF(K1=2011,252,IF(Summary!$N$84&gt;DATE(K$1,1,1),+Summary!$O$89*Summary!$O$75*(DATE(K$1,12,31)-DATE(K$1,1,1)+1)/1000,0))</f>
        <v>766.5</v>
      </c>
      <c r="L38" s="1340" t="n">
        <f aca="false">IF(L1=2011,252,IF(Summary!$N$84&gt;DATE(L$1,1,1),+Summary!$O$89*Summary!$O$75*(DATE(L$1,12,31)-DATE(L$1,1,1)+1)/1000,0))</f>
        <v>766.5</v>
      </c>
      <c r="M38" s="1340" t="n">
        <f aca="false">IF(M1=2011,252,IF(Summary!$N$84&gt;DATE(M$1,1,1),+Summary!$O$89*Summary!$O$75*(DATE(M$1,12,31)-DATE(M$1,1,1)+1)/1000,0))</f>
        <v>768.6</v>
      </c>
      <c r="N38" s="1340" t="n">
        <f aca="false">IF(N1=2011,252,IF(Summary!$N$84&gt;DATE(N$1,1,1),+Summary!$O$89*Summary!$O$75*(DATE(N$1,12,31)-DATE(N$1,1,1)+1)/1000,0))</f>
        <v>766.5</v>
      </c>
      <c r="O38" s="1340" t="n">
        <f aca="false">IF(O1=2011,252,IF(Summary!$N$84&gt;DATE(O$1,1,1),+Summary!$O$89*Summary!$O$75*(DATE(O$1,12,31)-DATE(O$1,1,1)+1)/1000,0))</f>
        <v>766.5</v>
      </c>
      <c r="P38" s="1340" t="n">
        <f aca="false">IF(P1=2011,252,IF(Summary!$N$84&gt;DATE(P$1,1,1),+Summary!$O$89*Summary!$O$75*(DATE(P$1,12,31)-DATE(P$1,1,1)+1)/1000,0))</f>
        <v>252</v>
      </c>
      <c r="Q38" s="1340" t="n">
        <f aca="false">IF(Q1=2011,252,IF(Summary!$N$84&gt;DATE(Q$1,1,1),+Summary!$O$89*Summary!$O$75*(DATE(Q$1,12,31)-DATE(Q$1,1,1)+1)/1000,0))</f>
        <v>0</v>
      </c>
      <c r="R38" s="1340" t="n">
        <f aca="false">IF(R1=2011,252,IF(Summary!$N$84&gt;DATE(R$1,1,1),+Summary!$O$89*Summary!$O$75*(DATE(R$1,12,31)-DATE(R$1,1,1)+1)/1000,0))</f>
        <v>0</v>
      </c>
      <c r="S38" s="1340" t="n">
        <f aca="false">IF(S1=2011,252,IF(Summary!$N$84&gt;DATE(S$1,1,1),+Summary!$O$89*Summary!$O$75*(DATE(S$1,12,31)-DATE(S$1,1,1)+1)/1000,0))</f>
        <v>0</v>
      </c>
      <c r="T38" s="1340" t="n">
        <f aca="false">IF(T1=2011,252,IF(Summary!$N$84&gt;DATE(T$1,1,1),+Summary!$O$89*Summary!$O$75*(DATE(T$1,12,31)-DATE(T$1,1,1)+1)/1000,0))</f>
        <v>0</v>
      </c>
      <c r="U38" s="1340" t="n">
        <f aca="false">IF(U1=2011,252,IF(Summary!$N$84&gt;DATE(U$1,1,1),+Summary!$O$89*Summary!$O$75*(DATE(U$1,12,31)-DATE(U$1,1,1)+1)/1000,0))</f>
        <v>0</v>
      </c>
      <c r="V38" s="1340" t="n">
        <f aca="false">IF(V1=2011,252,IF(Summary!$N$84&gt;DATE(V$1,1,1),+Summary!$O$89*Summary!$O$75*(DATE(V$1,12,31)-DATE(V$1,1,1)+1)/1000,0))</f>
        <v>0</v>
      </c>
      <c r="W38" s="1340" t="n">
        <f aca="false">IF(W1=2011,252,IF(Summary!$N$84&gt;DATE(W$1,1,1),+Summary!$O$89*Summary!$O$75*(DATE(W$1,12,31)-DATE(W$1,1,1)+1)/1000,0))</f>
        <v>0</v>
      </c>
      <c r="X38" s="1340" t="n">
        <f aca="false">IF(X1=2011,252,IF(Summary!$N$84&gt;DATE(X$1,1,1),+Summary!$O$89*Summary!$O$75*(DATE(X$1,12,31)-DATE(X$1,1,1)+1)/1000,0))</f>
        <v>0</v>
      </c>
      <c r="Y38" s="1340" t="n">
        <f aca="false">IF(Y1=2011,252,IF(Summary!$N$84&gt;DATE(Y$1,1,1),+Summary!$O$89*Summary!$O$75*(DATE(Y$1,12,31)-DATE(Y$1,1,1)+1)/1000,0))</f>
        <v>0</v>
      </c>
      <c r="Z38" s="1340" t="n">
        <f aca="false">IF(Z1=2011,252,IF(Summary!$N$84&gt;DATE(Z$1,1,1),+Summary!$O$89*Summary!$O$75*(DATE(Z$1,12,31)-DATE(Z$1,1,1)+1)/1000,0))</f>
        <v>0</v>
      </c>
      <c r="AA38" s="1340" t="n">
        <f aca="false">IF(AA1=2011,252,IF(Summary!$N$84&gt;DATE(AA$1,1,1),+Summary!$O$89*Summary!$O$75*(DATE(AA$1,12,31)-DATE(AA$1,1,1)+1)/1000,0))</f>
        <v>0</v>
      </c>
    </row>
    <row r="39" customFormat="false" ht="15" hidden="false" customHeight="false" outlineLevel="0" collapsed="false">
      <c r="A39" s="1337" t="s">
        <v>1018</v>
      </c>
      <c r="B39" s="85"/>
      <c r="C39" s="404"/>
      <c r="D39" s="0"/>
      <c r="E39" s="1342" t="n">
        <v>0</v>
      </c>
      <c r="F39" s="1342" t="n">
        <v>0</v>
      </c>
      <c r="G39" s="1342" t="n">
        <v>0</v>
      </c>
      <c r="H39" s="1342" t="n">
        <v>0</v>
      </c>
      <c r="I39" s="1342" t="n">
        <v>0</v>
      </c>
      <c r="J39" s="1342" t="n">
        <v>0</v>
      </c>
      <c r="K39" s="1342" t="n">
        <v>0</v>
      </c>
      <c r="L39" s="1342" t="n">
        <v>0</v>
      </c>
      <c r="M39" s="1342" t="n">
        <v>0</v>
      </c>
      <c r="N39" s="1342" t="n">
        <v>0</v>
      </c>
      <c r="O39" s="1342" t="n">
        <v>0</v>
      </c>
      <c r="P39" s="1342" t="n">
        <v>0</v>
      </c>
      <c r="Q39" s="1342" t="n">
        <v>0</v>
      </c>
      <c r="R39" s="1342" t="n">
        <v>0</v>
      </c>
      <c r="S39" s="1342" t="n">
        <v>0</v>
      </c>
      <c r="T39" s="1342" t="n">
        <v>0</v>
      </c>
      <c r="U39" s="1342" t="n">
        <v>0</v>
      </c>
      <c r="V39" s="1342" t="n">
        <v>0</v>
      </c>
      <c r="W39" s="1342" t="n">
        <v>0</v>
      </c>
      <c r="X39" s="1342" t="n">
        <v>0</v>
      </c>
      <c r="Y39" s="1342" t="n">
        <v>0</v>
      </c>
      <c r="Z39" s="1342" t="n">
        <v>0</v>
      </c>
      <c r="AA39" s="1342" t="n">
        <v>0</v>
      </c>
    </row>
    <row r="40" customFormat="false" ht="12.75" hidden="false" customHeight="false" outlineLevel="0" collapsed="false">
      <c r="A40" s="85" t="s">
        <v>993</v>
      </c>
      <c r="B40" s="85"/>
      <c r="C40" s="85"/>
      <c r="D40" s="0"/>
      <c r="E40" s="404" t="n">
        <f aca="false">SUM(E37:E39)</f>
        <v>1357.79361917664</v>
      </c>
      <c r="F40" s="404" t="n">
        <f aca="false">SUM(F37:F39)</f>
        <v>1283.07730175809</v>
      </c>
      <c r="G40" s="404" t="n">
        <f aca="false">SUM(G37:G39)</f>
        <v>1056.92283700029</v>
      </c>
      <c r="H40" s="404" t="n">
        <f aca="false">SUM(H37:H39)</f>
        <v>1063.89298508829</v>
      </c>
      <c r="I40" s="404" t="n">
        <f aca="false">SUM(I37:I39)</f>
        <v>1073.96474663926</v>
      </c>
      <c r="J40" s="404" t="n">
        <f aca="false">SUM(J37:J39)</f>
        <v>1078.33914673194</v>
      </c>
      <c r="K40" s="404" t="n">
        <f aca="false">SUM(K37:K39)</f>
        <v>1085.82328625351</v>
      </c>
      <c r="L40" s="404" t="n">
        <f aca="false">SUM(L37:L39)</f>
        <v>1093.48704512359</v>
      </c>
      <c r="M40" s="404" t="n">
        <f aca="false">SUM(M37:M39)</f>
        <v>1104.35208964274</v>
      </c>
      <c r="N40" s="404" t="n">
        <f aca="false">SUM(N37:N39)</f>
        <v>1109.37076782752</v>
      </c>
      <c r="O40" s="404" t="n">
        <f aca="false">SUM(O37:O39)</f>
        <v>1117.59966625538</v>
      </c>
      <c r="P40" s="404" t="n">
        <f aca="false">SUM(P37:P39)</f>
        <v>611.526058245506</v>
      </c>
      <c r="Q40" s="404" t="n">
        <f aca="false">SUM(Q37:Q39)</f>
        <v>132.552786467953</v>
      </c>
      <c r="R40" s="404" t="n">
        <f aca="false">SUM(R37:R39)</f>
        <v>135.363195273941</v>
      </c>
      <c r="S40" s="404" t="n">
        <f aca="false">SUM(S37:S39)</f>
        <v>138.611911960515</v>
      </c>
      <c r="T40" s="404" t="n">
        <f aca="false">SUM(T37:T39)</f>
        <v>141.938597847568</v>
      </c>
      <c r="U40" s="404" t="n">
        <f aca="false">SUM(U37:U39)</f>
        <v>145.743330015624</v>
      </c>
      <c r="V40" s="404" t="n">
        <f aca="false">SUM(V37:V39)</f>
        <v>148.833407176611</v>
      </c>
      <c r="W40" s="404" t="n">
        <f aca="false">SUM(W37:W39)</f>
        <v>152.40540894885</v>
      </c>
      <c r="X40" s="404" t="n">
        <f aca="false">SUM(X37:X39)</f>
        <v>156.063138763622</v>
      </c>
      <c r="Y40" s="404" t="n">
        <f aca="false">SUM(Y37:Y39)</f>
        <v>160.246486022973</v>
      </c>
      <c r="Z40" s="404" t="n">
        <f aca="false">SUM(Z37:Z39)</f>
        <v>163.644061792204</v>
      </c>
      <c r="AA40" s="404" t="n">
        <f aca="false">SUM(AA37:AA39)</f>
        <v>167.571519275217</v>
      </c>
    </row>
    <row r="41" customFormat="false" ht="12.75" hidden="false" customHeight="false" outlineLevel="0" collapsed="false">
      <c r="A41" s="85"/>
      <c r="B41" s="85"/>
      <c r="C41" s="85"/>
      <c r="D41" s="0"/>
    </row>
    <row r="42" customFormat="false" ht="12.75" hidden="false" customHeight="false" outlineLevel="0" collapsed="false">
      <c r="A42" s="110" t="s">
        <v>1019</v>
      </c>
      <c r="B42" s="85"/>
      <c r="C42" s="85"/>
      <c r="D42" s="0"/>
    </row>
    <row r="43" customFormat="false" ht="12.75" hidden="false" customHeight="false" outlineLevel="0" collapsed="false">
      <c r="A43" s="1337" t="s">
        <v>1020</v>
      </c>
      <c r="B43" s="85"/>
      <c r="C43" s="85"/>
      <c r="D43" s="0"/>
      <c r="E43" s="404" t="n">
        <v>15.3050540346905</v>
      </c>
      <c r="F43" s="404" t="n">
        <f aca="false">E43*(1+Summary!$E$71)</f>
        <v>15.7642056557312</v>
      </c>
      <c r="G43" s="404" t="n">
        <f aca="false">F43*(1+Summary!$E$71)</f>
        <v>16.2371318254031</v>
      </c>
      <c r="H43" s="404" t="n">
        <f aca="false">G43*(1+Summary!$E$71)</f>
        <v>16.7242457801652</v>
      </c>
      <c r="I43" s="404" t="n">
        <f aca="false">H43*(1+Summary!$E$71)</f>
        <v>17.2259731535702</v>
      </c>
      <c r="J43" s="404" t="n">
        <f aca="false">I43*(1+Summary!$E$71)</f>
        <v>17.7427523481773</v>
      </c>
      <c r="K43" s="404" t="n">
        <f aca="false">J43*(1+Summary!$E$71)</f>
        <v>18.2750349186226</v>
      </c>
      <c r="L43" s="404" t="n">
        <f aca="false">K43*(1+Summary!$E$71)</f>
        <v>18.8232859661813</v>
      </c>
      <c r="M43" s="404" t="n">
        <f aca="false">L43*(1+Summary!$E$71)</f>
        <v>19.3879845451667</v>
      </c>
      <c r="N43" s="404" t="n">
        <f aca="false">M43*(1+Summary!$E$71)</f>
        <v>19.9696240815217</v>
      </c>
      <c r="O43" s="404" t="n">
        <f aca="false">N43*(1+Summary!$E$71)</f>
        <v>20.5687128039673</v>
      </c>
      <c r="P43" s="404" t="n">
        <f aca="false">O43*(1+Summary!$E$71)</f>
        <v>21.1857741880864</v>
      </c>
      <c r="Q43" s="404" t="n">
        <f aca="false">P43*(1+Summary!$E$71)</f>
        <v>21.821347413729</v>
      </c>
      <c r="R43" s="404" t="n">
        <f aca="false">Q43*(1+Summary!$E$71)</f>
        <v>22.4759878361408</v>
      </c>
      <c r="S43" s="404" t="n">
        <f aca="false">R43*(1+Summary!$E$71)</f>
        <v>23.1502674712251</v>
      </c>
      <c r="T43" s="404" t="n">
        <f aca="false">S43*(1+Summary!$E$71)</f>
        <v>23.8447754953618</v>
      </c>
      <c r="U43" s="404" t="n">
        <f aca="false">T43*(1+Summary!$E$71)</f>
        <v>24.5601187602227</v>
      </c>
      <c r="V43" s="404" t="n">
        <f aca="false">U43*(1+Summary!$E$71)</f>
        <v>25.2969223230293</v>
      </c>
      <c r="W43" s="404" t="n">
        <f aca="false">V43*(1+Summary!$E$71)</f>
        <v>26.0558299927202</v>
      </c>
      <c r="X43" s="404" t="n">
        <f aca="false">W43*(1+Summary!$E$71)</f>
        <v>26.8375048925018</v>
      </c>
      <c r="Y43" s="404" t="n">
        <f aca="false">X43*(1+Summary!$E$71)</f>
        <v>27.6426300392769</v>
      </c>
      <c r="Z43" s="404" t="n">
        <f aca="false">Y43*(1+Summary!$E$71)</f>
        <v>28.4719089404552</v>
      </c>
      <c r="AA43" s="404" t="n">
        <f aca="false">Z43*(1+Summary!$E$71)</f>
        <v>29.3260662086689</v>
      </c>
    </row>
    <row r="44" customFormat="false" ht="12.75" hidden="false" customHeight="false" outlineLevel="0" collapsed="false">
      <c r="A44" s="1337" t="s">
        <v>1021</v>
      </c>
      <c r="B44" s="85"/>
      <c r="C44" s="85"/>
      <c r="D44" s="0"/>
      <c r="E44" s="404" t="n">
        <v>15.3050540346905</v>
      </c>
      <c r="F44" s="404" t="n">
        <f aca="false">E44*(1+Summary!$E$71)</f>
        <v>15.7642056557312</v>
      </c>
      <c r="G44" s="404" t="n">
        <f aca="false">F44*(1+Summary!$E$71)</f>
        <v>16.2371318254031</v>
      </c>
      <c r="H44" s="404" t="n">
        <f aca="false">G44*(1+Summary!$E$71)</f>
        <v>16.7242457801652</v>
      </c>
      <c r="I44" s="404" t="n">
        <f aca="false">H44*(1+Summary!$E$71)</f>
        <v>17.2259731535702</v>
      </c>
      <c r="J44" s="404" t="n">
        <f aca="false">I44*(1+Summary!$E$71)</f>
        <v>17.7427523481773</v>
      </c>
      <c r="K44" s="404" t="n">
        <f aca="false">J44*(1+Summary!$E$71)</f>
        <v>18.2750349186226</v>
      </c>
      <c r="L44" s="404" t="n">
        <f aca="false">K44*(1+Summary!$E$71)</f>
        <v>18.8232859661813</v>
      </c>
      <c r="M44" s="404" t="n">
        <f aca="false">L44*(1+Summary!$E$71)</f>
        <v>19.3879845451667</v>
      </c>
      <c r="N44" s="404" t="n">
        <f aca="false">M44*(1+Summary!$E$71)</f>
        <v>19.9696240815217</v>
      </c>
      <c r="O44" s="404" t="n">
        <f aca="false">N44*(1+Summary!$E$71)</f>
        <v>20.5687128039673</v>
      </c>
      <c r="P44" s="404" t="n">
        <f aca="false">O44*(1+Summary!$E$71)</f>
        <v>21.1857741880864</v>
      </c>
      <c r="Q44" s="404" t="n">
        <f aca="false">P44*(1+Summary!$E$71)</f>
        <v>21.821347413729</v>
      </c>
      <c r="R44" s="404" t="n">
        <f aca="false">Q44*(1+Summary!$E$71)</f>
        <v>22.4759878361408</v>
      </c>
      <c r="S44" s="404" t="n">
        <f aca="false">R44*(1+Summary!$E$71)</f>
        <v>23.1502674712251</v>
      </c>
      <c r="T44" s="404" t="n">
        <f aca="false">S44*(1+Summary!$E$71)</f>
        <v>23.8447754953618</v>
      </c>
      <c r="U44" s="404" t="n">
        <f aca="false">T44*(1+Summary!$E$71)</f>
        <v>24.5601187602227</v>
      </c>
      <c r="V44" s="404" t="n">
        <f aca="false">U44*(1+Summary!$E$71)</f>
        <v>25.2969223230293</v>
      </c>
      <c r="W44" s="404" t="n">
        <f aca="false">V44*(1+Summary!$E$71)</f>
        <v>26.0558299927202</v>
      </c>
      <c r="X44" s="404" t="n">
        <f aca="false">W44*(1+Summary!$E$71)</f>
        <v>26.8375048925018</v>
      </c>
      <c r="Y44" s="404" t="n">
        <f aca="false">X44*(1+Summary!$E$71)</f>
        <v>27.6426300392769</v>
      </c>
      <c r="Z44" s="404" t="n">
        <f aca="false">Y44*(1+Summary!$E$71)</f>
        <v>28.4719089404552</v>
      </c>
      <c r="AA44" s="404" t="n">
        <f aca="false">Z44*(1+Summary!$E$71)</f>
        <v>29.3260662086689</v>
      </c>
    </row>
    <row r="45" customFormat="false" ht="15" hidden="false" customHeight="false" outlineLevel="0" collapsed="false">
      <c r="A45" s="1337" t="s">
        <v>1022</v>
      </c>
      <c r="B45" s="85"/>
      <c r="C45" s="85"/>
      <c r="D45" s="0"/>
      <c r="E45" s="1338" t="n">
        <v>10.2033693564603</v>
      </c>
      <c r="F45" s="1338" t="n">
        <f aca="false">E45*(1+Summary!$E$71)</f>
        <v>10.5094704371541</v>
      </c>
      <c r="G45" s="1338" t="n">
        <f aca="false">F45*(1+Summary!$E$71)</f>
        <v>10.8247545502687</v>
      </c>
      <c r="H45" s="1338" t="n">
        <f aca="false">G45*(1+Summary!$E$71)</f>
        <v>11.1494971867768</v>
      </c>
      <c r="I45" s="1338" t="n">
        <f aca="false">H45*(1+Summary!$E$71)</f>
        <v>11.4839821023801</v>
      </c>
      <c r="J45" s="1338" t="n">
        <f aca="false">I45*(1+Summary!$E$71)</f>
        <v>11.8285015654515</v>
      </c>
      <c r="K45" s="1338" t="n">
        <f aca="false">J45*(1+Summary!$E$71)</f>
        <v>12.1833566124151</v>
      </c>
      <c r="L45" s="1338" t="n">
        <f aca="false">K45*(1+Summary!$E$71)</f>
        <v>12.5488573107875</v>
      </c>
      <c r="M45" s="1338" t="n">
        <f aca="false">L45*(1+Summary!$E$71)</f>
        <v>12.9253230301111</v>
      </c>
      <c r="N45" s="1338" t="n">
        <f aca="false">M45*(1+Summary!$E$71)</f>
        <v>13.3130827210145</v>
      </c>
      <c r="O45" s="1338" t="n">
        <f aca="false">N45*(1+Summary!$E$71)</f>
        <v>13.7124752026449</v>
      </c>
      <c r="P45" s="1338" t="n">
        <f aca="false">O45*(1+Summary!$E$71)</f>
        <v>14.1238494587242</v>
      </c>
      <c r="Q45" s="1338" t="n">
        <f aca="false">P45*(1+Summary!$E$71)</f>
        <v>14.547564942486</v>
      </c>
      <c r="R45" s="1338" t="n">
        <f aca="false">Q45*(1+Summary!$E$71)</f>
        <v>14.9839918907606</v>
      </c>
      <c r="S45" s="1338" t="n">
        <f aca="false">R45*(1+Summary!$E$71)</f>
        <v>15.4335116474834</v>
      </c>
      <c r="T45" s="1338" t="n">
        <f aca="false">S45*(1+Summary!$E$71)</f>
        <v>15.8965169969079</v>
      </c>
      <c r="U45" s="1338" t="n">
        <f aca="false">T45*(1+Summary!$E$71)</f>
        <v>16.3734125068151</v>
      </c>
      <c r="V45" s="1338" t="n">
        <f aca="false">U45*(1+Summary!$E$71)</f>
        <v>16.8646148820196</v>
      </c>
      <c r="W45" s="1338" t="n">
        <f aca="false">V45*(1+Summary!$E$71)</f>
        <v>17.3705533284802</v>
      </c>
      <c r="X45" s="1338" t="n">
        <f aca="false">W45*(1+Summary!$E$71)</f>
        <v>17.8916699283346</v>
      </c>
      <c r="Y45" s="1338" t="n">
        <f aca="false">X45*(1+Summary!$E$71)</f>
        <v>18.4284200261846</v>
      </c>
      <c r="Z45" s="1338" t="n">
        <f aca="false">Y45*(1+Summary!$E$71)</f>
        <v>18.9812726269701</v>
      </c>
      <c r="AA45" s="1338" t="n">
        <f aca="false">Z45*(1+Summary!$E$71)</f>
        <v>19.5507108057792</v>
      </c>
    </row>
    <row r="46" customFormat="false" ht="12.75" hidden="false" customHeight="false" outlineLevel="0" collapsed="false">
      <c r="A46" s="85" t="s">
        <v>993</v>
      </c>
      <c r="B46" s="110"/>
      <c r="C46" s="110"/>
      <c r="D46" s="0"/>
      <c r="E46" s="404" t="n">
        <f aca="false">SUM(E43:E45)</f>
        <v>40.8134774258412</v>
      </c>
      <c r="F46" s="404" t="n">
        <f aca="false">SUM(F43:F45)</f>
        <v>42.0378817486165</v>
      </c>
      <c r="G46" s="404" t="n">
        <f aca="false">SUM(G43:G45)</f>
        <v>43.2990182010749</v>
      </c>
      <c r="H46" s="404" t="n">
        <f aca="false">SUM(H43:H45)</f>
        <v>44.5979887471072</v>
      </c>
      <c r="I46" s="404" t="n">
        <f aca="false">SUM(I43:I45)</f>
        <v>45.9359284095204</v>
      </c>
      <c r="J46" s="404" t="n">
        <f aca="false">SUM(J43:J45)</f>
        <v>47.314006261806</v>
      </c>
      <c r="K46" s="404" t="n">
        <f aca="false">SUM(K43:K45)</f>
        <v>48.7334264496602</v>
      </c>
      <c r="L46" s="404" t="n">
        <f aca="false">SUM(L43:L45)</f>
        <v>50.19542924315</v>
      </c>
      <c r="M46" s="404" t="n">
        <f aca="false">SUM(M43:M45)</f>
        <v>51.7012921204445</v>
      </c>
      <c r="N46" s="404" t="n">
        <f aca="false">SUM(N43:N45)</f>
        <v>53.2523308840579</v>
      </c>
      <c r="O46" s="404" t="n">
        <f aca="false">SUM(O43:O45)</f>
        <v>54.8499008105796</v>
      </c>
      <c r="P46" s="404" t="n">
        <f aca="false">SUM(P43:P45)</f>
        <v>56.495397834897</v>
      </c>
      <c r="Q46" s="404" t="n">
        <f aca="false">SUM(Q43:Q45)</f>
        <v>58.1902597699439</v>
      </c>
      <c r="R46" s="404" t="n">
        <f aca="false">SUM(R43:R45)</f>
        <v>59.9359675630422</v>
      </c>
      <c r="S46" s="404" t="n">
        <f aca="false">SUM(S43:S45)</f>
        <v>61.7340465899335</v>
      </c>
      <c r="T46" s="404" t="n">
        <f aca="false">SUM(T43:T45)</f>
        <v>63.5860679876315</v>
      </c>
      <c r="U46" s="404" t="n">
        <f aca="false">SUM(U43:U45)</f>
        <v>65.4936500272604</v>
      </c>
      <c r="V46" s="404" t="n">
        <f aca="false">SUM(V43:V45)</f>
        <v>67.4584595280783</v>
      </c>
      <c r="W46" s="404" t="n">
        <f aca="false">SUM(W43:W45)</f>
        <v>69.4822133139206</v>
      </c>
      <c r="X46" s="404" t="n">
        <f aca="false">SUM(X43:X45)</f>
        <v>71.5666797133382</v>
      </c>
      <c r="Y46" s="404" t="n">
        <f aca="false">SUM(Y43:Y45)</f>
        <v>73.7136801047384</v>
      </c>
      <c r="Z46" s="404" t="n">
        <f aca="false">SUM(Z43:Z45)</f>
        <v>75.9250905078805</v>
      </c>
      <c r="AA46" s="404" t="n">
        <f aca="false">SUM(AA43:AA45)</f>
        <v>78.2028432231169</v>
      </c>
    </row>
    <row r="47" customFormat="false" ht="12.75" hidden="false" customHeight="false" outlineLevel="0" collapsed="false">
      <c r="A47" s="85"/>
      <c r="B47" s="85"/>
      <c r="C47" s="85" t="s">
        <v>0</v>
      </c>
      <c r="D47" s="0"/>
    </row>
    <row r="48" customFormat="false" ht="12.75" hidden="false" customHeight="false" outlineLevel="0" collapsed="false">
      <c r="A48" s="110" t="s">
        <v>1023</v>
      </c>
      <c r="B48" s="85"/>
      <c r="C48" s="85"/>
      <c r="D48" s="0"/>
    </row>
    <row r="49" customFormat="false" ht="12.75" hidden="false" customHeight="false" outlineLevel="0" collapsed="false">
      <c r="A49" s="1337" t="s">
        <v>1024</v>
      </c>
      <c r="B49" s="85"/>
      <c r="C49" s="85"/>
      <c r="D49" s="0"/>
      <c r="E49" s="404" t="n">
        <v>132.643801633984</v>
      </c>
      <c r="F49" s="404" t="n">
        <f aca="false">E49*(1+Summary!$E$71)</f>
        <v>136.623115683004</v>
      </c>
      <c r="G49" s="404" t="n">
        <f aca="false">F49*(1+Summary!$E$71)</f>
        <v>140.721809153494</v>
      </c>
      <c r="H49" s="404" t="n">
        <f aca="false">G49*(1+Summary!$E$71)</f>
        <v>144.943463428098</v>
      </c>
      <c r="I49" s="404" t="n">
        <f aca="false">H49*(1+Summary!$E$71)</f>
        <v>149.291767330941</v>
      </c>
      <c r="J49" s="404" t="n">
        <f aca="false">I49*(1+Summary!$E$71)</f>
        <v>153.77052035087</v>
      </c>
      <c r="K49" s="404" t="n">
        <f aca="false">J49*(1+Summary!$E$71)</f>
        <v>158.383635961396</v>
      </c>
      <c r="L49" s="404" t="n">
        <f aca="false">K49*(1+Summary!$E$71)</f>
        <v>163.135145040238</v>
      </c>
      <c r="M49" s="404" t="n">
        <f aca="false">L49*(1+Summary!$E$71)</f>
        <v>168.029199391445</v>
      </c>
      <c r="N49" s="404" t="n">
        <f aca="false">M49*(1+Summary!$E$71)</f>
        <v>173.070075373188</v>
      </c>
      <c r="O49" s="404" t="n">
        <f aca="false">N49*(1+Summary!$E$71)</f>
        <v>178.262177634384</v>
      </c>
      <c r="P49" s="404" t="n">
        <f aca="false">O49*(1+Summary!$E$71)</f>
        <v>183.610042963415</v>
      </c>
      <c r="Q49" s="404" t="n">
        <f aca="false">P49*(1+Summary!$E$71)</f>
        <v>189.118344252318</v>
      </c>
      <c r="R49" s="404" t="n">
        <f aca="false">Q49*(1+Summary!$E$71)</f>
        <v>194.791894579887</v>
      </c>
      <c r="S49" s="404" t="n">
        <f aca="false">R49*(1+Summary!$E$71)</f>
        <v>200.635651417284</v>
      </c>
      <c r="T49" s="404" t="n">
        <f aca="false">S49*(1+Summary!$E$71)</f>
        <v>206.654720959802</v>
      </c>
      <c r="U49" s="404" t="n">
        <f aca="false">T49*(1+Summary!$E$71)</f>
        <v>212.854362588596</v>
      </c>
      <c r="V49" s="404" t="n">
        <f aca="false">U49*(1+Summary!$E$71)</f>
        <v>219.239993466254</v>
      </c>
      <c r="W49" s="404" t="n">
        <f aca="false">V49*(1+Summary!$E$71)</f>
        <v>225.817193270242</v>
      </c>
      <c r="X49" s="404" t="n">
        <f aca="false">W49*(1+Summary!$E$71)</f>
        <v>232.591709068349</v>
      </c>
      <c r="Y49" s="404" t="n">
        <f aca="false">X49*(1+Summary!$E$71)</f>
        <v>239.5694603404</v>
      </c>
      <c r="Z49" s="404" t="n">
        <f aca="false">Y49*(1+Summary!$E$71)</f>
        <v>246.756544150612</v>
      </c>
      <c r="AA49" s="404" t="n">
        <f aca="false">Z49*(1+Summary!$E$71)</f>
        <v>254.15924047513</v>
      </c>
    </row>
    <row r="50" customFormat="false" ht="12.75" hidden="false" customHeight="false" outlineLevel="0" collapsed="false">
      <c r="A50" s="1337" t="s">
        <v>822</v>
      </c>
      <c r="B50" s="85"/>
      <c r="C50" s="85"/>
      <c r="D50" s="0"/>
      <c r="E50" s="404" t="n">
        <v>72</v>
      </c>
      <c r="F50" s="404" t="n">
        <f aca="false">E50*(1+Summary!$E$71)</f>
        <v>74.16</v>
      </c>
      <c r="G50" s="404" t="n">
        <f aca="false">F50*(1+Summary!$E$71)</f>
        <v>76.3848</v>
      </c>
      <c r="H50" s="404" t="n">
        <f aca="false">G50*(1+Summary!$E$71)</f>
        <v>78.676344</v>
      </c>
      <c r="I50" s="404" t="n">
        <f aca="false">H50*(1+Summary!$E$71)</f>
        <v>81.03663432</v>
      </c>
      <c r="J50" s="404" t="n">
        <f aca="false">I50*(1+Summary!$E$71)</f>
        <v>83.4677333496</v>
      </c>
      <c r="K50" s="404" t="n">
        <f aca="false">J50*(1+Summary!$E$71)</f>
        <v>85.971765350088</v>
      </c>
      <c r="L50" s="404" t="n">
        <f aca="false">K50*(1+Summary!$E$71)</f>
        <v>88.5509183105907</v>
      </c>
      <c r="M50" s="404" t="n">
        <f aca="false">L50*(1+Summary!$E$71)</f>
        <v>91.2074458599084</v>
      </c>
      <c r="N50" s="404" t="n">
        <f aca="false">M50*(1+Summary!$E$71)</f>
        <v>93.9436692357056</v>
      </c>
      <c r="O50" s="404" t="n">
        <f aca="false">N50*(1+Summary!$E$71)</f>
        <v>96.7619793127768</v>
      </c>
      <c r="P50" s="404" t="n">
        <f aca="false">O50*(1+Summary!$E$71)</f>
        <v>99.6648386921601</v>
      </c>
      <c r="Q50" s="404" t="n">
        <f aca="false">P50*(1+Summary!$E$71)</f>
        <v>102.654783852925</v>
      </c>
      <c r="R50" s="404" t="n">
        <f aca="false">Q50*(1+Summary!$E$71)</f>
        <v>105.734427368513</v>
      </c>
      <c r="S50" s="404" t="n">
        <f aca="false">R50*(1+Summary!$E$71)</f>
        <v>108.906460189568</v>
      </c>
      <c r="T50" s="404" t="n">
        <f aca="false">S50*(1+Summary!$E$71)</f>
        <v>112.173653995255</v>
      </c>
      <c r="U50" s="404" t="n">
        <f aca="false">T50*(1+Summary!$E$71)</f>
        <v>115.538863615113</v>
      </c>
      <c r="V50" s="404" t="n">
        <f aca="false">U50*(1+Summary!$E$71)</f>
        <v>119.005029523566</v>
      </c>
      <c r="W50" s="404" t="n">
        <f aca="false">V50*(1+Summary!$E$71)</f>
        <v>122.575180409273</v>
      </c>
      <c r="X50" s="404" t="n">
        <f aca="false">W50*(1+Summary!$E$71)</f>
        <v>126.252435821551</v>
      </c>
      <c r="Y50" s="404" t="n">
        <f aca="false">X50*(1+Summary!$E$71)</f>
        <v>130.040008896198</v>
      </c>
      <c r="Z50" s="404" t="n">
        <f aca="false">Y50*(1+Summary!$E$71)</f>
        <v>133.941209163084</v>
      </c>
      <c r="AA50" s="404" t="n">
        <f aca="false">Z50*(1+Summary!$E$71)</f>
        <v>137.959445437976</v>
      </c>
    </row>
    <row r="51" customFormat="false" ht="12.75" hidden="false" customHeight="false" outlineLevel="0" collapsed="false">
      <c r="A51" s="1337" t="s">
        <v>1025</v>
      </c>
      <c r="B51" s="85"/>
      <c r="C51" s="85"/>
      <c r="D51" s="0"/>
      <c r="E51" s="404" t="n">
        <v>240</v>
      </c>
      <c r="F51" s="404" t="n">
        <f aca="false">E51*(1+Summary!$E$71)</f>
        <v>247.2</v>
      </c>
      <c r="G51" s="404" t="n">
        <f aca="false">F51*(1+Summary!$E$71)</f>
        <v>254.616</v>
      </c>
      <c r="H51" s="404" t="n">
        <f aca="false">G51*(1+Summary!$E$71)</f>
        <v>262.25448</v>
      </c>
      <c r="I51" s="404" t="n">
        <f aca="false">H51*(1+Summary!$E$71)</f>
        <v>270.1221144</v>
      </c>
      <c r="J51" s="404" t="n">
        <f aca="false">I51*(1+Summary!$E$71)</f>
        <v>278.225777832</v>
      </c>
      <c r="K51" s="404" t="n">
        <f aca="false">J51*(1+Summary!$E$71)</f>
        <v>286.57255116696</v>
      </c>
      <c r="L51" s="404" t="n">
        <f aca="false">K51*(1+Summary!$E$71)</f>
        <v>295.169727701969</v>
      </c>
      <c r="M51" s="404" t="n">
        <f aca="false">L51*(1+Summary!$E$71)</f>
        <v>304.024819533028</v>
      </c>
      <c r="N51" s="404" t="n">
        <f aca="false">M51*(1+Summary!$E$71)</f>
        <v>313.145564119019</v>
      </c>
      <c r="O51" s="404" t="n">
        <f aca="false">N51*(1+Summary!$E$71)</f>
        <v>322.539931042589</v>
      </c>
      <c r="P51" s="404" t="n">
        <f aca="false">O51*(1+Summary!$E$71)</f>
        <v>332.216128973867</v>
      </c>
      <c r="Q51" s="404" t="n">
        <f aca="false">P51*(1+Summary!$E$71)</f>
        <v>342.182612843083</v>
      </c>
      <c r="R51" s="404" t="n">
        <f aca="false">Q51*(1+Summary!$E$71)</f>
        <v>352.448091228376</v>
      </c>
      <c r="S51" s="404" t="n">
        <f aca="false">R51*(1+Summary!$E$71)</f>
        <v>363.021533965227</v>
      </c>
      <c r="T51" s="404" t="n">
        <f aca="false">S51*(1+Summary!$E$71)</f>
        <v>373.912179984184</v>
      </c>
      <c r="U51" s="404" t="n">
        <f aca="false">T51*(1+Summary!$E$71)</f>
        <v>385.129545383709</v>
      </c>
      <c r="V51" s="404" t="n">
        <f aca="false">U51*(1+Summary!$E$71)</f>
        <v>396.68343174522</v>
      </c>
      <c r="W51" s="404" t="n">
        <f aca="false">V51*(1+Summary!$E$71)</f>
        <v>408.583934697577</v>
      </c>
      <c r="X51" s="404" t="n">
        <f aca="false">W51*(1+Summary!$E$71)</f>
        <v>420.841452738504</v>
      </c>
      <c r="Y51" s="404" t="n">
        <f aca="false">X51*(1+Summary!$E$71)</f>
        <v>433.46669632066</v>
      </c>
      <c r="Z51" s="404" t="n">
        <f aca="false">Y51*(1+Summary!$E$71)</f>
        <v>446.470697210279</v>
      </c>
      <c r="AA51" s="404" t="n">
        <f aca="false">Z51*(1+Summary!$E$71)</f>
        <v>459.864818126588</v>
      </c>
    </row>
    <row r="52" customFormat="false" ht="12.75" hidden="false" customHeight="false" outlineLevel="0" collapsed="false">
      <c r="A52" s="1337" t="s">
        <v>1026</v>
      </c>
      <c r="B52" s="85"/>
      <c r="C52" s="85"/>
      <c r="D52" s="0"/>
      <c r="E52" s="404" t="n">
        <v>5.10168467823015</v>
      </c>
      <c r="F52" s="404" t="n">
        <f aca="false">E52*(1+Summary!$E$71)</f>
        <v>5.25473521857706</v>
      </c>
      <c r="G52" s="404" t="n">
        <f aca="false">F52*(1+Summary!$E$71)</f>
        <v>5.41237727513437</v>
      </c>
      <c r="H52" s="404" t="n">
        <f aca="false">G52*(1+Summary!$E$71)</f>
        <v>5.5747485933884</v>
      </c>
      <c r="I52" s="404" t="n">
        <f aca="false">H52*(1+Summary!$E$71)</f>
        <v>5.74199105119005</v>
      </c>
      <c r="J52" s="404" t="n">
        <f aca="false">I52*(1+Summary!$E$71)</f>
        <v>5.91425078272575</v>
      </c>
      <c r="K52" s="404" t="n">
        <f aca="false">J52*(1+Summary!$E$71)</f>
        <v>6.09167830620753</v>
      </c>
      <c r="L52" s="404" t="n">
        <f aca="false">K52*(1+Summary!$E$71)</f>
        <v>6.27442865539375</v>
      </c>
      <c r="M52" s="404" t="n">
        <f aca="false">L52*(1+Summary!$E$71)</f>
        <v>6.46266151505557</v>
      </c>
      <c r="N52" s="404" t="n">
        <f aca="false">M52*(1+Summary!$E$71)</f>
        <v>6.65654136050723</v>
      </c>
      <c r="O52" s="404" t="n">
        <f aca="false">N52*(1+Summary!$E$71)</f>
        <v>6.85623760132245</v>
      </c>
      <c r="P52" s="404" t="n">
        <f aca="false">O52*(1+Summary!$E$71)</f>
        <v>7.06192472936212</v>
      </c>
      <c r="Q52" s="404" t="n">
        <f aca="false">P52*(1+Summary!$E$71)</f>
        <v>7.27378247124299</v>
      </c>
      <c r="R52" s="404" t="n">
        <f aca="false">Q52*(1+Summary!$E$71)</f>
        <v>7.49199594538028</v>
      </c>
      <c r="S52" s="404" t="n">
        <f aca="false">R52*(1+Summary!$E$71)</f>
        <v>7.71675582374169</v>
      </c>
      <c r="T52" s="404" t="n">
        <f aca="false">S52*(1+Summary!$E$71)</f>
        <v>7.94825849845394</v>
      </c>
      <c r="U52" s="404" t="n">
        <f aca="false">T52*(1+Summary!$E$71)</f>
        <v>8.18670625340755</v>
      </c>
      <c r="V52" s="404" t="n">
        <f aca="false">U52*(1+Summary!$E$71)</f>
        <v>8.43230744100978</v>
      </c>
      <c r="W52" s="404" t="n">
        <f aca="false">V52*(1+Summary!$E$71)</f>
        <v>8.68527666424007</v>
      </c>
      <c r="X52" s="404" t="n">
        <f aca="false">W52*(1+Summary!$E$71)</f>
        <v>8.94583496416728</v>
      </c>
      <c r="Y52" s="404" t="n">
        <f aca="false">X52*(1+Summary!$E$71)</f>
        <v>9.2142100130923</v>
      </c>
      <c r="Z52" s="404" t="n">
        <f aca="false">Y52*(1+Summary!$E$71)</f>
        <v>9.49063631348507</v>
      </c>
      <c r="AA52" s="404" t="n">
        <f aca="false">Z52*(1+Summary!$E$71)</f>
        <v>9.77535540288962</v>
      </c>
    </row>
    <row r="53" customFormat="false" ht="12.75" hidden="false" customHeight="false" outlineLevel="0" collapsed="false">
      <c r="A53" s="1337" t="s">
        <v>1027</v>
      </c>
      <c r="B53" s="85"/>
      <c r="C53" s="85"/>
      <c r="D53" s="0"/>
      <c r="E53" s="404" t="n">
        <v>3.06101080693809</v>
      </c>
      <c r="F53" s="404" t="n">
        <f aca="false">E53*(1+Summary!$E$71)</f>
        <v>3.15284113114623</v>
      </c>
      <c r="G53" s="404" t="n">
        <f aca="false">F53*(1+Summary!$E$71)</f>
        <v>3.24742636508062</v>
      </c>
      <c r="H53" s="404" t="n">
        <f aca="false">G53*(1+Summary!$E$71)</f>
        <v>3.34484915603304</v>
      </c>
      <c r="I53" s="404" t="n">
        <f aca="false">H53*(1+Summary!$E$71)</f>
        <v>3.44519463071403</v>
      </c>
      <c r="J53" s="404" t="n">
        <f aca="false">I53*(1+Summary!$E$71)</f>
        <v>3.54855046963545</v>
      </c>
      <c r="K53" s="404" t="n">
        <f aca="false">J53*(1+Summary!$E$71)</f>
        <v>3.65500698372452</v>
      </c>
      <c r="L53" s="404" t="n">
        <f aca="false">K53*(1+Summary!$E$71)</f>
        <v>3.76465719323625</v>
      </c>
      <c r="M53" s="404" t="n">
        <f aca="false">L53*(1+Summary!$E$71)</f>
        <v>3.87759690903334</v>
      </c>
      <c r="N53" s="404" t="n">
        <f aca="false">M53*(1+Summary!$E$71)</f>
        <v>3.99392481630434</v>
      </c>
      <c r="O53" s="404" t="n">
        <f aca="false">N53*(1+Summary!$E$71)</f>
        <v>4.11374256079347</v>
      </c>
      <c r="P53" s="404" t="n">
        <f aca="false">O53*(1+Summary!$E$71)</f>
        <v>4.23715483761727</v>
      </c>
      <c r="Q53" s="404" t="n">
        <f aca="false">P53*(1+Summary!$E$71)</f>
        <v>4.36426948274579</v>
      </c>
      <c r="R53" s="404" t="n">
        <f aca="false">Q53*(1+Summary!$E$71)</f>
        <v>4.49519756722817</v>
      </c>
      <c r="S53" s="404" t="n">
        <f aca="false">R53*(1+Summary!$E$71)</f>
        <v>4.63005349424501</v>
      </c>
      <c r="T53" s="404" t="n">
        <f aca="false">S53*(1+Summary!$E$71)</f>
        <v>4.76895509907236</v>
      </c>
      <c r="U53" s="404" t="n">
        <f aca="false">T53*(1+Summary!$E$71)</f>
        <v>4.91202375204453</v>
      </c>
      <c r="V53" s="404" t="n">
        <f aca="false">U53*(1+Summary!$E$71)</f>
        <v>5.05938446460587</v>
      </c>
      <c r="W53" s="404" t="n">
        <f aca="false">V53*(1+Summary!$E$71)</f>
        <v>5.21116599854405</v>
      </c>
      <c r="X53" s="404" t="n">
        <f aca="false">W53*(1+Summary!$E$71)</f>
        <v>5.36750097850037</v>
      </c>
      <c r="Y53" s="404" t="n">
        <f aca="false">X53*(1+Summary!$E$71)</f>
        <v>5.52852600785538</v>
      </c>
      <c r="Z53" s="404" t="n">
        <f aca="false">Y53*(1+Summary!$E$71)</f>
        <v>5.69438178809104</v>
      </c>
      <c r="AA53" s="404" t="n">
        <f aca="false">Z53*(1+Summary!$E$71)</f>
        <v>5.86521324173377</v>
      </c>
    </row>
    <row r="54" customFormat="false" ht="12.75" hidden="false" customHeight="false" outlineLevel="0" collapsed="false">
      <c r="A54" s="1337" t="s">
        <v>1028</v>
      </c>
      <c r="B54" s="85"/>
      <c r="C54" s="85"/>
      <c r="D54" s="0"/>
      <c r="E54" s="404" t="n">
        <v>1.02033693564603</v>
      </c>
      <c r="F54" s="404" t="n">
        <f aca="false">E54*(1+Summary!$E$71)</f>
        <v>1.05094704371541</v>
      </c>
      <c r="G54" s="404" t="n">
        <f aca="false">F54*(1+Summary!$E$71)</f>
        <v>1.08247545502687</v>
      </c>
      <c r="H54" s="404" t="n">
        <f aca="false">G54*(1+Summary!$E$71)</f>
        <v>1.11494971867768</v>
      </c>
      <c r="I54" s="404" t="n">
        <f aca="false">H54*(1+Summary!$E$71)</f>
        <v>1.14839821023801</v>
      </c>
      <c r="J54" s="404" t="n">
        <f aca="false">I54*(1+Summary!$E$71)</f>
        <v>1.18285015654515</v>
      </c>
      <c r="K54" s="404" t="n">
        <f aca="false">J54*(1+Summary!$E$71)</f>
        <v>1.21833566124151</v>
      </c>
      <c r="L54" s="404" t="n">
        <f aca="false">K54*(1+Summary!$E$71)</f>
        <v>1.25488573107875</v>
      </c>
      <c r="M54" s="404" t="n">
        <f aca="false">L54*(1+Summary!$E$71)</f>
        <v>1.29253230301111</v>
      </c>
      <c r="N54" s="404" t="n">
        <f aca="false">M54*(1+Summary!$E$71)</f>
        <v>1.33130827210145</v>
      </c>
      <c r="O54" s="404" t="n">
        <f aca="false">N54*(1+Summary!$E$71)</f>
        <v>1.37124752026449</v>
      </c>
      <c r="P54" s="404" t="n">
        <f aca="false">O54*(1+Summary!$E$71)</f>
        <v>1.41238494587243</v>
      </c>
      <c r="Q54" s="404" t="n">
        <f aca="false">P54*(1+Summary!$E$71)</f>
        <v>1.4547564942486</v>
      </c>
      <c r="R54" s="404" t="n">
        <f aca="false">Q54*(1+Summary!$E$71)</f>
        <v>1.49839918907606</v>
      </c>
      <c r="S54" s="404" t="n">
        <f aca="false">R54*(1+Summary!$E$71)</f>
        <v>1.54335116474834</v>
      </c>
      <c r="T54" s="404" t="n">
        <f aca="false">S54*(1+Summary!$E$71)</f>
        <v>1.58965169969079</v>
      </c>
      <c r="U54" s="404" t="n">
        <f aca="false">T54*(1+Summary!$E$71)</f>
        <v>1.63734125068151</v>
      </c>
      <c r="V54" s="404" t="n">
        <f aca="false">U54*(1+Summary!$E$71)</f>
        <v>1.68646148820196</v>
      </c>
      <c r="W54" s="404" t="n">
        <f aca="false">V54*(1+Summary!$E$71)</f>
        <v>1.73705533284802</v>
      </c>
      <c r="X54" s="404" t="n">
        <f aca="false">W54*(1+Summary!$E$71)</f>
        <v>1.78916699283346</v>
      </c>
      <c r="Y54" s="404" t="n">
        <f aca="false">X54*(1+Summary!$E$71)</f>
        <v>1.84284200261846</v>
      </c>
      <c r="Z54" s="404" t="n">
        <f aca="false">Y54*(1+Summary!$E$71)</f>
        <v>1.89812726269701</v>
      </c>
      <c r="AA54" s="404" t="n">
        <f aca="false">Z54*(1+Summary!$E$71)</f>
        <v>1.95507108057792</v>
      </c>
    </row>
    <row r="55" customFormat="false" ht="15" hidden="false" customHeight="false" outlineLevel="0" collapsed="false">
      <c r="A55" s="1337" t="s">
        <v>1029</v>
      </c>
      <c r="B55" s="85"/>
      <c r="C55" s="85"/>
      <c r="D55" s="0"/>
      <c r="E55" s="1338" t="n">
        <v>21</v>
      </c>
      <c r="F55" s="1338" t="n">
        <f aca="false">E55*(1+Summary!$E$71)</f>
        <v>21.63</v>
      </c>
      <c r="G55" s="1338" t="n">
        <f aca="false">F55*(1+Summary!$E$71)</f>
        <v>22.2789</v>
      </c>
      <c r="H55" s="1338" t="n">
        <f aca="false">G55*(1+Summary!$E$71)</f>
        <v>22.947267</v>
      </c>
      <c r="I55" s="1338" t="n">
        <f aca="false">H55*(1+Summary!$E$71)</f>
        <v>23.63568501</v>
      </c>
      <c r="J55" s="1338" t="n">
        <f aca="false">I55*(1+Summary!$E$71)</f>
        <v>24.3447555603</v>
      </c>
      <c r="K55" s="1338" t="n">
        <f aca="false">J55*(1+Summary!$E$71)</f>
        <v>25.075098227109</v>
      </c>
      <c r="L55" s="1338" t="n">
        <f aca="false">K55*(1+Summary!$E$71)</f>
        <v>25.8273511739223</v>
      </c>
      <c r="M55" s="1338" t="n">
        <f aca="false">L55*(1+Summary!$E$71)</f>
        <v>26.6021717091399</v>
      </c>
      <c r="N55" s="1338" t="n">
        <f aca="false">M55*(1+Summary!$E$71)</f>
        <v>27.4002368604141</v>
      </c>
      <c r="O55" s="1338" t="n">
        <f aca="false">N55*(1+Summary!$E$71)</f>
        <v>28.2222439662266</v>
      </c>
      <c r="P55" s="1338" t="n">
        <f aca="false">O55*(1+Summary!$E$71)</f>
        <v>29.0689112852134</v>
      </c>
      <c r="Q55" s="1338" t="n">
        <f aca="false">P55*(1+Summary!$E$71)</f>
        <v>29.9409786237698</v>
      </c>
      <c r="R55" s="1338" t="n">
        <f aca="false">Q55*(1+Summary!$E$71)</f>
        <v>30.8392079824829</v>
      </c>
      <c r="S55" s="1338" t="n">
        <f aca="false">R55*(1+Summary!$E$71)</f>
        <v>31.7643842219573</v>
      </c>
      <c r="T55" s="1338" t="n">
        <f aca="false">S55*(1+Summary!$E$71)</f>
        <v>32.7173157486161</v>
      </c>
      <c r="U55" s="1338" t="n">
        <f aca="false">T55*(1+Summary!$E$71)</f>
        <v>33.6988352210745</v>
      </c>
      <c r="V55" s="1338" t="n">
        <f aca="false">U55*(1+Summary!$E$71)</f>
        <v>34.7098002777068</v>
      </c>
      <c r="W55" s="1338" t="n">
        <f aca="false">V55*(1+Summary!$E$71)</f>
        <v>35.751094286038</v>
      </c>
      <c r="X55" s="1338" t="n">
        <f aca="false">W55*(1+Summary!$E$71)</f>
        <v>36.8236271146191</v>
      </c>
      <c r="Y55" s="1338" t="n">
        <f aca="false">X55*(1+Summary!$E$71)</f>
        <v>37.9283359280577</v>
      </c>
      <c r="Z55" s="1338" t="n">
        <f aca="false">Y55*(1+Summary!$E$71)</f>
        <v>39.0661860058994</v>
      </c>
      <c r="AA55" s="1338" t="n">
        <f aca="false">Z55*(1+Summary!$E$71)</f>
        <v>40.2381715860764</v>
      </c>
    </row>
    <row r="56" customFormat="false" ht="12.75" hidden="false" customHeight="false" outlineLevel="0" collapsed="false">
      <c r="A56" s="85" t="s">
        <v>993</v>
      </c>
      <c r="B56" s="85"/>
      <c r="C56" s="85"/>
      <c r="D56" s="0"/>
      <c r="E56" s="404" t="n">
        <f aca="false">SUM(E49:E55)</f>
        <v>474.826834054798</v>
      </c>
      <c r="F56" s="404" t="n">
        <f aca="false">SUM(F49:F55)</f>
        <v>489.071639076442</v>
      </c>
      <c r="G56" s="404" t="n">
        <f aca="false">SUM(G49:G55)</f>
        <v>503.743788248736</v>
      </c>
      <c r="H56" s="404" t="n">
        <f aca="false">SUM(H49:H55)</f>
        <v>518.856101896198</v>
      </c>
      <c r="I56" s="404" t="n">
        <f aca="false">SUM(I49:I55)</f>
        <v>534.421784953084</v>
      </c>
      <c r="J56" s="404" t="n">
        <f aca="false">SUM(J49:J55)</f>
        <v>550.454438501676</v>
      </c>
      <c r="K56" s="404" t="n">
        <f aca="false">SUM(K49:K55)</f>
        <v>566.968071656726</v>
      </c>
      <c r="L56" s="404" t="n">
        <f aca="false">SUM(L49:L55)</f>
        <v>583.977113806428</v>
      </c>
      <c r="M56" s="404" t="n">
        <f aca="false">SUM(M49:M55)</f>
        <v>601.496427220621</v>
      </c>
      <c r="N56" s="404" t="n">
        <f aca="false">SUM(N49:N55)</f>
        <v>619.54132003724</v>
      </c>
      <c r="O56" s="404" t="n">
        <f aca="false">SUM(O49:O55)</f>
        <v>638.127559638357</v>
      </c>
      <c r="P56" s="404" t="n">
        <f aca="false">SUM(P49:P55)</f>
        <v>657.271386427508</v>
      </c>
      <c r="Q56" s="404" t="n">
        <f aca="false">SUM(Q49:Q55)</f>
        <v>676.989528020333</v>
      </c>
      <c r="R56" s="404" t="n">
        <f aca="false">SUM(R49:R55)</f>
        <v>697.299213860943</v>
      </c>
      <c r="S56" s="404" t="n">
        <f aca="false">SUM(S49:S55)</f>
        <v>718.218190276771</v>
      </c>
      <c r="T56" s="404" t="n">
        <f aca="false">SUM(T49:T55)</f>
        <v>739.764735985074</v>
      </c>
      <c r="U56" s="404" t="n">
        <f aca="false">SUM(U49:U55)</f>
        <v>761.957678064626</v>
      </c>
      <c r="V56" s="404" t="n">
        <f aca="false">SUM(V49:V55)</f>
        <v>784.816408406565</v>
      </c>
      <c r="W56" s="404" t="n">
        <f aca="false">SUM(W49:W55)</f>
        <v>808.360900658762</v>
      </c>
      <c r="X56" s="404" t="n">
        <f aca="false">SUM(X49:X55)</f>
        <v>832.611727678525</v>
      </c>
      <c r="Y56" s="404" t="n">
        <f aca="false">SUM(Y49:Y55)</f>
        <v>857.590079508881</v>
      </c>
      <c r="Z56" s="404" t="n">
        <f aca="false">SUM(Z49:Z55)</f>
        <v>883.317781894147</v>
      </c>
      <c r="AA56" s="404" t="n">
        <f aca="false">SUM(AA49:AA55)</f>
        <v>909.817315350972</v>
      </c>
    </row>
    <row r="57" customFormat="false" ht="12.75" hidden="false" customHeight="false" outlineLevel="0" collapsed="false">
      <c r="A57" s="85"/>
      <c r="B57" s="85"/>
      <c r="C57" s="85"/>
      <c r="D57" s="0"/>
    </row>
    <row r="58" customFormat="false" ht="12.75" hidden="false" customHeight="false" outlineLevel="0" collapsed="false">
      <c r="A58" s="110" t="s">
        <v>1030</v>
      </c>
      <c r="B58" s="85"/>
      <c r="C58" s="85"/>
      <c r="D58" s="0"/>
      <c r="E58" s="404" t="n">
        <f aca="false">D58*(1+Summary!$E$71)</f>
        <v>0</v>
      </c>
      <c r="F58" s="404" t="n">
        <f aca="false">E58*(1+Summary!$E$71)</f>
        <v>0</v>
      </c>
      <c r="G58" s="404" t="n">
        <f aca="false">F58*(1+Summary!$E$71)</f>
        <v>0</v>
      </c>
      <c r="H58" s="404" t="n">
        <f aca="false">G58*(1+Summary!$E$71)</f>
        <v>0</v>
      </c>
      <c r="I58" s="404" t="n">
        <f aca="false">H58*(1+Summary!$E$71)</f>
        <v>0</v>
      </c>
      <c r="J58" s="404" t="n">
        <f aca="false">I58*(1+Summary!$E$71)</f>
        <v>0</v>
      </c>
      <c r="K58" s="404" t="n">
        <f aca="false">J58*(1+Summary!$E$71)</f>
        <v>0</v>
      </c>
      <c r="L58" s="404" t="n">
        <f aca="false">K58*(1+Summary!$E$71)</f>
        <v>0</v>
      </c>
      <c r="M58" s="404" t="n">
        <f aca="false">L58*(1+Summary!$E$71)</f>
        <v>0</v>
      </c>
      <c r="N58" s="404" t="n">
        <f aca="false">M58*(1+Summary!$E$71)</f>
        <v>0</v>
      </c>
      <c r="O58" s="404" t="n">
        <f aca="false">N58*(1+Summary!$E$71)</f>
        <v>0</v>
      </c>
      <c r="P58" s="404" t="n">
        <f aca="false">O58*(1+Summary!$E$71)</f>
        <v>0</v>
      </c>
      <c r="Q58" s="404" t="n">
        <f aca="false">P58*(1+Summary!$E$71)</f>
        <v>0</v>
      </c>
      <c r="R58" s="404" t="n">
        <f aca="false">Q58*(1+Summary!$E$71)</f>
        <v>0</v>
      </c>
      <c r="S58" s="404" t="n">
        <f aca="false">R58*(1+Summary!$E$71)</f>
        <v>0</v>
      </c>
      <c r="T58" s="404" t="n">
        <f aca="false">S58*(1+Summary!$E$71)</f>
        <v>0</v>
      </c>
      <c r="U58" s="404" t="n">
        <f aca="false">T58*(1+Summary!$E$71)</f>
        <v>0</v>
      </c>
      <c r="V58" s="404" t="n">
        <f aca="false">U58*(1+Summary!$E$71)</f>
        <v>0</v>
      </c>
      <c r="W58" s="404" t="n">
        <f aca="false">V58*(1+Summary!$E$71)</f>
        <v>0</v>
      </c>
      <c r="X58" s="404" t="n">
        <f aca="false">W58*(1+Summary!$E$71)</f>
        <v>0</v>
      </c>
      <c r="Y58" s="404" t="n">
        <f aca="false">X58*(1+Summary!$E$71)</f>
        <v>0</v>
      </c>
      <c r="Z58" s="404" t="n">
        <f aca="false">Y58*(1+Summary!$E$71)</f>
        <v>0</v>
      </c>
      <c r="AA58" s="404" t="n">
        <f aca="false">Z58*(1+Summary!$E$71)</f>
        <v>0</v>
      </c>
    </row>
    <row r="59" customFormat="false" ht="12.75" hidden="false" customHeight="false" outlineLevel="0" collapsed="false">
      <c r="A59" s="85"/>
      <c r="B59" s="85"/>
      <c r="C59" s="85"/>
      <c r="D59" s="0"/>
    </row>
    <row r="60" customFormat="false" ht="12.75" hidden="false" customHeight="false" outlineLevel="0" collapsed="false">
      <c r="A60" s="110" t="s">
        <v>1031</v>
      </c>
      <c r="B60" s="85"/>
      <c r="C60" s="85"/>
      <c r="D60" s="0"/>
      <c r="E60" s="1343" t="n">
        <f aca="false">(E9+E25+E34+E46+E56+E40)</f>
        <v>3338.20391034009</v>
      </c>
      <c r="F60" s="1343" t="n">
        <f aca="false">(F9+F25+F34+F46+F56+F40)</f>
        <v>3322.89990165645</v>
      </c>
      <c r="G60" s="1343" t="n">
        <f aca="false">(G9+G25+G34+G46+G56+G40)</f>
        <v>3157.94011489559</v>
      </c>
      <c r="H60" s="1343" t="n">
        <f aca="false">(H9+H25+H34+H46+H56+H40)</f>
        <v>3227.94078132046</v>
      </c>
      <c r="I60" s="1343" t="n">
        <f aca="false">(I9+I25+I34+I46+I56+I40)</f>
        <v>3302.93397675839</v>
      </c>
      <c r="J60" s="1343" t="n">
        <f aca="false">(J9+J25+J34+J46+J56+J40)</f>
        <v>3374.17745375464</v>
      </c>
      <c r="K60" s="1343" t="n">
        <f aca="false">(K9+K25+K34+K46+K56+K40)</f>
        <v>3450.53674248689</v>
      </c>
      <c r="L60" s="1343" t="n">
        <f aca="false">(L9+L25+L34+L46+L56+L40)</f>
        <v>3529.14190504398</v>
      </c>
      <c r="M60" s="1343" t="n">
        <f aca="false">(M9+M25+M34+M46+M56+M40)</f>
        <v>3613.07659536074</v>
      </c>
      <c r="N60" s="1343" t="n">
        <f aca="false">(N9+N25+N34+N46+N56+N40)</f>
        <v>3693.35700871705</v>
      </c>
      <c r="O60" s="1343" t="n">
        <f aca="false">(O9+O25+O34+O46+O56+O40)</f>
        <v>3779.1054943716</v>
      </c>
      <c r="P60" s="1343" t="n">
        <f aca="false">(P9+P25+P34+P46+P56+P40)</f>
        <v>3352.87706120522</v>
      </c>
      <c r="Q60" s="1343" t="n">
        <f aca="false">(Q9+Q25+Q34+Q46+Q56+Q40)</f>
        <v>2956.14431951645</v>
      </c>
      <c r="R60" s="1343" t="n">
        <f aca="false">(R9+R25+R34+R46+R56+R40)</f>
        <v>3043.6624743139</v>
      </c>
      <c r="S60" s="1343" t="n">
        <f aca="false">(S9+S25+S34+S46+S56+S40)</f>
        <v>3134.16016937167</v>
      </c>
      <c r="T60" s="1343" t="n">
        <f aca="false">(T9+T25+T34+T46+T56+T40)</f>
        <v>3227.35330298106</v>
      </c>
      <c r="U60" s="1343" t="n">
        <f aca="false">(U9+U25+U34+U46+U56+U40)</f>
        <v>3323.72047630312</v>
      </c>
      <c r="V60" s="1343" t="n">
        <f aca="false">(V9+V25+V34+V46+V56+V40)</f>
        <v>3422.14986785273</v>
      </c>
      <c r="W60" s="1343" t="n">
        <f aca="false">(W9+W25+W34+W46+W56+W40)</f>
        <v>3523.92136344525</v>
      </c>
      <c r="X60" s="1343" t="n">
        <f aca="false">(X9+X25+X34+X46+X56+X40)</f>
        <v>3628.72457189492</v>
      </c>
      <c r="Y60" s="1343" t="n">
        <f aca="false">(Y9+Y25+Y34+Y46+Y56+Y40)</f>
        <v>3737.08776214821</v>
      </c>
      <c r="Z60" s="1343" t="n">
        <f aca="false">(Z9+Z25+Z34+Z46+Z56+Z40)</f>
        <v>3847.79057620119</v>
      </c>
      <c r="AA60" s="1343" t="n">
        <f aca="false">(AA9+AA25+AA34+AA46+AA56+AA40)</f>
        <v>3962.24242911648</v>
      </c>
    </row>
    <row r="61" customFormat="false" ht="12.75" hidden="false" customHeight="false" outlineLevel="0" collapsed="false">
      <c r="A61" s="85"/>
      <c r="B61" s="85"/>
      <c r="C61" s="85"/>
      <c r="D61" s="0"/>
      <c r="E61" s="1344"/>
    </row>
    <row r="62" customFormat="false" ht="12.75" hidden="false" customHeight="false" outlineLevel="0" collapsed="false">
      <c r="A62" s="1336" t="s">
        <v>1032</v>
      </c>
      <c r="B62" s="85"/>
      <c r="C62" s="85"/>
      <c r="D62" s="0"/>
    </row>
    <row r="63" customFormat="false" ht="12.75" hidden="false" customHeight="false" outlineLevel="0" collapsed="false">
      <c r="A63" s="85" t="s">
        <v>1033</v>
      </c>
      <c r="B63" s="85"/>
      <c r="C63" s="85"/>
      <c r="D63" s="0"/>
      <c r="E63" s="404" t="n">
        <f aca="false">CCFMODEL!J225</f>
        <v>6034.4401417007</v>
      </c>
      <c r="F63" s="404" t="n">
        <f aca="false">CCFMODEL!K225</f>
        <v>6868.29467103697</v>
      </c>
      <c r="G63" s="404" t="n">
        <f aca="false">CCFMODEL!L225</f>
        <v>6572.70771296716</v>
      </c>
      <c r="H63" s="404" t="n">
        <f aca="false">CCFMODEL!M225</f>
        <v>6408.09910958694</v>
      </c>
      <c r="I63" s="404" t="n">
        <f aca="false">CCFMODEL!N225</f>
        <v>6262.34199780404</v>
      </c>
      <c r="J63" s="404" t="n">
        <f aca="false">CCFMODEL!O225</f>
        <v>5998.38377649293</v>
      </c>
      <c r="K63" s="404" t="n">
        <f aca="false">CCFMODEL!P225</f>
        <v>6255.45196912843</v>
      </c>
      <c r="L63" s="404" t="n">
        <f aca="false">CCFMODEL!Q225</f>
        <v>6335.96671036246</v>
      </c>
      <c r="M63" s="404" t="n">
        <f aca="false">CCFMODEL!R225</f>
        <v>6398.0726819716</v>
      </c>
      <c r="N63" s="404" t="n">
        <f aca="false">CCFMODEL!S225</f>
        <v>6357.36632979621</v>
      </c>
      <c r="O63" s="404" t="n">
        <f aca="false">CCFMODEL!T225</f>
        <v>7473.57272534227</v>
      </c>
      <c r="P63" s="404" t="n">
        <f aca="false">CCFMODEL!U225</f>
        <v>8143.18023222207</v>
      </c>
      <c r="Q63" s="404" t="n">
        <f aca="false">CCFMODEL!V225</f>
        <v>8337.80886536368</v>
      </c>
      <c r="R63" s="404" t="n">
        <f aca="false">CCFMODEL!W225</f>
        <v>8473.71777636253</v>
      </c>
      <c r="S63" s="404" t="n">
        <f aca="false">CCFMODEL!X225</f>
        <v>8668.85203941394</v>
      </c>
      <c r="T63" s="404" t="n">
        <f aca="false">CCFMODEL!Y225</f>
        <v>8823.05572893605</v>
      </c>
      <c r="U63" s="404" t="n">
        <f aca="false">CCFMODEL!Z225</f>
        <v>8891.53021529074</v>
      </c>
      <c r="V63" s="404" t="n">
        <f aca="false">CCFMODEL!AA225</f>
        <v>9081.15607971873</v>
      </c>
      <c r="W63" s="404" t="n">
        <f aca="false">CCFMODEL!AB225</f>
        <v>9276.56822361217</v>
      </c>
      <c r="X63" s="404" t="n">
        <f aca="false">CCFMODEL!AC225</f>
        <v>9528.75401113109</v>
      </c>
      <c r="Y63" s="404" t="n">
        <f aca="false">CCFMODEL!AD225</f>
        <v>9852.7898491426</v>
      </c>
      <c r="Z63" s="404" t="n">
        <f aca="false">CCFMODEL!AE225</f>
        <v>10053.2247385479</v>
      </c>
      <c r="AA63" s="404" t="n">
        <f aca="false">CCFMODEL!AF225</f>
        <v>8395.84355558124</v>
      </c>
      <c r="AB63" s="404"/>
      <c r="AC63" s="404"/>
    </row>
    <row r="64" customFormat="false" ht="12.75" hidden="false" customHeight="false" outlineLevel="0" collapsed="false">
      <c r="A64" s="85" t="s">
        <v>1034</v>
      </c>
      <c r="B64" s="85"/>
      <c r="C64" s="85"/>
      <c r="D64" s="0"/>
      <c r="E64" s="404" t="e">
        <f aca="false">CCFMODEL!J231</f>
        <v>#VALUE!</v>
      </c>
      <c r="F64" s="404" t="e">
        <f aca="false">CCFMODEL!K231</f>
        <v>#VALUE!</v>
      </c>
      <c r="G64" s="404" t="e">
        <f aca="false">CCFMODEL!L231</f>
        <v>#VALUE!</v>
      </c>
      <c r="H64" s="404" t="e">
        <f aca="false">CCFMODEL!M231</f>
        <v>#VALUE!</v>
      </c>
      <c r="I64" s="404" t="e">
        <f aca="false">CCFMODEL!N231</f>
        <v>#VALUE!</v>
      </c>
      <c r="J64" s="404" t="e">
        <f aca="false">CCFMODEL!O231</f>
        <v>#VALUE!</v>
      </c>
      <c r="K64" s="404" t="e">
        <f aca="false">CCFMODEL!P231</f>
        <v>#VALUE!</v>
      </c>
      <c r="L64" s="404" t="e">
        <f aca="false">CCFMODEL!Q231</f>
        <v>#VALUE!</v>
      </c>
      <c r="M64" s="404" t="e">
        <f aca="false">CCFMODEL!R231</f>
        <v>#VALUE!</v>
      </c>
      <c r="N64" s="404" t="e">
        <f aca="false">CCFMODEL!S231</f>
        <v>#VALUE!</v>
      </c>
      <c r="O64" s="404" t="e">
        <f aca="false">CCFMODEL!T231</f>
        <v>#VALUE!</v>
      </c>
      <c r="P64" s="404" t="e">
        <f aca="false">CCFMODEL!U231</f>
        <v>#VALUE!</v>
      </c>
      <c r="Q64" s="404" t="e">
        <f aca="false">CCFMODEL!V231</f>
        <v>#VALUE!</v>
      </c>
      <c r="R64" s="404" t="e">
        <f aca="false">CCFMODEL!W231</f>
        <v>#VALUE!</v>
      </c>
      <c r="S64" s="404" t="e">
        <f aca="false">CCFMODEL!X231</f>
        <v>#VALUE!</v>
      </c>
      <c r="T64" s="404" t="e">
        <f aca="false">CCFMODEL!Y231</f>
        <v>#VALUE!</v>
      </c>
      <c r="U64" s="404" t="e">
        <f aca="false">CCFMODEL!Z231</f>
        <v>#VALUE!</v>
      </c>
      <c r="V64" s="404" t="e">
        <f aca="false">CCFMODEL!AA231</f>
        <v>#VALUE!</v>
      </c>
      <c r="W64" s="404" t="e">
        <f aca="false">CCFMODEL!AB231</f>
        <v>#VALUE!</v>
      </c>
      <c r="X64" s="404" t="e">
        <f aca="false">CCFMODEL!AC231</f>
        <v>#VALUE!</v>
      </c>
      <c r="Y64" s="404" t="e">
        <f aca="false">CCFMODEL!AD231</f>
        <v>#VALUE!</v>
      </c>
      <c r="Z64" s="404" t="e">
        <f aca="false">CCFMODEL!AE231</f>
        <v>#VALUE!</v>
      </c>
      <c r="AA64" s="404" t="e">
        <f aca="false">CCFMODEL!AF231</f>
        <v>#VALUE!</v>
      </c>
      <c r="AB64" s="404"/>
      <c r="AC64" s="404"/>
    </row>
    <row r="65" customFormat="false" ht="15" hidden="false" customHeight="false" outlineLevel="0" collapsed="false">
      <c r="A65" s="85" t="s">
        <v>1035</v>
      </c>
      <c r="B65" s="85"/>
      <c r="C65" s="85"/>
      <c r="D65" s="0"/>
      <c r="E65" s="1338" t="n">
        <v>0</v>
      </c>
      <c r="F65" s="1338" t="n">
        <v>0</v>
      </c>
      <c r="G65" s="1338" t="n">
        <v>0</v>
      </c>
      <c r="H65" s="1338" t="n">
        <v>0</v>
      </c>
      <c r="I65" s="1338" t="n">
        <v>0</v>
      </c>
      <c r="J65" s="1338" t="n">
        <v>0</v>
      </c>
      <c r="K65" s="1338" t="n">
        <v>0</v>
      </c>
      <c r="L65" s="1338" t="n">
        <v>0</v>
      </c>
      <c r="M65" s="1338" t="n">
        <v>0</v>
      </c>
      <c r="N65" s="1338" t="n">
        <v>0</v>
      </c>
      <c r="O65" s="1338" t="n">
        <v>0</v>
      </c>
      <c r="P65" s="1338" t="n">
        <v>0</v>
      </c>
      <c r="Q65" s="1338" t="n">
        <v>0</v>
      </c>
      <c r="R65" s="1338" t="n">
        <v>0</v>
      </c>
      <c r="S65" s="1338" t="n">
        <v>0</v>
      </c>
      <c r="T65" s="1338" t="n">
        <v>0</v>
      </c>
      <c r="U65" s="1338" t="n">
        <v>0</v>
      </c>
      <c r="V65" s="1338" t="n">
        <v>0</v>
      </c>
      <c r="W65" s="1338" t="n">
        <v>0</v>
      </c>
      <c r="X65" s="1338" t="n">
        <v>0</v>
      </c>
      <c r="Y65" s="1338" t="n">
        <v>0</v>
      </c>
      <c r="Z65" s="1338" t="n">
        <v>0</v>
      </c>
      <c r="AA65" s="1338" t="n">
        <v>0</v>
      </c>
      <c r="AB65" s="1338"/>
      <c r="AC65" s="1338"/>
    </row>
    <row r="66" customFormat="false" ht="12.75" hidden="false" customHeight="false" outlineLevel="0" collapsed="false">
      <c r="A66" s="110" t="s">
        <v>1036</v>
      </c>
      <c r="B66" s="85"/>
      <c r="C66" s="85"/>
      <c r="D66" s="0"/>
      <c r="E66" s="1345" t="e">
        <f aca="false">SUM(E63:E65)</f>
        <v>#VALUE!</v>
      </c>
      <c r="F66" s="1345" t="e">
        <f aca="false">SUM(F63:F65)</f>
        <v>#VALUE!</v>
      </c>
      <c r="G66" s="1345" t="e">
        <f aca="false">SUM(G63:G65)</f>
        <v>#VALUE!</v>
      </c>
      <c r="H66" s="1345" t="e">
        <f aca="false">SUM(H63:H65)</f>
        <v>#VALUE!</v>
      </c>
      <c r="I66" s="1345" t="e">
        <f aca="false">SUM(I63:I65)</f>
        <v>#VALUE!</v>
      </c>
      <c r="J66" s="1345" t="e">
        <f aca="false">SUM(J63:J65)</f>
        <v>#VALUE!</v>
      </c>
      <c r="K66" s="1345" t="e">
        <f aca="false">SUM(K63:K65)</f>
        <v>#VALUE!</v>
      </c>
      <c r="L66" s="1345" t="e">
        <f aca="false">SUM(L63:L65)</f>
        <v>#VALUE!</v>
      </c>
      <c r="M66" s="1345" t="e">
        <f aca="false">SUM(M63:M65)</f>
        <v>#VALUE!</v>
      </c>
      <c r="N66" s="1345" t="e">
        <f aca="false">SUM(N63:N65)</f>
        <v>#VALUE!</v>
      </c>
      <c r="O66" s="1345" t="e">
        <f aca="false">SUM(O63:O65)</f>
        <v>#VALUE!</v>
      </c>
      <c r="P66" s="1345" t="e">
        <f aca="false">SUM(P63:P65)</f>
        <v>#VALUE!</v>
      </c>
      <c r="Q66" s="1345" t="e">
        <f aca="false">SUM(Q63:Q65)</f>
        <v>#VALUE!</v>
      </c>
      <c r="R66" s="1345" t="e">
        <f aca="false">SUM(R63:R65)</f>
        <v>#VALUE!</v>
      </c>
      <c r="S66" s="1345" t="e">
        <f aca="false">SUM(S63:S65)</f>
        <v>#VALUE!</v>
      </c>
      <c r="T66" s="1345" t="e">
        <f aca="false">SUM(T63:T65)</f>
        <v>#VALUE!</v>
      </c>
      <c r="U66" s="1345" t="e">
        <f aca="false">SUM(U63:U65)</f>
        <v>#VALUE!</v>
      </c>
      <c r="V66" s="1345" t="e">
        <f aca="false">SUM(V63:V65)</f>
        <v>#VALUE!</v>
      </c>
      <c r="W66" s="1345" t="e">
        <f aca="false">SUM(W63:W65)</f>
        <v>#VALUE!</v>
      </c>
      <c r="X66" s="1345" t="e">
        <f aca="false">SUM(X63:X65)</f>
        <v>#VALUE!</v>
      </c>
      <c r="Y66" s="1345" t="e">
        <f aca="false">SUM(Y63:Y65)</f>
        <v>#VALUE!</v>
      </c>
      <c r="Z66" s="1345" t="e">
        <f aca="false">SUM(Z63:Z65)</f>
        <v>#VALUE!</v>
      </c>
      <c r="AA66" s="1345" t="e">
        <f aca="false">SUM(AA63:AA65)</f>
        <v>#VALUE!</v>
      </c>
      <c r="AB66" s="404"/>
      <c r="AC66" s="404"/>
    </row>
    <row r="67" customFormat="false" ht="12.75" hidden="false" customHeight="false" outlineLevel="0" collapsed="false">
      <c r="A67" s="85"/>
      <c r="B67" s="85"/>
      <c r="C67" s="85"/>
      <c r="D67" s="0"/>
    </row>
    <row r="68" customFormat="false" ht="12.75" hidden="false" customHeight="false" outlineLevel="0" collapsed="false">
      <c r="A68" s="1336" t="s">
        <v>1037</v>
      </c>
      <c r="B68" s="85"/>
      <c r="C68" s="85"/>
      <c r="D68" s="0"/>
    </row>
    <row r="69" customFormat="false" ht="12.75" hidden="false" customHeight="false" outlineLevel="0" collapsed="false">
      <c r="A69" s="1337" t="s">
        <v>997</v>
      </c>
      <c r="B69" s="85"/>
      <c r="C69" s="85"/>
      <c r="D69" s="0"/>
      <c r="E69" s="404" t="n">
        <v>6.12202161387618</v>
      </c>
      <c r="F69" s="404" t="n">
        <f aca="false">E69*(1+Summary!$E$71)</f>
        <v>6.30568226229247</v>
      </c>
      <c r="G69" s="404" t="n">
        <f aca="false">F69*IF(Summary!$E$70="no",(1+Summary!$E$71),1+HLOOKUP('O&amp;M'!G$1,CCFMODEL!$I$127:$AF$128,2))</f>
        <v>6.49485273016124</v>
      </c>
      <c r="H69" s="404" t="n">
        <f aca="false">G69*IF(Summary!$E$70="no",(1+Summary!$E$71),1+HLOOKUP('O&amp;M'!H$1,CCFMODEL!$I$127:$AF$128,2))</f>
        <v>6.68969831206608</v>
      </c>
      <c r="I69" s="404" t="n">
        <f aca="false">H69*IF(Summary!$E$70="no",(1+Summary!$E$71),1+HLOOKUP('O&amp;M'!I$1,CCFMODEL!$I$127:$AF$128,2))</f>
        <v>6.89038926142806</v>
      </c>
      <c r="J69" s="404" t="n">
        <f aca="false">I69*IF(Summary!$E$70="no",(1+Summary!$E$71),1+HLOOKUP('O&amp;M'!J$1,CCFMODEL!$I$127:$AF$128,2))</f>
        <v>7.0971009392709</v>
      </c>
      <c r="K69" s="404" t="n">
        <f aca="false">J69*IF(Summary!$E$70="no",(1+Summary!$E$71),1+HLOOKUP('O&amp;M'!K$1,CCFMODEL!$I$127:$AF$128,2))</f>
        <v>7.31001396744903</v>
      </c>
      <c r="L69" s="404" t="n">
        <f aca="false">K69*IF(Summary!$E$70="no",(1+Summary!$E$71),1+HLOOKUP('O&amp;M'!L$1,CCFMODEL!$I$127:$AF$128,2))</f>
        <v>7.5293143864725</v>
      </c>
      <c r="M69" s="404" t="n">
        <f aca="false">L69*IF(Summary!$E$70="no",(1+Summary!$E$71),1+HLOOKUP('O&amp;M'!M$1,CCFMODEL!$I$127:$AF$128,2))</f>
        <v>7.75519381806668</v>
      </c>
      <c r="N69" s="404" t="n">
        <f aca="false">M69*IF(Summary!$E$70="no",(1+Summary!$E$71),1+HLOOKUP('O&amp;M'!N$1,CCFMODEL!$I$127:$AF$128,2))</f>
        <v>7.98784963260868</v>
      </c>
      <c r="O69" s="404" t="n">
        <f aca="false">N69*IF(Summary!$E$70="no",(1+Summary!$E$71),1+HLOOKUP('O&amp;M'!O$1,CCFMODEL!$I$127:$AF$128,2))</f>
        <v>8.22748512158694</v>
      </c>
      <c r="P69" s="404" t="n">
        <f aca="false">O69*IF(Summary!$E$70="no",(1+Summary!$E$71),1+HLOOKUP('O&amp;M'!P$1,CCFMODEL!$I$127:$AF$128,2))</f>
        <v>8.47430967523455</v>
      </c>
      <c r="Q69" s="404" t="n">
        <f aca="false">P69*IF(Summary!$E$70="no",(1+Summary!$E$71),1+HLOOKUP('O&amp;M'!Q$1,CCFMODEL!$I$127:$AF$128,2))</f>
        <v>8.72853896549158</v>
      </c>
      <c r="R69" s="404" t="n">
        <f aca="false">Q69*IF(Summary!$E$70="no",(1+Summary!$E$71),1+HLOOKUP('O&amp;M'!R$1,CCFMODEL!$I$127:$AF$128,2))</f>
        <v>8.99039513445633</v>
      </c>
      <c r="S69" s="404" t="n">
        <f aca="false">R69*IF(Summary!$E$70="no",(1+Summary!$E$71),1+HLOOKUP('O&amp;M'!S$1,CCFMODEL!$I$127:$AF$128,2))</f>
        <v>9.26010698849002</v>
      </c>
      <c r="T69" s="404" t="n">
        <f aca="false">S69*IF(Summary!$E$70="no",(1+Summary!$E$71),1+HLOOKUP('O&amp;M'!T$1,CCFMODEL!$I$127:$AF$128,2))</f>
        <v>9.53791019814472</v>
      </c>
      <c r="U69" s="404" t="n">
        <f aca="false">T69*IF(Summary!$E$70="no",(1+Summary!$E$71),1+HLOOKUP('O&amp;M'!U$1,CCFMODEL!$I$127:$AF$128,2))</f>
        <v>9.82404750408907</v>
      </c>
      <c r="V69" s="404" t="n">
        <f aca="false">U69*IF(Summary!$E$70="no",(1+Summary!$E$71),1+HLOOKUP('O&amp;M'!V$1,CCFMODEL!$I$127:$AF$128,2))</f>
        <v>10.1187689292117</v>
      </c>
      <c r="W69" s="404" t="n">
        <f aca="false">V69*IF(Summary!$E$70="no",(1+Summary!$E$71),1+HLOOKUP('O&amp;M'!W$1,CCFMODEL!$I$127:$AF$128,2))</f>
        <v>10.4223319970881</v>
      </c>
      <c r="X69" s="404" t="n">
        <f aca="false">W69*IF(Summary!$E$70="no",(1+Summary!$E$71),1+HLOOKUP('O&amp;M'!X$1,CCFMODEL!$I$127:$AF$128,2))</f>
        <v>10.7350019570007</v>
      </c>
      <c r="Y69" s="404" t="n">
        <f aca="false">X69*IF(Summary!$E$70="no",(1+Summary!$E$71),1+HLOOKUP('O&amp;M'!Y$1,CCFMODEL!$I$127:$AF$128,2))</f>
        <v>11.0570520157108</v>
      </c>
      <c r="Z69" s="404" t="n">
        <f aca="false">Y69*IF(Summary!$E$70="no",(1+Summary!$E$71),1+HLOOKUP('O&amp;M'!Z$1,CCFMODEL!$I$127:$AF$128,2))</f>
        <v>11.3887635761821</v>
      </c>
      <c r="AA69" s="404" t="n">
        <f aca="false">Z69*IF(Summary!$E$70="no",(1+Summary!$E$71),1+HLOOKUP('O&amp;M'!AA$1,CCFMODEL!$I$127:$AF$128,2))</f>
        <v>11.7304264834675</v>
      </c>
    </row>
    <row r="70" customFormat="false" ht="12.75" hidden="false" customHeight="false" outlineLevel="0" collapsed="false">
      <c r="A70" s="1337" t="s">
        <v>1038</v>
      </c>
      <c r="B70" s="85"/>
      <c r="C70" s="85"/>
      <c r="D70" s="0"/>
      <c r="E70" s="404" t="n">
        <v>12</v>
      </c>
      <c r="F70" s="404" t="n">
        <f aca="false">E70*(1+Summary!$E$71)</f>
        <v>12.36</v>
      </c>
      <c r="G70" s="404" t="n">
        <f aca="false">F70*(1+Summary!$E$71)</f>
        <v>12.7308</v>
      </c>
      <c r="H70" s="404" t="n">
        <f aca="false">G70*(1+Summary!$E$71)</f>
        <v>13.112724</v>
      </c>
      <c r="I70" s="404" t="n">
        <f aca="false">H70*(1+Summary!$E$71)</f>
        <v>13.50610572</v>
      </c>
      <c r="J70" s="404" t="n">
        <f aca="false">I70*(1+Summary!$E$71)</f>
        <v>13.9112888916</v>
      </c>
      <c r="K70" s="404" t="n">
        <f aca="false">J70*(1+Summary!$E$71)</f>
        <v>14.328627558348</v>
      </c>
      <c r="L70" s="404" t="n">
        <f aca="false">K70*(1+Summary!$E$71)</f>
        <v>14.7584863850984</v>
      </c>
      <c r="M70" s="404" t="n">
        <f aca="false">L70*(1+Summary!$E$71)</f>
        <v>15.2012409766514</v>
      </c>
      <c r="N70" s="404" t="n">
        <f aca="false">M70*(1+Summary!$E$71)</f>
        <v>15.6572782059509</v>
      </c>
      <c r="O70" s="404" t="n">
        <f aca="false">N70*(1+Summary!$E$71)</f>
        <v>16.1269965521295</v>
      </c>
      <c r="P70" s="404" t="n">
        <f aca="false">O70*(1+Summary!$E$71)</f>
        <v>16.6108064486934</v>
      </c>
      <c r="Q70" s="404" t="n">
        <f aca="false">P70*(1+Summary!$E$71)</f>
        <v>17.1091306421542</v>
      </c>
      <c r="R70" s="404" t="n">
        <f aca="false">Q70*(1+Summary!$E$71)</f>
        <v>17.6224045614188</v>
      </c>
      <c r="S70" s="404" t="n">
        <f aca="false">R70*(1+Summary!$E$71)</f>
        <v>18.1510766982613</v>
      </c>
      <c r="T70" s="404" t="n">
        <f aca="false">S70*(1+Summary!$E$71)</f>
        <v>18.6956089992092</v>
      </c>
      <c r="U70" s="404" t="n">
        <f aca="false">T70*(1+Summary!$E$71)</f>
        <v>19.2564772691855</v>
      </c>
      <c r="V70" s="404" t="n">
        <f aca="false">U70*(1+Summary!$E$71)</f>
        <v>19.834171587261</v>
      </c>
      <c r="W70" s="404" t="n">
        <f aca="false">V70*(1+Summary!$E$71)</f>
        <v>20.4291967348788</v>
      </c>
      <c r="X70" s="404" t="n">
        <f aca="false">W70*(1+Summary!$E$71)</f>
        <v>21.0420726369252</v>
      </c>
      <c r="Y70" s="404" t="n">
        <f aca="false">X70*(1+Summary!$E$71)</f>
        <v>21.673334816033</v>
      </c>
      <c r="Z70" s="404" t="n">
        <f aca="false">Y70*(1+Summary!$E$71)</f>
        <v>22.323534860514</v>
      </c>
      <c r="AA70" s="404" t="n">
        <f aca="false">Z70*(1+Summary!$E$71)</f>
        <v>22.9932409063294</v>
      </c>
    </row>
    <row r="71" customFormat="false" ht="12.75" hidden="false" customHeight="false" outlineLevel="0" collapsed="false">
      <c r="A71" s="1337" t="s">
        <v>1039</v>
      </c>
      <c r="B71" s="85"/>
      <c r="C71" s="85"/>
      <c r="D71" s="0"/>
      <c r="E71" s="404" t="n">
        <v>3</v>
      </c>
      <c r="F71" s="404" t="n">
        <f aca="false">E71*(1+Summary!$E$71)</f>
        <v>3.09</v>
      </c>
      <c r="G71" s="404" t="n">
        <f aca="false">F71*(1+Summary!$E$71)</f>
        <v>3.1827</v>
      </c>
      <c r="H71" s="404" t="n">
        <f aca="false">G71*(1+Summary!$E$71)</f>
        <v>3.278181</v>
      </c>
      <c r="I71" s="404" t="n">
        <f aca="false">H71*(1+Summary!$E$71)</f>
        <v>3.37652643</v>
      </c>
      <c r="J71" s="404" t="n">
        <f aca="false">I71*(1+Summary!$E$71)</f>
        <v>3.4778222229</v>
      </c>
      <c r="K71" s="404" t="n">
        <f aca="false">J71*(1+Summary!$E$71)</f>
        <v>3.582156889587</v>
      </c>
      <c r="L71" s="404" t="n">
        <f aca="false">K71*(1+Summary!$E$71)</f>
        <v>3.68962159627461</v>
      </c>
      <c r="M71" s="404" t="n">
        <f aca="false">L71*(1+Summary!$E$71)</f>
        <v>3.80031024416285</v>
      </c>
      <c r="N71" s="404" t="n">
        <f aca="false">M71*(1+Summary!$E$71)</f>
        <v>3.91431955148773</v>
      </c>
      <c r="O71" s="404" t="n">
        <f aca="false">N71*(1+Summary!$E$71)</f>
        <v>4.03174913803237</v>
      </c>
      <c r="P71" s="404" t="n">
        <f aca="false">O71*(1+Summary!$E$71)</f>
        <v>4.15270161217334</v>
      </c>
      <c r="Q71" s="404" t="n">
        <f aca="false">P71*(1+Summary!$E$71)</f>
        <v>4.27728266053854</v>
      </c>
      <c r="R71" s="404" t="n">
        <f aca="false">Q71*(1+Summary!$E$71)</f>
        <v>4.40560114035469</v>
      </c>
      <c r="S71" s="404" t="n">
        <f aca="false">R71*(1+Summary!$E$71)</f>
        <v>4.53776917456533</v>
      </c>
      <c r="T71" s="404" t="n">
        <f aca="false">S71*(1+Summary!$E$71)</f>
        <v>4.67390224980229</v>
      </c>
      <c r="U71" s="404" t="n">
        <f aca="false">T71*(1+Summary!$E$71)</f>
        <v>4.81411931729636</v>
      </c>
      <c r="V71" s="404" t="n">
        <f aca="false">U71*(1+Summary!$E$71)</f>
        <v>4.95854289681525</v>
      </c>
      <c r="W71" s="404" t="n">
        <f aca="false">V71*(1+Summary!$E$71)</f>
        <v>5.10729918371971</v>
      </c>
      <c r="X71" s="404" t="n">
        <f aca="false">W71*(1+Summary!$E$71)</f>
        <v>5.2605181592313</v>
      </c>
      <c r="Y71" s="404" t="n">
        <f aca="false">X71*(1+Summary!$E$71)</f>
        <v>5.41833370400824</v>
      </c>
      <c r="Z71" s="404" t="n">
        <f aca="false">Y71*(1+Summary!$E$71)</f>
        <v>5.58088371512849</v>
      </c>
      <c r="AA71" s="404" t="n">
        <f aca="false">Z71*(1+Summary!$E$71)</f>
        <v>5.74831022658235</v>
      </c>
    </row>
    <row r="72" customFormat="false" ht="12.75" hidden="false" customHeight="false" outlineLevel="0" collapsed="false">
      <c r="A72" s="1337" t="s">
        <v>1040</v>
      </c>
      <c r="B72" s="85"/>
      <c r="C72" s="85"/>
      <c r="D72" s="0"/>
      <c r="E72" s="404" t="n">
        <v>6</v>
      </c>
      <c r="F72" s="404" t="n">
        <f aca="false">E72*(1+Summary!$E$71)</f>
        <v>6.18</v>
      </c>
      <c r="G72" s="404" t="n">
        <f aca="false">F72*(1+Summary!$E$71)</f>
        <v>6.3654</v>
      </c>
      <c r="H72" s="404" t="n">
        <f aca="false">G72*(1+Summary!$E$71)</f>
        <v>6.556362</v>
      </c>
      <c r="I72" s="404" t="n">
        <f aca="false">H72*(1+Summary!$E$71)</f>
        <v>6.75305286</v>
      </c>
      <c r="J72" s="404" t="n">
        <f aca="false">I72*(1+Summary!$E$71)</f>
        <v>6.9556444458</v>
      </c>
      <c r="K72" s="404" t="n">
        <f aca="false">J72*(1+Summary!$E$71)</f>
        <v>7.164313779174</v>
      </c>
      <c r="L72" s="404" t="n">
        <f aca="false">K72*(1+Summary!$E$71)</f>
        <v>7.37924319254922</v>
      </c>
      <c r="M72" s="404" t="n">
        <f aca="false">L72*(1+Summary!$E$71)</f>
        <v>7.6006204883257</v>
      </c>
      <c r="N72" s="404" t="n">
        <f aca="false">M72*(1+Summary!$E$71)</f>
        <v>7.82863910297547</v>
      </c>
      <c r="O72" s="404" t="n">
        <f aca="false">N72*(1+Summary!$E$71)</f>
        <v>8.06349827606473</v>
      </c>
      <c r="P72" s="404" t="n">
        <f aca="false">O72*(1+Summary!$E$71)</f>
        <v>8.30540322434668</v>
      </c>
      <c r="Q72" s="404" t="n">
        <f aca="false">P72*(1+Summary!$E$71)</f>
        <v>8.55456532107707</v>
      </c>
      <c r="R72" s="404" t="n">
        <f aca="false">Q72*(1+Summary!$E$71)</f>
        <v>8.81120228070939</v>
      </c>
      <c r="S72" s="404" t="n">
        <f aca="false">R72*(1+Summary!$E$71)</f>
        <v>9.07553834913067</v>
      </c>
      <c r="T72" s="404" t="n">
        <f aca="false">S72*(1+Summary!$E$71)</f>
        <v>9.34780449960459</v>
      </c>
      <c r="U72" s="404" t="n">
        <f aca="false">T72*(1+Summary!$E$71)</f>
        <v>9.62823863459273</v>
      </c>
      <c r="V72" s="404" t="n">
        <f aca="false">U72*(1+Summary!$E$71)</f>
        <v>9.91708579363051</v>
      </c>
      <c r="W72" s="404" t="n">
        <f aca="false">V72*(1+Summary!$E$71)</f>
        <v>10.2145983674394</v>
      </c>
      <c r="X72" s="404" t="n">
        <f aca="false">W72*(1+Summary!$E$71)</f>
        <v>10.5210363184626</v>
      </c>
      <c r="Y72" s="404" t="n">
        <f aca="false">X72*(1+Summary!$E$71)</f>
        <v>10.8366674080165</v>
      </c>
      <c r="Z72" s="404" t="n">
        <f aca="false">Y72*(1+Summary!$E$71)</f>
        <v>11.161767430257</v>
      </c>
      <c r="AA72" s="404" t="n">
        <f aca="false">Z72*(1+Summary!$E$71)</f>
        <v>11.4966204531647</v>
      </c>
    </row>
    <row r="73" customFormat="false" ht="12.75" hidden="false" customHeight="false" outlineLevel="0" collapsed="false">
      <c r="A73" s="1337" t="s">
        <v>1041</v>
      </c>
      <c r="B73" s="85"/>
      <c r="C73" s="85"/>
      <c r="D73" s="0"/>
      <c r="E73" s="1346" t="n">
        <v>8.4</v>
      </c>
      <c r="F73" s="404" t="n">
        <f aca="false">E73*(1+Summary!$E$71)</f>
        <v>8.652</v>
      </c>
      <c r="G73" s="404" t="n">
        <f aca="false">F73*(1+Summary!$E$71)</f>
        <v>8.91156</v>
      </c>
      <c r="H73" s="404" t="n">
        <f aca="false">G73*(1+Summary!$E$71)</f>
        <v>9.1789068</v>
      </c>
      <c r="I73" s="404" t="n">
        <f aca="false">H73*(1+Summary!$E$71)</f>
        <v>9.454274004</v>
      </c>
      <c r="J73" s="404" t="n">
        <f aca="false">I73*(1+Summary!$E$71)</f>
        <v>9.73790222412</v>
      </c>
      <c r="K73" s="404" t="n">
        <f aca="false">J73*(1+Summary!$E$71)</f>
        <v>10.0300392908436</v>
      </c>
      <c r="L73" s="404" t="n">
        <f aca="false">K73*(1+Summary!$E$71)</f>
        <v>10.3309404695689</v>
      </c>
      <c r="M73" s="404" t="n">
        <f aca="false">L73*(1+Summary!$E$71)</f>
        <v>10.640868683656</v>
      </c>
      <c r="N73" s="404" t="n">
        <f aca="false">M73*(1+Summary!$E$71)</f>
        <v>10.9600947441657</v>
      </c>
      <c r="O73" s="404" t="n">
        <f aca="false">N73*(1+Summary!$E$71)</f>
        <v>11.2888975864906</v>
      </c>
      <c r="P73" s="404" t="n">
        <f aca="false">O73*(1+Summary!$E$71)</f>
        <v>11.6275645140853</v>
      </c>
      <c r="Q73" s="404" t="n">
        <f aca="false">P73*(1+Summary!$E$71)</f>
        <v>11.9763914495079</v>
      </c>
      <c r="R73" s="404" t="n">
        <f aca="false">Q73*(1+Summary!$E$71)</f>
        <v>12.3356831929931</v>
      </c>
      <c r="S73" s="404" t="n">
        <f aca="false">R73*(1+Summary!$E$71)</f>
        <v>12.7057536887829</v>
      </c>
      <c r="T73" s="404" t="n">
        <f aca="false">S73*(1+Summary!$E$71)</f>
        <v>13.0869262994464</v>
      </c>
      <c r="U73" s="404" t="n">
        <f aca="false">T73*(1+Summary!$E$71)</f>
        <v>13.4795340884298</v>
      </c>
      <c r="V73" s="404" t="n">
        <f aca="false">U73*(1+Summary!$E$71)</f>
        <v>13.8839201110827</v>
      </c>
      <c r="W73" s="404" t="n">
        <f aca="false">V73*(1+Summary!$E$71)</f>
        <v>14.3004377144152</v>
      </c>
      <c r="X73" s="404" t="n">
        <f aca="false">W73*(1+Summary!$E$71)</f>
        <v>14.7294508458477</v>
      </c>
      <c r="Y73" s="404" t="n">
        <f aca="false">X73*(1+Summary!$E$71)</f>
        <v>15.1713343712231</v>
      </c>
      <c r="Z73" s="404" t="n">
        <f aca="false">Y73*(1+Summary!$E$71)</f>
        <v>15.6264744023598</v>
      </c>
      <c r="AA73" s="404" t="n">
        <f aca="false">Z73*(1+Summary!$E$71)</f>
        <v>16.0952686344306</v>
      </c>
    </row>
    <row r="74" customFormat="false" ht="12.75" hidden="false" customHeight="false" outlineLevel="0" collapsed="false">
      <c r="A74" s="1337" t="s">
        <v>1042</v>
      </c>
      <c r="B74" s="85"/>
      <c r="C74" s="85"/>
      <c r="D74" s="0"/>
      <c r="E74" s="404" t="n">
        <v>0.510168467823015</v>
      </c>
      <c r="F74" s="404" t="n">
        <f aca="false">E74*(1+Summary!$E$71)</f>
        <v>0.525473521857706</v>
      </c>
      <c r="G74" s="404" t="n">
        <f aca="false">F74*(1+Summary!$E$71)</f>
        <v>0.541237727513437</v>
      </c>
      <c r="H74" s="404" t="n">
        <f aca="false">G74*(1+Summary!$E$71)</f>
        <v>0.55747485933884</v>
      </c>
      <c r="I74" s="404" t="n">
        <f aca="false">H74*(1+Summary!$E$71)</f>
        <v>0.574199105119005</v>
      </c>
      <c r="J74" s="404" t="n">
        <f aca="false">I74*(1+Summary!$E$71)</f>
        <v>0.591425078272576</v>
      </c>
      <c r="K74" s="404" t="n">
        <f aca="false">J74*(1+Summary!$E$71)</f>
        <v>0.609167830620753</v>
      </c>
      <c r="L74" s="404" t="n">
        <f aca="false">K74*(1+Summary!$E$71)</f>
        <v>0.627442865539375</v>
      </c>
      <c r="M74" s="404" t="n">
        <f aca="false">L74*(1+Summary!$E$71)</f>
        <v>0.646266151505557</v>
      </c>
      <c r="N74" s="404" t="n">
        <f aca="false">M74*(1+Summary!$E$71)</f>
        <v>0.665654136050724</v>
      </c>
      <c r="O74" s="404" t="n">
        <f aca="false">N74*(1+Summary!$E$71)</f>
        <v>0.685623760132245</v>
      </c>
      <c r="P74" s="404" t="n">
        <f aca="false">O74*(1+Summary!$E$71)</f>
        <v>0.706192472936213</v>
      </c>
      <c r="Q74" s="404" t="n">
        <f aca="false">P74*(1+Summary!$E$71)</f>
        <v>0.727378247124299</v>
      </c>
      <c r="R74" s="404" t="n">
        <f aca="false">Q74*(1+Summary!$E$71)</f>
        <v>0.749199594538028</v>
      </c>
      <c r="S74" s="404" t="n">
        <f aca="false">R74*(1+Summary!$E$71)</f>
        <v>0.771675582374169</v>
      </c>
      <c r="T74" s="404" t="n">
        <f aca="false">S74*(1+Summary!$E$71)</f>
        <v>0.794825849845394</v>
      </c>
      <c r="U74" s="404" t="n">
        <f aca="false">T74*(1+Summary!$E$71)</f>
        <v>0.818670625340756</v>
      </c>
      <c r="V74" s="404" t="n">
        <f aca="false">U74*(1+Summary!$E$71)</f>
        <v>0.843230744100978</v>
      </c>
      <c r="W74" s="404" t="n">
        <f aca="false">V74*(1+Summary!$E$71)</f>
        <v>0.868527666424008</v>
      </c>
      <c r="X74" s="404" t="n">
        <f aca="false">W74*(1+Summary!$E$71)</f>
        <v>0.894583496416728</v>
      </c>
      <c r="Y74" s="404" t="n">
        <f aca="false">X74*(1+Summary!$E$71)</f>
        <v>0.92142100130923</v>
      </c>
      <c r="Z74" s="404" t="n">
        <f aca="false">Y74*(1+Summary!$E$71)</f>
        <v>0.949063631348507</v>
      </c>
      <c r="AA74" s="404" t="n">
        <f aca="false">Z74*(1+Summary!$E$71)</f>
        <v>0.977535540288962</v>
      </c>
    </row>
    <row r="75" customFormat="false" ht="12.75" hidden="false" customHeight="false" outlineLevel="0" collapsed="false">
      <c r="A75" s="1337" t="s">
        <v>1043</v>
      </c>
      <c r="B75" s="85"/>
      <c r="C75" s="85"/>
      <c r="D75" s="0"/>
      <c r="E75" s="404" t="n">
        <v>0.510168467823015</v>
      </c>
      <c r="F75" s="404" t="n">
        <f aca="false">E75*(1+Summary!$E$71)</f>
        <v>0.525473521857706</v>
      </c>
      <c r="G75" s="404" t="n">
        <f aca="false">F75*(1+Summary!$E$71)</f>
        <v>0.541237727513437</v>
      </c>
      <c r="H75" s="404" t="n">
        <f aca="false">G75*(1+Summary!$E$71)</f>
        <v>0.55747485933884</v>
      </c>
      <c r="I75" s="404" t="n">
        <f aca="false">H75*(1+Summary!$E$71)</f>
        <v>0.574199105119005</v>
      </c>
      <c r="J75" s="404" t="n">
        <f aca="false">I75*(1+Summary!$E$71)</f>
        <v>0.591425078272576</v>
      </c>
      <c r="K75" s="404" t="n">
        <f aca="false">J75*(1+Summary!$E$71)</f>
        <v>0.609167830620753</v>
      </c>
      <c r="L75" s="404" t="n">
        <f aca="false">K75*(1+Summary!$E$71)</f>
        <v>0.627442865539375</v>
      </c>
      <c r="M75" s="404" t="n">
        <f aca="false">L75*(1+Summary!$E$71)</f>
        <v>0.646266151505557</v>
      </c>
      <c r="N75" s="404" t="n">
        <f aca="false">M75*(1+Summary!$E$71)</f>
        <v>0.665654136050724</v>
      </c>
      <c r="O75" s="404" t="n">
        <f aca="false">N75*(1+Summary!$E$71)</f>
        <v>0.685623760132245</v>
      </c>
      <c r="P75" s="404" t="n">
        <f aca="false">O75*(1+Summary!$E$71)</f>
        <v>0.706192472936213</v>
      </c>
      <c r="Q75" s="404" t="n">
        <f aca="false">P75*(1+Summary!$E$71)</f>
        <v>0.727378247124299</v>
      </c>
      <c r="R75" s="404" t="n">
        <f aca="false">Q75*(1+Summary!$E$71)</f>
        <v>0.749199594538028</v>
      </c>
      <c r="S75" s="404" t="n">
        <f aca="false">R75*(1+Summary!$E$71)</f>
        <v>0.771675582374169</v>
      </c>
      <c r="T75" s="404" t="n">
        <f aca="false">S75*(1+Summary!$E$71)</f>
        <v>0.794825849845394</v>
      </c>
      <c r="U75" s="404" t="n">
        <f aca="false">T75*(1+Summary!$E$71)</f>
        <v>0.818670625340756</v>
      </c>
      <c r="V75" s="404" t="n">
        <f aca="false">U75*(1+Summary!$E$71)</f>
        <v>0.843230744100978</v>
      </c>
      <c r="W75" s="404" t="n">
        <f aca="false">V75*(1+Summary!$E$71)</f>
        <v>0.868527666424008</v>
      </c>
      <c r="X75" s="404" t="n">
        <f aca="false">W75*(1+Summary!$E$71)</f>
        <v>0.894583496416728</v>
      </c>
      <c r="Y75" s="404" t="n">
        <f aca="false">X75*(1+Summary!$E$71)</f>
        <v>0.92142100130923</v>
      </c>
      <c r="Z75" s="404" t="n">
        <f aca="false">Y75*(1+Summary!$E$71)</f>
        <v>0.949063631348507</v>
      </c>
      <c r="AA75" s="404" t="n">
        <f aca="false">Z75*(1+Summary!$E$71)</f>
        <v>0.977535540288962</v>
      </c>
    </row>
    <row r="76" customFormat="false" ht="12.75" hidden="false" customHeight="false" outlineLevel="0" collapsed="false">
      <c r="A76" s="1337" t="s">
        <v>1044</v>
      </c>
      <c r="B76" s="85"/>
      <c r="C76" s="85"/>
      <c r="D76" s="0"/>
      <c r="E76" s="404" t="n">
        <v>1.02033693564603</v>
      </c>
      <c r="F76" s="404" t="n">
        <f aca="false">E76*(1+Summary!$E$71)</f>
        <v>1.05094704371541</v>
      </c>
      <c r="G76" s="404" t="n">
        <f aca="false">F76*(1+Summary!$E$71)</f>
        <v>1.08247545502687</v>
      </c>
      <c r="H76" s="404" t="n">
        <f aca="false">G76*(1+Summary!$E$71)</f>
        <v>1.11494971867768</v>
      </c>
      <c r="I76" s="404" t="n">
        <f aca="false">H76*(1+Summary!$E$71)</f>
        <v>1.14839821023801</v>
      </c>
      <c r="J76" s="404" t="n">
        <f aca="false">I76*(1+Summary!$E$71)</f>
        <v>1.18285015654515</v>
      </c>
      <c r="K76" s="404" t="n">
        <f aca="false">J76*(1+Summary!$E$71)</f>
        <v>1.21833566124151</v>
      </c>
      <c r="L76" s="404" t="n">
        <f aca="false">K76*(1+Summary!$E$71)</f>
        <v>1.25488573107875</v>
      </c>
      <c r="M76" s="404" t="n">
        <f aca="false">L76*(1+Summary!$E$71)</f>
        <v>1.29253230301111</v>
      </c>
      <c r="N76" s="404" t="n">
        <f aca="false">M76*(1+Summary!$E$71)</f>
        <v>1.33130827210145</v>
      </c>
      <c r="O76" s="404" t="n">
        <f aca="false">N76*(1+Summary!$E$71)</f>
        <v>1.37124752026449</v>
      </c>
      <c r="P76" s="404" t="n">
        <f aca="false">O76*(1+Summary!$E$71)</f>
        <v>1.41238494587243</v>
      </c>
      <c r="Q76" s="404" t="n">
        <f aca="false">P76*(1+Summary!$E$71)</f>
        <v>1.4547564942486</v>
      </c>
      <c r="R76" s="404" t="n">
        <f aca="false">Q76*(1+Summary!$E$71)</f>
        <v>1.49839918907606</v>
      </c>
      <c r="S76" s="404" t="n">
        <f aca="false">R76*(1+Summary!$E$71)</f>
        <v>1.54335116474834</v>
      </c>
      <c r="T76" s="404" t="n">
        <f aca="false">S76*(1+Summary!$E$71)</f>
        <v>1.58965169969079</v>
      </c>
      <c r="U76" s="404" t="n">
        <f aca="false">T76*(1+Summary!$E$71)</f>
        <v>1.63734125068151</v>
      </c>
      <c r="V76" s="404" t="n">
        <f aca="false">U76*(1+Summary!$E$71)</f>
        <v>1.68646148820196</v>
      </c>
      <c r="W76" s="404" t="n">
        <f aca="false">V76*(1+Summary!$E$71)</f>
        <v>1.73705533284802</v>
      </c>
      <c r="X76" s="404" t="n">
        <f aca="false">W76*(1+Summary!$E$71)</f>
        <v>1.78916699283346</v>
      </c>
      <c r="Y76" s="404" t="n">
        <f aca="false">X76*(1+Summary!$E$71)</f>
        <v>1.84284200261846</v>
      </c>
      <c r="Z76" s="404" t="n">
        <f aca="false">Y76*(1+Summary!$E$71)</f>
        <v>1.89812726269701</v>
      </c>
      <c r="AA76" s="404" t="n">
        <f aca="false">Z76*(1+Summary!$E$71)</f>
        <v>1.95507108057792</v>
      </c>
    </row>
    <row r="77" customFormat="false" ht="12.75" hidden="false" customHeight="false" outlineLevel="0" collapsed="false">
      <c r="A77" s="1337" t="s">
        <v>1045</v>
      </c>
      <c r="B77" s="85"/>
      <c r="C77" s="85"/>
      <c r="D77" s="0"/>
      <c r="E77" s="404" t="n">
        <v>10</v>
      </c>
      <c r="F77" s="404" t="n">
        <f aca="false">E77*(1+Summary!$E$71)</f>
        <v>10.3</v>
      </c>
      <c r="G77" s="404" t="n">
        <f aca="false">F77*(1+Summary!$E$71)</f>
        <v>10.609</v>
      </c>
      <c r="H77" s="404" t="n">
        <f aca="false">G77*(1+Summary!$E$71)</f>
        <v>10.92727</v>
      </c>
      <c r="I77" s="404" t="n">
        <f aca="false">H77*(1+Summary!$E$71)</f>
        <v>11.2550881</v>
      </c>
      <c r="J77" s="404" t="n">
        <f aca="false">I77*(1+Summary!$E$71)</f>
        <v>11.592740743</v>
      </c>
      <c r="K77" s="404" t="n">
        <f aca="false">J77*(1+Summary!$E$71)</f>
        <v>11.94052296529</v>
      </c>
      <c r="L77" s="404" t="n">
        <f aca="false">K77*(1+Summary!$E$71)</f>
        <v>12.2987386542487</v>
      </c>
      <c r="M77" s="404" t="n">
        <f aca="false">L77*(1+Summary!$E$71)</f>
        <v>12.6677008138762</v>
      </c>
      <c r="N77" s="404" t="n">
        <f aca="false">M77*(1+Summary!$E$71)</f>
        <v>13.0477318382925</v>
      </c>
      <c r="O77" s="404" t="n">
        <f aca="false">N77*(1+Summary!$E$71)</f>
        <v>13.4391637934412</v>
      </c>
      <c r="P77" s="404" t="n">
        <f aca="false">O77*(1+Summary!$E$71)</f>
        <v>13.8423387072445</v>
      </c>
      <c r="Q77" s="404" t="n">
        <f aca="false">P77*(1+Summary!$E$71)</f>
        <v>14.2576088684618</v>
      </c>
      <c r="R77" s="404" t="n">
        <f aca="false">Q77*(1+Summary!$E$71)</f>
        <v>14.6853371345156</v>
      </c>
      <c r="S77" s="404" t="n">
        <f aca="false">R77*(1+Summary!$E$71)</f>
        <v>15.1258972485511</v>
      </c>
      <c r="T77" s="404" t="n">
        <f aca="false">S77*(1+Summary!$E$71)</f>
        <v>15.5796741660077</v>
      </c>
      <c r="U77" s="404" t="n">
        <f aca="false">T77*(1+Summary!$E$71)</f>
        <v>16.0470643909879</v>
      </c>
      <c r="V77" s="404" t="n">
        <f aca="false">U77*(1+Summary!$E$71)</f>
        <v>16.5284763227175</v>
      </c>
      <c r="W77" s="404" t="n">
        <f aca="false">V77*(1+Summary!$E$71)</f>
        <v>17.024330612399</v>
      </c>
      <c r="X77" s="404" t="n">
        <f aca="false">W77*(1+Summary!$E$71)</f>
        <v>17.535060530771</v>
      </c>
      <c r="Y77" s="404" t="n">
        <f aca="false">X77*(1+Summary!$E$71)</f>
        <v>18.0611123466942</v>
      </c>
      <c r="Z77" s="404" t="n">
        <f aca="false">Y77*(1+Summary!$E$71)</f>
        <v>18.602945717095</v>
      </c>
      <c r="AA77" s="404" t="n">
        <f aca="false">Z77*(1+Summary!$E$71)</f>
        <v>19.1610340886078</v>
      </c>
    </row>
    <row r="78" customFormat="false" ht="12.75" hidden="false" customHeight="false" outlineLevel="0" collapsed="false">
      <c r="A78" s="1337" t="s">
        <v>1046</v>
      </c>
      <c r="B78" s="85"/>
      <c r="C78" s="85"/>
      <c r="D78" s="0"/>
      <c r="E78" s="404" t="n">
        <v>30.6101080693809</v>
      </c>
      <c r="F78" s="404" t="n">
        <f aca="false">E78*(1+Summary!$E$71)</f>
        <v>31.5284113114623</v>
      </c>
      <c r="G78" s="404" t="n">
        <f aca="false">F78*(1+Summary!$E$71)</f>
        <v>32.4742636508062</v>
      </c>
      <c r="H78" s="404" t="n">
        <f aca="false">G78*(1+Summary!$E$71)</f>
        <v>33.4484915603304</v>
      </c>
      <c r="I78" s="404" t="n">
        <f aca="false">H78*(1+Summary!$E$71)</f>
        <v>34.4519463071403</v>
      </c>
      <c r="J78" s="404" t="n">
        <f aca="false">I78*(1+Summary!$E$71)</f>
        <v>35.4855046963545</v>
      </c>
      <c r="K78" s="404" t="n">
        <f aca="false">J78*(1+Summary!$E$71)</f>
        <v>36.5500698372452</v>
      </c>
      <c r="L78" s="404" t="n">
        <f aca="false">K78*(1+Summary!$E$71)</f>
        <v>37.6465719323625</v>
      </c>
      <c r="M78" s="404" t="n">
        <f aca="false">L78*(1+Summary!$E$71)</f>
        <v>38.7759690903334</v>
      </c>
      <c r="N78" s="404" t="n">
        <f aca="false">M78*(1+Summary!$E$71)</f>
        <v>39.9392481630434</v>
      </c>
      <c r="O78" s="404" t="n">
        <f aca="false">N78*(1+Summary!$E$71)</f>
        <v>41.1374256079347</v>
      </c>
      <c r="P78" s="404" t="n">
        <f aca="false">O78*(1+Summary!$E$71)</f>
        <v>42.3715483761727</v>
      </c>
      <c r="Q78" s="404" t="n">
        <f aca="false">P78*(1+Summary!$E$71)</f>
        <v>43.6426948274579</v>
      </c>
      <c r="R78" s="404" t="n">
        <f aca="false">Q78*(1+Summary!$E$71)</f>
        <v>44.9519756722817</v>
      </c>
      <c r="S78" s="404" t="n">
        <f aca="false">R78*(1+Summary!$E$71)</f>
        <v>46.3005349424501</v>
      </c>
      <c r="T78" s="404" t="n">
        <f aca="false">S78*(1+Summary!$E$71)</f>
        <v>47.6895509907236</v>
      </c>
      <c r="U78" s="404" t="n">
        <f aca="false">T78*(1+Summary!$E$71)</f>
        <v>49.1202375204453</v>
      </c>
      <c r="V78" s="404" t="n">
        <f aca="false">U78*(1+Summary!$E$71)</f>
        <v>50.5938446460587</v>
      </c>
      <c r="W78" s="404" t="n">
        <f aca="false">V78*(1+Summary!$E$71)</f>
        <v>52.1116599854405</v>
      </c>
      <c r="X78" s="404" t="n">
        <f aca="false">W78*(1+Summary!$E$71)</f>
        <v>53.6750097850037</v>
      </c>
      <c r="Y78" s="404" t="n">
        <f aca="false">X78*(1+Summary!$E$71)</f>
        <v>55.2852600785538</v>
      </c>
      <c r="Z78" s="404" t="n">
        <f aca="false">Y78*(1+Summary!$E$71)</f>
        <v>56.9438178809104</v>
      </c>
      <c r="AA78" s="404" t="n">
        <f aca="false">Z78*(1+Summary!$E$71)</f>
        <v>58.6521324173377</v>
      </c>
    </row>
    <row r="79" customFormat="false" ht="12.75" hidden="false" customHeight="false" outlineLevel="0" collapsed="false">
      <c r="A79" s="1337" t="s">
        <v>1047</v>
      </c>
      <c r="B79" s="85"/>
      <c r="C79" s="85"/>
      <c r="D79" s="0"/>
      <c r="E79" s="404" t="n">
        <v>39</v>
      </c>
      <c r="F79" s="404" t="n">
        <f aca="false">E79*(1+Summary!$E$71)</f>
        <v>40.17</v>
      </c>
      <c r="G79" s="404" t="n">
        <f aca="false">F79*(1+Summary!$E$71)</f>
        <v>41.3751</v>
      </c>
      <c r="H79" s="404" t="n">
        <f aca="false">G79*(1+Summary!$E$71)</f>
        <v>42.616353</v>
      </c>
      <c r="I79" s="404" t="n">
        <f aca="false">H79*(1+Summary!$E$71)</f>
        <v>43.89484359</v>
      </c>
      <c r="J79" s="404" t="n">
        <f aca="false">I79*(1+Summary!$E$71)</f>
        <v>45.2116888977</v>
      </c>
      <c r="K79" s="404" t="n">
        <f aca="false">J79*(1+Summary!$E$71)</f>
        <v>46.568039564631</v>
      </c>
      <c r="L79" s="404" t="n">
        <f aca="false">K79*(1+Summary!$E$71)</f>
        <v>47.9650807515699</v>
      </c>
      <c r="M79" s="404" t="n">
        <f aca="false">L79*(1+Summary!$E$71)</f>
        <v>49.404033174117</v>
      </c>
      <c r="N79" s="404" t="n">
        <f aca="false">M79*(1+Summary!$E$71)</f>
        <v>50.8861541693405</v>
      </c>
      <c r="O79" s="404" t="n">
        <f aca="false">N79*(1+Summary!$E$71)</f>
        <v>52.4127387944208</v>
      </c>
      <c r="P79" s="404" t="n">
        <f aca="false">O79*(1+Summary!$E$71)</f>
        <v>53.9851209582534</v>
      </c>
      <c r="Q79" s="404" t="n">
        <f aca="false">P79*(1+Summary!$E$71)</f>
        <v>55.604674587001</v>
      </c>
      <c r="R79" s="404" t="n">
        <f aca="false">Q79*(1+Summary!$E$71)</f>
        <v>57.272814824611</v>
      </c>
      <c r="S79" s="404" t="n">
        <f aca="false">R79*(1+Summary!$E$71)</f>
        <v>58.9909992693494</v>
      </c>
      <c r="T79" s="404" t="n">
        <f aca="false">S79*(1+Summary!$E$71)</f>
        <v>60.7607292474298</v>
      </c>
      <c r="U79" s="404" t="n">
        <f aca="false">T79*(1+Summary!$E$71)</f>
        <v>62.5835511248527</v>
      </c>
      <c r="V79" s="404" t="n">
        <f aca="false">U79*(1+Summary!$E$71)</f>
        <v>64.4610576585983</v>
      </c>
      <c r="W79" s="404" t="n">
        <f aca="false">V79*(1+Summary!$E$71)</f>
        <v>66.3948893883563</v>
      </c>
      <c r="X79" s="404" t="n">
        <f aca="false">W79*(1+Summary!$E$71)</f>
        <v>68.386736070007</v>
      </c>
      <c r="Y79" s="404" t="n">
        <f aca="false">X79*(1+Summary!$E$71)</f>
        <v>70.4383381521072</v>
      </c>
      <c r="Z79" s="404" t="n">
        <f aca="false">Y79*(1+Summary!$E$71)</f>
        <v>72.5514882966704</v>
      </c>
      <c r="AA79" s="404" t="n">
        <f aca="false">Z79*(1+Summary!$E$71)</f>
        <v>74.7280329455705</v>
      </c>
    </row>
    <row r="80" customFormat="false" ht="12.75" hidden="false" customHeight="false" outlineLevel="0" collapsed="false">
      <c r="A80" s="1337" t="s">
        <v>1048</v>
      </c>
      <c r="B80" s="85"/>
      <c r="C80" s="85"/>
      <c r="D80" s="0"/>
      <c r="E80" s="1347" t="n">
        <v>42</v>
      </c>
      <c r="F80" s="404" t="n">
        <f aca="false">E80*(1+Summary!$E$71)</f>
        <v>43.26</v>
      </c>
      <c r="G80" s="404" t="n">
        <f aca="false">F80*(1+Summary!$E$71)</f>
        <v>44.5578</v>
      </c>
      <c r="H80" s="404" t="n">
        <f aca="false">G80*(1+Summary!$E$71)</f>
        <v>45.894534</v>
      </c>
      <c r="I80" s="404" t="n">
        <f aca="false">H80*(1+Summary!$E$71)</f>
        <v>47.27137002</v>
      </c>
      <c r="J80" s="404" t="n">
        <f aca="false">I80*(1+Summary!$E$71)</f>
        <v>48.6895111206</v>
      </c>
      <c r="K80" s="404" t="n">
        <f aca="false">J80*(1+Summary!$E$71)</f>
        <v>50.150196454218</v>
      </c>
      <c r="L80" s="404" t="n">
        <f aca="false">K80*(1+Summary!$E$71)</f>
        <v>51.6547023478446</v>
      </c>
      <c r="M80" s="404" t="n">
        <f aca="false">L80*(1+Summary!$E$71)</f>
        <v>53.2043434182799</v>
      </c>
      <c r="N80" s="404" t="n">
        <f aca="false">M80*(1+Summary!$E$71)</f>
        <v>54.8004737208283</v>
      </c>
      <c r="O80" s="404" t="n">
        <f aca="false">N80*(1+Summary!$E$71)</f>
        <v>56.4444879324531</v>
      </c>
      <c r="P80" s="404" t="n">
        <f aca="false">O80*(1+Summary!$E$71)</f>
        <v>58.1378225704267</v>
      </c>
      <c r="Q80" s="404" t="n">
        <f aca="false">P80*(1+Summary!$E$71)</f>
        <v>59.8819572475395</v>
      </c>
      <c r="R80" s="404" t="n">
        <f aca="false">Q80*(1+Summary!$E$71)</f>
        <v>61.6784159649657</v>
      </c>
      <c r="S80" s="404" t="n">
        <f aca="false">R80*(1+Summary!$E$71)</f>
        <v>63.5287684439147</v>
      </c>
      <c r="T80" s="404" t="n">
        <f aca="false">S80*(1+Summary!$E$71)</f>
        <v>65.4346314972321</v>
      </c>
      <c r="U80" s="404" t="n">
        <f aca="false">T80*(1+Summary!$E$71)</f>
        <v>67.3976704421491</v>
      </c>
      <c r="V80" s="404" t="n">
        <f aca="false">U80*(1+Summary!$E$71)</f>
        <v>69.4196005554136</v>
      </c>
      <c r="W80" s="404" t="n">
        <f aca="false">V80*(1+Summary!$E$71)</f>
        <v>71.502188572076</v>
      </c>
      <c r="X80" s="404" t="n">
        <f aca="false">W80*(1+Summary!$E$71)</f>
        <v>73.6472542292383</v>
      </c>
      <c r="Y80" s="404" t="n">
        <f aca="false">X80*(1+Summary!$E$71)</f>
        <v>75.8566718561154</v>
      </c>
      <c r="Z80" s="404" t="n">
        <f aca="false">Y80*(1+Summary!$E$71)</f>
        <v>78.1323720117989</v>
      </c>
      <c r="AA80" s="404" t="n">
        <f aca="false">Z80*(1+Summary!$E$71)</f>
        <v>80.4763431721529</v>
      </c>
    </row>
    <row r="81" customFormat="false" ht="12.75" hidden="false" customHeight="false" outlineLevel="0" collapsed="false">
      <c r="A81" s="1337" t="s">
        <v>1049</v>
      </c>
      <c r="B81" s="85"/>
      <c r="C81" s="85"/>
      <c r="D81" s="0"/>
      <c r="E81" s="401" t="n">
        <v>13.2</v>
      </c>
      <c r="F81" s="404" t="n">
        <f aca="false">E81*(1+Summary!$E$71)</f>
        <v>13.596</v>
      </c>
      <c r="G81" s="404" t="n">
        <f aca="false">F81*(1+Summary!$E$71)</f>
        <v>14.00388</v>
      </c>
      <c r="H81" s="404" t="n">
        <f aca="false">G81*(1+Summary!$E$71)</f>
        <v>14.4239964</v>
      </c>
      <c r="I81" s="404" t="n">
        <f aca="false">H81*(1+Summary!$E$71)</f>
        <v>14.856716292</v>
      </c>
      <c r="J81" s="404" t="n">
        <f aca="false">I81*(1+Summary!$E$71)</f>
        <v>15.30241778076</v>
      </c>
      <c r="K81" s="404" t="n">
        <f aca="false">J81*(1+Summary!$E$71)</f>
        <v>15.7614903141828</v>
      </c>
      <c r="L81" s="404" t="n">
        <f aca="false">K81*(1+Summary!$E$71)</f>
        <v>16.2343350236083</v>
      </c>
      <c r="M81" s="404" t="n">
        <f aca="false">L81*(1+Summary!$E$71)</f>
        <v>16.7213650743165</v>
      </c>
      <c r="N81" s="404" t="n">
        <f aca="false">M81*(1+Summary!$E$71)</f>
        <v>17.223006026546</v>
      </c>
      <c r="O81" s="404" t="n">
        <f aca="false">N81*(1+Summary!$E$71)</f>
        <v>17.7396962073424</v>
      </c>
      <c r="P81" s="404" t="n">
        <f aca="false">O81*(1+Summary!$E$71)</f>
        <v>18.2718870935627</v>
      </c>
      <c r="Q81" s="404" t="n">
        <f aca="false">P81*(1+Summary!$E$71)</f>
        <v>18.8200437063696</v>
      </c>
      <c r="R81" s="404" t="n">
        <f aca="false">Q81*(1+Summary!$E$71)</f>
        <v>19.3846450175607</v>
      </c>
      <c r="S81" s="404" t="n">
        <f aca="false">R81*(1+Summary!$E$71)</f>
        <v>19.9661843680875</v>
      </c>
      <c r="T81" s="404" t="n">
        <f aca="false">S81*(1+Summary!$E$71)</f>
        <v>20.5651698991301</v>
      </c>
      <c r="U81" s="404" t="n">
        <f aca="false">T81*(1+Summary!$E$71)</f>
        <v>21.182124996104</v>
      </c>
      <c r="V81" s="404" t="n">
        <f aca="false">U81*(1+Summary!$E$71)</f>
        <v>21.8175887459871</v>
      </c>
      <c r="W81" s="404" t="n">
        <f aca="false">V81*(1+Summary!$E$71)</f>
        <v>22.4721164083667</v>
      </c>
      <c r="X81" s="404" t="n">
        <f aca="false">W81*(1+Summary!$E$71)</f>
        <v>23.1462799006178</v>
      </c>
      <c r="Y81" s="404" t="n">
        <f aca="false">X81*(1+Summary!$E$71)</f>
        <v>23.8406682976363</v>
      </c>
      <c r="Z81" s="404" t="n">
        <f aca="false">Y81*(1+Summary!$E$71)</f>
        <v>24.5558883465654</v>
      </c>
      <c r="AA81" s="404" t="n">
        <f aca="false">Z81*(1+Summary!$E$71)</f>
        <v>25.2925649969623</v>
      </c>
    </row>
    <row r="82" customFormat="false" ht="12.75" hidden="false" customHeight="false" outlineLevel="0" collapsed="false">
      <c r="A82" s="1337" t="s">
        <v>1050</v>
      </c>
      <c r="B82" s="85"/>
      <c r="C82" s="85"/>
      <c r="D82" s="0"/>
      <c r="E82" s="404" t="n">
        <v>87.7489764655587</v>
      </c>
      <c r="F82" s="404" t="n">
        <f aca="false">E82*(1+Summary!$E$71)</f>
        <v>90.3814457595254</v>
      </c>
      <c r="G82" s="404" t="n">
        <f aca="false">F82*(1+Summary!$E$71)</f>
        <v>93.0928891323112</v>
      </c>
      <c r="H82" s="404" t="n">
        <f aca="false">G82*(1+Summary!$E$71)</f>
        <v>95.8856758062805</v>
      </c>
      <c r="I82" s="404" t="n">
        <f aca="false">H82*(1+Summary!$E$71)</f>
        <v>98.7622460804689</v>
      </c>
      <c r="J82" s="404" t="n">
        <f aca="false">I82*(1+Summary!$E$71)</f>
        <v>101.725113462883</v>
      </c>
      <c r="K82" s="404" t="n">
        <f aca="false">J82*(1+Summary!$E$71)</f>
        <v>104.77686686677</v>
      </c>
      <c r="L82" s="404" t="n">
        <f aca="false">K82*(1+Summary!$E$71)</f>
        <v>107.920172872773</v>
      </c>
      <c r="M82" s="404" t="n">
        <f aca="false">L82*(1+Summary!$E$71)</f>
        <v>111.157778058956</v>
      </c>
      <c r="N82" s="404" t="n">
        <f aca="false">M82*(1+Summary!$E$71)</f>
        <v>114.492511400724</v>
      </c>
      <c r="O82" s="404" t="n">
        <f aca="false">N82*(1+Summary!$E$71)</f>
        <v>117.927286742746</v>
      </c>
      <c r="P82" s="404" t="n">
        <f aca="false">O82*(1+Summary!$E$71)</f>
        <v>121.465105345029</v>
      </c>
      <c r="Q82" s="404" t="n">
        <f aca="false">P82*(1+Summary!$E$71)</f>
        <v>125.109058505379</v>
      </c>
      <c r="R82" s="404" t="n">
        <f aca="false">Q82*(1+Summary!$E$71)</f>
        <v>128.862330260541</v>
      </c>
      <c r="S82" s="404" t="n">
        <f aca="false">R82*(1+Summary!$E$71)</f>
        <v>132.728200168357</v>
      </c>
      <c r="T82" s="404" t="n">
        <f aca="false">S82*(1+Summary!$E$71)</f>
        <v>136.710046173408</v>
      </c>
      <c r="U82" s="404" t="n">
        <f aca="false">T82*(1+Summary!$E$71)</f>
        <v>140.81134755861</v>
      </c>
      <c r="V82" s="404" t="n">
        <f aca="false">U82*(1+Summary!$E$71)</f>
        <v>145.035687985368</v>
      </c>
      <c r="W82" s="404" t="n">
        <f aca="false">V82*(1+Summary!$E$71)</f>
        <v>149.386758624929</v>
      </c>
      <c r="X82" s="404" t="n">
        <f aca="false">W82*(1+Summary!$E$71)</f>
        <v>153.868361383677</v>
      </c>
      <c r="Y82" s="404" t="n">
        <f aca="false">X82*(1+Summary!$E$71)</f>
        <v>158.484412225188</v>
      </c>
      <c r="Z82" s="404" t="n">
        <f aca="false">Y82*(1+Summary!$E$71)</f>
        <v>163.238944591943</v>
      </c>
      <c r="AA82" s="404" t="n">
        <f aca="false">Z82*(1+Summary!$E$71)</f>
        <v>168.136112929702</v>
      </c>
    </row>
    <row r="83" customFormat="false" ht="12.75" hidden="false" customHeight="false" outlineLevel="0" collapsed="false">
      <c r="A83" s="1337" t="s">
        <v>1051</v>
      </c>
      <c r="B83" s="85"/>
      <c r="C83" s="85"/>
      <c r="D83" s="0"/>
      <c r="E83" s="1348" t="n">
        <v>288</v>
      </c>
      <c r="F83" s="404" t="n">
        <f aca="false">E83*(1+Summary!$E$71)</f>
        <v>296.64</v>
      </c>
      <c r="G83" s="404" t="n">
        <f aca="false">F83*(1+Summary!$E$71)</f>
        <v>305.5392</v>
      </c>
      <c r="H83" s="404" t="n">
        <f aca="false">G83*(1+Summary!$E$71)</f>
        <v>314.705376</v>
      </c>
      <c r="I83" s="404" t="n">
        <f aca="false">H83*(1+Summary!$E$71)</f>
        <v>324.14653728</v>
      </c>
      <c r="J83" s="404" t="n">
        <f aca="false">I83*(1+Summary!$E$71)</f>
        <v>333.8709333984</v>
      </c>
      <c r="K83" s="404" t="n">
        <f aca="false">J83*(1+Summary!$E$71)</f>
        <v>343.887061400352</v>
      </c>
      <c r="L83" s="404" t="n">
        <f aca="false">K83*(1+Summary!$E$71)</f>
        <v>354.203673242363</v>
      </c>
      <c r="M83" s="404" t="n">
        <f aca="false">L83*(1+Summary!$E$71)</f>
        <v>364.829783439633</v>
      </c>
      <c r="N83" s="404" t="n">
        <f aca="false">M83*(1+Summary!$E$71)</f>
        <v>375.774676942822</v>
      </c>
      <c r="O83" s="404" t="n">
        <f aca="false">N83*(1+Summary!$E$71)</f>
        <v>387.047917251107</v>
      </c>
      <c r="P83" s="404" t="n">
        <f aca="false">O83*(1+Summary!$E$71)</f>
        <v>398.65935476864</v>
      </c>
      <c r="Q83" s="404" t="n">
        <f aca="false">P83*(1+Summary!$E$71)</f>
        <v>410.6191354117</v>
      </c>
      <c r="R83" s="404" t="n">
        <f aca="false">Q83*(1+Summary!$E$71)</f>
        <v>422.937709474051</v>
      </c>
      <c r="S83" s="404" t="n">
        <f aca="false">R83*(1+Summary!$E$71)</f>
        <v>435.625840758272</v>
      </c>
      <c r="T83" s="404" t="n">
        <f aca="false">S83*(1+Summary!$E$71)</f>
        <v>448.69461598102</v>
      </c>
      <c r="U83" s="404" t="n">
        <f aca="false">T83*(1+Summary!$E$71)</f>
        <v>462.155454460451</v>
      </c>
      <c r="V83" s="404" t="n">
        <f aca="false">U83*(1+Summary!$E$71)</f>
        <v>476.020118094264</v>
      </c>
      <c r="W83" s="404" t="n">
        <f aca="false">V83*(1+Summary!$E$71)</f>
        <v>490.300721637092</v>
      </c>
      <c r="X83" s="404" t="n">
        <f aca="false">W83*(1+Summary!$E$71)</f>
        <v>505.009743286205</v>
      </c>
      <c r="Y83" s="404" t="n">
        <f aca="false">X83*(1+Summary!$E$71)</f>
        <v>520.160035584791</v>
      </c>
      <c r="Z83" s="404" t="n">
        <f aca="false">Y83*(1+Summary!$E$71)</f>
        <v>535.764836652335</v>
      </c>
      <c r="AA83" s="404" t="n">
        <f aca="false">Z83*(1+Summary!$E$71)</f>
        <v>551.837781751905</v>
      </c>
      <c r="AB83" s="1349"/>
      <c r="AC83" s="1349"/>
      <c r="AD83" s="1349"/>
      <c r="AE83" s="1349"/>
      <c r="AF83" s="1349"/>
      <c r="AG83" s="1349"/>
      <c r="AH83" s="1349"/>
      <c r="AI83" s="1349"/>
      <c r="AJ83" s="1349"/>
      <c r="AK83" s="1349"/>
      <c r="AL83" s="1349"/>
      <c r="AM83" s="1349"/>
      <c r="AN83" s="1349"/>
      <c r="AO83" s="1349"/>
      <c r="AP83" s="1349"/>
      <c r="AQ83" s="1349"/>
      <c r="AR83" s="1349"/>
      <c r="AS83" s="1349"/>
      <c r="AT83" s="1349"/>
      <c r="AU83" s="1349"/>
      <c r="AV83" s="1349"/>
      <c r="AW83" s="1349"/>
      <c r="AX83" s="1349"/>
      <c r="AY83" s="1349"/>
      <c r="AZ83" s="1349"/>
      <c r="BA83" s="1349"/>
      <c r="BB83" s="1349"/>
      <c r="BC83" s="1349"/>
      <c r="BD83" s="1349"/>
      <c r="BE83" s="1349"/>
      <c r="BF83" s="1349"/>
      <c r="BG83" s="1349"/>
      <c r="BH83" s="1349"/>
      <c r="BI83" s="1349"/>
      <c r="BJ83" s="1349"/>
      <c r="BK83" s="1349"/>
      <c r="BL83" s="1349"/>
      <c r="BM83" s="1349"/>
      <c r="BN83" s="1349"/>
      <c r="BO83" s="1349"/>
      <c r="BP83" s="1349"/>
      <c r="BQ83" s="1349"/>
      <c r="BR83" s="1349"/>
      <c r="BS83" s="1349"/>
      <c r="BT83" s="1349"/>
      <c r="BU83" s="1349"/>
      <c r="BV83" s="1349"/>
      <c r="BW83" s="1349"/>
      <c r="BX83" s="1349"/>
      <c r="BY83" s="1349"/>
      <c r="BZ83" s="1349"/>
      <c r="CA83" s="1349"/>
      <c r="CB83" s="1349"/>
      <c r="CC83" s="1349"/>
      <c r="CD83" s="1349"/>
      <c r="CE83" s="1349"/>
      <c r="CF83" s="1349"/>
      <c r="CG83" s="1349"/>
      <c r="CH83" s="1349"/>
      <c r="CI83" s="1349"/>
      <c r="CJ83" s="1349"/>
      <c r="CK83" s="1349"/>
      <c r="CL83" s="1349"/>
      <c r="CM83" s="1349"/>
      <c r="CN83" s="1349"/>
      <c r="CO83" s="1349"/>
      <c r="CP83" s="1349"/>
      <c r="CQ83" s="1349"/>
      <c r="CR83" s="1349"/>
      <c r="CS83" s="1349"/>
      <c r="CT83" s="1349"/>
      <c r="CU83" s="1349"/>
      <c r="CV83" s="1349"/>
      <c r="CW83" s="1349"/>
      <c r="CX83" s="1349"/>
      <c r="CY83" s="1349"/>
      <c r="CZ83" s="1349"/>
      <c r="DA83" s="1349"/>
      <c r="DB83" s="1349"/>
      <c r="DC83" s="1349"/>
      <c r="DD83" s="1349"/>
      <c r="DE83" s="1349"/>
      <c r="DF83" s="1349"/>
      <c r="DG83" s="1349"/>
      <c r="DH83" s="1349"/>
      <c r="DI83" s="1349"/>
      <c r="DJ83" s="1349"/>
      <c r="DK83" s="1349"/>
      <c r="DL83" s="1349"/>
      <c r="DM83" s="1349"/>
      <c r="DN83" s="1349"/>
      <c r="DO83" s="1349"/>
      <c r="DP83" s="1349"/>
      <c r="DQ83" s="1349"/>
      <c r="DR83" s="1349"/>
      <c r="DS83" s="1349"/>
      <c r="DT83" s="1349"/>
      <c r="DU83" s="1349"/>
      <c r="DV83" s="1349"/>
      <c r="DW83" s="1349"/>
      <c r="DX83" s="1349"/>
      <c r="DY83" s="1349"/>
      <c r="DZ83" s="1349"/>
      <c r="EA83" s="1349"/>
      <c r="EB83" s="1349"/>
      <c r="EC83" s="1349"/>
      <c r="ED83" s="1349"/>
      <c r="EE83" s="1349"/>
      <c r="EF83" s="1349"/>
      <c r="EG83" s="1349"/>
      <c r="EH83" s="1349"/>
      <c r="EI83" s="1349"/>
      <c r="EJ83" s="1349"/>
      <c r="EK83" s="1349"/>
      <c r="EL83" s="1349"/>
      <c r="EM83" s="1349"/>
      <c r="EN83" s="1349"/>
      <c r="EO83" s="1349"/>
      <c r="EP83" s="1349"/>
      <c r="EQ83" s="1349"/>
      <c r="ER83" s="1349"/>
      <c r="ES83" s="1349"/>
      <c r="ET83" s="1349"/>
      <c r="EU83" s="1349"/>
      <c r="EV83" s="1349"/>
      <c r="EW83" s="1349"/>
      <c r="EX83" s="1349"/>
      <c r="EY83" s="1349"/>
      <c r="EZ83" s="1349"/>
      <c r="FA83" s="1349"/>
      <c r="FB83" s="1349"/>
      <c r="FC83" s="1349"/>
      <c r="FD83" s="1349"/>
      <c r="FE83" s="1349"/>
      <c r="FF83" s="1349"/>
      <c r="FG83" s="1349"/>
      <c r="FH83" s="1349"/>
      <c r="FI83" s="1349"/>
      <c r="FJ83" s="1349"/>
      <c r="FK83" s="1349"/>
      <c r="FL83" s="1349"/>
      <c r="FM83" s="1349"/>
      <c r="FN83" s="1349"/>
      <c r="FO83" s="1349"/>
      <c r="FP83" s="1349"/>
      <c r="FQ83" s="1349"/>
      <c r="FR83" s="1349"/>
      <c r="FS83" s="1349"/>
      <c r="FT83" s="1349"/>
      <c r="FU83" s="1349"/>
      <c r="FV83" s="1349"/>
      <c r="FW83" s="1349"/>
      <c r="FX83" s="1349"/>
      <c r="FY83" s="1349"/>
      <c r="FZ83" s="1349"/>
      <c r="GA83" s="1349"/>
      <c r="GB83" s="1349"/>
      <c r="GC83" s="1349"/>
      <c r="GD83" s="1349"/>
      <c r="GE83" s="1349"/>
      <c r="GF83" s="1349"/>
      <c r="GG83" s="1349"/>
      <c r="GH83" s="1349"/>
      <c r="GI83" s="1349"/>
      <c r="GJ83" s="1349"/>
      <c r="GK83" s="1349"/>
      <c r="GL83" s="1349"/>
      <c r="GM83" s="1349"/>
      <c r="GN83" s="1349"/>
      <c r="GO83" s="1349"/>
      <c r="GP83" s="1349"/>
      <c r="GQ83" s="1349"/>
      <c r="GR83" s="1349"/>
      <c r="GS83" s="1349"/>
      <c r="GT83" s="1349"/>
      <c r="GU83" s="1349"/>
      <c r="GV83" s="1349"/>
      <c r="GW83" s="1349"/>
      <c r="GX83" s="1349"/>
      <c r="GY83" s="1349"/>
      <c r="GZ83" s="1349"/>
      <c r="HA83" s="1349"/>
      <c r="HB83" s="1349"/>
      <c r="HC83" s="1349"/>
      <c r="HD83" s="1349"/>
      <c r="HE83" s="1349"/>
      <c r="HF83" s="1349"/>
      <c r="HG83" s="1349"/>
      <c r="HH83" s="1349"/>
      <c r="HI83" s="1349"/>
      <c r="HJ83" s="1349"/>
      <c r="HK83" s="1349"/>
      <c r="HL83" s="1349"/>
      <c r="HM83" s="1349"/>
      <c r="HN83" s="1349"/>
      <c r="HO83" s="1349"/>
      <c r="HP83" s="1349"/>
      <c r="HQ83" s="1349"/>
      <c r="HR83" s="1349"/>
      <c r="HS83" s="1349"/>
      <c r="HT83" s="1349"/>
      <c r="HU83" s="1349"/>
      <c r="HV83" s="1349"/>
      <c r="HW83" s="1349"/>
      <c r="HX83" s="1349"/>
      <c r="HY83" s="1349"/>
      <c r="HZ83" s="1349"/>
      <c r="IA83" s="1349"/>
      <c r="IB83" s="1349"/>
      <c r="IC83" s="1349"/>
      <c r="ID83" s="1349"/>
      <c r="IE83" s="1349"/>
      <c r="IF83" s="1349"/>
      <c r="IG83" s="1349"/>
      <c r="IH83" s="1349"/>
      <c r="II83" s="1349"/>
      <c r="IJ83" s="1349"/>
      <c r="IK83" s="1349"/>
      <c r="IL83" s="1349"/>
      <c r="IM83" s="1349"/>
      <c r="IN83" s="1349"/>
      <c r="IO83" s="1349"/>
      <c r="IP83" s="1349"/>
      <c r="IQ83" s="1349"/>
      <c r="IR83" s="1349"/>
      <c r="IS83" s="1349"/>
      <c r="IT83" s="1349"/>
      <c r="IU83" s="1349"/>
      <c r="IV83" s="1349"/>
      <c r="IW83" s="1349"/>
    </row>
    <row r="84" customFormat="false" ht="15" hidden="false" customHeight="false" outlineLevel="0" collapsed="false">
      <c r="A84" s="1337" t="s">
        <v>1052</v>
      </c>
      <c r="B84" s="85"/>
      <c r="C84" s="85"/>
      <c r="D84" s="0"/>
      <c r="E84" s="1350"/>
      <c r="F84" s="404" t="n">
        <f aca="false">E84*(1+Summary!$E$71)</f>
        <v>0</v>
      </c>
      <c r="G84" s="404" t="n">
        <f aca="false">F84*(1+Summary!$E$71)</f>
        <v>0</v>
      </c>
      <c r="H84" s="404" t="n">
        <f aca="false">G84*(1+Summary!$E$71)</f>
        <v>0</v>
      </c>
      <c r="I84" s="404" t="n">
        <f aca="false">H84*(1+Summary!$E$71)</f>
        <v>0</v>
      </c>
      <c r="J84" s="404" t="n">
        <f aca="false">I84*(1+Summary!$E$71)</f>
        <v>0</v>
      </c>
      <c r="K84" s="404" t="n">
        <f aca="false">J84*(1+Summary!$E$71)</f>
        <v>0</v>
      </c>
      <c r="L84" s="404" t="n">
        <f aca="false">K84*(1+Summary!$E$71)</f>
        <v>0</v>
      </c>
      <c r="M84" s="404" t="n">
        <f aca="false">L84*(1+Summary!$E$71)</f>
        <v>0</v>
      </c>
      <c r="N84" s="404" t="n">
        <f aca="false">M84*(1+Summary!$E$71)</f>
        <v>0</v>
      </c>
      <c r="O84" s="404" t="n">
        <f aca="false">N84*(1+Summary!$E$71)</f>
        <v>0</v>
      </c>
      <c r="P84" s="404" t="n">
        <f aca="false">O84*(1+Summary!$E$71)</f>
        <v>0</v>
      </c>
      <c r="Q84" s="404" t="n">
        <f aca="false">P84*(1+Summary!$E$71)</f>
        <v>0</v>
      </c>
      <c r="R84" s="404" t="n">
        <f aca="false">Q84*(1+Summary!$E$71)</f>
        <v>0</v>
      </c>
      <c r="S84" s="404" t="n">
        <f aca="false">R84*(1+Summary!$E$71)</f>
        <v>0</v>
      </c>
      <c r="T84" s="404" t="n">
        <f aca="false">S84*(1+Summary!$E$71)</f>
        <v>0</v>
      </c>
      <c r="U84" s="404" t="n">
        <f aca="false">T84*(1+Summary!$E$71)</f>
        <v>0</v>
      </c>
      <c r="V84" s="404" t="n">
        <f aca="false">U84*(1+Summary!$E$71)</f>
        <v>0</v>
      </c>
      <c r="W84" s="404" t="n">
        <f aca="false">V84*(1+Summary!$E$71)</f>
        <v>0</v>
      </c>
      <c r="X84" s="404" t="n">
        <f aca="false">W84*(1+Summary!$E$71)</f>
        <v>0</v>
      </c>
      <c r="Y84" s="404" t="n">
        <f aca="false">X84*(1+Summary!$E$71)</f>
        <v>0</v>
      </c>
      <c r="Z84" s="404" t="n">
        <f aca="false">Y84*(1+Summary!$E$71)</f>
        <v>0</v>
      </c>
      <c r="AA84" s="404" t="n">
        <f aca="false">Z84*(1+Summary!$E$71)</f>
        <v>0</v>
      </c>
    </row>
    <row r="85" customFormat="false" ht="12.75" hidden="false" customHeight="false" outlineLevel="0" collapsed="false">
      <c r="A85" s="1351" t="s">
        <v>1053</v>
      </c>
      <c r="B85" s="85"/>
      <c r="C85" s="85"/>
      <c r="D85" s="0"/>
      <c r="E85" s="401" t="n">
        <v>25.5084233911508</v>
      </c>
      <c r="F85" s="404" t="n">
        <f aca="false">E85*(1+Summary!$E$71)</f>
        <v>26.2736760928853</v>
      </c>
      <c r="G85" s="404" t="n">
        <f aca="false">F85*(1+Summary!$E$71)</f>
        <v>27.0618863756718</v>
      </c>
      <c r="H85" s="404" t="n">
        <f aca="false">G85*(1+Summary!$E$71)</f>
        <v>27.873742966942</v>
      </c>
      <c r="I85" s="404" t="n">
        <f aca="false">H85*(1+Summary!$E$71)</f>
        <v>28.7099552559503</v>
      </c>
      <c r="J85" s="404" t="n">
        <f aca="false">I85*(1+Summary!$E$71)</f>
        <v>29.5712539136288</v>
      </c>
      <c r="K85" s="404" t="n">
        <f aca="false">J85*(1+Summary!$E$71)</f>
        <v>30.4583915310376</v>
      </c>
      <c r="L85" s="404" t="n">
        <f aca="false">K85*(1+Summary!$E$71)</f>
        <v>31.3721432769688</v>
      </c>
      <c r="M85" s="404" t="n">
        <f aca="false">L85*(1+Summary!$E$71)</f>
        <v>32.3133075752778</v>
      </c>
      <c r="N85" s="404" t="n">
        <f aca="false">M85*(1+Summary!$E$71)</f>
        <v>33.2827068025362</v>
      </c>
      <c r="O85" s="404" t="n">
        <f aca="false">N85*(1+Summary!$E$71)</f>
        <v>34.2811880066123</v>
      </c>
      <c r="P85" s="404" t="n">
        <f aca="false">O85*(1+Summary!$E$71)</f>
        <v>35.3096236468106</v>
      </c>
      <c r="Q85" s="404" t="n">
        <f aca="false">P85*(1+Summary!$E$71)</f>
        <v>36.3689123562149</v>
      </c>
      <c r="R85" s="404" t="n">
        <f aca="false">Q85*(1+Summary!$E$71)</f>
        <v>37.4599797269014</v>
      </c>
      <c r="S85" s="404" t="n">
        <f aca="false">R85*(1+Summary!$E$71)</f>
        <v>38.5837791187084</v>
      </c>
      <c r="T85" s="404" t="n">
        <f aca="false">S85*(1+Summary!$E$71)</f>
        <v>39.7412924922697</v>
      </c>
      <c r="U85" s="404" t="n">
        <f aca="false">T85*(1+Summary!$E$71)</f>
        <v>40.9335312670378</v>
      </c>
      <c r="V85" s="404" t="n">
        <f aca="false">U85*(1+Summary!$E$71)</f>
        <v>42.1615372050489</v>
      </c>
      <c r="W85" s="404" t="n">
        <f aca="false">V85*(1+Summary!$E$71)</f>
        <v>43.4263833212004</v>
      </c>
      <c r="X85" s="404" t="n">
        <f aca="false">W85*(1+Summary!$E$71)</f>
        <v>44.7291748208364</v>
      </c>
      <c r="Y85" s="404" t="n">
        <f aca="false">X85*(1+Summary!$E$71)</f>
        <v>46.0710500654615</v>
      </c>
      <c r="Z85" s="404" t="n">
        <f aca="false">Y85*(1+Summary!$E$71)</f>
        <v>47.4531815674253</v>
      </c>
      <c r="AA85" s="404" t="n">
        <f aca="false">Z85*(1+Summary!$E$71)</f>
        <v>48.8767770144481</v>
      </c>
    </row>
    <row r="86" customFormat="false" ht="12.75" hidden="false" customHeight="false" outlineLevel="0" collapsed="false">
      <c r="A86" s="1351" t="s">
        <v>1054</v>
      </c>
      <c r="B86" s="85"/>
      <c r="C86" s="85"/>
      <c r="D86" s="0"/>
      <c r="E86" s="401" t="n">
        <v>10.2033693564603</v>
      </c>
      <c r="F86" s="404" t="n">
        <f aca="false">E86*(1+Summary!$E$71)</f>
        <v>10.5094704371541</v>
      </c>
      <c r="G86" s="404" t="n">
        <f aca="false">F86*(1+Summary!$E$71)</f>
        <v>10.8247545502687</v>
      </c>
      <c r="H86" s="404" t="n">
        <f aca="false">G86*(1+Summary!$E$71)</f>
        <v>11.1494971867768</v>
      </c>
      <c r="I86" s="404" t="n">
        <f aca="false">H86*(1+Summary!$E$71)</f>
        <v>11.4839821023801</v>
      </c>
      <c r="J86" s="404" t="n">
        <f aca="false">I86*(1+Summary!$E$71)</f>
        <v>11.8285015654515</v>
      </c>
      <c r="K86" s="404" t="n">
        <f aca="false">J86*(1+Summary!$E$71)</f>
        <v>12.1833566124151</v>
      </c>
      <c r="L86" s="404" t="n">
        <f aca="false">K86*(1+Summary!$E$71)</f>
        <v>12.5488573107875</v>
      </c>
      <c r="M86" s="404" t="n">
        <f aca="false">L86*(1+Summary!$E$71)</f>
        <v>12.9253230301111</v>
      </c>
      <c r="N86" s="404" t="n">
        <f aca="false">M86*(1+Summary!$E$71)</f>
        <v>13.3130827210145</v>
      </c>
      <c r="O86" s="404" t="n">
        <f aca="false">N86*(1+Summary!$E$71)</f>
        <v>13.7124752026449</v>
      </c>
      <c r="P86" s="404" t="n">
        <f aca="false">O86*(1+Summary!$E$71)</f>
        <v>14.1238494587242</v>
      </c>
      <c r="Q86" s="404" t="n">
        <f aca="false">P86*(1+Summary!$E$71)</f>
        <v>14.547564942486</v>
      </c>
      <c r="R86" s="404" t="n">
        <f aca="false">Q86*(1+Summary!$E$71)</f>
        <v>14.9839918907606</v>
      </c>
      <c r="S86" s="404" t="n">
        <f aca="false">R86*(1+Summary!$E$71)</f>
        <v>15.4335116474834</v>
      </c>
      <c r="T86" s="404" t="n">
        <f aca="false">S86*(1+Summary!$E$71)</f>
        <v>15.8965169969079</v>
      </c>
      <c r="U86" s="404" t="n">
        <f aca="false">T86*(1+Summary!$E$71)</f>
        <v>16.3734125068151</v>
      </c>
      <c r="V86" s="404" t="n">
        <f aca="false">U86*(1+Summary!$E$71)</f>
        <v>16.8646148820196</v>
      </c>
      <c r="W86" s="404" t="n">
        <f aca="false">V86*(1+Summary!$E$71)</f>
        <v>17.3705533284802</v>
      </c>
      <c r="X86" s="404" t="n">
        <f aca="false">W86*(1+Summary!$E$71)</f>
        <v>17.8916699283346</v>
      </c>
      <c r="Y86" s="404" t="n">
        <f aca="false">X86*(1+Summary!$E$71)</f>
        <v>18.4284200261846</v>
      </c>
      <c r="Z86" s="404" t="n">
        <f aca="false">Y86*(1+Summary!$E$71)</f>
        <v>18.9812726269701</v>
      </c>
      <c r="AA86" s="404" t="n">
        <f aca="false">Z86*(1+Summary!$E$71)</f>
        <v>19.5507108057792</v>
      </c>
    </row>
    <row r="87" customFormat="false" ht="12.75" hidden="false" customHeight="false" outlineLevel="0" collapsed="false">
      <c r="A87" s="1351" t="s">
        <v>1055</v>
      </c>
      <c r="B87" s="85"/>
      <c r="C87" s="85"/>
      <c r="D87" s="0"/>
      <c r="E87" s="401" t="n">
        <v>10.2033693564603</v>
      </c>
      <c r="F87" s="404" t="n">
        <f aca="false">E87*(1+Summary!$E$71)</f>
        <v>10.5094704371541</v>
      </c>
      <c r="G87" s="404" t="n">
        <f aca="false">F87*(1+Summary!$E$71)</f>
        <v>10.8247545502687</v>
      </c>
      <c r="H87" s="404" t="n">
        <f aca="false">G87*(1+Summary!$E$71)</f>
        <v>11.1494971867768</v>
      </c>
      <c r="I87" s="404" t="n">
        <f aca="false">H87*(1+Summary!$E$71)</f>
        <v>11.4839821023801</v>
      </c>
      <c r="J87" s="404" t="n">
        <f aca="false">I87*(1+Summary!$E$71)</f>
        <v>11.8285015654515</v>
      </c>
      <c r="K87" s="404" t="n">
        <f aca="false">J87*(1+Summary!$E$71)</f>
        <v>12.1833566124151</v>
      </c>
      <c r="L87" s="404" t="n">
        <f aca="false">K87*(1+Summary!$E$71)</f>
        <v>12.5488573107875</v>
      </c>
      <c r="M87" s="404" t="n">
        <f aca="false">L87*(1+Summary!$E$71)</f>
        <v>12.9253230301111</v>
      </c>
      <c r="N87" s="404" t="n">
        <f aca="false">M87*(1+Summary!$E$71)</f>
        <v>13.3130827210145</v>
      </c>
      <c r="O87" s="404" t="n">
        <f aca="false">N87*(1+Summary!$E$71)</f>
        <v>13.7124752026449</v>
      </c>
      <c r="P87" s="404" t="n">
        <f aca="false">O87*(1+Summary!$E$71)</f>
        <v>14.1238494587242</v>
      </c>
      <c r="Q87" s="404" t="n">
        <f aca="false">P87*(1+Summary!$E$71)</f>
        <v>14.547564942486</v>
      </c>
      <c r="R87" s="404" t="n">
        <f aca="false">Q87*(1+Summary!$E$71)</f>
        <v>14.9839918907606</v>
      </c>
      <c r="S87" s="404" t="n">
        <f aca="false">R87*(1+Summary!$E$71)</f>
        <v>15.4335116474834</v>
      </c>
      <c r="T87" s="404" t="n">
        <f aca="false">S87*(1+Summary!$E$71)</f>
        <v>15.8965169969079</v>
      </c>
      <c r="U87" s="404" t="n">
        <f aca="false">T87*(1+Summary!$E$71)</f>
        <v>16.3734125068151</v>
      </c>
      <c r="V87" s="404" t="n">
        <f aca="false">U87*(1+Summary!$E$71)</f>
        <v>16.8646148820196</v>
      </c>
      <c r="W87" s="404" t="n">
        <f aca="false">V87*(1+Summary!$E$71)</f>
        <v>17.3705533284802</v>
      </c>
      <c r="X87" s="404" t="n">
        <f aca="false">W87*(1+Summary!$E$71)</f>
        <v>17.8916699283346</v>
      </c>
      <c r="Y87" s="404" t="n">
        <f aca="false">X87*(1+Summary!$E$71)</f>
        <v>18.4284200261846</v>
      </c>
      <c r="Z87" s="404" t="n">
        <f aca="false">Y87*(1+Summary!$E$71)</f>
        <v>18.9812726269701</v>
      </c>
      <c r="AA87" s="404" t="n">
        <f aca="false">Z87*(1+Summary!$E$71)</f>
        <v>19.5507108057792</v>
      </c>
    </row>
    <row r="88" customFormat="false" ht="12.75" hidden="false" customHeight="false" outlineLevel="0" collapsed="false">
      <c r="A88" s="1351" t="s">
        <v>1056</v>
      </c>
      <c r="B88" s="85"/>
      <c r="C88" s="85"/>
      <c r="D88" s="0"/>
      <c r="E88" s="401" t="n">
        <v>10.2033693564603</v>
      </c>
      <c r="F88" s="404" t="n">
        <f aca="false">E88*(1+Summary!$E$71)</f>
        <v>10.5094704371541</v>
      </c>
      <c r="G88" s="404" t="n">
        <f aca="false">F88*(1+Summary!$E$71)</f>
        <v>10.8247545502687</v>
      </c>
      <c r="H88" s="404" t="n">
        <f aca="false">G88*(1+Summary!$E$71)</f>
        <v>11.1494971867768</v>
      </c>
      <c r="I88" s="404" t="n">
        <f aca="false">H88*(1+Summary!$E$71)</f>
        <v>11.4839821023801</v>
      </c>
      <c r="J88" s="404" t="n">
        <f aca="false">I88*(1+Summary!$E$71)</f>
        <v>11.8285015654515</v>
      </c>
      <c r="K88" s="404" t="n">
        <f aca="false">J88*(1+Summary!$E$71)</f>
        <v>12.1833566124151</v>
      </c>
      <c r="L88" s="404" t="n">
        <f aca="false">K88*(1+Summary!$E$71)</f>
        <v>12.5488573107875</v>
      </c>
      <c r="M88" s="404" t="n">
        <f aca="false">L88*(1+Summary!$E$71)</f>
        <v>12.9253230301111</v>
      </c>
      <c r="N88" s="404" t="n">
        <f aca="false">M88*(1+Summary!$E$71)</f>
        <v>13.3130827210145</v>
      </c>
      <c r="O88" s="404" t="n">
        <f aca="false">N88*(1+Summary!$E$71)</f>
        <v>13.7124752026449</v>
      </c>
      <c r="P88" s="404" t="n">
        <f aca="false">O88*(1+Summary!$E$71)</f>
        <v>14.1238494587242</v>
      </c>
      <c r="Q88" s="404" t="n">
        <f aca="false">P88*(1+Summary!$E$71)</f>
        <v>14.547564942486</v>
      </c>
      <c r="R88" s="404" t="n">
        <f aca="false">Q88*(1+Summary!$E$71)</f>
        <v>14.9839918907606</v>
      </c>
      <c r="S88" s="404" t="n">
        <f aca="false">R88*(1+Summary!$E$71)</f>
        <v>15.4335116474834</v>
      </c>
      <c r="T88" s="404" t="n">
        <f aca="false">S88*(1+Summary!$E$71)</f>
        <v>15.8965169969079</v>
      </c>
      <c r="U88" s="404" t="n">
        <f aca="false">T88*(1+Summary!$E$71)</f>
        <v>16.3734125068151</v>
      </c>
      <c r="V88" s="404" t="n">
        <f aca="false">U88*(1+Summary!$E$71)</f>
        <v>16.8646148820196</v>
      </c>
      <c r="W88" s="404" t="n">
        <f aca="false">V88*(1+Summary!$E$71)</f>
        <v>17.3705533284802</v>
      </c>
      <c r="X88" s="404" t="n">
        <f aca="false">W88*(1+Summary!$E$71)</f>
        <v>17.8916699283346</v>
      </c>
      <c r="Y88" s="404" t="n">
        <f aca="false">X88*(1+Summary!$E$71)</f>
        <v>18.4284200261846</v>
      </c>
      <c r="Z88" s="404" t="n">
        <f aca="false">Y88*(1+Summary!$E$71)</f>
        <v>18.9812726269701</v>
      </c>
      <c r="AA88" s="404" t="n">
        <f aca="false">Z88*(1+Summary!$E$71)</f>
        <v>19.5507108057792</v>
      </c>
    </row>
    <row r="89" customFormat="false" ht="12.75" hidden="false" customHeight="false" outlineLevel="0" collapsed="false">
      <c r="A89" s="1351" t="s">
        <v>1057</v>
      </c>
      <c r="B89" s="85"/>
      <c r="C89" s="85"/>
      <c r="D89" s="0"/>
      <c r="E89" s="401" t="n">
        <v>5.10168467823015</v>
      </c>
      <c r="F89" s="404" t="n">
        <f aca="false">E89*(1+Summary!$E$71)</f>
        <v>5.25473521857706</v>
      </c>
      <c r="G89" s="404" t="n">
        <f aca="false">F89*(1+Summary!$E$71)</f>
        <v>5.41237727513437</v>
      </c>
      <c r="H89" s="404" t="n">
        <f aca="false">G89*(1+Summary!$E$71)</f>
        <v>5.5747485933884</v>
      </c>
      <c r="I89" s="404" t="n">
        <f aca="false">H89*(1+Summary!$E$71)</f>
        <v>5.74199105119005</v>
      </c>
      <c r="J89" s="404" t="n">
        <f aca="false">I89*(1+Summary!$E$71)</f>
        <v>5.91425078272575</v>
      </c>
      <c r="K89" s="404" t="n">
        <f aca="false">J89*(1+Summary!$E$71)</f>
        <v>6.09167830620753</v>
      </c>
      <c r="L89" s="404" t="n">
        <f aca="false">K89*(1+Summary!$E$71)</f>
        <v>6.27442865539375</v>
      </c>
      <c r="M89" s="404" t="n">
        <f aca="false">L89*(1+Summary!$E$71)</f>
        <v>6.46266151505557</v>
      </c>
      <c r="N89" s="404" t="n">
        <f aca="false">M89*(1+Summary!$E$71)</f>
        <v>6.65654136050723</v>
      </c>
      <c r="O89" s="404" t="n">
        <f aca="false">N89*(1+Summary!$E$71)</f>
        <v>6.85623760132245</v>
      </c>
      <c r="P89" s="404" t="n">
        <f aca="false">O89*(1+Summary!$E$71)</f>
        <v>7.06192472936212</v>
      </c>
      <c r="Q89" s="404" t="n">
        <f aca="false">P89*(1+Summary!$E$71)</f>
        <v>7.27378247124299</v>
      </c>
      <c r="R89" s="404" t="n">
        <f aca="false">Q89*(1+Summary!$E$71)</f>
        <v>7.49199594538028</v>
      </c>
      <c r="S89" s="404" t="n">
        <f aca="false">R89*(1+Summary!$E$71)</f>
        <v>7.71675582374169</v>
      </c>
      <c r="T89" s="404" t="n">
        <f aca="false">S89*(1+Summary!$E$71)</f>
        <v>7.94825849845394</v>
      </c>
      <c r="U89" s="404" t="n">
        <f aca="false">T89*(1+Summary!$E$71)</f>
        <v>8.18670625340755</v>
      </c>
      <c r="V89" s="404" t="n">
        <f aca="false">U89*(1+Summary!$E$71)</f>
        <v>8.43230744100978</v>
      </c>
      <c r="W89" s="404" t="n">
        <f aca="false">V89*(1+Summary!$E$71)</f>
        <v>8.68527666424007</v>
      </c>
      <c r="X89" s="404" t="n">
        <f aca="false">W89*(1+Summary!$E$71)</f>
        <v>8.94583496416728</v>
      </c>
      <c r="Y89" s="404" t="n">
        <f aca="false">X89*(1+Summary!$E$71)</f>
        <v>9.2142100130923</v>
      </c>
      <c r="Z89" s="404" t="n">
        <f aca="false">Y89*(1+Summary!$E$71)</f>
        <v>9.49063631348507</v>
      </c>
      <c r="AA89" s="404" t="n">
        <f aca="false">Z89*(1+Summary!$E$71)</f>
        <v>9.77535540288962</v>
      </c>
    </row>
    <row r="90" customFormat="false" ht="12.75" hidden="false" customHeight="false" outlineLevel="0" collapsed="false">
      <c r="A90" s="1351" t="s">
        <v>1058</v>
      </c>
      <c r="B90" s="85"/>
      <c r="C90" s="85"/>
      <c r="D90" s="0"/>
      <c r="E90" s="401" t="n">
        <v>5.10168467823015</v>
      </c>
      <c r="F90" s="404" t="n">
        <f aca="false">E90*(1+Summary!$E$71)</f>
        <v>5.25473521857706</v>
      </c>
      <c r="G90" s="404" t="n">
        <f aca="false">F90*(1+Summary!$E$71)</f>
        <v>5.41237727513437</v>
      </c>
      <c r="H90" s="404" t="n">
        <f aca="false">G90*(1+Summary!$E$71)</f>
        <v>5.5747485933884</v>
      </c>
      <c r="I90" s="404" t="n">
        <f aca="false">H90*(1+Summary!$E$71)</f>
        <v>5.74199105119005</v>
      </c>
      <c r="J90" s="404" t="n">
        <f aca="false">I90*(1+Summary!$E$71)</f>
        <v>5.91425078272575</v>
      </c>
      <c r="K90" s="404" t="n">
        <f aca="false">J90*(1+Summary!$E$71)</f>
        <v>6.09167830620753</v>
      </c>
      <c r="L90" s="404" t="n">
        <f aca="false">K90*(1+Summary!$E$71)</f>
        <v>6.27442865539375</v>
      </c>
      <c r="M90" s="404" t="n">
        <f aca="false">L90*(1+Summary!$E$71)</f>
        <v>6.46266151505557</v>
      </c>
      <c r="N90" s="404" t="n">
        <f aca="false">M90*(1+Summary!$E$71)</f>
        <v>6.65654136050723</v>
      </c>
      <c r="O90" s="404" t="n">
        <f aca="false">N90*(1+Summary!$E$71)</f>
        <v>6.85623760132245</v>
      </c>
      <c r="P90" s="404" t="n">
        <f aca="false">O90*(1+Summary!$E$71)</f>
        <v>7.06192472936212</v>
      </c>
      <c r="Q90" s="404" t="n">
        <f aca="false">P90*(1+Summary!$E$71)</f>
        <v>7.27378247124299</v>
      </c>
      <c r="R90" s="404" t="n">
        <f aca="false">Q90*(1+Summary!$E$71)</f>
        <v>7.49199594538028</v>
      </c>
      <c r="S90" s="404" t="n">
        <f aca="false">R90*(1+Summary!$E$71)</f>
        <v>7.71675582374169</v>
      </c>
      <c r="T90" s="404" t="n">
        <f aca="false">S90*(1+Summary!$E$71)</f>
        <v>7.94825849845394</v>
      </c>
      <c r="U90" s="404" t="n">
        <f aca="false">T90*(1+Summary!$E$71)</f>
        <v>8.18670625340755</v>
      </c>
      <c r="V90" s="404" t="n">
        <f aca="false">U90*(1+Summary!$E$71)</f>
        <v>8.43230744100978</v>
      </c>
      <c r="W90" s="404" t="n">
        <f aca="false">V90*(1+Summary!$E$71)</f>
        <v>8.68527666424007</v>
      </c>
      <c r="X90" s="404" t="n">
        <f aca="false">W90*(1+Summary!$E$71)</f>
        <v>8.94583496416728</v>
      </c>
      <c r="Y90" s="404" t="n">
        <f aca="false">X90*(1+Summary!$E$71)</f>
        <v>9.2142100130923</v>
      </c>
      <c r="Z90" s="404" t="n">
        <f aca="false">Y90*(1+Summary!$E$71)</f>
        <v>9.49063631348507</v>
      </c>
      <c r="AA90" s="404" t="n">
        <f aca="false">Z90*(1+Summary!$E$71)</f>
        <v>9.77535540288962</v>
      </c>
    </row>
    <row r="91" customFormat="false" ht="12.75" hidden="false" customHeight="false" outlineLevel="0" collapsed="false">
      <c r="A91" s="1351" t="s">
        <v>1059</v>
      </c>
      <c r="B91" s="85"/>
      <c r="C91" s="85"/>
      <c r="D91" s="0"/>
      <c r="E91" s="401" t="n">
        <v>5.10168467823015</v>
      </c>
      <c r="F91" s="404" t="n">
        <f aca="false">E91*(1+Summary!$E$71)</f>
        <v>5.25473521857706</v>
      </c>
      <c r="G91" s="404" t="n">
        <f aca="false">F91*(1+Summary!$E$71)</f>
        <v>5.41237727513437</v>
      </c>
      <c r="H91" s="404" t="n">
        <f aca="false">G91*(1+Summary!$E$71)</f>
        <v>5.5747485933884</v>
      </c>
      <c r="I91" s="404" t="n">
        <f aca="false">H91*(1+Summary!$E$71)</f>
        <v>5.74199105119005</v>
      </c>
      <c r="J91" s="404" t="n">
        <f aca="false">I91*(1+Summary!$E$71)</f>
        <v>5.91425078272575</v>
      </c>
      <c r="K91" s="404" t="n">
        <f aca="false">J91*(1+Summary!$E$71)</f>
        <v>6.09167830620753</v>
      </c>
      <c r="L91" s="404" t="n">
        <f aca="false">K91*(1+Summary!$E$71)</f>
        <v>6.27442865539375</v>
      </c>
      <c r="M91" s="404" t="n">
        <f aca="false">L91*(1+Summary!$E$71)</f>
        <v>6.46266151505557</v>
      </c>
      <c r="N91" s="404" t="n">
        <f aca="false">M91*(1+Summary!$E$71)</f>
        <v>6.65654136050723</v>
      </c>
      <c r="O91" s="404" t="n">
        <f aca="false">N91*(1+Summary!$E$71)</f>
        <v>6.85623760132245</v>
      </c>
      <c r="P91" s="404" t="n">
        <f aca="false">O91*(1+Summary!$E$71)</f>
        <v>7.06192472936212</v>
      </c>
      <c r="Q91" s="404" t="n">
        <f aca="false">P91*(1+Summary!$E$71)</f>
        <v>7.27378247124299</v>
      </c>
      <c r="R91" s="404" t="n">
        <f aca="false">Q91*(1+Summary!$E$71)</f>
        <v>7.49199594538028</v>
      </c>
      <c r="S91" s="404" t="n">
        <f aca="false">R91*(1+Summary!$E$71)</f>
        <v>7.71675582374169</v>
      </c>
      <c r="T91" s="404" t="n">
        <f aca="false">S91*(1+Summary!$E$71)</f>
        <v>7.94825849845394</v>
      </c>
      <c r="U91" s="404" t="n">
        <f aca="false">T91*(1+Summary!$E$71)</f>
        <v>8.18670625340755</v>
      </c>
      <c r="V91" s="404" t="n">
        <f aca="false">U91*(1+Summary!$E$71)</f>
        <v>8.43230744100978</v>
      </c>
      <c r="W91" s="404" t="n">
        <f aca="false">V91*(1+Summary!$E$71)</f>
        <v>8.68527666424007</v>
      </c>
      <c r="X91" s="404" t="n">
        <f aca="false">W91*(1+Summary!$E$71)</f>
        <v>8.94583496416728</v>
      </c>
      <c r="Y91" s="404" t="n">
        <f aca="false">X91*(1+Summary!$E$71)</f>
        <v>9.2142100130923</v>
      </c>
      <c r="Z91" s="404" t="n">
        <f aca="false">Y91*(1+Summary!$E$71)</f>
        <v>9.49063631348507</v>
      </c>
      <c r="AA91" s="404" t="n">
        <f aca="false">Z91*(1+Summary!$E$71)</f>
        <v>9.77535540288962</v>
      </c>
    </row>
    <row r="92" customFormat="false" ht="12.75" hidden="false" customHeight="false" outlineLevel="0" collapsed="false">
      <c r="A92" s="1351" t="s">
        <v>1060</v>
      </c>
      <c r="B92" s="85"/>
      <c r="C92" s="85"/>
      <c r="D92" s="0"/>
      <c r="E92" s="401" t="n">
        <v>5.10168467823015</v>
      </c>
      <c r="F92" s="404" t="n">
        <f aca="false">E92*(1+Summary!$E$71)</f>
        <v>5.25473521857706</v>
      </c>
      <c r="G92" s="404" t="n">
        <f aca="false">F92*(1+Summary!$E$71)</f>
        <v>5.41237727513437</v>
      </c>
      <c r="H92" s="404" t="n">
        <f aca="false">G92*(1+Summary!$E$71)</f>
        <v>5.5747485933884</v>
      </c>
      <c r="I92" s="404" t="n">
        <f aca="false">H92*(1+Summary!$E$71)</f>
        <v>5.74199105119005</v>
      </c>
      <c r="J92" s="404" t="n">
        <f aca="false">I92*(1+Summary!$E$71)</f>
        <v>5.91425078272575</v>
      </c>
      <c r="K92" s="404" t="n">
        <f aca="false">J92*(1+Summary!$E$71)</f>
        <v>6.09167830620753</v>
      </c>
      <c r="L92" s="404" t="n">
        <f aca="false">K92*(1+Summary!$E$71)</f>
        <v>6.27442865539375</v>
      </c>
      <c r="M92" s="404" t="n">
        <f aca="false">L92*(1+Summary!$E$71)</f>
        <v>6.46266151505557</v>
      </c>
      <c r="N92" s="404" t="n">
        <f aca="false">M92*(1+Summary!$E$71)</f>
        <v>6.65654136050723</v>
      </c>
      <c r="O92" s="404" t="n">
        <f aca="false">N92*(1+Summary!$E$71)</f>
        <v>6.85623760132245</v>
      </c>
      <c r="P92" s="404" t="n">
        <f aca="false">O92*(1+Summary!$E$71)</f>
        <v>7.06192472936212</v>
      </c>
      <c r="Q92" s="404" t="n">
        <f aca="false">P92*(1+Summary!$E$71)</f>
        <v>7.27378247124299</v>
      </c>
      <c r="R92" s="404" t="n">
        <f aca="false">Q92*(1+Summary!$E$71)</f>
        <v>7.49199594538028</v>
      </c>
      <c r="S92" s="404" t="n">
        <f aca="false">R92*(1+Summary!$E$71)</f>
        <v>7.71675582374169</v>
      </c>
      <c r="T92" s="404" t="n">
        <f aca="false">S92*(1+Summary!$E$71)</f>
        <v>7.94825849845394</v>
      </c>
      <c r="U92" s="404" t="n">
        <f aca="false">T92*(1+Summary!$E$71)</f>
        <v>8.18670625340755</v>
      </c>
      <c r="V92" s="404" t="n">
        <f aca="false">U92*(1+Summary!$E$71)</f>
        <v>8.43230744100978</v>
      </c>
      <c r="W92" s="404" t="n">
        <f aca="false">V92*(1+Summary!$E$71)</f>
        <v>8.68527666424007</v>
      </c>
      <c r="X92" s="404" t="n">
        <f aca="false">W92*(1+Summary!$E$71)</f>
        <v>8.94583496416728</v>
      </c>
      <c r="Y92" s="404" t="n">
        <f aca="false">X92*(1+Summary!$E$71)</f>
        <v>9.2142100130923</v>
      </c>
      <c r="Z92" s="404" t="n">
        <f aca="false">Y92*(1+Summary!$E$71)</f>
        <v>9.49063631348507</v>
      </c>
      <c r="AA92" s="404" t="n">
        <f aca="false">Z92*(1+Summary!$E$71)</f>
        <v>9.77535540288962</v>
      </c>
    </row>
    <row r="93" customFormat="false" ht="12.75" hidden="false" customHeight="false" outlineLevel="0" collapsed="false">
      <c r="A93" s="1351" t="s">
        <v>539</v>
      </c>
      <c r="B93" s="85"/>
      <c r="C93" s="85"/>
      <c r="D93" s="0"/>
      <c r="E93" s="401" t="n">
        <v>10.2033693564603</v>
      </c>
      <c r="F93" s="404" t="n">
        <f aca="false">E93*(1+Summary!$E$71)</f>
        <v>10.5094704371541</v>
      </c>
      <c r="G93" s="404" t="n">
        <f aca="false">F93*(1+Summary!$E$71)</f>
        <v>10.8247545502687</v>
      </c>
      <c r="H93" s="404" t="n">
        <f aca="false">G93*(1+Summary!$E$71)</f>
        <v>11.1494971867768</v>
      </c>
      <c r="I93" s="404" t="n">
        <f aca="false">H93*(1+Summary!$E$71)</f>
        <v>11.4839821023801</v>
      </c>
      <c r="J93" s="404" t="n">
        <f aca="false">I93*(1+Summary!$E$71)</f>
        <v>11.8285015654515</v>
      </c>
      <c r="K93" s="404" t="n">
        <f aca="false">J93*(1+Summary!$E$71)</f>
        <v>12.1833566124151</v>
      </c>
      <c r="L93" s="404" t="n">
        <f aca="false">K93*(1+Summary!$E$71)</f>
        <v>12.5488573107875</v>
      </c>
      <c r="M93" s="404" t="n">
        <f aca="false">L93*(1+Summary!$E$71)</f>
        <v>12.9253230301111</v>
      </c>
      <c r="N93" s="404" t="n">
        <f aca="false">M93*(1+Summary!$E$71)</f>
        <v>13.3130827210145</v>
      </c>
      <c r="O93" s="404" t="n">
        <f aca="false">N93*(1+Summary!$E$71)</f>
        <v>13.7124752026449</v>
      </c>
      <c r="P93" s="404" t="n">
        <f aca="false">O93*(1+Summary!$E$71)</f>
        <v>14.1238494587242</v>
      </c>
      <c r="Q93" s="404" t="n">
        <f aca="false">P93*(1+Summary!$E$71)</f>
        <v>14.547564942486</v>
      </c>
      <c r="R93" s="404" t="n">
        <f aca="false">Q93*(1+Summary!$E$71)</f>
        <v>14.9839918907606</v>
      </c>
      <c r="S93" s="404" t="n">
        <f aca="false">R93*(1+Summary!$E$71)</f>
        <v>15.4335116474834</v>
      </c>
      <c r="T93" s="404" t="n">
        <f aca="false">S93*(1+Summary!$E$71)</f>
        <v>15.8965169969079</v>
      </c>
      <c r="U93" s="404" t="n">
        <f aca="false">T93*(1+Summary!$E$71)</f>
        <v>16.3734125068151</v>
      </c>
      <c r="V93" s="404" t="n">
        <f aca="false">U93*(1+Summary!$E$71)</f>
        <v>16.8646148820196</v>
      </c>
      <c r="W93" s="404" t="n">
        <f aca="false">V93*(1+Summary!$E$71)</f>
        <v>17.3705533284802</v>
      </c>
      <c r="X93" s="404" t="n">
        <f aca="false">W93*(1+Summary!$E$71)</f>
        <v>17.8916699283346</v>
      </c>
      <c r="Y93" s="404" t="n">
        <f aca="false">X93*(1+Summary!$E$71)</f>
        <v>18.4284200261846</v>
      </c>
      <c r="Z93" s="404" t="n">
        <f aca="false">Y93*(1+Summary!$E$71)</f>
        <v>18.9812726269701</v>
      </c>
      <c r="AA93" s="404" t="n">
        <f aca="false">Z93*(1+Summary!$E$71)</f>
        <v>19.5507108057792</v>
      </c>
    </row>
    <row r="94" customFormat="false" ht="12.75" hidden="false" customHeight="false" outlineLevel="0" collapsed="false">
      <c r="A94" s="1351" t="s">
        <v>1061</v>
      </c>
      <c r="B94" s="85"/>
      <c r="C94" s="85"/>
      <c r="D94" s="0"/>
      <c r="E94" s="401" t="n">
        <v>5.10168467823015</v>
      </c>
      <c r="F94" s="404" t="n">
        <f aca="false">E94*(1+Summary!$E$71)</f>
        <v>5.25473521857706</v>
      </c>
      <c r="G94" s="404" t="n">
        <f aca="false">F94*(1+Summary!$E$71)</f>
        <v>5.41237727513437</v>
      </c>
      <c r="H94" s="404" t="n">
        <f aca="false">G94*(1+Summary!$E$71)</f>
        <v>5.5747485933884</v>
      </c>
      <c r="I94" s="404" t="n">
        <f aca="false">H94*(1+Summary!$E$71)</f>
        <v>5.74199105119005</v>
      </c>
      <c r="J94" s="404" t="n">
        <f aca="false">I94*(1+Summary!$E$71)</f>
        <v>5.91425078272575</v>
      </c>
      <c r="K94" s="404" t="n">
        <f aca="false">J94*(1+Summary!$E$71)</f>
        <v>6.09167830620753</v>
      </c>
      <c r="L94" s="404" t="n">
        <f aca="false">K94*(1+Summary!$E$71)</f>
        <v>6.27442865539375</v>
      </c>
      <c r="M94" s="404" t="n">
        <f aca="false">L94*(1+Summary!$E$71)</f>
        <v>6.46266151505557</v>
      </c>
      <c r="N94" s="404" t="n">
        <f aca="false">M94*(1+Summary!$E$71)</f>
        <v>6.65654136050723</v>
      </c>
      <c r="O94" s="404" t="n">
        <f aca="false">N94*(1+Summary!$E$71)</f>
        <v>6.85623760132245</v>
      </c>
      <c r="P94" s="404" t="n">
        <f aca="false">O94*(1+Summary!$E$71)</f>
        <v>7.06192472936212</v>
      </c>
      <c r="Q94" s="404" t="n">
        <f aca="false">P94*(1+Summary!$E$71)</f>
        <v>7.27378247124299</v>
      </c>
      <c r="R94" s="404" t="n">
        <f aca="false">Q94*(1+Summary!$E$71)</f>
        <v>7.49199594538028</v>
      </c>
      <c r="S94" s="404" t="n">
        <f aca="false">R94*(1+Summary!$E$71)</f>
        <v>7.71675582374169</v>
      </c>
      <c r="T94" s="404" t="n">
        <f aca="false">S94*(1+Summary!$E$71)</f>
        <v>7.94825849845394</v>
      </c>
      <c r="U94" s="404" t="n">
        <f aca="false">T94*(1+Summary!$E$71)</f>
        <v>8.18670625340755</v>
      </c>
      <c r="V94" s="404" t="n">
        <f aca="false">U94*(1+Summary!$E$71)</f>
        <v>8.43230744100978</v>
      </c>
      <c r="W94" s="404" t="n">
        <f aca="false">V94*(1+Summary!$E$71)</f>
        <v>8.68527666424007</v>
      </c>
      <c r="X94" s="404" t="n">
        <f aca="false">W94*(1+Summary!$E$71)</f>
        <v>8.94583496416728</v>
      </c>
      <c r="Y94" s="404" t="n">
        <f aca="false">X94*(1+Summary!$E$71)</f>
        <v>9.2142100130923</v>
      </c>
      <c r="Z94" s="404" t="n">
        <f aca="false">Y94*(1+Summary!$E$71)</f>
        <v>9.49063631348507</v>
      </c>
      <c r="AA94" s="404" t="n">
        <f aca="false">Z94*(1+Summary!$E$71)</f>
        <v>9.77535540288962</v>
      </c>
    </row>
    <row r="95" customFormat="false" ht="12.75" hidden="false" customHeight="false" outlineLevel="0" collapsed="false">
      <c r="A95" s="110" t="s">
        <v>1062</v>
      </c>
      <c r="B95" s="85"/>
      <c r="C95" s="85"/>
      <c r="D95" s="0"/>
      <c r="E95" s="1352" t="n">
        <v>639.952104228251</v>
      </c>
      <c r="F95" s="1352" t="n">
        <v>622.940626411629</v>
      </c>
      <c r="G95" s="1352" t="n">
        <v>613.548154662485</v>
      </c>
      <c r="H95" s="1352" t="n">
        <v>605.404789510104</v>
      </c>
      <c r="I95" s="1352" t="n">
        <v>591.603938685908</v>
      </c>
      <c r="J95" s="1352" t="n">
        <v>585.390476604248</v>
      </c>
      <c r="K95" s="1352" t="n">
        <v>571.710353198629</v>
      </c>
      <c r="L95" s="1352" t="n">
        <v>575.347406787516</v>
      </c>
      <c r="M95" s="1352" t="n">
        <v>563.233416346919</v>
      </c>
      <c r="N95" s="1352" t="n">
        <v>547.444890104306</v>
      </c>
      <c r="O95" s="1352" t="n">
        <v>531.741504026416</v>
      </c>
      <c r="P95" s="1352" t="n">
        <v>527.089040184827</v>
      </c>
      <c r="Q95" s="1352" t="n">
        <v>511.40212678696</v>
      </c>
      <c r="R95" s="1352" t="n">
        <v>495.959204269134</v>
      </c>
      <c r="S95" s="1352" t="n">
        <v>489.527790505318</v>
      </c>
      <c r="T95" s="1352" t="n">
        <v>472.532976719847</v>
      </c>
      <c r="U95" s="1352" t="n">
        <v>478.239682399571</v>
      </c>
      <c r="V95" s="1352" t="n">
        <v>484.409928151003</v>
      </c>
      <c r="W95" s="1352" t="n">
        <v>491.007496752707</v>
      </c>
      <c r="X95" s="1352" t="n">
        <v>498.525508970237</v>
      </c>
      <c r="Y95" s="1352" t="n">
        <v>507.242972375214</v>
      </c>
      <c r="Z95" s="1352" t="n">
        <v>516.835802190414</v>
      </c>
      <c r="AA95" s="1352" t="n">
        <v>527.285435715301</v>
      </c>
    </row>
    <row r="96" customFormat="false" ht="12.75" hidden="false" customHeight="false" outlineLevel="0" collapsed="false">
      <c r="A96" s="85"/>
      <c r="B96" s="85"/>
      <c r="C96" s="85"/>
      <c r="D96" s="0"/>
    </row>
    <row r="97" customFormat="false" ht="12.75" hidden="false" customHeight="false" outlineLevel="0" collapsed="false">
      <c r="A97" s="1336" t="s">
        <v>1063</v>
      </c>
      <c r="B97" s="85"/>
      <c r="C97" s="85"/>
      <c r="D97" s="0"/>
      <c r="E97" s="1345" t="e">
        <f aca="false">E60+E66+E95</f>
        <v>#VALUE!</v>
      </c>
      <c r="F97" s="1345" t="e">
        <f aca="false">F60+F66+F95</f>
        <v>#VALUE!</v>
      </c>
      <c r="G97" s="1345" t="e">
        <f aca="false">G60+G66+G95</f>
        <v>#VALUE!</v>
      </c>
      <c r="H97" s="1345" t="e">
        <f aca="false">H60+H66+H95</f>
        <v>#VALUE!</v>
      </c>
      <c r="I97" s="1345" t="e">
        <f aca="false">I60+I66+I95</f>
        <v>#VALUE!</v>
      </c>
      <c r="J97" s="1345" t="e">
        <f aca="false">J60+J66+J95</f>
        <v>#VALUE!</v>
      </c>
      <c r="K97" s="1345" t="e">
        <f aca="false">K60+K66+K95</f>
        <v>#VALUE!</v>
      </c>
      <c r="L97" s="1345" t="e">
        <f aca="false">L60+L66+L95</f>
        <v>#VALUE!</v>
      </c>
      <c r="M97" s="1345" t="e">
        <f aca="false">M60+M66+M95</f>
        <v>#VALUE!</v>
      </c>
      <c r="N97" s="1345" t="e">
        <f aca="false">N60+N66+N95</f>
        <v>#VALUE!</v>
      </c>
      <c r="O97" s="1345" t="e">
        <f aca="false">O60+O66+O95</f>
        <v>#VALUE!</v>
      </c>
      <c r="P97" s="1345" t="e">
        <f aca="false">P60+P66+P95</f>
        <v>#VALUE!</v>
      </c>
      <c r="Q97" s="1345" t="e">
        <f aca="false">Q60+Q66+Q95</f>
        <v>#VALUE!</v>
      </c>
      <c r="R97" s="1345" t="e">
        <f aca="false">R60+R66+R95</f>
        <v>#VALUE!</v>
      </c>
      <c r="S97" s="1345" t="e">
        <f aca="false">S60+S66+S95</f>
        <v>#VALUE!</v>
      </c>
      <c r="T97" s="1345" t="e">
        <f aca="false">T60+T66+T95</f>
        <v>#VALUE!</v>
      </c>
      <c r="U97" s="1345" t="e">
        <f aca="false">U60+U66+U95</f>
        <v>#VALUE!</v>
      </c>
      <c r="V97" s="1345" t="e">
        <f aca="false">V60+V66+V95</f>
        <v>#VALUE!</v>
      </c>
      <c r="W97" s="1345" t="e">
        <f aca="false">W60+W66+W95</f>
        <v>#VALUE!</v>
      </c>
      <c r="X97" s="1345" t="e">
        <f aca="false">X60+X66+X95</f>
        <v>#VALUE!</v>
      </c>
      <c r="Y97" s="1345" t="e">
        <f aca="false">Y60+Y66+Y95</f>
        <v>#VALUE!</v>
      </c>
      <c r="Z97" s="1345" t="e">
        <f aca="false">Z60+Z66+Z95</f>
        <v>#VALUE!</v>
      </c>
      <c r="AA97" s="1345" t="e">
        <f aca="false">AA60+AA66+AA95</f>
        <v>#VALUE!</v>
      </c>
    </row>
    <row r="98" customFormat="false" ht="12.75" hidden="false" customHeight="false" outlineLevel="0" collapsed="false">
      <c r="A98" s="1252"/>
      <c r="B98" s="1252"/>
      <c r="C98" s="1252"/>
      <c r="D98" s="0"/>
      <c r="E98" s="1345"/>
      <c r="F98" s="1345"/>
      <c r="G98" s="1345"/>
      <c r="H98" s="1345"/>
      <c r="I98" s="1345"/>
      <c r="J98" s="1345"/>
      <c r="K98" s="1345"/>
      <c r="L98" s="1345"/>
      <c r="M98" s="1345"/>
      <c r="N98" s="1345"/>
      <c r="O98" s="1345"/>
      <c r="P98" s="1345"/>
      <c r="Q98" s="1345"/>
      <c r="R98" s="1345"/>
      <c r="S98" s="1345"/>
      <c r="T98" s="1345"/>
      <c r="U98" s="1345"/>
      <c r="V98" s="1345"/>
      <c r="W98" s="1345"/>
      <c r="X98" s="1345"/>
      <c r="Y98" s="1345"/>
      <c r="Z98" s="1345"/>
      <c r="AA98" s="1345"/>
    </row>
    <row r="99" customFormat="false" ht="12.75" hidden="false" customHeight="false" outlineLevel="0" collapsed="false">
      <c r="A99" s="1252"/>
      <c r="B99" s="1252"/>
      <c r="C99" s="1252"/>
      <c r="D99" s="0"/>
    </row>
    <row r="100" customFormat="false" ht="12.75" hidden="false" customHeight="false" outlineLevel="0" collapsed="false">
      <c r="A100" s="1252"/>
      <c r="B100" s="1252"/>
      <c r="C100" s="1252"/>
      <c r="D100" s="0"/>
    </row>
    <row r="101" customFormat="false" ht="12.75" hidden="false" customHeight="false" outlineLevel="0" collapsed="false">
      <c r="A101" s="1252"/>
      <c r="B101" s="1252"/>
      <c r="C101" s="1252"/>
      <c r="D101" s="0"/>
    </row>
    <row r="102" customFormat="false" ht="12.75" hidden="false" customHeight="false" outlineLevel="0" collapsed="false">
      <c r="D102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49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40" man="true" max="16383" min="0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33"/>
  <sheetViews>
    <sheetView showFormulas="false" showGridLines="false" showRowColHeaders="true" showZeros="true" rightToLeft="false" tabSelected="false" showOutlineSymbols="true" defaultGridColor="true" view="normal" topLeftCell="I1" colorId="64" zoomScale="75" zoomScaleNormal="75" zoomScalePageLayoutView="100" workbookViewId="0">
      <selection pane="topLeft" activeCell="R31" activeCellId="0" sqref="R31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1353" width="28.56"/>
    <col collapsed="false" customWidth="true" hidden="true" outlineLevel="0" max="2" min="2" style="1353" width="16.7"/>
    <col collapsed="false" customWidth="true" hidden="false" outlineLevel="0" max="4" min="3" style="1353" width="16.84"/>
    <col collapsed="false" customWidth="true" hidden="false" outlineLevel="0" max="6" min="5" style="1353" width="16.7"/>
    <col collapsed="false" customWidth="true" hidden="false" outlineLevel="0" max="8" min="7" style="1353" width="16.84"/>
    <col collapsed="false" customWidth="true" hidden="false" outlineLevel="0" max="10" min="9" style="1353" width="18.7"/>
    <col collapsed="false" customWidth="true" hidden="false" outlineLevel="0" max="11" min="11" style="1353" width="13.7"/>
    <col collapsed="false" customWidth="true" hidden="false" outlineLevel="0" max="12" min="12" style="1353" width="12.14"/>
    <col collapsed="false" customWidth="true" hidden="false" outlineLevel="0" max="13" min="13" style="1353" width="12.56"/>
    <col collapsed="false" customWidth="true" hidden="false" outlineLevel="0" max="14" min="14" style="1353" width="12.99"/>
    <col collapsed="false" customWidth="true" hidden="false" outlineLevel="0" max="15" min="15" style="1353" width="11.7"/>
    <col collapsed="false" customWidth="true" hidden="false" outlineLevel="0" max="16" min="16" style="1353" width="12.14"/>
    <col collapsed="false" customWidth="true" hidden="false" outlineLevel="0" max="17" min="17" style="1353" width="11.99"/>
    <col collapsed="false" customWidth="true" hidden="false" outlineLevel="0" max="18" min="18" style="1353" width="12.42"/>
    <col collapsed="false" customWidth="true" hidden="false" outlineLevel="0" max="19" min="19" style="1353" width="12.14"/>
    <col collapsed="false" customWidth="true" hidden="false" outlineLevel="0" max="20" min="20" style="1353" width="10.13"/>
    <col collapsed="false" customWidth="true" hidden="false" outlineLevel="0" max="21" min="21" style="1353" width="9.99"/>
    <col collapsed="false" customWidth="false" hidden="false" outlineLevel="0" max="257" min="22" style="1353" width="9.14"/>
  </cols>
  <sheetData>
    <row r="1" customFormat="false" ht="18" hidden="false" customHeight="false" outlineLevel="0" collapsed="false">
      <c r="C1" s="1354" t="s">
        <v>1064</v>
      </c>
    </row>
    <row r="2" customFormat="false" ht="15" hidden="false" customHeight="false" outlineLevel="0" collapsed="false">
      <c r="C2" s="1355" t="n">
        <f aca="true">TODAY()</f>
        <v>45926</v>
      </c>
    </row>
    <row r="3" customFormat="false" ht="15.75" hidden="false" customHeight="false" outlineLevel="0" collapsed="false">
      <c r="I3" s="1356" t="s">
        <v>0</v>
      </c>
      <c r="J3" s="1356" t="s">
        <v>0</v>
      </c>
      <c r="K3" s="1356"/>
      <c r="L3" s="1356"/>
      <c r="M3" s="1356"/>
      <c r="N3" s="1356" t="s">
        <v>0</v>
      </c>
      <c r="O3" s="1356"/>
      <c r="P3" s="1356"/>
      <c r="Q3" s="1356"/>
      <c r="R3" s="1356"/>
      <c r="S3" s="1356"/>
      <c r="T3" s="1356"/>
      <c r="U3" s="1356"/>
      <c r="V3" s="1356"/>
      <c r="W3" s="1356"/>
      <c r="X3" s="1356"/>
      <c r="Y3" s="1356"/>
      <c r="Z3" s="1356"/>
      <c r="AA3" s="1356"/>
      <c r="AB3" s="1356"/>
      <c r="AC3" s="1356"/>
      <c r="AD3" s="1356"/>
      <c r="AE3" s="1356"/>
      <c r="AF3" s="1356"/>
      <c r="AG3" s="1356"/>
      <c r="AH3" s="1356"/>
      <c r="AI3" s="1356"/>
      <c r="AJ3" s="1356"/>
      <c r="AK3" s="1356"/>
      <c r="AL3" s="1356"/>
      <c r="AM3" s="1356"/>
      <c r="AN3" s="1356"/>
      <c r="AO3" s="1356"/>
      <c r="AP3" s="1356"/>
      <c r="AQ3" s="1356"/>
      <c r="AR3" s="1356"/>
      <c r="AS3" s="1356"/>
      <c r="AT3" s="1356"/>
      <c r="AU3" s="1356"/>
      <c r="AV3" s="1356"/>
      <c r="AW3" s="1356"/>
      <c r="AX3" s="1356"/>
      <c r="AY3" s="1356"/>
      <c r="AZ3" s="1356"/>
      <c r="BA3" s="1356"/>
      <c r="BB3" s="1356"/>
      <c r="BC3" s="1356"/>
      <c r="BD3" s="1356"/>
      <c r="BE3" s="1356"/>
      <c r="BF3" s="1356"/>
      <c r="BG3" s="1356"/>
      <c r="BH3" s="1356"/>
      <c r="BI3" s="1356"/>
      <c r="BJ3" s="1356"/>
      <c r="BK3" s="1356"/>
      <c r="BL3" s="1356"/>
      <c r="BM3" s="1356"/>
      <c r="BN3" s="1356"/>
      <c r="BO3" s="1356"/>
      <c r="BP3" s="1356"/>
      <c r="BQ3" s="1356"/>
      <c r="BR3" s="1356"/>
      <c r="BS3" s="1356"/>
      <c r="BT3" s="1356"/>
      <c r="BU3" s="1356"/>
      <c r="BV3" s="1356"/>
      <c r="BW3" s="1356"/>
      <c r="BX3" s="1356"/>
      <c r="BY3" s="1356"/>
      <c r="BZ3" s="1356"/>
      <c r="CA3" s="1356"/>
      <c r="CB3" s="1356"/>
      <c r="CC3" s="1356"/>
      <c r="CD3" s="1356"/>
      <c r="CE3" s="1356"/>
      <c r="CF3" s="1356"/>
      <c r="CG3" s="1356"/>
      <c r="CH3" s="1356"/>
      <c r="CI3" s="1356"/>
      <c r="CJ3" s="1356"/>
      <c r="CK3" s="1356"/>
      <c r="CL3" s="1356"/>
      <c r="CM3" s="1356"/>
      <c r="CN3" s="1356"/>
      <c r="CO3" s="1356"/>
      <c r="CP3" s="1356"/>
      <c r="CQ3" s="1356"/>
      <c r="CR3" s="1356"/>
      <c r="CS3" s="1356"/>
      <c r="CT3" s="1356"/>
      <c r="CU3" s="1356"/>
      <c r="CV3" s="1356"/>
      <c r="CW3" s="1356"/>
      <c r="CX3" s="1356"/>
      <c r="CY3" s="1356"/>
      <c r="CZ3" s="1356"/>
      <c r="DA3" s="1356"/>
      <c r="DB3" s="1356"/>
      <c r="DC3" s="1356"/>
      <c r="DD3" s="1356"/>
      <c r="DE3" s="1356"/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6"/>
      <c r="EX3" s="1356"/>
      <c r="EY3" s="1356"/>
      <c r="EZ3" s="1356"/>
      <c r="FA3" s="1356"/>
      <c r="FB3" s="1356"/>
      <c r="FC3" s="1356"/>
      <c r="FD3" s="1356"/>
      <c r="FE3" s="1356"/>
      <c r="FF3" s="1356"/>
      <c r="FG3" s="1356"/>
      <c r="FH3" s="1356"/>
      <c r="FI3" s="1356"/>
      <c r="FJ3" s="1356"/>
      <c r="FK3" s="1356"/>
      <c r="FL3" s="1356"/>
      <c r="FM3" s="1356"/>
      <c r="FN3" s="1356"/>
      <c r="FO3" s="1356"/>
      <c r="FP3" s="1356"/>
      <c r="FQ3" s="1356"/>
      <c r="FR3" s="1356"/>
      <c r="FS3" s="1356"/>
      <c r="FT3" s="1356"/>
      <c r="FU3" s="1356"/>
      <c r="FV3" s="1356"/>
      <c r="FW3" s="1356"/>
      <c r="FX3" s="1356"/>
      <c r="FY3" s="1356"/>
      <c r="FZ3" s="1356"/>
      <c r="GA3" s="1356"/>
      <c r="GB3" s="1356"/>
      <c r="GC3" s="1356"/>
      <c r="GD3" s="1356"/>
      <c r="GE3" s="1356"/>
      <c r="GF3" s="1356"/>
      <c r="GG3" s="1356"/>
      <c r="GH3" s="1356"/>
      <c r="GI3" s="1356"/>
      <c r="GJ3" s="1356"/>
      <c r="GK3" s="1356"/>
      <c r="GL3" s="1356"/>
      <c r="GM3" s="1356"/>
      <c r="GN3" s="1356"/>
      <c r="GO3" s="1356"/>
      <c r="GP3" s="1356"/>
      <c r="GQ3" s="1356"/>
      <c r="GR3" s="1356"/>
      <c r="GS3" s="1356"/>
      <c r="GT3" s="1356"/>
      <c r="GU3" s="1356"/>
      <c r="GV3" s="1356"/>
      <c r="GW3" s="1356"/>
      <c r="GX3" s="1356"/>
      <c r="GY3" s="1356"/>
      <c r="GZ3" s="1356"/>
      <c r="HA3" s="1356"/>
      <c r="HB3" s="1356"/>
      <c r="HC3" s="1356"/>
      <c r="HD3" s="1356"/>
      <c r="HE3" s="1356"/>
      <c r="HF3" s="1356"/>
      <c r="HG3" s="1356"/>
      <c r="HH3" s="1356"/>
      <c r="HI3" s="1356"/>
      <c r="HJ3" s="1356"/>
      <c r="HK3" s="1356"/>
      <c r="HL3" s="1356"/>
      <c r="HM3" s="1356"/>
      <c r="HN3" s="1356"/>
      <c r="HO3" s="1356"/>
      <c r="HP3" s="1356"/>
      <c r="HQ3" s="1356"/>
      <c r="HR3" s="1356"/>
      <c r="HS3" s="1356"/>
      <c r="HT3" s="1356"/>
      <c r="HU3" s="1356"/>
      <c r="HV3" s="1356"/>
      <c r="HW3" s="1356"/>
      <c r="HX3" s="1356"/>
      <c r="HY3" s="1356"/>
      <c r="HZ3" s="1356"/>
      <c r="IA3" s="1356"/>
      <c r="IB3" s="1356"/>
      <c r="IC3" s="1356"/>
      <c r="ID3" s="1356"/>
      <c r="IE3" s="1356"/>
      <c r="IF3" s="1356"/>
      <c r="IG3" s="1356"/>
      <c r="IH3" s="1356"/>
      <c r="II3" s="1356"/>
      <c r="IJ3" s="1356"/>
      <c r="IK3" s="1356"/>
      <c r="IL3" s="1356"/>
      <c r="IM3" s="1356"/>
      <c r="IN3" s="1356"/>
      <c r="IO3" s="1356"/>
      <c r="IP3" s="1356"/>
      <c r="IQ3" s="1356"/>
      <c r="IR3" s="1356"/>
      <c r="IS3" s="1356"/>
      <c r="IT3" s="1356"/>
      <c r="IU3" s="1356"/>
      <c r="IV3" s="1356"/>
      <c r="IW3" s="1356"/>
    </row>
    <row r="4" customFormat="false" ht="15.75" hidden="false" customHeight="false" outlineLevel="0" collapsed="false">
      <c r="B4" s="1357" t="s">
        <v>1065</v>
      </c>
      <c r="C4" s="1358" t="s">
        <v>1066</v>
      </c>
      <c r="D4" s="1359" t="s">
        <v>1067</v>
      </c>
      <c r="E4" s="1360" t="s">
        <v>1068</v>
      </c>
      <c r="F4" s="1360" t="s">
        <v>1068</v>
      </c>
      <c r="G4" s="1360" t="s">
        <v>1069</v>
      </c>
      <c r="H4" s="1361" t="s">
        <v>1069</v>
      </c>
      <c r="I4" s="1362" t="s">
        <v>1070</v>
      </c>
      <c r="J4" s="1363" t="s">
        <v>1070</v>
      </c>
    </row>
    <row r="5" customFormat="false" ht="15.75" hidden="false" customHeight="false" outlineLevel="0" collapsed="false">
      <c r="B5" s="1364" t="s">
        <v>1071</v>
      </c>
      <c r="C5" s="1365" t="s">
        <v>1072</v>
      </c>
      <c r="D5" s="1366" t="s">
        <v>1072</v>
      </c>
      <c r="E5" s="1367" t="s">
        <v>1073</v>
      </c>
      <c r="F5" s="1367" t="s">
        <v>1074</v>
      </c>
      <c r="G5" s="1367" t="s">
        <v>1073</v>
      </c>
      <c r="H5" s="1368" t="s">
        <v>1074</v>
      </c>
      <c r="I5" s="1369" t="s">
        <v>1073</v>
      </c>
      <c r="J5" s="1370" t="s">
        <v>1074</v>
      </c>
    </row>
    <row r="6" customFormat="false" ht="15.75" hidden="false" customHeight="false" outlineLevel="0" collapsed="false">
      <c r="B6" s="1371"/>
      <c r="C6" s="1372"/>
      <c r="D6" s="1373"/>
      <c r="E6" s="1374" t="s">
        <v>0</v>
      </c>
      <c r="F6" s="1374" t="s">
        <v>0</v>
      </c>
      <c r="G6" s="1375" t="s">
        <v>0</v>
      </c>
      <c r="H6" s="1356" t="s">
        <v>0</v>
      </c>
      <c r="I6" s="1376"/>
      <c r="J6" s="1377"/>
      <c r="M6" s="1378" t="s">
        <v>1075</v>
      </c>
    </row>
    <row r="7" customFormat="false" ht="15.75" hidden="false" customHeight="false" outlineLevel="0" collapsed="false">
      <c r="A7" s="1379" t="s">
        <v>1076</v>
      </c>
      <c r="B7" s="1380"/>
      <c r="C7" s="1381"/>
      <c r="D7" s="1382"/>
      <c r="E7" s="1374" t="s">
        <v>0</v>
      </c>
      <c r="F7" s="1374" t="s">
        <v>0</v>
      </c>
      <c r="G7" s="1375"/>
      <c r="H7" s="1356"/>
      <c r="I7" s="1383"/>
      <c r="J7" s="1384"/>
    </row>
    <row r="8" customFormat="false" ht="15" hidden="false" customHeight="false" outlineLevel="0" collapsed="false">
      <c r="B8" s="1371"/>
      <c r="C8" s="1372"/>
      <c r="D8" s="1373"/>
      <c r="E8" s="1375"/>
      <c r="F8" s="1375"/>
      <c r="G8" s="1375"/>
      <c r="H8" s="1356"/>
      <c r="I8" s="1383"/>
      <c r="J8" s="1384"/>
      <c r="M8" s="1355" t="n">
        <v>34150</v>
      </c>
      <c r="N8" s="1355" t="n">
        <v>34515</v>
      </c>
      <c r="O8" s="1355" t="n">
        <v>34880</v>
      </c>
      <c r="P8" s="1355" t="n">
        <v>35246</v>
      </c>
      <c r="Q8" s="1355" t="n">
        <v>35611</v>
      </c>
      <c r="R8" s="1355" t="n">
        <v>35976</v>
      </c>
      <c r="S8" s="1355" t="n">
        <v>36341</v>
      </c>
    </row>
    <row r="9" customFormat="false" ht="15" hidden="false" customHeight="false" outlineLevel="0" collapsed="false">
      <c r="B9" s="1371"/>
      <c r="C9" s="1372"/>
      <c r="D9" s="1373"/>
      <c r="E9" s="1375"/>
      <c r="F9" s="1375"/>
      <c r="G9" s="1375"/>
      <c r="H9" s="1356"/>
      <c r="I9" s="1383"/>
      <c r="J9" s="1384"/>
    </row>
    <row r="10" customFormat="false" ht="15.75" hidden="false" customHeight="false" outlineLevel="0" collapsed="false">
      <c r="A10" s="1353" t="s">
        <v>1077</v>
      </c>
      <c r="B10" s="1385" t="s">
        <v>1078</v>
      </c>
      <c r="C10" s="1386" t="s">
        <v>1079</v>
      </c>
      <c r="D10" s="1387" t="s">
        <v>1078</v>
      </c>
      <c r="E10" s="1388" t="s">
        <v>1078</v>
      </c>
      <c r="F10" s="1388" t="s">
        <v>1078</v>
      </c>
      <c r="G10" s="1388" t="s">
        <v>1078</v>
      </c>
      <c r="H10" s="1389" t="s">
        <v>1078</v>
      </c>
      <c r="I10" s="1390" t="s">
        <v>1080</v>
      </c>
      <c r="J10" s="1391" t="s">
        <v>1080</v>
      </c>
      <c r="L10" s="1392" t="s">
        <v>1081</v>
      </c>
      <c r="M10" s="1393" t="n">
        <v>-513</v>
      </c>
      <c r="N10" s="1393" t="n">
        <v>-12516</v>
      </c>
      <c r="O10" s="1393" t="n">
        <v>-1405</v>
      </c>
      <c r="P10" s="1393" t="n">
        <v>-2855</v>
      </c>
      <c r="Q10" s="1393" t="n">
        <v>-939</v>
      </c>
      <c r="R10" s="1393" t="n">
        <v>-1086</v>
      </c>
      <c r="S10" s="1393" t="n">
        <v>0</v>
      </c>
    </row>
    <row r="11" customFormat="false" ht="15" hidden="false" customHeight="false" outlineLevel="0" collapsed="false">
      <c r="A11" s="1353" t="s">
        <v>1082</v>
      </c>
      <c r="B11" s="1385" t="s">
        <v>1083</v>
      </c>
      <c r="C11" s="1386" t="s">
        <v>1083</v>
      </c>
      <c r="D11" s="1394" t="s">
        <v>1083</v>
      </c>
      <c r="E11" s="1388" t="s">
        <v>1083</v>
      </c>
      <c r="F11" s="1388" t="s">
        <v>1083</v>
      </c>
      <c r="G11" s="1388" t="s">
        <v>1083</v>
      </c>
      <c r="H11" s="1389" t="s">
        <v>1083</v>
      </c>
      <c r="I11" s="1395" t="s">
        <v>1083</v>
      </c>
      <c r="J11" s="1391" t="s">
        <v>1083</v>
      </c>
      <c r="L11" s="1392" t="s">
        <v>1084</v>
      </c>
      <c r="M11" s="1393" t="n">
        <v>0</v>
      </c>
      <c r="N11" s="1393" t="n">
        <v>0</v>
      </c>
      <c r="O11" s="1393" t="n">
        <v>0</v>
      </c>
      <c r="P11" s="1393" t="n">
        <v>0</v>
      </c>
      <c r="Q11" s="1393" t="n">
        <v>0</v>
      </c>
      <c r="R11" s="1393" t="n">
        <v>0</v>
      </c>
      <c r="S11" s="1393" t="e">
        <f aca="false">#REF!+#REF!</f>
        <v>#REF!</v>
      </c>
    </row>
    <row r="12" customFormat="false" ht="17.25" hidden="false" customHeight="false" outlineLevel="0" collapsed="false">
      <c r="A12" s="1353" t="s">
        <v>1085</v>
      </c>
      <c r="B12" s="1385" t="s">
        <v>1086</v>
      </c>
      <c r="C12" s="1385" t="s">
        <v>1086</v>
      </c>
      <c r="D12" s="1388" t="s">
        <v>1086</v>
      </c>
      <c r="E12" s="1396" t="s">
        <v>1086</v>
      </c>
      <c r="F12" s="1396" t="s">
        <v>1086</v>
      </c>
      <c r="G12" s="1397" t="s">
        <v>1087</v>
      </c>
      <c r="H12" s="1389" t="s">
        <v>1087</v>
      </c>
      <c r="I12" s="1395" t="s">
        <v>1087</v>
      </c>
      <c r="J12" s="1391" t="s">
        <v>1087</v>
      </c>
      <c r="L12" s="1392" t="s">
        <v>1088</v>
      </c>
      <c r="M12" s="1398" t="n">
        <v>0</v>
      </c>
      <c r="N12" s="1398" t="n">
        <v>0</v>
      </c>
      <c r="O12" s="1398" t="n">
        <v>0</v>
      </c>
      <c r="P12" s="1398" t="n">
        <v>0</v>
      </c>
      <c r="Q12" s="1398" t="n">
        <v>0</v>
      </c>
      <c r="R12" s="1398" t="n">
        <v>0</v>
      </c>
      <c r="S12" s="1398" t="n">
        <v>-1600</v>
      </c>
    </row>
    <row r="13" customFormat="false" ht="15.75" hidden="false" customHeight="false" outlineLevel="0" collapsed="false">
      <c r="A13" s="1353" t="s">
        <v>1089</v>
      </c>
      <c r="B13" s="1385" t="s">
        <v>1090</v>
      </c>
      <c r="C13" s="1385" t="s">
        <v>1087</v>
      </c>
      <c r="D13" s="1397" t="s">
        <v>1090</v>
      </c>
      <c r="E13" s="1388" t="s">
        <v>1090</v>
      </c>
      <c r="F13" s="1388" t="s">
        <v>1090</v>
      </c>
      <c r="G13" s="1399" t="s">
        <v>1091</v>
      </c>
      <c r="H13" s="1400" t="s">
        <v>1091</v>
      </c>
      <c r="I13" s="1395" t="s">
        <v>1092</v>
      </c>
      <c r="J13" s="1391" t="s">
        <v>1092</v>
      </c>
      <c r="M13" s="1393"/>
      <c r="N13" s="1393"/>
      <c r="O13" s="1393"/>
      <c r="P13" s="1393"/>
      <c r="Q13" s="1393"/>
      <c r="R13" s="1393"/>
      <c r="S13" s="1393"/>
    </row>
    <row r="14" customFormat="false" ht="15" hidden="false" customHeight="false" outlineLevel="0" collapsed="false">
      <c r="B14" s="1385"/>
      <c r="C14" s="1401"/>
      <c r="D14" s="1402"/>
      <c r="E14" s="1396"/>
      <c r="F14" s="1396"/>
      <c r="G14" s="1396"/>
      <c r="H14" s="1400"/>
      <c r="I14" s="1395"/>
      <c r="J14" s="1391"/>
      <c r="M14" s="1393" t="n">
        <f aca="false">SUM(M10:M12)</f>
        <v>-513</v>
      </c>
      <c r="N14" s="1393" t="n">
        <f aca="false">SUM(N10:N12)</f>
        <v>-12516</v>
      </c>
      <c r="O14" s="1393" t="n">
        <f aca="false">SUM(O10:O12)</f>
        <v>-1405</v>
      </c>
      <c r="P14" s="1393" t="n">
        <f aca="false">SUM(P10:P12)</f>
        <v>-2855</v>
      </c>
      <c r="Q14" s="1393" t="n">
        <f aca="false">SUM(Q10:Q12)</f>
        <v>-939</v>
      </c>
      <c r="R14" s="1393" t="n">
        <f aca="false">SUM(R10:R12)</f>
        <v>-1086</v>
      </c>
      <c r="S14" s="1393" t="e">
        <f aca="false">SUM(S10:S12)</f>
        <v>#REF!</v>
      </c>
    </row>
    <row r="15" customFormat="false" ht="15" hidden="false" customHeight="false" outlineLevel="0" collapsed="false">
      <c r="A15" s="1403" t="s">
        <v>44</v>
      </c>
      <c r="B15" s="1404" t="n">
        <v>0.015</v>
      </c>
      <c r="C15" s="1405" t="n">
        <v>0.015</v>
      </c>
      <c r="D15" s="1406" t="n">
        <v>0.015</v>
      </c>
      <c r="E15" s="1407" t="n">
        <v>0.015</v>
      </c>
      <c r="F15" s="1407" t="n">
        <v>0.015</v>
      </c>
      <c r="G15" s="1407" t="n">
        <v>0.015</v>
      </c>
      <c r="H15" s="1408" t="n">
        <v>0.015</v>
      </c>
      <c r="I15" s="1409" t="n">
        <v>0.015</v>
      </c>
      <c r="J15" s="1410" t="n">
        <v>0.015</v>
      </c>
      <c r="R15" s="1393" t="n">
        <f aca="false">SUM(M14:R14)</f>
        <v>-19314</v>
      </c>
      <c r="S15" s="1393" t="e">
        <f aca="false">S14</f>
        <v>#REF!</v>
      </c>
    </row>
    <row r="16" customFormat="false" ht="15.75" hidden="false" customHeight="false" outlineLevel="0" collapsed="false">
      <c r="A16" s="1353" t="s">
        <v>1093</v>
      </c>
      <c r="B16" s="1385" t="n">
        <v>7800</v>
      </c>
      <c r="C16" s="1386" t="n">
        <v>8300</v>
      </c>
      <c r="D16" s="1397" t="n">
        <v>7800</v>
      </c>
      <c r="E16" s="1388" t="n">
        <v>7800</v>
      </c>
      <c r="F16" s="1388" t="n">
        <v>7800</v>
      </c>
      <c r="G16" s="1388" t="n">
        <v>7800</v>
      </c>
      <c r="H16" s="1394" t="n">
        <v>7800</v>
      </c>
      <c r="I16" s="1390" t="n">
        <v>7954</v>
      </c>
      <c r="J16" s="1391" t="n">
        <v>7954</v>
      </c>
      <c r="L16" s="1411" t="s">
        <v>627</v>
      </c>
      <c r="M16" s="1412" t="e">
        <f aca="false">XIRR(M14:S14,M8:S8)</f>
        <v>#VALUE!</v>
      </c>
    </row>
    <row r="17" customFormat="false" ht="15" hidden="false" customHeight="false" outlineLevel="0" collapsed="false">
      <c r="B17" s="1371"/>
      <c r="C17" s="1372"/>
      <c r="D17" s="1373"/>
      <c r="E17" s="1375"/>
      <c r="F17" s="1375"/>
      <c r="G17" s="1375"/>
      <c r="H17" s="1356"/>
      <c r="I17" s="1413" t="s">
        <v>1094</v>
      </c>
      <c r="J17" s="1414" t="s">
        <v>1094</v>
      </c>
      <c r="M17" s="1412" t="e">
        <f aca="false">XIRR(R15:S15,R8:S8)</f>
        <v>#VALUE!</v>
      </c>
    </row>
    <row r="18" customFormat="false" ht="15.75" hidden="false" customHeight="false" outlineLevel="0" collapsed="false">
      <c r="A18" s="1353" t="s">
        <v>1095</v>
      </c>
      <c r="B18" s="1385" t="s">
        <v>37</v>
      </c>
      <c r="C18" s="1386" t="s">
        <v>37</v>
      </c>
      <c r="D18" s="1394" t="s">
        <v>37</v>
      </c>
      <c r="E18" s="1397" t="s">
        <v>1096</v>
      </c>
      <c r="F18" s="1388" t="s">
        <v>1096</v>
      </c>
      <c r="G18" s="1388" t="s">
        <v>1096</v>
      </c>
      <c r="H18" s="1389" t="s">
        <v>1096</v>
      </c>
      <c r="I18" s="1395" t="s">
        <v>1096</v>
      </c>
      <c r="J18" s="1391" t="s">
        <v>1096</v>
      </c>
    </row>
    <row r="19" customFormat="false" ht="15" hidden="false" customHeight="false" outlineLevel="0" collapsed="false">
      <c r="A19" s="1403" t="s">
        <v>1097</v>
      </c>
      <c r="B19" s="1385" t="s">
        <v>1098</v>
      </c>
      <c r="C19" s="1386" t="s">
        <v>545</v>
      </c>
      <c r="D19" s="1394" t="s">
        <v>1099</v>
      </c>
      <c r="E19" s="1388" t="s">
        <v>1099</v>
      </c>
      <c r="F19" s="1388" t="s">
        <v>1099</v>
      </c>
      <c r="G19" s="1388" t="s">
        <v>1099</v>
      </c>
      <c r="H19" s="1389" t="s">
        <v>1099</v>
      </c>
      <c r="I19" s="1395" t="s">
        <v>1099</v>
      </c>
      <c r="J19" s="1391" t="s">
        <v>1099</v>
      </c>
    </row>
    <row r="20" customFormat="false" ht="15" hidden="false" customHeight="false" outlineLevel="0" collapsed="false">
      <c r="A20" s="1403" t="s">
        <v>63</v>
      </c>
      <c r="B20" s="1415" t="n">
        <v>0.03</v>
      </c>
      <c r="C20" s="1386" t="s">
        <v>545</v>
      </c>
      <c r="D20" s="1416" t="n">
        <v>0.01</v>
      </c>
      <c r="E20" s="1417" t="n">
        <v>0.01</v>
      </c>
      <c r="F20" s="1417" t="n">
        <v>0.01</v>
      </c>
      <c r="G20" s="1417" t="n">
        <v>0.01</v>
      </c>
      <c r="H20" s="1418" t="n">
        <v>0.01</v>
      </c>
      <c r="I20" s="1419" t="n">
        <v>0.01</v>
      </c>
      <c r="J20" s="1420" t="n">
        <v>0.01</v>
      </c>
    </row>
    <row r="21" customFormat="false" ht="15.75" hidden="false" customHeight="false" outlineLevel="0" collapsed="false">
      <c r="A21" s="1403" t="s">
        <v>1100</v>
      </c>
      <c r="B21" s="1415" t="s">
        <v>1101</v>
      </c>
      <c r="C21" s="1386" t="s">
        <v>545</v>
      </c>
      <c r="D21" s="1416" t="s">
        <v>1101</v>
      </c>
      <c r="E21" s="1416" t="s">
        <v>1101</v>
      </c>
      <c r="F21" s="1416" t="s">
        <v>1101</v>
      </c>
      <c r="G21" s="1417" t="s">
        <v>1101</v>
      </c>
      <c r="H21" s="1416" t="s">
        <v>1101</v>
      </c>
      <c r="I21" s="1418" t="s">
        <v>1101</v>
      </c>
      <c r="J21" s="1420" t="s">
        <v>1101</v>
      </c>
      <c r="M21" s="9" t="s">
        <v>1102</v>
      </c>
      <c r="N21" s="0"/>
      <c r="O21" s="0"/>
      <c r="P21" s="0"/>
    </row>
    <row r="22" customFormat="false" ht="15" hidden="false" customHeight="false" outlineLevel="0" collapsed="false">
      <c r="B22" s="1371"/>
      <c r="C22" s="1372"/>
      <c r="D22" s="1373"/>
      <c r="E22" s="1375"/>
      <c r="F22" s="1375"/>
      <c r="G22" s="1375"/>
      <c r="H22" s="1356"/>
      <c r="I22" s="1383"/>
      <c r="J22" s="1384"/>
      <c r="M22" s="1421" t="s">
        <v>1103</v>
      </c>
      <c r="N22" s="1422"/>
      <c r="O22" s="1422"/>
      <c r="P22" s="1423" t="n">
        <v>195579.139825063</v>
      </c>
    </row>
    <row r="23" customFormat="false" ht="15.75" hidden="false" customHeight="false" outlineLevel="0" collapsed="false">
      <c r="A23" s="1353" t="s">
        <v>1104</v>
      </c>
      <c r="B23" s="1424" t="n">
        <v>68</v>
      </c>
      <c r="C23" s="1425" t="n">
        <v>73.5</v>
      </c>
      <c r="D23" s="1426" t="n">
        <v>73.5</v>
      </c>
      <c r="E23" s="1426" t="n">
        <v>73.5</v>
      </c>
      <c r="F23" s="1426" t="n">
        <v>73.5</v>
      </c>
      <c r="G23" s="1426" t="n">
        <v>73.5</v>
      </c>
      <c r="H23" s="1427" t="n">
        <v>73.5</v>
      </c>
      <c r="I23" s="1428" t="n">
        <v>73.5</v>
      </c>
      <c r="J23" s="1429" t="n">
        <v>73.5</v>
      </c>
      <c r="M23" s="1430" t="s">
        <v>1105</v>
      </c>
      <c r="N23" s="1431"/>
      <c r="O23" s="1432"/>
      <c r="P23" s="1433" t="n">
        <v>-95299.681544601</v>
      </c>
    </row>
    <row r="24" customFormat="false" ht="15.75" hidden="false" customHeight="false" outlineLevel="0" collapsed="false">
      <c r="A24" s="1353" t="s">
        <v>1106</v>
      </c>
      <c r="B24" s="1434" t="n">
        <v>3.86</v>
      </c>
      <c r="C24" s="1435" t="n">
        <v>9.36</v>
      </c>
      <c r="D24" s="1436" t="n">
        <v>9.36</v>
      </c>
      <c r="E24" s="1437" t="n">
        <v>9.36</v>
      </c>
      <c r="F24" s="1437" t="n">
        <v>9.36</v>
      </c>
      <c r="G24" s="1437" t="n">
        <v>9.36</v>
      </c>
      <c r="H24" s="1438" t="n">
        <v>9.36</v>
      </c>
      <c r="I24" s="1439" t="n">
        <v>9.36</v>
      </c>
      <c r="J24" s="1440" t="n">
        <v>9.36</v>
      </c>
      <c r="M24" s="1430" t="s">
        <v>1107</v>
      </c>
      <c r="N24" s="1431"/>
      <c r="O24" s="1441" t="n">
        <v>100279458.280462</v>
      </c>
      <c r="P24" s="1442" t="n">
        <v>100279.458280462</v>
      </c>
    </row>
    <row r="25" customFormat="false" ht="15" hidden="false" customHeight="false" outlineLevel="0" collapsed="false">
      <c r="B25" s="1424"/>
      <c r="C25" s="1372"/>
      <c r="D25" s="1427"/>
      <c r="E25" s="1426"/>
      <c r="F25" s="1426"/>
      <c r="G25" s="1426"/>
      <c r="H25" s="1428"/>
      <c r="I25" s="1383"/>
      <c r="J25" s="1384"/>
      <c r="M25" s="1430" t="s">
        <v>1108</v>
      </c>
      <c r="N25" s="1431"/>
      <c r="O25" s="1431"/>
      <c r="P25" s="1443" t="n">
        <v>-14000</v>
      </c>
    </row>
    <row r="26" customFormat="false" ht="15.75" hidden="false" customHeight="false" outlineLevel="0" collapsed="false">
      <c r="A26" s="1353" t="s">
        <v>1109</v>
      </c>
      <c r="B26" s="1434" t="n">
        <v>4.5</v>
      </c>
      <c r="C26" s="1435" t="n">
        <v>0</v>
      </c>
      <c r="D26" s="1444" t="n">
        <v>4.5</v>
      </c>
      <c r="E26" s="1437" t="n">
        <v>4.5</v>
      </c>
      <c r="F26" s="1437" t="n">
        <v>4.5</v>
      </c>
      <c r="G26" s="1437" t="n">
        <v>4.5</v>
      </c>
      <c r="H26" s="1438" t="n">
        <v>4.5</v>
      </c>
      <c r="I26" s="1445" t="n">
        <v>22.5</v>
      </c>
      <c r="J26" s="1440" t="n">
        <v>22.5</v>
      </c>
      <c r="M26" s="1430" t="s">
        <v>1110</v>
      </c>
      <c r="N26" s="1431"/>
      <c r="O26" s="1431"/>
      <c r="P26" s="1442" t="n">
        <v>86279.4582804619</v>
      </c>
    </row>
    <row r="27" customFormat="false" ht="15.75" hidden="false" customHeight="false" outlineLevel="0" collapsed="false">
      <c r="A27" s="1353" t="s">
        <v>1111</v>
      </c>
      <c r="B27" s="1434" t="n">
        <v>3.93</v>
      </c>
      <c r="C27" s="1446" t="n">
        <v>3.54</v>
      </c>
      <c r="D27" s="1444" t="n">
        <v>3.65</v>
      </c>
      <c r="E27" s="1437" t="n">
        <v>3.65</v>
      </c>
      <c r="F27" s="1447" t="n">
        <v>3.88</v>
      </c>
      <c r="G27" s="1437" t="n">
        <v>3.65</v>
      </c>
      <c r="H27" s="1448" t="n">
        <v>3.94</v>
      </c>
      <c r="I27" s="1445" t="n">
        <v>5.17</v>
      </c>
      <c r="J27" s="1449" t="n">
        <v>5.79</v>
      </c>
      <c r="M27" s="1430" t="s">
        <v>1112</v>
      </c>
      <c r="N27" s="1431"/>
      <c r="O27" s="1431"/>
      <c r="P27" s="1442" t="n">
        <v>-71000</v>
      </c>
    </row>
    <row r="28" customFormat="false" ht="15" hidden="false" customHeight="false" outlineLevel="0" collapsed="false">
      <c r="A28" s="1353" t="s">
        <v>1113</v>
      </c>
      <c r="B28" s="1434" t="n">
        <v>0.56</v>
      </c>
      <c r="C28" s="1446" t="n">
        <v>0.53</v>
      </c>
      <c r="D28" s="1436" t="n">
        <v>0.53</v>
      </c>
      <c r="E28" s="1437" t="n">
        <v>0.53</v>
      </c>
      <c r="F28" s="1437" t="n">
        <v>0.53</v>
      </c>
      <c r="G28" s="1437" t="n">
        <v>0.53</v>
      </c>
      <c r="H28" s="1438" t="n">
        <v>0.53</v>
      </c>
      <c r="I28" s="1439" t="n">
        <v>0.53</v>
      </c>
      <c r="J28" s="1440" t="n">
        <v>0.53</v>
      </c>
      <c r="M28" s="1430" t="s">
        <v>1114</v>
      </c>
      <c r="N28" s="1431"/>
      <c r="O28" s="1431"/>
      <c r="P28" s="1442" t="n">
        <v>-2500</v>
      </c>
    </row>
    <row r="29" customFormat="false" ht="15" hidden="false" customHeight="false" outlineLevel="0" collapsed="false">
      <c r="B29" s="1371"/>
      <c r="C29" s="1372"/>
      <c r="D29" s="1373"/>
      <c r="E29" s="1375"/>
      <c r="F29" s="1375"/>
      <c r="G29" s="1375"/>
      <c r="H29" s="1356"/>
      <c r="I29" s="1383"/>
      <c r="J29" s="1384"/>
      <c r="M29" s="1430" t="s">
        <v>1115</v>
      </c>
      <c r="N29" s="1431"/>
      <c r="O29" s="1450" t="n">
        <v>75</v>
      </c>
      <c r="P29" s="1433" t="n">
        <v>-6866.62869339155</v>
      </c>
    </row>
    <row r="30" customFormat="false" ht="15.75" hidden="false" customHeight="false" outlineLevel="0" collapsed="false">
      <c r="A30" s="1353" t="s">
        <v>1116</v>
      </c>
      <c r="B30" s="1385" t="s">
        <v>1117</v>
      </c>
      <c r="C30" s="1451" t="s">
        <v>1117</v>
      </c>
      <c r="D30" s="1452" t="s">
        <v>1117</v>
      </c>
      <c r="E30" s="1452" t="s">
        <v>1117</v>
      </c>
      <c r="F30" s="1452" t="s">
        <v>1118</v>
      </c>
      <c r="G30" s="1452" t="s">
        <v>1117</v>
      </c>
      <c r="H30" s="1453" t="s">
        <v>1118</v>
      </c>
      <c r="I30" s="1454" t="s">
        <v>1117</v>
      </c>
      <c r="J30" s="1455" t="s">
        <v>1118</v>
      </c>
      <c r="M30" s="1456" t="s">
        <v>1119</v>
      </c>
      <c r="N30" s="1457"/>
      <c r="O30" s="1457"/>
      <c r="P30" s="1458" t="n">
        <v>5912.82958707035</v>
      </c>
    </row>
    <row r="31" customFormat="false" ht="15" hidden="false" customHeight="false" outlineLevel="0" collapsed="false">
      <c r="A31" s="1353" t="s">
        <v>1120</v>
      </c>
      <c r="B31" s="1459" t="n">
        <v>36271</v>
      </c>
      <c r="C31" s="1460" t="n">
        <f aca="false">CURVES!$E$3</f>
        <v>36508</v>
      </c>
      <c r="D31" s="1461" t="n">
        <f aca="false">CURVES!$E$3</f>
        <v>36508</v>
      </c>
      <c r="E31" s="1462" t="n">
        <f aca="false">CURVES!$E$3</f>
        <v>36508</v>
      </c>
      <c r="F31" s="1462" t="n">
        <f aca="false">CURVES!$E$3</f>
        <v>36508</v>
      </c>
      <c r="G31" s="1462" t="n">
        <f aca="false">CURVES!$E$3</f>
        <v>36508</v>
      </c>
      <c r="H31" s="1463" t="n">
        <f aca="false">CURVES!$E$3</f>
        <v>36508</v>
      </c>
      <c r="I31" s="1464" t="n">
        <f aca="false">CURVES!$E$3</f>
        <v>36508</v>
      </c>
      <c r="J31" s="1465" t="n">
        <f aca="false">CURVES!$E$3</f>
        <v>36508</v>
      </c>
    </row>
    <row r="32" customFormat="false" ht="15" hidden="false" customHeight="false" outlineLevel="0" collapsed="false">
      <c r="A32" s="1353" t="s">
        <v>1121</v>
      </c>
      <c r="B32" s="1385" t="s">
        <v>1122</v>
      </c>
      <c r="C32" s="1386" t="s">
        <v>1122</v>
      </c>
      <c r="D32" s="1394" t="s">
        <v>1122</v>
      </c>
      <c r="E32" s="1396" t="s">
        <v>1122</v>
      </c>
      <c r="F32" s="1396" t="s">
        <v>1122</v>
      </c>
      <c r="G32" s="1388" t="s">
        <v>1122</v>
      </c>
      <c r="H32" s="1389" t="s">
        <v>1122</v>
      </c>
      <c r="I32" s="1395" t="s">
        <v>1122</v>
      </c>
      <c r="J32" s="1391" t="s">
        <v>1122</v>
      </c>
    </row>
    <row r="33" customFormat="false" ht="15" hidden="false" customHeight="false" outlineLevel="0" collapsed="false">
      <c r="A33" s="1353" t="s">
        <v>1123</v>
      </c>
      <c r="B33" s="1466" t="n">
        <v>0.02</v>
      </c>
      <c r="C33" s="1467" t="n">
        <v>0.02</v>
      </c>
      <c r="D33" s="1468" t="n">
        <v>0.02</v>
      </c>
      <c r="E33" s="1469" t="n">
        <v>0.02</v>
      </c>
      <c r="F33" s="1469" t="n">
        <v>0.02</v>
      </c>
      <c r="G33" s="1469" t="n">
        <v>0.02</v>
      </c>
      <c r="H33" s="1470" t="n">
        <v>0.02</v>
      </c>
      <c r="I33" s="1471" t="n">
        <v>0.02</v>
      </c>
      <c r="J33" s="1472" t="n">
        <v>0.02</v>
      </c>
    </row>
    <row r="34" customFormat="false" ht="15" hidden="false" customHeight="false" outlineLevel="0" collapsed="false">
      <c r="B34" s="1473"/>
      <c r="C34" s="1474"/>
      <c r="D34" s="1475"/>
      <c r="E34" s="1476"/>
      <c r="F34" s="1476"/>
      <c r="G34" s="1476"/>
      <c r="H34" s="1477"/>
      <c r="I34" s="1478"/>
      <c r="J34" s="1479"/>
    </row>
    <row r="35" customFormat="false" ht="15.75" hidden="false" customHeight="false" outlineLevel="0" collapsed="false">
      <c r="A35" s="1353" t="s">
        <v>1124</v>
      </c>
      <c r="B35" s="1473" t="s">
        <v>1125</v>
      </c>
      <c r="C35" s="1480" t="s">
        <v>1125</v>
      </c>
      <c r="D35" s="1476" t="s">
        <v>1125</v>
      </c>
      <c r="E35" s="1476" t="s">
        <v>1125</v>
      </c>
      <c r="F35" s="1476" t="s">
        <v>1125</v>
      </c>
      <c r="G35" s="1476" t="s">
        <v>1125</v>
      </c>
      <c r="H35" s="1475" t="s">
        <v>1125</v>
      </c>
      <c r="I35" s="1475" t="s">
        <v>1125</v>
      </c>
      <c r="J35" s="1479" t="s">
        <v>1125</v>
      </c>
    </row>
    <row r="36" customFormat="false" ht="15.75" hidden="false" customHeight="false" outlineLevel="0" collapsed="false">
      <c r="A36" s="1353" t="s">
        <v>1126</v>
      </c>
      <c r="B36" s="1424" t="n">
        <v>64</v>
      </c>
      <c r="C36" s="1425" t="n">
        <v>60.5</v>
      </c>
      <c r="D36" s="1481" t="n">
        <v>66.4</v>
      </c>
      <c r="E36" s="1426" t="n">
        <v>66.4</v>
      </c>
      <c r="F36" s="1426" t="n">
        <v>66.4</v>
      </c>
      <c r="G36" s="1426" t="n">
        <v>66.4</v>
      </c>
      <c r="H36" s="1428" t="n">
        <v>66.4</v>
      </c>
      <c r="I36" s="1482" t="n">
        <v>82.5</v>
      </c>
      <c r="J36" s="1429" t="n">
        <v>82.5</v>
      </c>
    </row>
    <row r="37" customFormat="false" ht="15" hidden="false" customHeight="false" outlineLevel="0" collapsed="false">
      <c r="A37" s="1353" t="s">
        <v>266</v>
      </c>
      <c r="B37" s="1466" t="n">
        <v>0.075</v>
      </c>
      <c r="C37" s="1467" t="n">
        <v>0.075</v>
      </c>
      <c r="D37" s="1468" t="n">
        <v>0.075</v>
      </c>
      <c r="E37" s="1469" t="n">
        <v>0.075</v>
      </c>
      <c r="F37" s="1469" t="n">
        <v>0.075</v>
      </c>
      <c r="G37" s="1469" t="n">
        <v>0.075</v>
      </c>
      <c r="H37" s="1470" t="n">
        <v>0.075</v>
      </c>
      <c r="I37" s="1471" t="n">
        <v>0.075</v>
      </c>
      <c r="J37" s="1472" t="n">
        <v>0.075</v>
      </c>
    </row>
    <row r="38" customFormat="false" ht="15.75" hidden="false" customHeight="false" outlineLevel="0" collapsed="false">
      <c r="A38" s="1353" t="s">
        <v>1127</v>
      </c>
      <c r="B38" s="1385" t="n">
        <v>15</v>
      </c>
      <c r="C38" s="1483" t="n">
        <v>17</v>
      </c>
      <c r="D38" s="1394" t="n">
        <v>17</v>
      </c>
      <c r="E38" s="1388" t="n">
        <v>17</v>
      </c>
      <c r="F38" s="1388" t="n">
        <v>17</v>
      </c>
      <c r="G38" s="1388" t="n">
        <v>17</v>
      </c>
      <c r="H38" s="1394" t="n">
        <v>17</v>
      </c>
      <c r="I38" s="1395" t="n">
        <v>17</v>
      </c>
      <c r="J38" s="1391" t="n">
        <v>17</v>
      </c>
    </row>
    <row r="39" customFormat="false" ht="15" hidden="false" customHeight="false" outlineLevel="0" collapsed="false">
      <c r="B39" s="1371"/>
      <c r="C39" s="1372"/>
      <c r="D39" s="1373"/>
      <c r="E39" s="1375"/>
      <c r="F39" s="1375"/>
      <c r="G39" s="1375"/>
      <c r="H39" s="1356"/>
      <c r="I39" s="1383"/>
      <c r="J39" s="1384"/>
    </row>
    <row r="40" customFormat="false" ht="15.75" hidden="false" customHeight="false" outlineLevel="0" collapsed="false">
      <c r="A40" s="1379" t="s">
        <v>1128</v>
      </c>
      <c r="B40" s="1371"/>
      <c r="C40" s="1372"/>
      <c r="D40" s="1373"/>
      <c r="E40" s="1375"/>
      <c r="F40" s="1375"/>
      <c r="G40" s="1375"/>
      <c r="H40" s="1356"/>
      <c r="I40" s="1383"/>
      <c r="J40" s="1384"/>
    </row>
    <row r="41" customFormat="false" ht="15.75" hidden="false" customHeight="false" outlineLevel="0" collapsed="false">
      <c r="A41" s="1379"/>
      <c r="B41" s="1371"/>
      <c r="C41" s="1372"/>
      <c r="D41" s="1373"/>
      <c r="E41" s="1375"/>
      <c r="F41" s="1375"/>
      <c r="G41" s="1375"/>
      <c r="H41" s="1356"/>
      <c r="I41" s="1383"/>
      <c r="J41" s="1384"/>
    </row>
    <row r="42" customFormat="false" ht="15.75" hidden="false" customHeight="false" outlineLevel="0" collapsed="false">
      <c r="A42" s="1353" t="s">
        <v>1129</v>
      </c>
      <c r="B42" s="1484" t="n">
        <v>14.5</v>
      </c>
      <c r="C42" s="1425" t="n">
        <v>16.7</v>
      </c>
      <c r="D42" s="1481" t="n">
        <v>17.6</v>
      </c>
      <c r="E42" s="1485" t="n">
        <v>17.6</v>
      </c>
      <c r="F42" s="1485" t="n">
        <v>17.6</v>
      </c>
      <c r="G42" s="1485" t="n">
        <v>17.6</v>
      </c>
      <c r="H42" s="1486" t="n">
        <v>17.6</v>
      </c>
      <c r="I42" s="1482" t="n">
        <v>21.2</v>
      </c>
      <c r="J42" s="1487" t="n">
        <v>21.2</v>
      </c>
    </row>
    <row r="43" customFormat="false" ht="15.75" hidden="false" customHeight="false" outlineLevel="0" collapsed="false">
      <c r="A43" s="1353" t="s">
        <v>1130</v>
      </c>
      <c r="B43" s="1484" t="n">
        <v>2.1</v>
      </c>
      <c r="C43" s="1425" t="n">
        <v>-1.9</v>
      </c>
      <c r="D43" s="1481" t="n">
        <v>1.4</v>
      </c>
      <c r="E43" s="1485" t="n">
        <v>2.8</v>
      </c>
      <c r="F43" s="1485" t="n">
        <v>4.3</v>
      </c>
      <c r="G43" s="1485" t="n">
        <v>3.5</v>
      </c>
      <c r="H43" s="1486" t="n">
        <v>4.5</v>
      </c>
      <c r="I43" s="1482" t="n">
        <v>7.4</v>
      </c>
      <c r="J43" s="1487" t="n">
        <v>8</v>
      </c>
    </row>
    <row r="44" customFormat="false" ht="15.75" hidden="false" customHeight="false" outlineLevel="0" collapsed="false">
      <c r="A44" s="1353" t="s">
        <v>1131</v>
      </c>
      <c r="B44" s="1488" t="n">
        <v>0.12</v>
      </c>
      <c r="C44" s="1489" t="n">
        <v>0.1037</v>
      </c>
      <c r="D44" s="1490" t="n">
        <v>0.132</v>
      </c>
      <c r="E44" s="1491" t="n">
        <v>0.144</v>
      </c>
      <c r="F44" s="1491" t="n">
        <v>0.151</v>
      </c>
      <c r="G44" s="1491" t="n">
        <v>0.151</v>
      </c>
      <c r="H44" s="1492" t="n">
        <v>0.152</v>
      </c>
      <c r="I44" s="1493" t="n">
        <v>0.175</v>
      </c>
      <c r="J44" s="1494" t="n">
        <v>0.167</v>
      </c>
    </row>
    <row r="45" customFormat="false" ht="16.5" hidden="false" customHeight="false" outlineLevel="0" collapsed="false">
      <c r="A45" s="1353" t="s">
        <v>1132</v>
      </c>
      <c r="B45" s="1495" t="s">
        <v>1133</v>
      </c>
      <c r="C45" s="1496" t="s">
        <v>1134</v>
      </c>
      <c r="D45" s="1497" t="s">
        <v>1135</v>
      </c>
      <c r="E45" s="1498" t="s">
        <v>1136</v>
      </c>
      <c r="F45" s="1498" t="s">
        <v>1137</v>
      </c>
      <c r="G45" s="1498" t="s">
        <v>1138</v>
      </c>
      <c r="H45" s="1499" t="s">
        <v>1137</v>
      </c>
      <c r="I45" s="1500" t="s">
        <v>1139</v>
      </c>
      <c r="J45" s="1501" t="s">
        <v>1140</v>
      </c>
    </row>
    <row r="48" customFormat="false" ht="15" hidden="false" customHeight="false" outlineLevel="0" collapsed="false">
      <c r="A48" s="1378" t="s">
        <v>1141</v>
      </c>
    </row>
    <row r="49" customFormat="false" ht="15" hidden="false" customHeight="false" outlineLevel="0" collapsed="false">
      <c r="A49" s="1353" t="s">
        <v>1142</v>
      </c>
    </row>
    <row r="50" customFormat="false" ht="15" hidden="false" customHeight="false" outlineLevel="0" collapsed="false">
      <c r="A50" s="1353" t="s">
        <v>1143</v>
      </c>
    </row>
    <row r="52" customFormat="false" ht="15" hidden="false" customHeight="false" outlineLevel="0" collapsed="false">
      <c r="A52" s="1378" t="s">
        <v>1144</v>
      </c>
    </row>
    <row r="53" customFormat="false" ht="15.75" hidden="false" customHeight="false" outlineLevel="0" collapsed="false">
      <c r="A53" s="1353" t="s">
        <v>1145</v>
      </c>
      <c r="E53" s="0"/>
      <c r="F53" s="0"/>
      <c r="K53" s="1502"/>
      <c r="L53" s="1503" t="s">
        <v>0</v>
      </c>
      <c r="M53" s="1356"/>
      <c r="N53" s="1504" t="s">
        <v>0</v>
      </c>
      <c r="O53" s="1356"/>
      <c r="P53" s="1505" t="s">
        <v>0</v>
      </c>
      <c r="Q53" s="1356"/>
      <c r="R53" s="1504" t="s">
        <v>0</v>
      </c>
    </row>
    <row r="54" customFormat="false" ht="15.75" hidden="false" customHeight="false" outlineLevel="0" collapsed="false">
      <c r="A54" s="1353" t="s">
        <v>1146</v>
      </c>
      <c r="E54" s="1356"/>
      <c r="F54" s="1356"/>
      <c r="G54" s="1356"/>
      <c r="H54" s="1356"/>
      <c r="I54" s="1356"/>
      <c r="J54" s="1356"/>
      <c r="O54" s="1356"/>
      <c r="Q54" s="1356"/>
      <c r="S54" s="1506"/>
    </row>
    <row r="55" customFormat="false" ht="15.75" hidden="false" customHeight="false" outlineLevel="0" collapsed="false">
      <c r="A55" s="1353" t="s">
        <v>1147</v>
      </c>
      <c r="E55" s="1504"/>
      <c r="F55" s="1504"/>
      <c r="G55" s="1503"/>
      <c r="H55" s="1503"/>
      <c r="O55" s="1470"/>
      <c r="Q55" s="1356"/>
      <c r="S55" s="1356"/>
    </row>
    <row r="56" customFormat="false" ht="15" hidden="false" customHeight="false" outlineLevel="0" collapsed="false">
      <c r="E56" s="1428"/>
      <c r="F56" s="1428"/>
      <c r="G56" s="1428"/>
      <c r="H56" s="1428"/>
      <c r="O56" s="1356"/>
      <c r="Q56" s="1356"/>
      <c r="S56" s="1356"/>
    </row>
    <row r="57" customFormat="false" ht="15" hidden="false" customHeight="false" outlineLevel="0" collapsed="false">
      <c r="E57" s="1408"/>
      <c r="F57" s="1408"/>
      <c r="G57" s="1408"/>
      <c r="H57" s="1408"/>
      <c r="S57" s="1356"/>
    </row>
    <row r="58" customFormat="false" ht="15" hidden="false" customHeight="false" outlineLevel="0" collapsed="false">
      <c r="K58" s="1408"/>
      <c r="L58" s="1408"/>
      <c r="M58" s="1408"/>
    </row>
    <row r="59" customFormat="false" ht="15" hidden="false" customHeight="false" outlineLevel="0" collapsed="false">
      <c r="E59" s="1408"/>
      <c r="F59" s="1408"/>
      <c r="G59" s="1408"/>
      <c r="H59" s="1408"/>
      <c r="I59" s="1408"/>
      <c r="J59" s="1408"/>
    </row>
    <row r="95" customFormat="false" ht="15" hidden="false" customHeight="false" outlineLevel="0" collapsed="false">
      <c r="C95" s="1355"/>
      <c r="D95" s="1355"/>
    </row>
    <row r="96" customFormat="false" ht="15" hidden="false" customHeight="false" outlineLevel="0" collapsed="false">
      <c r="C96" s="1355"/>
      <c r="D96" s="1355"/>
    </row>
    <row r="97" customFormat="false" ht="15" hidden="false" customHeight="false" outlineLevel="0" collapsed="false">
      <c r="C97" s="1355"/>
      <c r="D97" s="1355"/>
    </row>
    <row r="98" customFormat="false" ht="15" hidden="false" customHeight="false" outlineLevel="0" collapsed="false">
      <c r="C98" s="1355"/>
      <c r="D98" s="1355"/>
    </row>
    <row r="99" customFormat="false" ht="15" hidden="false" customHeight="false" outlineLevel="0" collapsed="false">
      <c r="C99" s="1355"/>
      <c r="D99" s="1355"/>
    </row>
    <row r="100" customFormat="false" ht="15" hidden="false" customHeight="false" outlineLevel="0" collapsed="false">
      <c r="C100" s="1355"/>
      <c r="D100" s="1355"/>
    </row>
    <row r="101" customFormat="false" ht="15" hidden="false" customHeight="false" outlineLevel="0" collapsed="false">
      <c r="C101" s="1355"/>
      <c r="D101" s="1355"/>
    </row>
    <row r="102" customFormat="false" ht="15" hidden="false" customHeight="false" outlineLevel="0" collapsed="false">
      <c r="C102" s="1355"/>
      <c r="D102" s="1355"/>
    </row>
    <row r="103" customFormat="false" ht="15" hidden="false" customHeight="false" outlineLevel="0" collapsed="false">
      <c r="C103" s="1355"/>
      <c r="D103" s="1355"/>
    </row>
    <row r="104" customFormat="false" ht="15" hidden="false" customHeight="false" outlineLevel="0" collapsed="false">
      <c r="C104" s="1355"/>
      <c r="D104" s="1355"/>
    </row>
    <row r="105" customFormat="false" ht="15" hidden="false" customHeight="false" outlineLevel="0" collapsed="false">
      <c r="C105" s="1355"/>
      <c r="D105" s="1355"/>
    </row>
    <row r="106" customFormat="false" ht="15" hidden="false" customHeight="false" outlineLevel="0" collapsed="false">
      <c r="C106" s="1355"/>
      <c r="D106" s="1355"/>
    </row>
    <row r="107" customFormat="false" ht="15" hidden="false" customHeight="false" outlineLevel="0" collapsed="false">
      <c r="C107" s="1355"/>
      <c r="D107" s="1355"/>
    </row>
    <row r="108" customFormat="false" ht="15" hidden="false" customHeight="false" outlineLevel="0" collapsed="false">
      <c r="C108" s="1355"/>
      <c r="D108" s="1355"/>
    </row>
    <row r="109" customFormat="false" ht="15" hidden="false" customHeight="false" outlineLevel="0" collapsed="false">
      <c r="C109" s="1355"/>
      <c r="D109" s="1355"/>
    </row>
    <row r="110" customFormat="false" ht="15" hidden="false" customHeight="false" outlineLevel="0" collapsed="false">
      <c r="C110" s="1355"/>
      <c r="D110" s="1355"/>
    </row>
    <row r="111" customFormat="false" ht="15" hidden="false" customHeight="false" outlineLevel="0" collapsed="false">
      <c r="C111" s="1355"/>
      <c r="D111" s="1355"/>
    </row>
    <row r="112" customFormat="false" ht="15" hidden="false" customHeight="false" outlineLevel="0" collapsed="false">
      <c r="C112" s="1355"/>
      <c r="D112" s="1355"/>
    </row>
    <row r="113" customFormat="false" ht="15" hidden="false" customHeight="false" outlineLevel="0" collapsed="false">
      <c r="C113" s="1355"/>
      <c r="D113" s="1355"/>
    </row>
    <row r="114" customFormat="false" ht="15" hidden="false" customHeight="false" outlineLevel="0" collapsed="false">
      <c r="C114" s="1355"/>
      <c r="D114" s="1355"/>
    </row>
    <row r="115" customFormat="false" ht="15" hidden="false" customHeight="false" outlineLevel="0" collapsed="false">
      <c r="C115" s="1355"/>
      <c r="D115" s="1355"/>
    </row>
    <row r="116" customFormat="false" ht="15" hidden="false" customHeight="false" outlineLevel="0" collapsed="false">
      <c r="C116" s="1355"/>
      <c r="D116" s="1355"/>
    </row>
    <row r="117" customFormat="false" ht="15" hidden="false" customHeight="false" outlineLevel="0" collapsed="false">
      <c r="C117" s="1355"/>
      <c r="D117" s="1355"/>
    </row>
    <row r="118" customFormat="false" ht="15" hidden="false" customHeight="false" outlineLevel="0" collapsed="false">
      <c r="C118" s="1355"/>
      <c r="D118" s="1355"/>
    </row>
    <row r="119" customFormat="false" ht="15" hidden="false" customHeight="false" outlineLevel="0" collapsed="false">
      <c r="C119" s="1355"/>
      <c r="D119" s="1355"/>
    </row>
    <row r="120" customFormat="false" ht="15" hidden="false" customHeight="false" outlineLevel="0" collapsed="false">
      <c r="C120" s="1355"/>
      <c r="D120" s="1355"/>
    </row>
    <row r="121" customFormat="false" ht="15" hidden="false" customHeight="false" outlineLevel="0" collapsed="false">
      <c r="C121" s="1355"/>
      <c r="D121" s="1355"/>
    </row>
    <row r="122" customFormat="false" ht="15" hidden="false" customHeight="false" outlineLevel="0" collapsed="false">
      <c r="C122" s="1355"/>
      <c r="D122" s="1355"/>
    </row>
    <row r="123" customFormat="false" ht="15" hidden="false" customHeight="false" outlineLevel="0" collapsed="false">
      <c r="C123" s="1355"/>
      <c r="D123" s="1355"/>
    </row>
    <row r="124" customFormat="false" ht="15" hidden="false" customHeight="false" outlineLevel="0" collapsed="false">
      <c r="C124" s="1355"/>
      <c r="D124" s="1355"/>
    </row>
    <row r="125" customFormat="false" ht="15" hidden="false" customHeight="false" outlineLevel="0" collapsed="false">
      <c r="C125" s="1355"/>
      <c r="D125" s="1355"/>
    </row>
    <row r="126" customFormat="false" ht="15" hidden="false" customHeight="false" outlineLevel="0" collapsed="false">
      <c r="C126" s="1355"/>
      <c r="D126" s="1355"/>
    </row>
    <row r="127" customFormat="false" ht="15" hidden="false" customHeight="false" outlineLevel="0" collapsed="false">
      <c r="C127" s="1355"/>
      <c r="D127" s="1355"/>
    </row>
    <row r="128" customFormat="false" ht="15" hidden="false" customHeight="false" outlineLevel="0" collapsed="false">
      <c r="C128" s="1355"/>
      <c r="D128" s="1355"/>
    </row>
    <row r="129" customFormat="false" ht="15" hidden="false" customHeight="false" outlineLevel="0" collapsed="false">
      <c r="C129" s="1355"/>
      <c r="D129" s="1355"/>
    </row>
    <row r="130" customFormat="false" ht="15" hidden="false" customHeight="false" outlineLevel="0" collapsed="false">
      <c r="C130" s="1355"/>
      <c r="D130" s="1355"/>
    </row>
    <row r="131" customFormat="false" ht="15" hidden="false" customHeight="false" outlineLevel="0" collapsed="false">
      <c r="C131" s="1355"/>
      <c r="D131" s="1355"/>
    </row>
    <row r="132" customFormat="false" ht="15" hidden="false" customHeight="false" outlineLevel="0" collapsed="false">
      <c r="C132" s="1355"/>
      <c r="D132" s="1355"/>
    </row>
    <row r="133" customFormat="false" ht="15" hidden="false" customHeight="false" outlineLevel="0" collapsed="false">
      <c r="C133" s="1355"/>
      <c r="D133" s="1355"/>
    </row>
    <row r="134" customFormat="false" ht="15" hidden="false" customHeight="false" outlineLevel="0" collapsed="false">
      <c r="C134" s="1355"/>
      <c r="D134" s="1355"/>
    </row>
    <row r="135" customFormat="false" ht="15" hidden="false" customHeight="false" outlineLevel="0" collapsed="false">
      <c r="C135" s="1355"/>
      <c r="D135" s="1355"/>
    </row>
    <row r="136" customFormat="false" ht="15" hidden="false" customHeight="false" outlineLevel="0" collapsed="false">
      <c r="C136" s="1355"/>
      <c r="D136" s="1355"/>
    </row>
    <row r="137" customFormat="false" ht="15" hidden="false" customHeight="false" outlineLevel="0" collapsed="false">
      <c r="C137" s="1355"/>
      <c r="D137" s="1355"/>
    </row>
    <row r="138" customFormat="false" ht="15" hidden="false" customHeight="false" outlineLevel="0" collapsed="false">
      <c r="C138" s="1355"/>
      <c r="D138" s="1355"/>
    </row>
    <row r="139" customFormat="false" ht="15" hidden="false" customHeight="false" outlineLevel="0" collapsed="false">
      <c r="C139" s="1355"/>
      <c r="D139" s="1355"/>
    </row>
    <row r="140" customFormat="false" ht="15" hidden="false" customHeight="false" outlineLevel="0" collapsed="false">
      <c r="C140" s="1355"/>
      <c r="D140" s="1355"/>
    </row>
    <row r="141" customFormat="false" ht="15" hidden="false" customHeight="false" outlineLevel="0" collapsed="false">
      <c r="C141" s="1355"/>
      <c r="D141" s="1355"/>
    </row>
    <row r="142" customFormat="false" ht="15" hidden="false" customHeight="false" outlineLevel="0" collapsed="false">
      <c r="C142" s="1355"/>
      <c r="D142" s="1355"/>
    </row>
    <row r="143" customFormat="false" ht="15" hidden="false" customHeight="false" outlineLevel="0" collapsed="false">
      <c r="C143" s="1355"/>
      <c r="D143" s="1355"/>
    </row>
    <row r="144" customFormat="false" ht="15" hidden="false" customHeight="false" outlineLevel="0" collapsed="false">
      <c r="C144" s="1355"/>
      <c r="D144" s="1355"/>
    </row>
    <row r="145" customFormat="false" ht="15" hidden="false" customHeight="false" outlineLevel="0" collapsed="false">
      <c r="C145" s="1355"/>
      <c r="D145" s="1355"/>
    </row>
    <row r="146" customFormat="false" ht="15" hidden="false" customHeight="false" outlineLevel="0" collapsed="false">
      <c r="C146" s="1355"/>
      <c r="D146" s="1355"/>
    </row>
    <row r="147" customFormat="false" ht="15" hidden="false" customHeight="false" outlineLevel="0" collapsed="false">
      <c r="C147" s="1355"/>
      <c r="D147" s="1355"/>
    </row>
    <row r="148" customFormat="false" ht="15" hidden="false" customHeight="false" outlineLevel="0" collapsed="false">
      <c r="C148" s="1355"/>
      <c r="D148" s="1355"/>
    </row>
    <row r="149" customFormat="false" ht="15" hidden="false" customHeight="false" outlineLevel="0" collapsed="false">
      <c r="C149" s="1355"/>
      <c r="D149" s="1355"/>
    </row>
    <row r="150" customFormat="false" ht="15" hidden="false" customHeight="false" outlineLevel="0" collapsed="false">
      <c r="C150" s="1355"/>
      <c r="D150" s="1355"/>
    </row>
    <row r="151" customFormat="false" ht="15" hidden="false" customHeight="false" outlineLevel="0" collapsed="false">
      <c r="C151" s="1355"/>
      <c r="D151" s="1355"/>
    </row>
    <row r="152" customFormat="false" ht="15" hidden="false" customHeight="false" outlineLevel="0" collapsed="false">
      <c r="C152" s="1355"/>
      <c r="D152" s="1355"/>
    </row>
    <row r="153" customFormat="false" ht="15" hidden="false" customHeight="false" outlineLevel="0" collapsed="false">
      <c r="C153" s="1355"/>
      <c r="D153" s="1355"/>
    </row>
    <row r="154" customFormat="false" ht="15" hidden="false" customHeight="false" outlineLevel="0" collapsed="false">
      <c r="C154" s="1355"/>
      <c r="D154" s="1355"/>
    </row>
    <row r="155" customFormat="false" ht="15" hidden="false" customHeight="false" outlineLevel="0" collapsed="false">
      <c r="C155" s="1355"/>
      <c r="D155" s="1355"/>
    </row>
    <row r="156" customFormat="false" ht="15" hidden="false" customHeight="false" outlineLevel="0" collapsed="false">
      <c r="C156" s="1355"/>
      <c r="D156" s="1355"/>
    </row>
    <row r="157" customFormat="false" ht="15" hidden="false" customHeight="false" outlineLevel="0" collapsed="false">
      <c r="C157" s="1355"/>
      <c r="D157" s="1355"/>
    </row>
    <row r="158" customFormat="false" ht="15" hidden="false" customHeight="false" outlineLevel="0" collapsed="false">
      <c r="C158" s="1355"/>
      <c r="D158" s="1355"/>
    </row>
    <row r="159" customFormat="false" ht="15" hidden="false" customHeight="false" outlineLevel="0" collapsed="false">
      <c r="C159" s="1355"/>
      <c r="D159" s="1355"/>
    </row>
    <row r="160" customFormat="false" ht="15" hidden="false" customHeight="false" outlineLevel="0" collapsed="false">
      <c r="C160" s="1355"/>
      <c r="D160" s="1355"/>
    </row>
    <row r="161" customFormat="false" ht="15" hidden="false" customHeight="false" outlineLevel="0" collapsed="false">
      <c r="C161" s="1355"/>
      <c r="D161" s="1355"/>
    </row>
    <row r="162" customFormat="false" ht="15" hidden="false" customHeight="false" outlineLevel="0" collapsed="false">
      <c r="C162" s="1355"/>
      <c r="D162" s="1355"/>
    </row>
    <row r="163" customFormat="false" ht="15" hidden="false" customHeight="false" outlineLevel="0" collapsed="false">
      <c r="C163" s="1355"/>
      <c r="D163" s="1355"/>
    </row>
    <row r="164" customFormat="false" ht="15" hidden="false" customHeight="false" outlineLevel="0" collapsed="false">
      <c r="C164" s="1355"/>
      <c r="D164" s="1355"/>
    </row>
    <row r="165" customFormat="false" ht="15" hidden="false" customHeight="false" outlineLevel="0" collapsed="false">
      <c r="C165" s="1355"/>
      <c r="D165" s="1355"/>
    </row>
    <row r="166" customFormat="false" ht="15" hidden="false" customHeight="false" outlineLevel="0" collapsed="false">
      <c r="C166" s="1355"/>
      <c r="D166" s="1355"/>
    </row>
    <row r="167" customFormat="false" ht="15" hidden="false" customHeight="false" outlineLevel="0" collapsed="false">
      <c r="C167" s="1355"/>
      <c r="D167" s="1355"/>
    </row>
    <row r="168" customFormat="false" ht="15" hidden="false" customHeight="false" outlineLevel="0" collapsed="false">
      <c r="C168" s="1355"/>
      <c r="D168" s="1355"/>
    </row>
    <row r="169" customFormat="false" ht="15" hidden="false" customHeight="false" outlineLevel="0" collapsed="false">
      <c r="C169" s="1355"/>
      <c r="D169" s="1355"/>
    </row>
    <row r="170" customFormat="false" ht="15" hidden="false" customHeight="false" outlineLevel="0" collapsed="false">
      <c r="C170" s="1355"/>
      <c r="D170" s="1355"/>
    </row>
    <row r="171" customFormat="false" ht="15" hidden="false" customHeight="false" outlineLevel="0" collapsed="false">
      <c r="C171" s="1355"/>
      <c r="D171" s="1355"/>
    </row>
    <row r="172" customFormat="false" ht="15" hidden="false" customHeight="false" outlineLevel="0" collapsed="false">
      <c r="C172" s="1355"/>
      <c r="D172" s="1355"/>
    </row>
    <row r="173" customFormat="false" ht="15" hidden="false" customHeight="false" outlineLevel="0" collapsed="false">
      <c r="C173" s="1355"/>
      <c r="D173" s="1355"/>
    </row>
    <row r="174" customFormat="false" ht="15" hidden="false" customHeight="false" outlineLevel="0" collapsed="false">
      <c r="C174" s="1355"/>
      <c r="D174" s="1355"/>
    </row>
    <row r="175" customFormat="false" ht="15" hidden="false" customHeight="false" outlineLevel="0" collapsed="false">
      <c r="C175" s="1355"/>
      <c r="D175" s="1355"/>
    </row>
    <row r="176" customFormat="false" ht="15" hidden="false" customHeight="false" outlineLevel="0" collapsed="false">
      <c r="C176" s="1355"/>
      <c r="D176" s="1355"/>
    </row>
    <row r="177" customFormat="false" ht="15" hidden="false" customHeight="false" outlineLevel="0" collapsed="false">
      <c r="C177" s="1355"/>
      <c r="D177" s="1355"/>
    </row>
    <row r="178" customFormat="false" ht="15" hidden="false" customHeight="false" outlineLevel="0" collapsed="false">
      <c r="C178" s="1355"/>
      <c r="D178" s="1355"/>
    </row>
    <row r="179" customFormat="false" ht="15" hidden="false" customHeight="false" outlineLevel="0" collapsed="false">
      <c r="C179" s="1355"/>
      <c r="D179" s="1355"/>
    </row>
    <row r="180" customFormat="false" ht="15" hidden="false" customHeight="false" outlineLevel="0" collapsed="false">
      <c r="C180" s="1355"/>
      <c r="D180" s="1355"/>
    </row>
    <row r="181" customFormat="false" ht="15" hidden="false" customHeight="false" outlineLevel="0" collapsed="false">
      <c r="C181" s="1355"/>
      <c r="D181" s="1355"/>
    </row>
    <row r="182" customFormat="false" ht="15" hidden="false" customHeight="false" outlineLevel="0" collapsed="false">
      <c r="C182" s="1355"/>
      <c r="D182" s="1355"/>
    </row>
    <row r="183" customFormat="false" ht="15" hidden="false" customHeight="false" outlineLevel="0" collapsed="false">
      <c r="C183" s="1355"/>
      <c r="D183" s="1355"/>
    </row>
    <row r="184" customFormat="false" ht="15" hidden="false" customHeight="false" outlineLevel="0" collapsed="false">
      <c r="C184" s="1355"/>
      <c r="D184" s="1355"/>
    </row>
    <row r="185" customFormat="false" ht="15" hidden="false" customHeight="false" outlineLevel="0" collapsed="false">
      <c r="C185" s="1355"/>
      <c r="D185" s="1355"/>
    </row>
    <row r="186" customFormat="false" ht="15" hidden="false" customHeight="false" outlineLevel="0" collapsed="false">
      <c r="C186" s="1355"/>
      <c r="D186" s="1355"/>
    </row>
    <row r="187" customFormat="false" ht="15" hidden="false" customHeight="false" outlineLevel="0" collapsed="false">
      <c r="C187" s="1355"/>
      <c r="D187" s="1355"/>
    </row>
    <row r="188" customFormat="false" ht="15" hidden="false" customHeight="false" outlineLevel="0" collapsed="false">
      <c r="C188" s="1355"/>
      <c r="D188" s="1355"/>
    </row>
    <row r="189" customFormat="false" ht="15" hidden="false" customHeight="false" outlineLevel="0" collapsed="false">
      <c r="C189" s="1355"/>
      <c r="D189" s="1355"/>
    </row>
    <row r="190" customFormat="false" ht="15" hidden="false" customHeight="false" outlineLevel="0" collapsed="false">
      <c r="C190" s="1355"/>
      <c r="D190" s="1355"/>
    </row>
    <row r="191" customFormat="false" ht="15" hidden="false" customHeight="false" outlineLevel="0" collapsed="false">
      <c r="C191" s="1355"/>
      <c r="D191" s="1355"/>
    </row>
    <row r="192" customFormat="false" ht="15" hidden="false" customHeight="false" outlineLevel="0" collapsed="false">
      <c r="C192" s="1355"/>
      <c r="D192" s="1355"/>
    </row>
    <row r="193" customFormat="false" ht="15" hidden="false" customHeight="false" outlineLevel="0" collapsed="false">
      <c r="C193" s="1355"/>
      <c r="D193" s="1355"/>
    </row>
    <row r="194" customFormat="false" ht="15" hidden="false" customHeight="false" outlineLevel="0" collapsed="false">
      <c r="C194" s="1355"/>
      <c r="D194" s="1355"/>
    </row>
    <row r="195" customFormat="false" ht="15" hidden="false" customHeight="false" outlineLevel="0" collapsed="false">
      <c r="C195" s="1355"/>
      <c r="D195" s="1355"/>
    </row>
    <row r="196" customFormat="false" ht="15" hidden="false" customHeight="false" outlineLevel="0" collapsed="false">
      <c r="C196" s="1355"/>
      <c r="D196" s="1355"/>
    </row>
    <row r="197" customFormat="false" ht="15" hidden="false" customHeight="false" outlineLevel="0" collapsed="false">
      <c r="C197" s="1355"/>
      <c r="D197" s="1355"/>
    </row>
    <row r="198" customFormat="false" ht="15" hidden="false" customHeight="false" outlineLevel="0" collapsed="false">
      <c r="C198" s="1355"/>
      <c r="D198" s="1355"/>
    </row>
    <row r="199" customFormat="false" ht="15" hidden="false" customHeight="false" outlineLevel="0" collapsed="false">
      <c r="C199" s="1355"/>
      <c r="D199" s="1355"/>
    </row>
    <row r="200" customFormat="false" ht="15" hidden="false" customHeight="false" outlineLevel="0" collapsed="false">
      <c r="C200" s="1355"/>
      <c r="D200" s="1355"/>
    </row>
    <row r="201" customFormat="false" ht="15" hidden="false" customHeight="false" outlineLevel="0" collapsed="false">
      <c r="C201" s="1355"/>
      <c r="D201" s="1355"/>
    </row>
    <row r="202" customFormat="false" ht="15" hidden="false" customHeight="false" outlineLevel="0" collapsed="false">
      <c r="C202" s="1355"/>
      <c r="D202" s="1355"/>
    </row>
    <row r="203" customFormat="false" ht="15" hidden="false" customHeight="false" outlineLevel="0" collapsed="false">
      <c r="C203" s="1355"/>
      <c r="D203" s="1355"/>
    </row>
    <row r="204" customFormat="false" ht="15" hidden="false" customHeight="false" outlineLevel="0" collapsed="false">
      <c r="C204" s="1355"/>
      <c r="D204" s="1355"/>
    </row>
    <row r="205" customFormat="false" ht="15" hidden="false" customHeight="false" outlineLevel="0" collapsed="false">
      <c r="C205" s="1355"/>
      <c r="D205" s="1355"/>
    </row>
    <row r="206" customFormat="false" ht="15" hidden="false" customHeight="false" outlineLevel="0" collapsed="false">
      <c r="C206" s="1355"/>
      <c r="D206" s="1355"/>
    </row>
    <row r="207" customFormat="false" ht="15" hidden="false" customHeight="false" outlineLevel="0" collapsed="false">
      <c r="C207" s="1355"/>
      <c r="D207" s="1355"/>
    </row>
    <row r="208" customFormat="false" ht="15" hidden="false" customHeight="false" outlineLevel="0" collapsed="false">
      <c r="C208" s="1355"/>
      <c r="D208" s="1355"/>
    </row>
    <row r="209" customFormat="false" ht="15" hidden="false" customHeight="false" outlineLevel="0" collapsed="false">
      <c r="C209" s="1355"/>
      <c r="D209" s="1355"/>
    </row>
    <row r="210" customFormat="false" ht="15" hidden="false" customHeight="false" outlineLevel="0" collapsed="false">
      <c r="C210" s="1355"/>
      <c r="D210" s="1355"/>
    </row>
    <row r="211" customFormat="false" ht="15" hidden="false" customHeight="false" outlineLevel="0" collapsed="false">
      <c r="C211" s="1355"/>
      <c r="D211" s="1355"/>
    </row>
    <row r="212" customFormat="false" ht="15" hidden="false" customHeight="false" outlineLevel="0" collapsed="false">
      <c r="C212" s="1355"/>
      <c r="D212" s="1355"/>
    </row>
    <row r="213" customFormat="false" ht="15" hidden="false" customHeight="false" outlineLevel="0" collapsed="false">
      <c r="C213" s="1355"/>
      <c r="D213" s="1355"/>
    </row>
    <row r="214" customFormat="false" ht="15" hidden="false" customHeight="false" outlineLevel="0" collapsed="false">
      <c r="C214" s="1355"/>
      <c r="D214" s="1355"/>
    </row>
    <row r="215" customFormat="false" ht="15" hidden="false" customHeight="false" outlineLevel="0" collapsed="false">
      <c r="C215" s="1355"/>
      <c r="D215" s="1355"/>
    </row>
    <row r="216" customFormat="false" ht="15" hidden="false" customHeight="false" outlineLevel="0" collapsed="false">
      <c r="C216" s="1355"/>
      <c r="D216" s="1355"/>
    </row>
    <row r="217" customFormat="false" ht="15" hidden="false" customHeight="false" outlineLevel="0" collapsed="false">
      <c r="C217" s="1355"/>
      <c r="D217" s="1355"/>
    </row>
    <row r="218" customFormat="false" ht="15" hidden="false" customHeight="false" outlineLevel="0" collapsed="false">
      <c r="C218" s="1355"/>
      <c r="D218" s="1355"/>
    </row>
    <row r="219" customFormat="false" ht="15" hidden="false" customHeight="false" outlineLevel="0" collapsed="false">
      <c r="C219" s="1355"/>
      <c r="D219" s="1355"/>
    </row>
    <row r="220" customFormat="false" ht="15" hidden="false" customHeight="false" outlineLevel="0" collapsed="false">
      <c r="C220" s="1355"/>
      <c r="D220" s="1355"/>
    </row>
    <row r="221" customFormat="false" ht="15" hidden="false" customHeight="false" outlineLevel="0" collapsed="false">
      <c r="C221" s="1355"/>
      <c r="D221" s="1355"/>
    </row>
    <row r="222" customFormat="false" ht="15" hidden="false" customHeight="false" outlineLevel="0" collapsed="false">
      <c r="C222" s="1355"/>
      <c r="D222" s="1355"/>
    </row>
    <row r="223" customFormat="false" ht="15" hidden="false" customHeight="false" outlineLevel="0" collapsed="false">
      <c r="C223" s="1355"/>
      <c r="D223" s="1355"/>
    </row>
    <row r="224" customFormat="false" ht="15" hidden="false" customHeight="false" outlineLevel="0" collapsed="false">
      <c r="C224" s="1355"/>
      <c r="D224" s="1355"/>
    </row>
    <row r="225" customFormat="false" ht="15" hidden="false" customHeight="false" outlineLevel="0" collapsed="false">
      <c r="C225" s="1355"/>
      <c r="D225" s="1355"/>
    </row>
    <row r="226" customFormat="false" ht="15" hidden="false" customHeight="false" outlineLevel="0" collapsed="false">
      <c r="C226" s="1355"/>
      <c r="D226" s="1355"/>
    </row>
    <row r="227" customFormat="false" ht="15" hidden="false" customHeight="false" outlineLevel="0" collapsed="false">
      <c r="C227" s="1355"/>
      <c r="D227" s="1355"/>
    </row>
    <row r="228" customFormat="false" ht="15" hidden="false" customHeight="false" outlineLevel="0" collapsed="false">
      <c r="C228" s="1355"/>
      <c r="D228" s="1355"/>
    </row>
    <row r="229" customFormat="false" ht="15" hidden="false" customHeight="false" outlineLevel="0" collapsed="false">
      <c r="C229" s="1355"/>
      <c r="D229" s="1355"/>
    </row>
    <row r="230" customFormat="false" ht="15" hidden="false" customHeight="false" outlineLevel="0" collapsed="false">
      <c r="C230" s="1355"/>
      <c r="D230" s="1355"/>
    </row>
    <row r="231" customFormat="false" ht="15" hidden="false" customHeight="false" outlineLevel="0" collapsed="false">
      <c r="C231" s="1355"/>
      <c r="D231" s="1355"/>
    </row>
    <row r="232" customFormat="false" ht="15" hidden="false" customHeight="false" outlineLevel="0" collapsed="false">
      <c r="C232" s="1355"/>
      <c r="D232" s="1355"/>
    </row>
    <row r="233" customFormat="false" ht="15" hidden="false" customHeight="false" outlineLevel="0" collapsed="false">
      <c r="C233" s="1355"/>
      <c r="D233" s="1355"/>
    </row>
    <row r="234" customFormat="false" ht="15" hidden="false" customHeight="false" outlineLevel="0" collapsed="false">
      <c r="C234" s="1355"/>
      <c r="D234" s="1355"/>
    </row>
    <row r="235" customFormat="false" ht="15" hidden="false" customHeight="false" outlineLevel="0" collapsed="false">
      <c r="C235" s="1355"/>
      <c r="D235" s="1355"/>
    </row>
    <row r="236" customFormat="false" ht="15" hidden="false" customHeight="false" outlineLevel="0" collapsed="false">
      <c r="C236" s="1355"/>
      <c r="D236" s="1355"/>
    </row>
    <row r="237" customFormat="false" ht="15" hidden="false" customHeight="false" outlineLevel="0" collapsed="false">
      <c r="C237" s="1355"/>
      <c r="D237" s="1355"/>
    </row>
    <row r="238" customFormat="false" ht="15" hidden="false" customHeight="false" outlineLevel="0" collapsed="false">
      <c r="C238" s="1355"/>
      <c r="D238" s="1355"/>
    </row>
    <row r="239" customFormat="false" ht="15" hidden="false" customHeight="false" outlineLevel="0" collapsed="false">
      <c r="C239" s="1355"/>
      <c r="D239" s="1355"/>
    </row>
    <row r="240" customFormat="false" ht="15" hidden="false" customHeight="false" outlineLevel="0" collapsed="false">
      <c r="C240" s="1355"/>
      <c r="D240" s="1355"/>
    </row>
    <row r="241" customFormat="false" ht="15" hidden="false" customHeight="false" outlineLevel="0" collapsed="false">
      <c r="C241" s="1355"/>
      <c r="D241" s="1355"/>
    </row>
    <row r="242" customFormat="false" ht="15" hidden="false" customHeight="false" outlineLevel="0" collapsed="false">
      <c r="C242" s="1355"/>
      <c r="D242" s="1355"/>
    </row>
    <row r="243" customFormat="false" ht="15" hidden="false" customHeight="false" outlineLevel="0" collapsed="false">
      <c r="C243" s="1355"/>
      <c r="D243" s="1355"/>
    </row>
    <row r="244" customFormat="false" ht="15" hidden="false" customHeight="false" outlineLevel="0" collapsed="false">
      <c r="C244" s="1355"/>
      <c r="D244" s="1355"/>
    </row>
    <row r="245" customFormat="false" ht="15" hidden="false" customHeight="false" outlineLevel="0" collapsed="false">
      <c r="C245" s="1355"/>
      <c r="D245" s="1355"/>
    </row>
    <row r="246" customFormat="false" ht="15" hidden="false" customHeight="false" outlineLevel="0" collapsed="false">
      <c r="C246" s="1355"/>
      <c r="D246" s="1355"/>
    </row>
    <row r="247" customFormat="false" ht="15" hidden="false" customHeight="false" outlineLevel="0" collapsed="false">
      <c r="C247" s="1355"/>
      <c r="D247" s="1355"/>
    </row>
    <row r="248" customFormat="false" ht="15" hidden="false" customHeight="false" outlineLevel="0" collapsed="false">
      <c r="C248" s="1355"/>
      <c r="D248" s="1355"/>
    </row>
    <row r="249" customFormat="false" ht="15" hidden="false" customHeight="false" outlineLevel="0" collapsed="false">
      <c r="C249" s="1355"/>
      <c r="D249" s="1355"/>
    </row>
    <row r="250" customFormat="false" ht="15" hidden="false" customHeight="false" outlineLevel="0" collapsed="false">
      <c r="C250" s="1355"/>
      <c r="D250" s="1355"/>
    </row>
    <row r="251" customFormat="false" ht="15" hidden="false" customHeight="false" outlineLevel="0" collapsed="false">
      <c r="C251" s="1355"/>
      <c r="D251" s="1355"/>
    </row>
    <row r="252" customFormat="false" ht="15" hidden="false" customHeight="false" outlineLevel="0" collapsed="false">
      <c r="C252" s="1355"/>
      <c r="D252" s="1355"/>
    </row>
    <row r="253" customFormat="false" ht="15" hidden="false" customHeight="false" outlineLevel="0" collapsed="false">
      <c r="C253" s="1355"/>
      <c r="D253" s="1355"/>
    </row>
    <row r="254" customFormat="false" ht="15" hidden="false" customHeight="false" outlineLevel="0" collapsed="false">
      <c r="C254" s="1355"/>
      <c r="D254" s="1355"/>
    </row>
    <row r="255" customFormat="false" ht="15" hidden="false" customHeight="false" outlineLevel="0" collapsed="false">
      <c r="C255" s="1355"/>
      <c r="D255" s="1355"/>
    </row>
    <row r="256" customFormat="false" ht="15" hidden="false" customHeight="false" outlineLevel="0" collapsed="false">
      <c r="C256" s="1355"/>
      <c r="D256" s="1355"/>
    </row>
    <row r="257" customFormat="false" ht="15" hidden="false" customHeight="false" outlineLevel="0" collapsed="false">
      <c r="C257" s="1355"/>
      <c r="D257" s="1355"/>
    </row>
    <row r="258" customFormat="false" ht="15" hidden="false" customHeight="false" outlineLevel="0" collapsed="false">
      <c r="C258" s="1355"/>
      <c r="D258" s="1355"/>
    </row>
    <row r="259" customFormat="false" ht="15" hidden="false" customHeight="false" outlineLevel="0" collapsed="false">
      <c r="C259" s="1355"/>
      <c r="D259" s="1355"/>
    </row>
    <row r="260" customFormat="false" ht="15" hidden="false" customHeight="false" outlineLevel="0" collapsed="false">
      <c r="C260" s="1355"/>
      <c r="D260" s="1355"/>
    </row>
    <row r="261" customFormat="false" ht="15" hidden="false" customHeight="false" outlineLevel="0" collapsed="false">
      <c r="C261" s="1355"/>
      <c r="D261" s="1355"/>
    </row>
    <row r="262" customFormat="false" ht="15" hidden="false" customHeight="false" outlineLevel="0" collapsed="false">
      <c r="C262" s="1355"/>
      <c r="D262" s="1355"/>
    </row>
    <row r="263" customFormat="false" ht="15" hidden="false" customHeight="false" outlineLevel="0" collapsed="false">
      <c r="C263" s="1355"/>
      <c r="D263" s="1355"/>
    </row>
    <row r="264" customFormat="false" ht="15" hidden="false" customHeight="false" outlineLevel="0" collapsed="false">
      <c r="C264" s="1355"/>
      <c r="D264" s="1355"/>
    </row>
    <row r="265" customFormat="false" ht="15" hidden="false" customHeight="false" outlineLevel="0" collapsed="false">
      <c r="C265" s="1355"/>
      <c r="D265" s="1355"/>
    </row>
    <row r="266" customFormat="false" ht="15" hidden="false" customHeight="false" outlineLevel="0" collapsed="false">
      <c r="C266" s="1355"/>
      <c r="D266" s="1355"/>
    </row>
    <row r="267" customFormat="false" ht="15" hidden="false" customHeight="false" outlineLevel="0" collapsed="false">
      <c r="C267" s="1355"/>
      <c r="D267" s="1355"/>
    </row>
    <row r="268" customFormat="false" ht="15" hidden="false" customHeight="false" outlineLevel="0" collapsed="false">
      <c r="C268" s="1355"/>
      <c r="D268" s="1355"/>
    </row>
    <row r="269" customFormat="false" ht="15" hidden="false" customHeight="false" outlineLevel="0" collapsed="false">
      <c r="C269" s="1355"/>
      <c r="D269" s="1355"/>
    </row>
    <row r="270" customFormat="false" ht="15" hidden="false" customHeight="false" outlineLevel="0" collapsed="false">
      <c r="C270" s="1355"/>
      <c r="D270" s="1355"/>
    </row>
    <row r="271" customFormat="false" ht="15" hidden="false" customHeight="false" outlineLevel="0" collapsed="false">
      <c r="C271" s="1355"/>
      <c r="D271" s="1355"/>
    </row>
    <row r="272" customFormat="false" ht="15" hidden="false" customHeight="false" outlineLevel="0" collapsed="false">
      <c r="C272" s="1355"/>
      <c r="D272" s="1355"/>
    </row>
    <row r="273" customFormat="false" ht="15" hidden="false" customHeight="false" outlineLevel="0" collapsed="false">
      <c r="C273" s="1355"/>
      <c r="D273" s="1355"/>
    </row>
    <row r="274" customFormat="false" ht="15" hidden="false" customHeight="false" outlineLevel="0" collapsed="false">
      <c r="C274" s="1355"/>
      <c r="D274" s="1355"/>
    </row>
    <row r="275" customFormat="false" ht="15" hidden="false" customHeight="false" outlineLevel="0" collapsed="false">
      <c r="C275" s="1355"/>
      <c r="D275" s="1355"/>
    </row>
    <row r="276" customFormat="false" ht="15" hidden="false" customHeight="false" outlineLevel="0" collapsed="false">
      <c r="C276" s="1355"/>
      <c r="D276" s="1355"/>
    </row>
    <row r="277" customFormat="false" ht="15" hidden="false" customHeight="false" outlineLevel="0" collapsed="false">
      <c r="C277" s="1355"/>
      <c r="D277" s="1355"/>
    </row>
    <row r="278" customFormat="false" ht="15" hidden="false" customHeight="false" outlineLevel="0" collapsed="false">
      <c r="C278" s="1355"/>
      <c r="D278" s="1355"/>
    </row>
    <row r="279" customFormat="false" ht="15" hidden="false" customHeight="false" outlineLevel="0" collapsed="false">
      <c r="C279" s="1355"/>
      <c r="D279" s="1355"/>
    </row>
    <row r="280" customFormat="false" ht="15" hidden="false" customHeight="false" outlineLevel="0" collapsed="false">
      <c r="C280" s="1355"/>
      <c r="D280" s="1355"/>
    </row>
    <row r="281" customFormat="false" ht="15" hidden="false" customHeight="false" outlineLevel="0" collapsed="false">
      <c r="C281" s="1355"/>
      <c r="D281" s="1355"/>
    </row>
    <row r="282" customFormat="false" ht="15" hidden="false" customHeight="false" outlineLevel="0" collapsed="false">
      <c r="C282" s="1355"/>
      <c r="D282" s="1355"/>
    </row>
    <row r="283" customFormat="false" ht="15" hidden="false" customHeight="false" outlineLevel="0" collapsed="false">
      <c r="C283" s="1355"/>
      <c r="D283" s="1355"/>
    </row>
    <row r="284" customFormat="false" ht="15" hidden="false" customHeight="false" outlineLevel="0" collapsed="false">
      <c r="C284" s="1355"/>
      <c r="D284" s="1355"/>
    </row>
    <row r="285" customFormat="false" ht="15" hidden="false" customHeight="false" outlineLevel="0" collapsed="false">
      <c r="C285" s="1355"/>
      <c r="D285" s="1355"/>
    </row>
    <row r="286" customFormat="false" ht="15" hidden="false" customHeight="false" outlineLevel="0" collapsed="false">
      <c r="C286" s="1355"/>
      <c r="D286" s="1355"/>
    </row>
    <row r="287" customFormat="false" ht="15" hidden="false" customHeight="false" outlineLevel="0" collapsed="false">
      <c r="C287" s="1355"/>
      <c r="D287" s="1355"/>
    </row>
    <row r="288" customFormat="false" ht="15" hidden="false" customHeight="false" outlineLevel="0" collapsed="false">
      <c r="C288" s="1355"/>
      <c r="D288" s="1355"/>
    </row>
    <row r="289" customFormat="false" ht="15" hidden="false" customHeight="false" outlineLevel="0" collapsed="false">
      <c r="C289" s="1355"/>
      <c r="D289" s="1355"/>
    </row>
    <row r="290" customFormat="false" ht="15" hidden="false" customHeight="false" outlineLevel="0" collapsed="false">
      <c r="C290" s="1355"/>
      <c r="D290" s="1355"/>
    </row>
    <row r="291" customFormat="false" ht="15" hidden="false" customHeight="false" outlineLevel="0" collapsed="false">
      <c r="C291" s="1355"/>
      <c r="D291" s="1355"/>
    </row>
    <row r="292" customFormat="false" ht="15" hidden="false" customHeight="false" outlineLevel="0" collapsed="false">
      <c r="C292" s="1355"/>
      <c r="D292" s="1355"/>
    </row>
    <row r="293" customFormat="false" ht="15" hidden="false" customHeight="false" outlineLevel="0" collapsed="false">
      <c r="C293" s="1355"/>
      <c r="D293" s="1355"/>
    </row>
    <row r="294" customFormat="false" ht="15" hidden="false" customHeight="false" outlineLevel="0" collapsed="false">
      <c r="C294" s="1355"/>
      <c r="D294" s="1355"/>
    </row>
    <row r="295" customFormat="false" ht="15" hidden="false" customHeight="false" outlineLevel="0" collapsed="false">
      <c r="C295" s="1355"/>
      <c r="D295" s="1355"/>
    </row>
    <row r="296" customFormat="false" ht="15" hidden="false" customHeight="false" outlineLevel="0" collapsed="false">
      <c r="C296" s="1355"/>
      <c r="D296" s="1355"/>
    </row>
    <row r="297" customFormat="false" ht="15" hidden="false" customHeight="false" outlineLevel="0" collapsed="false">
      <c r="C297" s="1355"/>
      <c r="D297" s="1355"/>
    </row>
    <row r="298" customFormat="false" ht="15" hidden="false" customHeight="false" outlineLevel="0" collapsed="false">
      <c r="C298" s="1355"/>
      <c r="D298" s="1355"/>
    </row>
    <row r="299" customFormat="false" ht="15" hidden="false" customHeight="false" outlineLevel="0" collapsed="false">
      <c r="C299" s="1355"/>
      <c r="D299" s="1355"/>
    </row>
    <row r="300" customFormat="false" ht="15" hidden="false" customHeight="false" outlineLevel="0" collapsed="false">
      <c r="C300" s="1355"/>
      <c r="D300" s="1355"/>
    </row>
    <row r="301" customFormat="false" ht="15" hidden="false" customHeight="false" outlineLevel="0" collapsed="false">
      <c r="C301" s="1355"/>
      <c r="D301" s="1355"/>
    </row>
    <row r="302" customFormat="false" ht="15" hidden="false" customHeight="false" outlineLevel="0" collapsed="false">
      <c r="C302" s="1355"/>
      <c r="D302" s="1355"/>
    </row>
    <row r="303" customFormat="false" ht="15" hidden="false" customHeight="false" outlineLevel="0" collapsed="false">
      <c r="C303" s="1355"/>
      <c r="D303" s="1355"/>
    </row>
    <row r="304" customFormat="false" ht="15" hidden="false" customHeight="false" outlineLevel="0" collapsed="false">
      <c r="C304" s="1355"/>
      <c r="D304" s="1355"/>
    </row>
    <row r="305" customFormat="false" ht="15" hidden="false" customHeight="false" outlineLevel="0" collapsed="false">
      <c r="C305" s="1355"/>
      <c r="D305" s="1355"/>
    </row>
    <row r="306" customFormat="false" ht="15" hidden="false" customHeight="false" outlineLevel="0" collapsed="false">
      <c r="C306" s="1355"/>
      <c r="D306" s="1355"/>
    </row>
    <row r="307" customFormat="false" ht="15" hidden="false" customHeight="false" outlineLevel="0" collapsed="false">
      <c r="C307" s="1355"/>
      <c r="D307" s="1355"/>
    </row>
    <row r="308" customFormat="false" ht="15" hidden="false" customHeight="false" outlineLevel="0" collapsed="false">
      <c r="C308" s="1355"/>
      <c r="D308" s="1355"/>
    </row>
    <row r="309" customFormat="false" ht="15" hidden="false" customHeight="false" outlineLevel="0" collapsed="false">
      <c r="C309" s="1355"/>
      <c r="D309" s="1355"/>
    </row>
    <row r="310" customFormat="false" ht="15" hidden="false" customHeight="false" outlineLevel="0" collapsed="false">
      <c r="C310" s="1355"/>
      <c r="D310" s="1355"/>
    </row>
    <row r="311" customFormat="false" ht="15" hidden="false" customHeight="false" outlineLevel="0" collapsed="false">
      <c r="C311" s="1355"/>
      <c r="D311" s="1355"/>
    </row>
    <row r="312" customFormat="false" ht="15" hidden="false" customHeight="false" outlineLevel="0" collapsed="false">
      <c r="C312" s="1355"/>
      <c r="D312" s="1355"/>
    </row>
    <row r="313" customFormat="false" ht="15" hidden="false" customHeight="false" outlineLevel="0" collapsed="false">
      <c r="C313" s="1355"/>
      <c r="D313" s="1355"/>
    </row>
    <row r="314" customFormat="false" ht="15" hidden="false" customHeight="false" outlineLevel="0" collapsed="false">
      <c r="C314" s="1355"/>
      <c r="D314" s="1355"/>
    </row>
    <row r="315" customFormat="false" ht="15" hidden="false" customHeight="false" outlineLevel="0" collapsed="false">
      <c r="C315" s="1355"/>
      <c r="D315" s="1355"/>
    </row>
    <row r="316" customFormat="false" ht="15" hidden="false" customHeight="false" outlineLevel="0" collapsed="false">
      <c r="C316" s="1355"/>
      <c r="D316" s="1355"/>
    </row>
    <row r="317" customFormat="false" ht="15" hidden="false" customHeight="false" outlineLevel="0" collapsed="false">
      <c r="C317" s="1355"/>
      <c r="D317" s="1355"/>
    </row>
    <row r="318" customFormat="false" ht="15" hidden="false" customHeight="false" outlineLevel="0" collapsed="false">
      <c r="C318" s="1355"/>
      <c r="D318" s="1355"/>
    </row>
    <row r="319" customFormat="false" ht="15" hidden="false" customHeight="false" outlineLevel="0" collapsed="false">
      <c r="C319" s="1355"/>
      <c r="D319" s="1355"/>
    </row>
    <row r="320" customFormat="false" ht="15" hidden="false" customHeight="false" outlineLevel="0" collapsed="false">
      <c r="C320" s="1355"/>
      <c r="D320" s="1355"/>
    </row>
    <row r="321" customFormat="false" ht="15" hidden="false" customHeight="false" outlineLevel="0" collapsed="false">
      <c r="C321" s="1355"/>
      <c r="D321" s="1355"/>
    </row>
    <row r="322" customFormat="false" ht="15" hidden="false" customHeight="false" outlineLevel="0" collapsed="false">
      <c r="C322" s="1355"/>
      <c r="D322" s="1355"/>
    </row>
    <row r="323" customFormat="false" ht="15" hidden="false" customHeight="false" outlineLevel="0" collapsed="false">
      <c r="C323" s="1355"/>
      <c r="D323" s="1355"/>
    </row>
    <row r="324" customFormat="false" ht="15" hidden="false" customHeight="false" outlineLevel="0" collapsed="false">
      <c r="C324" s="1355"/>
      <c r="D324" s="1355"/>
    </row>
    <row r="325" customFormat="false" ht="15" hidden="false" customHeight="false" outlineLevel="0" collapsed="false">
      <c r="C325" s="1355"/>
      <c r="D325" s="1355"/>
    </row>
    <row r="326" customFormat="false" ht="15" hidden="false" customHeight="false" outlineLevel="0" collapsed="false">
      <c r="C326" s="1355"/>
      <c r="D326" s="1355"/>
    </row>
    <row r="327" customFormat="false" ht="15" hidden="false" customHeight="false" outlineLevel="0" collapsed="false">
      <c r="C327" s="1355"/>
      <c r="D327" s="1355"/>
    </row>
    <row r="328" customFormat="false" ht="15" hidden="false" customHeight="false" outlineLevel="0" collapsed="false">
      <c r="C328" s="1355"/>
      <c r="D328" s="1355"/>
    </row>
    <row r="329" customFormat="false" ht="15" hidden="false" customHeight="false" outlineLevel="0" collapsed="false">
      <c r="C329" s="1355"/>
      <c r="D329" s="1355"/>
    </row>
    <row r="330" customFormat="false" ht="15" hidden="false" customHeight="false" outlineLevel="0" collapsed="false">
      <c r="C330" s="1355"/>
      <c r="D330" s="1355"/>
    </row>
    <row r="331" customFormat="false" ht="15" hidden="false" customHeight="false" outlineLevel="0" collapsed="false">
      <c r="C331" s="1355"/>
      <c r="D331" s="1355"/>
    </row>
    <row r="332" customFormat="false" ht="15" hidden="false" customHeight="false" outlineLevel="0" collapsed="false">
      <c r="C332" s="1355"/>
      <c r="D332" s="1355"/>
    </row>
    <row r="333" customFormat="false" ht="15" hidden="false" customHeight="false" outlineLevel="0" collapsed="false">
      <c r="C333" s="1355"/>
      <c r="D333" s="13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overThenDown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57</xdr:col>
                    <xdr:colOff>0</xdr:colOff>
                    <xdr:row>15</xdr:row>
                    <xdr:rowOff>0</xdr:rowOff>
                  </from>
                  <to>
                    <xdr:col>66</xdr:col>
                    <xdr:colOff>69840</xdr:colOff>
                    <xdr:row>17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57</xdr:col>
                    <xdr:colOff>0</xdr:colOff>
                    <xdr:row>20</xdr:row>
                    <xdr:rowOff>0</xdr:rowOff>
                  </from>
                  <to>
                    <xdr:col>66</xdr:col>
                    <xdr:colOff>69840</xdr:colOff>
                    <xdr:row>22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8">
              <controlPr defaultSize="0" print="true" autoFill="0" autoPict="0">
                <anchor moveWithCells="true" sizeWithCells="false">
                  <from>
                    <xdr:col>43</xdr:col>
                    <xdr:colOff>0</xdr:colOff>
                    <xdr:row>20</xdr:row>
                    <xdr:rowOff>0</xdr:rowOff>
                  </from>
                  <to>
                    <xdr:col>52</xdr:col>
                    <xdr:colOff>360</xdr:colOff>
                    <xdr:row>22</xdr:row>
                    <xdr:rowOff>66600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241" width="0.99"/>
  </cols>
  <sheetData/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>
                <anchor moveWithCells="true" sizeWithCells="false">
                  <from>
                    <xdr:col>69</xdr:col>
                    <xdr:colOff>0</xdr:colOff>
                    <xdr:row>20</xdr:row>
                    <xdr:rowOff>0</xdr:rowOff>
                  </from>
                  <to>
                    <xdr:col>78</xdr:col>
                    <xdr:colOff>69840</xdr:colOff>
                    <xdr:row>22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>
                <anchor moveWithCells="true" sizeWithCells="false">
                  <from>
                    <xdr:col>69</xdr:col>
                    <xdr:colOff>0</xdr:colOff>
                    <xdr:row>24</xdr:row>
                    <xdr:rowOff>0</xdr:rowOff>
                  </from>
                  <to>
                    <xdr:col>78</xdr:col>
                    <xdr:colOff>69840</xdr:colOff>
                    <xdr:row>26</xdr:row>
                    <xdr:rowOff>66960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1997-06-16T14:08:16Z</dcterms:created>
  <dc:creator>Julie W. Lim</dc:creator>
  <dc:description/>
  <dc:language>en-US</dc:language>
  <cp:lastModifiedBy>ect</cp:lastModifiedBy>
  <cp:lastPrinted>2000-08-31T11:22:20Z</cp:lastPrinted>
  <cp:revision>0</cp:revision>
  <dc:subject>Acquisition</dc:subject>
  <dc:title>Las Vegas Cogeneration</dc:title>
</cp:coreProperties>
</file>